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5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6.xml" ContentType="application/vnd.openxmlformats-officedocument.drawing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drawings/drawing7.xml" ContentType="application/vnd.openxmlformats-officedocument.drawing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drawings/drawing8.xml" ContentType="application/vnd.openxmlformats-officedocument.drawing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drawings/drawing9.xml" ContentType="application/vnd.openxmlformats-officedocument.drawing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drawings/drawing10.xml" ContentType="application/vnd.openxmlformats-officedocument.drawing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drawings/drawing11.xml" ContentType="application/vnd.openxmlformats-officedocument.drawing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drawings/drawing12.xml" ContentType="application/vnd.openxmlformats-officedocument.drawing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drawings/drawing13.xml" ContentType="application/vnd.openxmlformats-officedocument.drawing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drawings/drawing14.xml" ContentType="application/vnd.openxmlformats-officedocument.drawing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drawings/drawing15.xml" ContentType="application/vnd.openxmlformats-officedocument.drawing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drawings/drawing16.xml" ContentType="application/vnd.openxmlformats-officedocument.drawing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drawings/drawing17.xml" ContentType="application/vnd.openxmlformats-officedocument.drawing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drawings/drawing18.xml" ContentType="application/vnd.openxmlformats-officedocument.drawing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drawings/drawing19.xml" ContentType="application/vnd.openxmlformats-officedocument.drawing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drawings/drawing20.xml" ContentType="application/vnd.openxmlformats-officedocument.drawing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drawings/drawing21.xml" ContentType="application/vnd.openxmlformats-officedocument.drawing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drawings/drawing22.xml" ContentType="application/vnd.openxmlformats-officedocument.drawing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drawings/drawing23.xml" ContentType="application/vnd.openxmlformats-officedocument.drawing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drawings/drawing24.xml" ContentType="application/vnd.openxmlformats-officedocument.drawing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drawings/drawing25.xml" ContentType="application/vnd.openxmlformats-officedocument.drawing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drawings/drawing26.xml" ContentType="application/vnd.openxmlformats-officedocument.drawing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drawings/drawing27.xml" ContentType="application/vnd.openxmlformats-officedocument.drawing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drawings/drawing28.xml" ContentType="application/vnd.openxmlformats-officedocument.drawing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drawings/drawing29.xml" ContentType="application/vnd.openxmlformats-officedocument.drawing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drawings/drawing30.xml" ContentType="application/vnd.openxmlformats-officedocument.drawing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drawings/drawing31.xml" ContentType="application/vnd.openxmlformats-officedocument.drawing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drawings/drawing32.xml" ContentType="application/vnd.openxmlformats-officedocument.drawing+xml"/>
  <Override PartName="/xl/tables/table6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 defaultThemeVersion="124226"/>
  <xr:revisionPtr revIDLastSave="0" documentId="13_ncr:1_{3DD6C71D-56CD-4DDE-8E0F-D08A31EE9E4C}" xr6:coauthVersionLast="47" xr6:coauthVersionMax="47" xr10:uidLastSave="{00000000-0000-0000-0000-000000000000}"/>
  <bookViews>
    <workbookView xWindow="-108" yWindow="-108" windowWidth="23256" windowHeight="12456" tabRatio="841" firstSheet="1" activeTab="3" xr2:uid="{00000000-000D-0000-FFFF-FFFF00000000}"/>
  </bookViews>
  <sheets>
    <sheet name="1 " sheetId="33" r:id="rId1"/>
    <sheet name="2" sheetId="32" r:id="rId2"/>
    <sheet name="3" sheetId="31" r:id="rId3"/>
    <sheet name="4" sheetId="30" r:id="rId4"/>
    <sheet name="5" sheetId="29" r:id="rId5"/>
    <sheet name="6" sheetId="28" r:id="rId6"/>
    <sheet name="7" sheetId="27" r:id="rId7"/>
    <sheet name="8" sheetId="26" r:id="rId8"/>
    <sheet name="9" sheetId="25" r:id="rId9"/>
    <sheet name="10" sheetId="24" r:id="rId10"/>
    <sheet name="11" sheetId="23" r:id="rId11"/>
    <sheet name="12" sheetId="22" r:id="rId12"/>
    <sheet name="13" sheetId="21" r:id="rId13"/>
    <sheet name="14" sheetId="20" r:id="rId14"/>
    <sheet name="15" sheetId="19" r:id="rId15"/>
    <sheet name="16" sheetId="18" r:id="rId16"/>
    <sheet name="17" sheetId="17" r:id="rId17"/>
    <sheet name="18" sheetId="16" r:id="rId18"/>
    <sheet name="19" sheetId="15" r:id="rId19"/>
    <sheet name="20" sheetId="14" r:id="rId20"/>
    <sheet name="21" sheetId="13" r:id="rId21"/>
    <sheet name="22" sheetId="12" r:id="rId22"/>
    <sheet name="23" sheetId="11" r:id="rId23"/>
    <sheet name="24" sheetId="10" r:id="rId24"/>
    <sheet name="25" sheetId="9" r:id="rId25"/>
    <sheet name="26" sheetId="8" r:id="rId26"/>
    <sheet name="27" sheetId="7" r:id="rId27"/>
    <sheet name="28" sheetId="6" r:id="rId28"/>
    <sheet name="29" sheetId="5" r:id="rId29"/>
    <sheet name="30" sheetId="4" r:id="rId30"/>
    <sheet name="31" sheetId="1" r:id="rId31"/>
    <sheet name="Total" sheetId="3" r:id="rId32"/>
    <sheet name="كــــــــروت" sheetId="34" r:id="rId33"/>
  </sheets>
  <externalReferences>
    <externalReference r:id="rId3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9" i="1" l="1"/>
  <c r="U9" i="4"/>
  <c r="U9" i="5"/>
  <c r="U9" i="6"/>
  <c r="U9" i="7"/>
  <c r="U9" i="8"/>
  <c r="U9" i="9"/>
  <c r="U9" i="10"/>
  <c r="U9" i="11"/>
  <c r="U9" i="12"/>
  <c r="U9" i="13"/>
  <c r="U9" i="14"/>
  <c r="U9" i="15"/>
  <c r="U9" i="16"/>
  <c r="U9" i="17"/>
  <c r="U9" i="18"/>
  <c r="U9" i="19"/>
  <c r="U9" i="20"/>
  <c r="U9" i="21"/>
  <c r="U9" i="22"/>
  <c r="U9" i="23"/>
  <c r="U9" i="24"/>
  <c r="U9" i="25"/>
  <c r="U9" i="26"/>
  <c r="U9" i="27"/>
  <c r="U9" i="28"/>
  <c r="U9" i="29"/>
  <c r="U9" i="30"/>
  <c r="U9" i="31"/>
  <c r="U9" i="32"/>
  <c r="U9" i="33"/>
  <c r="J24" i="24" l="1"/>
  <c r="P26" i="1"/>
  <c r="P25" i="1"/>
  <c r="P26" i="4"/>
  <c r="P25" i="4"/>
  <c r="P26" i="5"/>
  <c r="P25" i="5"/>
  <c r="P26" i="6"/>
  <c r="P25" i="6"/>
  <c r="P26" i="7"/>
  <c r="P25" i="7"/>
  <c r="P26" i="8"/>
  <c r="P25" i="8"/>
  <c r="P26" i="9"/>
  <c r="P25" i="9"/>
  <c r="P26" i="10"/>
  <c r="P25" i="10"/>
  <c r="P26" i="11"/>
  <c r="P25" i="11"/>
  <c r="P26" i="12"/>
  <c r="P25" i="12"/>
  <c r="P26" i="13"/>
  <c r="P25" i="13"/>
  <c r="P26" i="14"/>
  <c r="P25" i="14"/>
  <c r="P26" i="15"/>
  <c r="P25" i="15"/>
  <c r="P26" i="16"/>
  <c r="P25" i="16"/>
  <c r="P26" i="17"/>
  <c r="P25" i="17"/>
  <c r="P26" i="18"/>
  <c r="P25" i="18"/>
  <c r="P26" i="19"/>
  <c r="P25" i="19"/>
  <c r="P26" i="20"/>
  <c r="P25" i="20"/>
  <c r="P26" i="21"/>
  <c r="P25" i="21"/>
  <c r="P26" i="22"/>
  <c r="P25" i="22"/>
  <c r="P26" i="23"/>
  <c r="P25" i="23"/>
  <c r="P26" i="24"/>
  <c r="P25" i="24"/>
  <c r="P26" i="25"/>
  <c r="P25" i="25"/>
  <c r="P26" i="26"/>
  <c r="P25" i="26"/>
  <c r="P26" i="27"/>
  <c r="P25" i="27"/>
  <c r="P26" i="28"/>
  <c r="P25" i="28"/>
  <c r="P26" i="29"/>
  <c r="P25" i="29"/>
  <c r="P26" i="30"/>
  <c r="P25" i="30"/>
  <c r="P25" i="32"/>
  <c r="P26" i="31"/>
  <c r="P25" i="31"/>
  <c r="P26" i="32"/>
  <c r="G8" i="9" l="1"/>
  <c r="G7" i="29"/>
  <c r="G10" i="32"/>
  <c r="H8" i="9" l="1"/>
  <c r="H7" i="29"/>
  <c r="H10" i="32"/>
  <c r="H43" i="32"/>
  <c r="H47" i="32"/>
  <c r="H75" i="32"/>
  <c r="H79" i="32"/>
  <c r="E1" i="32"/>
  <c r="F1" i="32"/>
  <c r="P3" i="32"/>
  <c r="P6" i="32" s="1"/>
  <c r="G4" i="32"/>
  <c r="J4" i="32"/>
  <c r="P4" i="32"/>
  <c r="G5" i="32"/>
  <c r="H5" i="32" s="1"/>
  <c r="J5" i="32"/>
  <c r="P5" i="32"/>
  <c r="G6" i="32"/>
  <c r="H6" i="32" s="1"/>
  <c r="J6" i="32"/>
  <c r="G7" i="32"/>
  <c r="H7" i="32" s="1"/>
  <c r="J7" i="32"/>
  <c r="G8" i="32"/>
  <c r="H8" i="32" s="1"/>
  <c r="J8" i="32"/>
  <c r="P8" i="32"/>
  <c r="G9" i="32"/>
  <c r="H9" i="32" s="1"/>
  <c r="J9" i="32"/>
  <c r="P9" i="32"/>
  <c r="R9" i="32"/>
  <c r="J10" i="32"/>
  <c r="P10" i="32"/>
  <c r="G11" i="32"/>
  <c r="H11" i="32" s="1"/>
  <c r="J11" i="32"/>
  <c r="G12" i="32"/>
  <c r="H12" i="32" s="1"/>
  <c r="J12" i="32"/>
  <c r="G13" i="32"/>
  <c r="H13" i="32" s="1"/>
  <c r="J13" i="32"/>
  <c r="G14" i="32"/>
  <c r="H14" i="32" s="1"/>
  <c r="J14" i="32"/>
  <c r="G15" i="32"/>
  <c r="H15" i="32" s="1"/>
  <c r="J15" i="32"/>
  <c r="P15" i="32"/>
  <c r="G16" i="32"/>
  <c r="H16" i="32" s="1"/>
  <c r="J16" i="32"/>
  <c r="P16" i="32"/>
  <c r="G17" i="32"/>
  <c r="H17" i="32" s="1"/>
  <c r="J17" i="32"/>
  <c r="P17" i="32"/>
  <c r="G18" i="32"/>
  <c r="H18" i="32" s="1"/>
  <c r="J18" i="32"/>
  <c r="G19" i="32"/>
  <c r="H19" i="32" s="1"/>
  <c r="J19" i="32"/>
  <c r="G20" i="32"/>
  <c r="H20" i="32" s="1"/>
  <c r="J20" i="32"/>
  <c r="G21" i="32"/>
  <c r="H21" i="32" s="1"/>
  <c r="J21" i="32"/>
  <c r="G22" i="32"/>
  <c r="H22" i="32" s="1"/>
  <c r="J22" i="32"/>
  <c r="G23" i="32"/>
  <c r="H23" i="32" s="1"/>
  <c r="J23" i="32"/>
  <c r="G24" i="32"/>
  <c r="H24" i="32" s="1"/>
  <c r="J24" i="32"/>
  <c r="G25" i="32"/>
  <c r="H25" i="32" s="1"/>
  <c r="J25" i="32"/>
  <c r="G26" i="32"/>
  <c r="H26" i="32" s="1"/>
  <c r="J26" i="32"/>
  <c r="G27" i="32"/>
  <c r="H27" i="32" s="1"/>
  <c r="J27" i="32"/>
  <c r="G28" i="32"/>
  <c r="H28" i="32" s="1"/>
  <c r="J28" i="32"/>
  <c r="G29" i="32"/>
  <c r="H29" i="32" s="1"/>
  <c r="J29" i="32"/>
  <c r="G30" i="32"/>
  <c r="H30" i="32" s="1"/>
  <c r="J30" i="32"/>
  <c r="G31" i="32"/>
  <c r="H31" i="32" s="1"/>
  <c r="J31" i="32"/>
  <c r="G32" i="32"/>
  <c r="H32" i="32" s="1"/>
  <c r="J32" i="32"/>
  <c r="G33" i="32"/>
  <c r="H33" i="32" s="1"/>
  <c r="J33" i="32"/>
  <c r="G34" i="32"/>
  <c r="H34" i="32" s="1"/>
  <c r="J34" i="32"/>
  <c r="G35" i="32"/>
  <c r="H35" i="32" s="1"/>
  <c r="J35" i="32"/>
  <c r="G36" i="32"/>
  <c r="H36" i="32" s="1"/>
  <c r="J36" i="32"/>
  <c r="G37" i="32"/>
  <c r="H37" i="32" s="1"/>
  <c r="J37" i="32"/>
  <c r="G38" i="32"/>
  <c r="H38" i="32" s="1"/>
  <c r="J38" i="32"/>
  <c r="G39" i="32"/>
  <c r="H39" i="32" s="1"/>
  <c r="J39" i="32"/>
  <c r="G40" i="32"/>
  <c r="H40" i="32" s="1"/>
  <c r="J40" i="32"/>
  <c r="G41" i="32"/>
  <c r="H41" i="32" s="1"/>
  <c r="J41" i="32"/>
  <c r="G42" i="32"/>
  <c r="H42" i="32" s="1"/>
  <c r="J42" i="32"/>
  <c r="G43" i="32"/>
  <c r="J43" i="32"/>
  <c r="G44" i="32"/>
  <c r="H44" i="32" s="1"/>
  <c r="J44" i="32"/>
  <c r="G45" i="32"/>
  <c r="H45" i="32" s="1"/>
  <c r="J45" i="32"/>
  <c r="G46" i="32"/>
  <c r="H46" i="32" s="1"/>
  <c r="J46" i="32"/>
  <c r="G47" i="32"/>
  <c r="J47" i="32"/>
  <c r="G48" i="32"/>
  <c r="H48" i="32" s="1"/>
  <c r="J48" i="32"/>
  <c r="G49" i="32"/>
  <c r="H49" i="32" s="1"/>
  <c r="J49" i="32"/>
  <c r="G50" i="32"/>
  <c r="H50" i="32" s="1"/>
  <c r="J50" i="32"/>
  <c r="G51" i="32"/>
  <c r="H51" i="32" s="1"/>
  <c r="J51" i="32"/>
  <c r="G52" i="32"/>
  <c r="H52" i="32" s="1"/>
  <c r="J52" i="32"/>
  <c r="G53" i="32"/>
  <c r="H53" i="32" s="1"/>
  <c r="J53" i="32"/>
  <c r="G54" i="32"/>
  <c r="H54" i="32" s="1"/>
  <c r="J54" i="32"/>
  <c r="G55" i="32"/>
  <c r="H55" i="32" s="1"/>
  <c r="J55" i="32"/>
  <c r="G56" i="32"/>
  <c r="H56" i="32" s="1"/>
  <c r="J56" i="32"/>
  <c r="G57" i="32"/>
  <c r="H57" i="32" s="1"/>
  <c r="J57" i="32"/>
  <c r="G58" i="32"/>
  <c r="H58" i="32" s="1"/>
  <c r="J58" i="32"/>
  <c r="G59" i="32"/>
  <c r="H59" i="32" s="1"/>
  <c r="J59" i="32"/>
  <c r="G60" i="32"/>
  <c r="H60" i="32" s="1"/>
  <c r="J60" i="32"/>
  <c r="G61" i="32"/>
  <c r="H61" i="32" s="1"/>
  <c r="J61" i="32"/>
  <c r="G62" i="32"/>
  <c r="H62" i="32" s="1"/>
  <c r="J62" i="32"/>
  <c r="G63" i="32"/>
  <c r="H63" i="32" s="1"/>
  <c r="J63" i="32"/>
  <c r="G64" i="32"/>
  <c r="H64" i="32" s="1"/>
  <c r="J64" i="32"/>
  <c r="G65" i="32"/>
  <c r="H65" i="32" s="1"/>
  <c r="J65" i="32"/>
  <c r="G66" i="32"/>
  <c r="H66" i="32" s="1"/>
  <c r="J66" i="32"/>
  <c r="G67" i="32"/>
  <c r="H67" i="32" s="1"/>
  <c r="J67" i="32"/>
  <c r="G68" i="32"/>
  <c r="H68" i="32" s="1"/>
  <c r="J68" i="32"/>
  <c r="G69" i="32"/>
  <c r="H69" i="32" s="1"/>
  <c r="J69" i="32"/>
  <c r="G70" i="32"/>
  <c r="H70" i="32" s="1"/>
  <c r="J70" i="32"/>
  <c r="G71" i="32"/>
  <c r="H71" i="32" s="1"/>
  <c r="J71" i="32"/>
  <c r="G72" i="32"/>
  <c r="H72" i="32" s="1"/>
  <c r="J72" i="32"/>
  <c r="G73" i="32"/>
  <c r="H73" i="32" s="1"/>
  <c r="J73" i="32"/>
  <c r="G74" i="32"/>
  <c r="H74" i="32" s="1"/>
  <c r="J74" i="32"/>
  <c r="G75" i="32"/>
  <c r="J75" i="32"/>
  <c r="G76" i="32"/>
  <c r="H76" i="32" s="1"/>
  <c r="J76" i="32"/>
  <c r="G77" i="32"/>
  <c r="H77" i="32" s="1"/>
  <c r="J77" i="32"/>
  <c r="G78" i="32"/>
  <c r="H78" i="32" s="1"/>
  <c r="J78" i="32"/>
  <c r="G79" i="32"/>
  <c r="J79" i="32"/>
  <c r="G80" i="32"/>
  <c r="H80" i="32" s="1"/>
  <c r="J80" i="32"/>
  <c r="G81" i="32"/>
  <c r="H81" i="32" s="1"/>
  <c r="J81" i="32"/>
  <c r="G82" i="32"/>
  <c r="H82" i="32" s="1"/>
  <c r="J82" i="32"/>
  <c r="G83" i="32"/>
  <c r="H83" i="32" s="1"/>
  <c r="J83" i="32"/>
  <c r="G84" i="32"/>
  <c r="H84" i="32" s="1"/>
  <c r="J84" i="32"/>
  <c r="G85" i="32"/>
  <c r="H85" i="32" s="1"/>
  <c r="J85" i="32"/>
  <c r="G86" i="32"/>
  <c r="H86" i="32" s="1"/>
  <c r="J86" i="32"/>
  <c r="G87" i="32"/>
  <c r="H87" i="32" s="1"/>
  <c r="J87" i="32"/>
  <c r="G88" i="32"/>
  <c r="H88" i="32" s="1"/>
  <c r="J88" i="32"/>
  <c r="G89" i="32"/>
  <c r="H89" i="32" s="1"/>
  <c r="J89" i="32"/>
  <c r="G90" i="32"/>
  <c r="H90" i="32" s="1"/>
  <c r="J90" i="32"/>
  <c r="G91" i="32"/>
  <c r="H91" i="32" s="1"/>
  <c r="J91" i="32"/>
  <c r="G92" i="32"/>
  <c r="H92" i="32" s="1"/>
  <c r="J92" i="32"/>
  <c r="G93" i="32"/>
  <c r="H93" i="32" s="1"/>
  <c r="J93" i="32"/>
  <c r="G94" i="32"/>
  <c r="H94" i="32" s="1"/>
  <c r="J94" i="32"/>
  <c r="G95" i="32"/>
  <c r="H95" i="32" s="1"/>
  <c r="J95" i="32"/>
  <c r="G96" i="32"/>
  <c r="H96" i="32" s="1"/>
  <c r="J96" i="32"/>
  <c r="G97" i="32"/>
  <c r="H97" i="32" s="1"/>
  <c r="J97" i="32"/>
  <c r="G98" i="32"/>
  <c r="H98" i="32" s="1"/>
  <c r="J98" i="32"/>
  <c r="G99" i="32"/>
  <c r="H99" i="32" s="1"/>
  <c r="J99" i="32"/>
  <c r="G100" i="32"/>
  <c r="H100" i="32" s="1"/>
  <c r="J100" i="32"/>
  <c r="G101" i="32"/>
  <c r="H101" i="32" s="1"/>
  <c r="J101" i="32"/>
  <c r="G102" i="32"/>
  <c r="H102" i="32" s="1"/>
  <c r="J102" i="32"/>
  <c r="G103" i="32"/>
  <c r="H103" i="32" s="1"/>
  <c r="J103" i="32"/>
  <c r="G104" i="32"/>
  <c r="H104" i="32" s="1"/>
  <c r="J104" i="32"/>
  <c r="G105" i="32"/>
  <c r="H105" i="32" s="1"/>
  <c r="J105" i="32"/>
  <c r="G106" i="32"/>
  <c r="H106" i="32" s="1"/>
  <c r="J106" i="32"/>
  <c r="G107" i="32"/>
  <c r="H107" i="32" s="1"/>
  <c r="J107" i="32"/>
  <c r="G108" i="32"/>
  <c r="H108" i="32" s="1"/>
  <c r="J108" i="32"/>
  <c r="G109" i="32"/>
  <c r="H109" i="32" s="1"/>
  <c r="J109" i="32"/>
  <c r="G110" i="32"/>
  <c r="H110" i="32" s="1"/>
  <c r="J110" i="32"/>
  <c r="G111" i="32"/>
  <c r="H111" i="32" s="1"/>
  <c r="J111" i="32"/>
  <c r="G112" i="32"/>
  <c r="H112" i="32" s="1"/>
  <c r="J112" i="32"/>
  <c r="G113" i="32"/>
  <c r="H113" i="32" s="1"/>
  <c r="J113" i="32"/>
  <c r="G114" i="32"/>
  <c r="H114" i="32" s="1"/>
  <c r="J114" i="32"/>
  <c r="G115" i="32"/>
  <c r="H115" i="32" s="1"/>
  <c r="J115" i="32"/>
  <c r="G116" i="32"/>
  <c r="H116" i="32" s="1"/>
  <c r="J116" i="32"/>
  <c r="G117" i="32"/>
  <c r="H117" i="32" s="1"/>
  <c r="J117" i="32"/>
  <c r="G118" i="32"/>
  <c r="H118" i="32" s="1"/>
  <c r="J118" i="32"/>
  <c r="G119" i="32"/>
  <c r="H119" i="32" s="1"/>
  <c r="J119" i="32"/>
  <c r="G120" i="32"/>
  <c r="H120" i="32" s="1"/>
  <c r="J120" i="32"/>
  <c r="G121" i="32"/>
  <c r="H121" i="32" s="1"/>
  <c r="J121" i="32"/>
  <c r="G122" i="32"/>
  <c r="H122" i="32" s="1"/>
  <c r="J122" i="32"/>
  <c r="G123" i="32"/>
  <c r="H123" i="32" s="1"/>
  <c r="J123" i="32"/>
  <c r="G124" i="32"/>
  <c r="H124" i="32" s="1"/>
  <c r="J124" i="32"/>
  <c r="G125" i="32"/>
  <c r="H125" i="32" s="1"/>
  <c r="J125" i="32"/>
  <c r="G126" i="32"/>
  <c r="H126" i="32" s="1"/>
  <c r="J126" i="32"/>
  <c r="G127" i="32"/>
  <c r="H127" i="32" s="1"/>
  <c r="J127" i="32"/>
  <c r="G128" i="32"/>
  <c r="H128" i="32" s="1"/>
  <c r="J128" i="32"/>
  <c r="G129" i="32"/>
  <c r="H129" i="32" s="1"/>
  <c r="J129" i="32"/>
  <c r="G130" i="32"/>
  <c r="H130" i="32" s="1"/>
  <c r="J130" i="32"/>
  <c r="G131" i="32"/>
  <c r="H131" i="32" s="1"/>
  <c r="J131" i="32"/>
  <c r="G132" i="32"/>
  <c r="H132" i="32" s="1"/>
  <c r="J132" i="32"/>
  <c r="G133" i="32"/>
  <c r="H133" i="32" s="1"/>
  <c r="J133" i="32"/>
  <c r="G134" i="32"/>
  <c r="H134" i="32" s="1"/>
  <c r="J134" i="32"/>
  <c r="G135" i="32"/>
  <c r="H135" i="32" s="1"/>
  <c r="J135" i="32"/>
  <c r="G136" i="32"/>
  <c r="H136" i="32" s="1"/>
  <c r="J136" i="32"/>
  <c r="G137" i="32"/>
  <c r="H137" i="32" s="1"/>
  <c r="J137" i="32"/>
  <c r="G138" i="32"/>
  <c r="H138" i="32" s="1"/>
  <c r="J138" i="32"/>
  <c r="G139" i="32"/>
  <c r="H139" i="32" s="1"/>
  <c r="J139" i="32"/>
  <c r="G140" i="32"/>
  <c r="H140" i="32" s="1"/>
  <c r="J140" i="32"/>
  <c r="G141" i="32"/>
  <c r="H141" i="32" s="1"/>
  <c r="J141" i="32"/>
  <c r="G142" i="32"/>
  <c r="H142" i="32" s="1"/>
  <c r="J142" i="32"/>
  <c r="G143" i="32"/>
  <c r="H143" i="32" s="1"/>
  <c r="J143" i="32"/>
  <c r="G144" i="32"/>
  <c r="H144" i="32" s="1"/>
  <c r="J144" i="32"/>
  <c r="G145" i="32"/>
  <c r="H145" i="32" s="1"/>
  <c r="J145" i="32"/>
  <c r="G146" i="32"/>
  <c r="H146" i="32" s="1"/>
  <c r="J146" i="32"/>
  <c r="G147" i="32"/>
  <c r="H147" i="32" s="1"/>
  <c r="J147" i="32"/>
  <c r="G148" i="32"/>
  <c r="H148" i="32" s="1"/>
  <c r="J148" i="32"/>
  <c r="G149" i="32"/>
  <c r="H149" i="32" s="1"/>
  <c r="J149" i="32"/>
  <c r="G150" i="32"/>
  <c r="H150" i="32" s="1"/>
  <c r="J150" i="32"/>
  <c r="G151" i="32"/>
  <c r="H151" i="32" s="1"/>
  <c r="J151" i="32"/>
  <c r="G152" i="32"/>
  <c r="H152" i="32" s="1"/>
  <c r="J152" i="32"/>
  <c r="G153" i="32"/>
  <c r="H153" i="32" s="1"/>
  <c r="J153" i="32"/>
  <c r="G154" i="32"/>
  <c r="H154" i="32" s="1"/>
  <c r="J154" i="32"/>
  <c r="G155" i="32"/>
  <c r="H155" i="32" s="1"/>
  <c r="J155" i="32"/>
  <c r="G156" i="32"/>
  <c r="H156" i="32" s="1"/>
  <c r="J156" i="32"/>
  <c r="G157" i="32"/>
  <c r="H157" i="32" s="1"/>
  <c r="J157" i="32"/>
  <c r="G158" i="32"/>
  <c r="H158" i="32" s="1"/>
  <c r="J158" i="32"/>
  <c r="G159" i="32"/>
  <c r="H159" i="32" s="1"/>
  <c r="J159" i="32"/>
  <c r="G160" i="32"/>
  <c r="H160" i="32" s="1"/>
  <c r="J160" i="32"/>
  <c r="G161" i="32"/>
  <c r="H161" i="32" s="1"/>
  <c r="J161" i="32"/>
  <c r="G162" i="32"/>
  <c r="H162" i="32" s="1"/>
  <c r="J162" i="32"/>
  <c r="G163" i="32"/>
  <c r="H163" i="32" s="1"/>
  <c r="J163" i="32"/>
  <c r="G164" i="32"/>
  <c r="H164" i="32" s="1"/>
  <c r="J164" i="32"/>
  <c r="G165" i="32"/>
  <c r="H165" i="32" s="1"/>
  <c r="J165" i="32"/>
  <c r="G166" i="32"/>
  <c r="H166" i="32" s="1"/>
  <c r="J166" i="32"/>
  <c r="G167" i="32"/>
  <c r="H167" i="32" s="1"/>
  <c r="J167" i="32"/>
  <c r="G168" i="32"/>
  <c r="H168" i="32" s="1"/>
  <c r="J168" i="32"/>
  <c r="G169" i="32"/>
  <c r="H169" i="32" s="1"/>
  <c r="J169" i="32"/>
  <c r="G170" i="32"/>
  <c r="H170" i="32" s="1"/>
  <c r="J170" i="32"/>
  <c r="G171" i="32"/>
  <c r="H171" i="32" s="1"/>
  <c r="J171" i="32"/>
  <c r="G172" i="32"/>
  <c r="H172" i="32" s="1"/>
  <c r="J172" i="32"/>
  <c r="G173" i="32"/>
  <c r="H173" i="32" s="1"/>
  <c r="J173" i="32"/>
  <c r="G174" i="32"/>
  <c r="H174" i="32" s="1"/>
  <c r="J174" i="32"/>
  <c r="G175" i="32"/>
  <c r="H175" i="32" s="1"/>
  <c r="J175" i="32"/>
  <c r="G176" i="32"/>
  <c r="H176" i="32" s="1"/>
  <c r="J176" i="32"/>
  <c r="G177" i="32"/>
  <c r="H177" i="32" s="1"/>
  <c r="J177" i="32"/>
  <c r="G178" i="32"/>
  <c r="H178" i="32" s="1"/>
  <c r="J178" i="32"/>
  <c r="G179" i="32"/>
  <c r="H179" i="32" s="1"/>
  <c r="J179" i="32"/>
  <c r="G180" i="32"/>
  <c r="H180" i="32" s="1"/>
  <c r="J180" i="32"/>
  <c r="G181" i="32"/>
  <c r="H181" i="32" s="1"/>
  <c r="J181" i="32"/>
  <c r="G182" i="32"/>
  <c r="H182" i="32" s="1"/>
  <c r="J182" i="32"/>
  <c r="G183" i="32"/>
  <c r="H183" i="32" s="1"/>
  <c r="J183" i="32"/>
  <c r="G184" i="32"/>
  <c r="H184" i="32" s="1"/>
  <c r="J184" i="32"/>
  <c r="G185" i="32"/>
  <c r="H185" i="32" s="1"/>
  <c r="J185" i="32"/>
  <c r="G186" i="32"/>
  <c r="H186" i="32" s="1"/>
  <c r="J186" i="32"/>
  <c r="G187" i="32"/>
  <c r="H187" i="32" s="1"/>
  <c r="J187" i="32"/>
  <c r="G188" i="32"/>
  <c r="H188" i="32" s="1"/>
  <c r="J188" i="32"/>
  <c r="G189" i="32"/>
  <c r="H189" i="32" s="1"/>
  <c r="J189" i="32"/>
  <c r="G190" i="32"/>
  <c r="H190" i="32" s="1"/>
  <c r="J190" i="32"/>
  <c r="G191" i="32"/>
  <c r="H191" i="32" s="1"/>
  <c r="J191" i="32"/>
  <c r="G192" i="32"/>
  <c r="H192" i="32" s="1"/>
  <c r="J192" i="32"/>
  <c r="G193" i="32"/>
  <c r="H193" i="32" s="1"/>
  <c r="J193" i="32"/>
  <c r="G194" i="32"/>
  <c r="H194" i="32" s="1"/>
  <c r="J194" i="32"/>
  <c r="G195" i="32"/>
  <c r="H195" i="32" s="1"/>
  <c r="J195" i="32"/>
  <c r="G196" i="32"/>
  <c r="H196" i="32" s="1"/>
  <c r="J196" i="32"/>
  <c r="G197" i="32"/>
  <c r="H197" i="32" s="1"/>
  <c r="J197" i="32"/>
  <c r="G198" i="32"/>
  <c r="H198" i="32" s="1"/>
  <c r="J198" i="32"/>
  <c r="G199" i="32"/>
  <c r="H199" i="32" s="1"/>
  <c r="J199" i="32"/>
  <c r="G200" i="32"/>
  <c r="H200" i="32" s="1"/>
  <c r="J200" i="32"/>
  <c r="G201" i="32"/>
  <c r="H201" i="32" s="1"/>
  <c r="J201" i="32"/>
  <c r="G202" i="32"/>
  <c r="H202" i="32" s="1"/>
  <c r="J202" i="32"/>
  <c r="G203" i="32"/>
  <c r="H203" i="32" s="1"/>
  <c r="J203" i="32"/>
  <c r="G204" i="32"/>
  <c r="H204" i="32" s="1"/>
  <c r="J204" i="32"/>
  <c r="G205" i="32"/>
  <c r="H205" i="32" s="1"/>
  <c r="J205" i="32"/>
  <c r="G206" i="32"/>
  <c r="H206" i="32" s="1"/>
  <c r="J206" i="32"/>
  <c r="G207" i="32"/>
  <c r="H207" i="32" s="1"/>
  <c r="J207" i="32"/>
  <c r="G208" i="32"/>
  <c r="H208" i="32" s="1"/>
  <c r="J208" i="32"/>
  <c r="G209" i="32"/>
  <c r="H209" i="32" s="1"/>
  <c r="J209" i="32"/>
  <c r="G210" i="32"/>
  <c r="H210" i="32" s="1"/>
  <c r="J210" i="32"/>
  <c r="G211" i="32"/>
  <c r="H211" i="32" s="1"/>
  <c r="J211" i="32"/>
  <c r="G212" i="32"/>
  <c r="H212" i="32" s="1"/>
  <c r="J212" i="32"/>
  <c r="G213" i="32"/>
  <c r="H213" i="32" s="1"/>
  <c r="J213" i="32"/>
  <c r="G214" i="32"/>
  <c r="H214" i="32" s="1"/>
  <c r="J214" i="32"/>
  <c r="G215" i="32"/>
  <c r="H215" i="32" s="1"/>
  <c r="J215" i="32"/>
  <c r="G216" i="32"/>
  <c r="H216" i="32" s="1"/>
  <c r="J216" i="32"/>
  <c r="G217" i="32"/>
  <c r="H217" i="32" s="1"/>
  <c r="J217" i="32"/>
  <c r="G218" i="32"/>
  <c r="H218" i="32" s="1"/>
  <c r="J218" i="32"/>
  <c r="G219" i="32"/>
  <c r="H219" i="32" s="1"/>
  <c r="J219" i="32"/>
  <c r="G220" i="32"/>
  <c r="H220" i="32" s="1"/>
  <c r="J220" i="32"/>
  <c r="G221" i="32"/>
  <c r="H221" i="32" s="1"/>
  <c r="J221" i="32"/>
  <c r="G222" i="32"/>
  <c r="H222" i="32" s="1"/>
  <c r="J222" i="32"/>
  <c r="G223" i="32"/>
  <c r="H223" i="32" s="1"/>
  <c r="J223" i="32"/>
  <c r="G224" i="32"/>
  <c r="H224" i="32" s="1"/>
  <c r="J224" i="32"/>
  <c r="G225" i="32"/>
  <c r="H225" i="32" s="1"/>
  <c r="J225" i="32"/>
  <c r="G226" i="32"/>
  <c r="H226" i="32" s="1"/>
  <c r="J226" i="32"/>
  <c r="G6" i="33"/>
  <c r="G15" i="5"/>
  <c r="H15" i="5" s="1"/>
  <c r="G5" i="4"/>
  <c r="H5" i="4" s="1"/>
  <c r="G6" i="4"/>
  <c r="H6" i="4" s="1"/>
  <c r="G6" i="1"/>
  <c r="H6" i="1" s="1"/>
  <c r="G8" i="1"/>
  <c r="H8" i="1" s="1"/>
  <c r="P18" i="32" l="1"/>
  <c r="P7" i="32"/>
  <c r="T5" i="32"/>
  <c r="V9" i="32" s="1"/>
  <c r="W9" i="32" s="1"/>
  <c r="H4" i="32"/>
  <c r="P12" i="32" s="1"/>
  <c r="G13" i="1"/>
  <c r="H13" i="1" s="1"/>
  <c r="G11" i="1"/>
  <c r="H11" i="1" s="1"/>
  <c r="R9" i="1"/>
  <c r="R9" i="4"/>
  <c r="R9" i="5"/>
  <c r="R9" i="6"/>
  <c r="R9" i="7"/>
  <c r="R9" i="8"/>
  <c r="R9" i="9"/>
  <c r="R9" i="10"/>
  <c r="R9" i="11"/>
  <c r="R9" i="12"/>
  <c r="R9" i="13"/>
  <c r="R9" i="14"/>
  <c r="R9" i="15"/>
  <c r="R9" i="16"/>
  <c r="R9" i="17"/>
  <c r="R9" i="18"/>
  <c r="R9" i="19"/>
  <c r="R9" i="20"/>
  <c r="R9" i="21"/>
  <c r="R9" i="22"/>
  <c r="R9" i="23"/>
  <c r="R9" i="24"/>
  <c r="R9" i="25"/>
  <c r="R9" i="26"/>
  <c r="R9" i="27"/>
  <c r="R9" i="28"/>
  <c r="R9" i="29"/>
  <c r="R9" i="30"/>
  <c r="F1" i="1"/>
  <c r="E1" i="1"/>
  <c r="F1" i="4"/>
  <c r="E1" i="4"/>
  <c r="F1" i="5"/>
  <c r="E1" i="5"/>
  <c r="F1" i="6"/>
  <c r="E1" i="6"/>
  <c r="F1" i="7"/>
  <c r="E1" i="7"/>
  <c r="F1" i="8"/>
  <c r="E1" i="8"/>
  <c r="F1" i="9"/>
  <c r="E1" i="9"/>
  <c r="F1" i="10"/>
  <c r="E1" i="10"/>
  <c r="F1" i="11"/>
  <c r="E1" i="11"/>
  <c r="F1" i="12"/>
  <c r="E1" i="12"/>
  <c r="F1" i="13"/>
  <c r="E1" i="13"/>
  <c r="F1" i="14"/>
  <c r="E1" i="14"/>
  <c r="F1" i="15"/>
  <c r="E1" i="15"/>
  <c r="F1" i="16"/>
  <c r="E1" i="16"/>
  <c r="F1" i="17"/>
  <c r="E1" i="17"/>
  <c r="F1" i="18"/>
  <c r="E1" i="18"/>
  <c r="F1" i="19"/>
  <c r="E1" i="19"/>
  <c r="F1" i="20"/>
  <c r="E1" i="20"/>
  <c r="F1" i="21"/>
  <c r="E1" i="21"/>
  <c r="F1" i="22"/>
  <c r="E1" i="22"/>
  <c r="F1" i="23"/>
  <c r="E1" i="23"/>
  <c r="F1" i="24"/>
  <c r="E1" i="24"/>
  <c r="F1" i="25"/>
  <c r="E1" i="25"/>
  <c r="F1" i="26"/>
  <c r="E1" i="26"/>
  <c r="F1" i="27"/>
  <c r="E1" i="27"/>
  <c r="F1" i="28"/>
  <c r="E1" i="28"/>
  <c r="F1" i="29"/>
  <c r="E1" i="29"/>
  <c r="F1" i="30"/>
  <c r="E1" i="30"/>
  <c r="F1" i="31"/>
  <c r="E1" i="31"/>
  <c r="G4" i="21"/>
  <c r="H4" i="21" s="1"/>
  <c r="J4" i="21"/>
  <c r="G5" i="21"/>
  <c r="H5" i="21" s="1"/>
  <c r="J5" i="21"/>
  <c r="G6" i="21"/>
  <c r="H6" i="21" s="1"/>
  <c r="J6" i="21"/>
  <c r="G7" i="21"/>
  <c r="H7" i="21" s="1"/>
  <c r="J7" i="21"/>
  <c r="G8" i="21"/>
  <c r="H8" i="21" s="1"/>
  <c r="J8" i="21"/>
  <c r="G9" i="21"/>
  <c r="H9" i="21" s="1"/>
  <c r="J9" i="21"/>
  <c r="G10" i="21"/>
  <c r="H10" i="21" s="1"/>
  <c r="J10" i="21"/>
  <c r="G11" i="21"/>
  <c r="H11" i="21" s="1"/>
  <c r="J11" i="21"/>
  <c r="G12" i="21"/>
  <c r="H12" i="21" s="1"/>
  <c r="J12" i="21"/>
  <c r="G13" i="21"/>
  <c r="H13" i="21" s="1"/>
  <c r="J13" i="21"/>
  <c r="G14" i="21"/>
  <c r="H14" i="21" s="1"/>
  <c r="J14" i="21"/>
  <c r="G15" i="21"/>
  <c r="H15" i="21" s="1"/>
  <c r="J15" i="21"/>
  <c r="G16" i="21"/>
  <c r="H16" i="21" s="1"/>
  <c r="J16" i="21"/>
  <c r="G17" i="21"/>
  <c r="H17" i="21" s="1"/>
  <c r="J17" i="21"/>
  <c r="G18" i="21"/>
  <c r="H18" i="21" s="1"/>
  <c r="J18" i="21"/>
  <c r="G19" i="21"/>
  <c r="H19" i="21" s="1"/>
  <c r="J19" i="21"/>
  <c r="G20" i="21"/>
  <c r="H20" i="21" s="1"/>
  <c r="J20" i="21"/>
  <c r="G21" i="21"/>
  <c r="H21" i="21" s="1"/>
  <c r="J21" i="21"/>
  <c r="G22" i="21"/>
  <c r="H22" i="21" s="1"/>
  <c r="J22" i="21"/>
  <c r="G23" i="21"/>
  <c r="H23" i="21" s="1"/>
  <c r="J23" i="21"/>
  <c r="G24" i="21"/>
  <c r="H24" i="21" s="1"/>
  <c r="J24" i="21"/>
  <c r="G25" i="21"/>
  <c r="H25" i="21" s="1"/>
  <c r="J25" i="21"/>
  <c r="G26" i="21"/>
  <c r="H26" i="21" s="1"/>
  <c r="J26" i="21"/>
  <c r="G27" i="21"/>
  <c r="H27" i="21" s="1"/>
  <c r="J27" i="21"/>
  <c r="G28" i="21"/>
  <c r="H28" i="21" s="1"/>
  <c r="J28" i="21"/>
  <c r="G29" i="21"/>
  <c r="H29" i="21" s="1"/>
  <c r="J29" i="21"/>
  <c r="G30" i="21"/>
  <c r="H30" i="21" s="1"/>
  <c r="J30" i="21"/>
  <c r="G31" i="21"/>
  <c r="H31" i="21" s="1"/>
  <c r="J31" i="21"/>
  <c r="G32" i="21"/>
  <c r="H32" i="21" s="1"/>
  <c r="J32" i="21"/>
  <c r="G33" i="21"/>
  <c r="H33" i="21" s="1"/>
  <c r="J33" i="21"/>
  <c r="G34" i="21"/>
  <c r="H34" i="21" s="1"/>
  <c r="J34" i="21"/>
  <c r="G35" i="21"/>
  <c r="H35" i="21" s="1"/>
  <c r="J35" i="21"/>
  <c r="G36" i="21"/>
  <c r="H36" i="21" s="1"/>
  <c r="J36" i="21"/>
  <c r="G37" i="21"/>
  <c r="H37" i="21" s="1"/>
  <c r="J37" i="21"/>
  <c r="G38" i="21"/>
  <c r="H38" i="21" s="1"/>
  <c r="J38" i="21"/>
  <c r="G39" i="21"/>
  <c r="H39" i="21" s="1"/>
  <c r="J39" i="21"/>
  <c r="G40" i="21"/>
  <c r="H40" i="21" s="1"/>
  <c r="J40" i="21"/>
  <c r="G41" i="21"/>
  <c r="H41" i="21" s="1"/>
  <c r="J41" i="21"/>
  <c r="G42" i="21"/>
  <c r="H42" i="21" s="1"/>
  <c r="J42" i="21"/>
  <c r="G43" i="21"/>
  <c r="H43" i="21" s="1"/>
  <c r="J43" i="21"/>
  <c r="G44" i="21"/>
  <c r="H44" i="21" s="1"/>
  <c r="J44" i="21"/>
  <c r="G45" i="21"/>
  <c r="H45" i="21" s="1"/>
  <c r="J45" i="21"/>
  <c r="G46" i="21"/>
  <c r="H46" i="21" s="1"/>
  <c r="J46" i="21"/>
  <c r="G47" i="21"/>
  <c r="H47" i="21" s="1"/>
  <c r="J47" i="21"/>
  <c r="G48" i="21"/>
  <c r="H48" i="21" s="1"/>
  <c r="J48" i="21"/>
  <c r="G49" i="21"/>
  <c r="H49" i="21" s="1"/>
  <c r="J49" i="21"/>
  <c r="G50" i="21"/>
  <c r="H50" i="21" s="1"/>
  <c r="J50" i="21"/>
  <c r="G51" i="21"/>
  <c r="H51" i="21" s="1"/>
  <c r="J51" i="21"/>
  <c r="G52" i="21"/>
  <c r="H52" i="21" s="1"/>
  <c r="J52" i="21"/>
  <c r="G53" i="21"/>
  <c r="H53" i="21" s="1"/>
  <c r="J53" i="21"/>
  <c r="G54" i="21"/>
  <c r="H54" i="21" s="1"/>
  <c r="J54" i="21"/>
  <c r="G55" i="21"/>
  <c r="H55" i="21" s="1"/>
  <c r="J55" i="21"/>
  <c r="G56" i="21"/>
  <c r="H56" i="21" s="1"/>
  <c r="J56" i="21"/>
  <c r="G57" i="21"/>
  <c r="H57" i="21" s="1"/>
  <c r="J57" i="21"/>
  <c r="G58" i="21"/>
  <c r="H58" i="21" s="1"/>
  <c r="J58" i="21"/>
  <c r="G59" i="21"/>
  <c r="H59" i="21" s="1"/>
  <c r="J59" i="21"/>
  <c r="G60" i="21"/>
  <c r="H60" i="21" s="1"/>
  <c r="J60" i="21"/>
  <c r="G61" i="21"/>
  <c r="H61" i="21" s="1"/>
  <c r="J61" i="21"/>
  <c r="G62" i="21"/>
  <c r="H62" i="21" s="1"/>
  <c r="J62" i="21"/>
  <c r="G63" i="21"/>
  <c r="H63" i="21" s="1"/>
  <c r="J63" i="21"/>
  <c r="G64" i="21"/>
  <c r="H64" i="21" s="1"/>
  <c r="J64" i="21"/>
  <c r="G65" i="21"/>
  <c r="H65" i="21" s="1"/>
  <c r="J65" i="21"/>
  <c r="G66" i="21"/>
  <c r="H66" i="21" s="1"/>
  <c r="J66" i="21"/>
  <c r="G67" i="21"/>
  <c r="H67" i="21" s="1"/>
  <c r="J67" i="21"/>
  <c r="G68" i="21"/>
  <c r="H68" i="21" s="1"/>
  <c r="J68" i="21"/>
  <c r="G69" i="21"/>
  <c r="H69" i="21" s="1"/>
  <c r="J69" i="21"/>
  <c r="G70" i="21"/>
  <c r="H70" i="21" s="1"/>
  <c r="J70" i="21"/>
  <c r="G71" i="21"/>
  <c r="H71" i="21" s="1"/>
  <c r="J71" i="21"/>
  <c r="G72" i="21"/>
  <c r="H72" i="21" s="1"/>
  <c r="J72" i="21"/>
  <c r="G73" i="21"/>
  <c r="H73" i="21" s="1"/>
  <c r="J73" i="21"/>
  <c r="G74" i="21"/>
  <c r="H74" i="21" s="1"/>
  <c r="J74" i="21"/>
  <c r="G75" i="21"/>
  <c r="H75" i="21" s="1"/>
  <c r="J75" i="21"/>
  <c r="G76" i="21"/>
  <c r="H76" i="21" s="1"/>
  <c r="J76" i="21"/>
  <c r="G77" i="21"/>
  <c r="H77" i="21" s="1"/>
  <c r="J77" i="21"/>
  <c r="G78" i="21"/>
  <c r="H78" i="21" s="1"/>
  <c r="J78" i="21"/>
  <c r="G79" i="21"/>
  <c r="H79" i="21" s="1"/>
  <c r="J79" i="21"/>
  <c r="G80" i="21"/>
  <c r="H80" i="21" s="1"/>
  <c r="J80" i="21"/>
  <c r="G81" i="21"/>
  <c r="H81" i="21" s="1"/>
  <c r="J81" i="21"/>
  <c r="G82" i="21"/>
  <c r="H82" i="21" s="1"/>
  <c r="J82" i="21"/>
  <c r="G83" i="21"/>
  <c r="H83" i="21" s="1"/>
  <c r="J83" i="21"/>
  <c r="G84" i="21"/>
  <c r="H84" i="21" s="1"/>
  <c r="J84" i="21"/>
  <c r="G85" i="21"/>
  <c r="H85" i="21" s="1"/>
  <c r="J85" i="21"/>
  <c r="G86" i="21"/>
  <c r="H86" i="21" s="1"/>
  <c r="J86" i="21"/>
  <c r="G87" i="21"/>
  <c r="H87" i="21" s="1"/>
  <c r="J87" i="21"/>
  <c r="G88" i="21"/>
  <c r="H88" i="21" s="1"/>
  <c r="J88" i="21"/>
  <c r="G89" i="21"/>
  <c r="H89" i="21" s="1"/>
  <c r="J89" i="21"/>
  <c r="G90" i="21"/>
  <c r="H90" i="21" s="1"/>
  <c r="J90" i="21"/>
  <c r="G91" i="21"/>
  <c r="H91" i="21" s="1"/>
  <c r="J91" i="21"/>
  <c r="G92" i="21"/>
  <c r="H92" i="21" s="1"/>
  <c r="J92" i="21"/>
  <c r="G93" i="21"/>
  <c r="H93" i="21" s="1"/>
  <c r="J93" i="21"/>
  <c r="G94" i="21"/>
  <c r="H94" i="21" s="1"/>
  <c r="J94" i="21"/>
  <c r="G95" i="21"/>
  <c r="H95" i="21" s="1"/>
  <c r="J95" i="21"/>
  <c r="G96" i="21"/>
  <c r="H96" i="21" s="1"/>
  <c r="J96" i="21"/>
  <c r="G97" i="21"/>
  <c r="H97" i="21" s="1"/>
  <c r="J97" i="21"/>
  <c r="G98" i="21"/>
  <c r="H98" i="21" s="1"/>
  <c r="J98" i="21"/>
  <c r="G99" i="21"/>
  <c r="H99" i="21" s="1"/>
  <c r="J99" i="21"/>
  <c r="G100" i="21"/>
  <c r="H100" i="21" s="1"/>
  <c r="J100" i="21"/>
  <c r="G101" i="21"/>
  <c r="H101" i="21" s="1"/>
  <c r="J101" i="21"/>
  <c r="G102" i="21"/>
  <c r="H102" i="21" s="1"/>
  <c r="J102" i="21"/>
  <c r="G103" i="21"/>
  <c r="H103" i="21" s="1"/>
  <c r="J103" i="21"/>
  <c r="G104" i="21"/>
  <c r="H104" i="21" s="1"/>
  <c r="J104" i="21"/>
  <c r="G105" i="21"/>
  <c r="H105" i="21" s="1"/>
  <c r="J105" i="21"/>
  <c r="G106" i="21"/>
  <c r="H106" i="21" s="1"/>
  <c r="J106" i="21"/>
  <c r="G107" i="21"/>
  <c r="H107" i="21" s="1"/>
  <c r="J107" i="21"/>
  <c r="G108" i="21"/>
  <c r="H108" i="21" s="1"/>
  <c r="J108" i="21"/>
  <c r="G109" i="21"/>
  <c r="H109" i="21" s="1"/>
  <c r="J109" i="21"/>
  <c r="G110" i="21"/>
  <c r="H110" i="21" s="1"/>
  <c r="J110" i="21"/>
  <c r="G111" i="21"/>
  <c r="H111" i="21" s="1"/>
  <c r="J111" i="21"/>
  <c r="G112" i="21"/>
  <c r="H112" i="21" s="1"/>
  <c r="J112" i="21"/>
  <c r="G113" i="21"/>
  <c r="H113" i="21" s="1"/>
  <c r="J113" i="21"/>
  <c r="G114" i="21"/>
  <c r="H114" i="21" s="1"/>
  <c r="J114" i="21"/>
  <c r="G115" i="21"/>
  <c r="H115" i="21" s="1"/>
  <c r="J115" i="21"/>
  <c r="G116" i="21"/>
  <c r="H116" i="21" s="1"/>
  <c r="J116" i="21"/>
  <c r="G117" i="21"/>
  <c r="H117" i="21" s="1"/>
  <c r="J117" i="21"/>
  <c r="G118" i="21"/>
  <c r="H118" i="21" s="1"/>
  <c r="J118" i="21"/>
  <c r="G119" i="21"/>
  <c r="H119" i="21" s="1"/>
  <c r="J119" i="21"/>
  <c r="G120" i="21"/>
  <c r="H120" i="21" s="1"/>
  <c r="J120" i="21"/>
  <c r="G121" i="21"/>
  <c r="H121" i="21" s="1"/>
  <c r="J121" i="21"/>
  <c r="G122" i="21"/>
  <c r="H122" i="21" s="1"/>
  <c r="J122" i="21"/>
  <c r="G123" i="21"/>
  <c r="H123" i="21" s="1"/>
  <c r="J123" i="21"/>
  <c r="G124" i="21"/>
  <c r="H124" i="21" s="1"/>
  <c r="J124" i="21"/>
  <c r="G125" i="21"/>
  <c r="H125" i="21" s="1"/>
  <c r="J125" i="21"/>
  <c r="G126" i="21"/>
  <c r="H126" i="21" s="1"/>
  <c r="J126" i="21"/>
  <c r="G127" i="21"/>
  <c r="H127" i="21" s="1"/>
  <c r="J127" i="21"/>
  <c r="G128" i="21"/>
  <c r="H128" i="21" s="1"/>
  <c r="J128" i="21"/>
  <c r="G129" i="21"/>
  <c r="H129" i="21" s="1"/>
  <c r="J129" i="21"/>
  <c r="G130" i="21"/>
  <c r="H130" i="21" s="1"/>
  <c r="J130" i="21"/>
  <c r="G131" i="21"/>
  <c r="H131" i="21" s="1"/>
  <c r="J131" i="21"/>
  <c r="G132" i="21"/>
  <c r="H132" i="21" s="1"/>
  <c r="J132" i="21"/>
  <c r="G133" i="21"/>
  <c r="H133" i="21" s="1"/>
  <c r="J133" i="21"/>
  <c r="G134" i="21"/>
  <c r="H134" i="21" s="1"/>
  <c r="J134" i="21"/>
  <c r="G135" i="21"/>
  <c r="H135" i="21" s="1"/>
  <c r="J135" i="21"/>
  <c r="G136" i="21"/>
  <c r="H136" i="21" s="1"/>
  <c r="J136" i="21"/>
  <c r="G137" i="21"/>
  <c r="H137" i="21" s="1"/>
  <c r="J137" i="21"/>
  <c r="G138" i="21"/>
  <c r="H138" i="21" s="1"/>
  <c r="J138" i="21"/>
  <c r="G139" i="21"/>
  <c r="H139" i="21" s="1"/>
  <c r="J139" i="21"/>
  <c r="G140" i="21"/>
  <c r="H140" i="21" s="1"/>
  <c r="J140" i="21"/>
  <c r="G141" i="21"/>
  <c r="H141" i="21" s="1"/>
  <c r="J141" i="21"/>
  <c r="G142" i="21"/>
  <c r="H142" i="21" s="1"/>
  <c r="J142" i="21"/>
  <c r="G143" i="21"/>
  <c r="H143" i="21" s="1"/>
  <c r="J143" i="21"/>
  <c r="G144" i="21"/>
  <c r="H144" i="21" s="1"/>
  <c r="J144" i="21"/>
  <c r="G145" i="21"/>
  <c r="H145" i="21" s="1"/>
  <c r="J145" i="21"/>
  <c r="G146" i="21"/>
  <c r="H146" i="21" s="1"/>
  <c r="J146" i="21"/>
  <c r="G147" i="21"/>
  <c r="H147" i="21" s="1"/>
  <c r="J147" i="21"/>
  <c r="G148" i="21"/>
  <c r="H148" i="21" s="1"/>
  <c r="J148" i="21"/>
  <c r="G149" i="21"/>
  <c r="H149" i="21" s="1"/>
  <c r="J149" i="21"/>
  <c r="G150" i="21"/>
  <c r="H150" i="21" s="1"/>
  <c r="J150" i="21"/>
  <c r="G151" i="21"/>
  <c r="H151" i="21" s="1"/>
  <c r="J151" i="21"/>
  <c r="G152" i="21"/>
  <c r="H152" i="21" s="1"/>
  <c r="J152" i="21"/>
  <c r="G153" i="21"/>
  <c r="H153" i="21" s="1"/>
  <c r="J153" i="21"/>
  <c r="G154" i="21"/>
  <c r="H154" i="21" s="1"/>
  <c r="J154" i="21"/>
  <c r="G155" i="21"/>
  <c r="H155" i="21" s="1"/>
  <c r="J155" i="21"/>
  <c r="G156" i="21"/>
  <c r="H156" i="21" s="1"/>
  <c r="J156" i="21"/>
  <c r="G157" i="21"/>
  <c r="H157" i="21" s="1"/>
  <c r="J157" i="21"/>
  <c r="G158" i="21"/>
  <c r="H158" i="21" s="1"/>
  <c r="J158" i="21"/>
  <c r="G159" i="21"/>
  <c r="H159" i="21" s="1"/>
  <c r="J159" i="21"/>
  <c r="G160" i="21"/>
  <c r="H160" i="21" s="1"/>
  <c r="J160" i="21"/>
  <c r="G161" i="21"/>
  <c r="H161" i="21" s="1"/>
  <c r="J161" i="21"/>
  <c r="G162" i="21"/>
  <c r="H162" i="21" s="1"/>
  <c r="J162" i="21"/>
  <c r="G163" i="21"/>
  <c r="H163" i="21" s="1"/>
  <c r="J163" i="21"/>
  <c r="G164" i="21"/>
  <c r="H164" i="21" s="1"/>
  <c r="J164" i="21"/>
  <c r="G165" i="21"/>
  <c r="H165" i="21" s="1"/>
  <c r="J165" i="21"/>
  <c r="G166" i="21"/>
  <c r="H166" i="21" s="1"/>
  <c r="J166" i="21"/>
  <c r="G167" i="21"/>
  <c r="H167" i="21" s="1"/>
  <c r="J167" i="21"/>
  <c r="G168" i="21"/>
  <c r="H168" i="21" s="1"/>
  <c r="J168" i="21"/>
  <c r="G169" i="21"/>
  <c r="H169" i="21" s="1"/>
  <c r="J169" i="21"/>
  <c r="G170" i="21"/>
  <c r="H170" i="21" s="1"/>
  <c r="J170" i="21"/>
  <c r="G171" i="21"/>
  <c r="H171" i="21" s="1"/>
  <c r="J171" i="21"/>
  <c r="G172" i="21"/>
  <c r="H172" i="21" s="1"/>
  <c r="J172" i="21"/>
  <c r="G173" i="21"/>
  <c r="H173" i="21" s="1"/>
  <c r="J173" i="21"/>
  <c r="G174" i="21"/>
  <c r="H174" i="21" s="1"/>
  <c r="J174" i="21"/>
  <c r="G175" i="21"/>
  <c r="H175" i="21" s="1"/>
  <c r="J175" i="21"/>
  <c r="G176" i="21"/>
  <c r="H176" i="21" s="1"/>
  <c r="J176" i="21"/>
  <c r="G177" i="21"/>
  <c r="H177" i="21" s="1"/>
  <c r="J177" i="21"/>
  <c r="G178" i="21"/>
  <c r="H178" i="21" s="1"/>
  <c r="J178" i="21"/>
  <c r="G179" i="21"/>
  <c r="H179" i="21" s="1"/>
  <c r="J179" i="21"/>
  <c r="G180" i="21"/>
  <c r="H180" i="21" s="1"/>
  <c r="J180" i="21"/>
  <c r="G181" i="21"/>
  <c r="H181" i="21" s="1"/>
  <c r="J181" i="21"/>
  <c r="G182" i="21"/>
  <c r="H182" i="21" s="1"/>
  <c r="J182" i="21"/>
  <c r="G183" i="21"/>
  <c r="H183" i="21" s="1"/>
  <c r="J183" i="21"/>
  <c r="G184" i="21"/>
  <c r="H184" i="21" s="1"/>
  <c r="J184" i="21"/>
  <c r="G185" i="21"/>
  <c r="H185" i="21" s="1"/>
  <c r="J185" i="21"/>
  <c r="G186" i="21"/>
  <c r="H186" i="21" s="1"/>
  <c r="J186" i="21"/>
  <c r="G187" i="21"/>
  <c r="H187" i="21" s="1"/>
  <c r="J187" i="21"/>
  <c r="G188" i="21"/>
  <c r="H188" i="21" s="1"/>
  <c r="J188" i="21"/>
  <c r="G189" i="21"/>
  <c r="H189" i="21" s="1"/>
  <c r="J189" i="21"/>
  <c r="G190" i="21"/>
  <c r="H190" i="21" s="1"/>
  <c r="J190" i="21"/>
  <c r="G191" i="21"/>
  <c r="H191" i="21" s="1"/>
  <c r="J191" i="21"/>
  <c r="G192" i="21"/>
  <c r="H192" i="21" s="1"/>
  <c r="J192" i="21"/>
  <c r="G193" i="21"/>
  <c r="H193" i="21" s="1"/>
  <c r="J193" i="21"/>
  <c r="G194" i="21"/>
  <c r="H194" i="21" s="1"/>
  <c r="J194" i="21"/>
  <c r="G195" i="21"/>
  <c r="H195" i="21" s="1"/>
  <c r="J195" i="21"/>
  <c r="G196" i="21"/>
  <c r="H196" i="21" s="1"/>
  <c r="J196" i="21"/>
  <c r="G197" i="21"/>
  <c r="H197" i="21" s="1"/>
  <c r="J197" i="21"/>
  <c r="G198" i="21"/>
  <c r="H198" i="21" s="1"/>
  <c r="J198" i="21"/>
  <c r="G199" i="21"/>
  <c r="H199" i="21" s="1"/>
  <c r="J199" i="21"/>
  <c r="G200" i="21"/>
  <c r="H200" i="21" s="1"/>
  <c r="J200" i="21"/>
  <c r="G201" i="21"/>
  <c r="H201" i="21" s="1"/>
  <c r="J201" i="21"/>
  <c r="G202" i="21"/>
  <c r="H202" i="21" s="1"/>
  <c r="J202" i="21"/>
  <c r="G203" i="21"/>
  <c r="H203" i="21" s="1"/>
  <c r="J203" i="21"/>
  <c r="G204" i="21"/>
  <c r="H204" i="21" s="1"/>
  <c r="J204" i="21"/>
  <c r="G205" i="21"/>
  <c r="H205" i="21" s="1"/>
  <c r="J205" i="21"/>
  <c r="G206" i="21"/>
  <c r="H206" i="21" s="1"/>
  <c r="J206" i="21"/>
  <c r="G207" i="21"/>
  <c r="H207" i="21" s="1"/>
  <c r="J207" i="21"/>
  <c r="G208" i="21"/>
  <c r="H208" i="21" s="1"/>
  <c r="J208" i="21"/>
  <c r="G209" i="21"/>
  <c r="H209" i="21" s="1"/>
  <c r="J209" i="21"/>
  <c r="G210" i="21"/>
  <c r="H210" i="21" s="1"/>
  <c r="J210" i="21"/>
  <c r="G211" i="21"/>
  <c r="H211" i="21" s="1"/>
  <c r="J211" i="21"/>
  <c r="G212" i="21"/>
  <c r="H212" i="21" s="1"/>
  <c r="J212" i="21"/>
  <c r="G213" i="21"/>
  <c r="H213" i="21" s="1"/>
  <c r="J213" i="21"/>
  <c r="G214" i="21"/>
  <c r="H214" i="21" s="1"/>
  <c r="J214" i="21"/>
  <c r="G215" i="21"/>
  <c r="H215" i="21" s="1"/>
  <c r="J215" i="21"/>
  <c r="G216" i="21"/>
  <c r="H216" i="21" s="1"/>
  <c r="J216" i="21"/>
  <c r="G217" i="21"/>
  <c r="H217" i="21" s="1"/>
  <c r="J217" i="21"/>
  <c r="G218" i="21"/>
  <c r="H218" i="21" s="1"/>
  <c r="J218" i="21"/>
  <c r="G219" i="21"/>
  <c r="H219" i="21" s="1"/>
  <c r="J219" i="21"/>
  <c r="G220" i="21"/>
  <c r="H220" i="21" s="1"/>
  <c r="J220" i="21"/>
  <c r="G221" i="21"/>
  <c r="H221" i="21" s="1"/>
  <c r="J221" i="21"/>
  <c r="G222" i="21"/>
  <c r="H222" i="21" s="1"/>
  <c r="J222" i="21"/>
  <c r="G223" i="21"/>
  <c r="H223" i="21" s="1"/>
  <c r="J223" i="21"/>
  <c r="G224" i="21"/>
  <c r="H224" i="21" s="1"/>
  <c r="J224" i="21"/>
  <c r="G225" i="21"/>
  <c r="H225" i="21" s="1"/>
  <c r="J225" i="21"/>
  <c r="G226" i="21"/>
  <c r="H226" i="21" s="1"/>
  <c r="J226" i="21"/>
  <c r="S5" i="32" l="1"/>
  <c r="S9" i="32" s="1"/>
  <c r="T9" i="32" s="1"/>
  <c r="R10" i="32" s="1"/>
  <c r="P11" i="32"/>
  <c r="G145" i="33"/>
  <c r="E1" i="33"/>
  <c r="F1" i="33"/>
  <c r="P22" i="33" l="1"/>
  <c r="P21" i="33"/>
  <c r="P7" i="28" l="1"/>
  <c r="P7" i="25"/>
  <c r="P7" i="24"/>
  <c r="P7" i="23"/>
  <c r="P7" i="22"/>
  <c r="P7" i="21"/>
  <c r="P7" i="20"/>
  <c r="P7" i="19"/>
  <c r="P7" i="18"/>
  <c r="P7" i="16"/>
  <c r="P7" i="15"/>
  <c r="P7" i="14"/>
  <c r="P7" i="13"/>
  <c r="P7" i="12"/>
  <c r="P7" i="11"/>
  <c r="P7" i="10"/>
  <c r="P7" i="9"/>
  <c r="P7" i="8"/>
  <c r="P7" i="7"/>
  <c r="P7" i="5"/>
  <c r="P7" i="4"/>
  <c r="G5" i="33" l="1"/>
  <c r="H6" i="33"/>
  <c r="G7" i="33"/>
  <c r="H145" i="33"/>
  <c r="H7" i="33" l="1"/>
  <c r="H5" i="33"/>
  <c r="H50" i="31"/>
  <c r="H82" i="31"/>
  <c r="H114" i="31"/>
  <c r="H146" i="31"/>
  <c r="H178" i="31"/>
  <c r="H210" i="31"/>
  <c r="G4" i="31"/>
  <c r="H4" i="31" s="1"/>
  <c r="G5" i="31"/>
  <c r="H5" i="31" s="1"/>
  <c r="G6" i="31"/>
  <c r="H6" i="31" s="1"/>
  <c r="G7" i="31"/>
  <c r="H7" i="31" s="1"/>
  <c r="G8" i="31"/>
  <c r="H8" i="31" s="1"/>
  <c r="G9" i="31"/>
  <c r="H9" i="31" s="1"/>
  <c r="G10" i="31"/>
  <c r="H10" i="31" s="1"/>
  <c r="G11" i="31"/>
  <c r="H11" i="31" s="1"/>
  <c r="G12" i="31"/>
  <c r="H12" i="31" s="1"/>
  <c r="G13" i="31"/>
  <c r="H13" i="31" s="1"/>
  <c r="G14" i="31"/>
  <c r="H14" i="31" s="1"/>
  <c r="G15" i="31"/>
  <c r="H15" i="31" s="1"/>
  <c r="G16" i="31"/>
  <c r="H16" i="31" s="1"/>
  <c r="G17" i="31"/>
  <c r="H17" i="31" s="1"/>
  <c r="G18" i="31"/>
  <c r="H18" i="31" s="1"/>
  <c r="G19" i="31"/>
  <c r="H19" i="31" s="1"/>
  <c r="G20" i="31"/>
  <c r="H20" i="31" s="1"/>
  <c r="G21" i="31"/>
  <c r="H21" i="31" s="1"/>
  <c r="G22" i="31"/>
  <c r="H22" i="31" s="1"/>
  <c r="G23" i="31"/>
  <c r="H23" i="31" s="1"/>
  <c r="G24" i="31"/>
  <c r="H24" i="31" s="1"/>
  <c r="G25" i="31"/>
  <c r="H25" i="31" s="1"/>
  <c r="G26" i="31"/>
  <c r="H26" i="31" s="1"/>
  <c r="G27" i="31"/>
  <c r="H27" i="31" s="1"/>
  <c r="G28" i="31"/>
  <c r="H28" i="31" s="1"/>
  <c r="G29" i="31"/>
  <c r="H29" i="31" s="1"/>
  <c r="G30" i="31"/>
  <c r="H30" i="31" s="1"/>
  <c r="G31" i="31"/>
  <c r="H31" i="31" s="1"/>
  <c r="G32" i="31"/>
  <c r="H32" i="31" s="1"/>
  <c r="G33" i="31"/>
  <c r="H33" i="31" s="1"/>
  <c r="G34" i="31"/>
  <c r="H34" i="31" s="1"/>
  <c r="G35" i="31"/>
  <c r="H35" i="31" s="1"/>
  <c r="G36" i="31"/>
  <c r="H36" i="31" s="1"/>
  <c r="G37" i="31"/>
  <c r="H37" i="31" s="1"/>
  <c r="G38" i="31"/>
  <c r="H38" i="31" s="1"/>
  <c r="G39" i="31"/>
  <c r="H39" i="31" s="1"/>
  <c r="G40" i="31"/>
  <c r="H40" i="31" s="1"/>
  <c r="G41" i="31"/>
  <c r="H41" i="31" s="1"/>
  <c r="G42" i="31"/>
  <c r="H42" i="31" s="1"/>
  <c r="G43" i="31"/>
  <c r="H43" i="31" s="1"/>
  <c r="G44" i="31"/>
  <c r="H44" i="31" s="1"/>
  <c r="G45" i="31"/>
  <c r="H45" i="31" s="1"/>
  <c r="G46" i="31"/>
  <c r="H46" i="31" s="1"/>
  <c r="G47" i="31"/>
  <c r="H47" i="31" s="1"/>
  <c r="G48" i="31"/>
  <c r="H48" i="31" s="1"/>
  <c r="G49" i="31"/>
  <c r="H49" i="31" s="1"/>
  <c r="G50" i="31"/>
  <c r="G51" i="31"/>
  <c r="H51" i="31" s="1"/>
  <c r="G52" i="31"/>
  <c r="H52" i="31" s="1"/>
  <c r="G53" i="31"/>
  <c r="H53" i="31" s="1"/>
  <c r="G54" i="31"/>
  <c r="H54" i="31" s="1"/>
  <c r="G55" i="31"/>
  <c r="H55" i="31" s="1"/>
  <c r="G56" i="31"/>
  <c r="H56" i="31" s="1"/>
  <c r="G57" i="31"/>
  <c r="H57" i="31" s="1"/>
  <c r="G58" i="31"/>
  <c r="H58" i="31" s="1"/>
  <c r="G59" i="31"/>
  <c r="H59" i="31" s="1"/>
  <c r="G60" i="31"/>
  <c r="H60" i="31" s="1"/>
  <c r="G61" i="31"/>
  <c r="H61" i="31" s="1"/>
  <c r="G62" i="31"/>
  <c r="H62" i="31" s="1"/>
  <c r="G63" i="31"/>
  <c r="H63" i="31" s="1"/>
  <c r="G64" i="31"/>
  <c r="H64" i="31" s="1"/>
  <c r="G65" i="31"/>
  <c r="H65" i="31" s="1"/>
  <c r="G66" i="31"/>
  <c r="H66" i="31" s="1"/>
  <c r="G67" i="31"/>
  <c r="H67" i="31" s="1"/>
  <c r="G68" i="31"/>
  <c r="H68" i="31" s="1"/>
  <c r="G69" i="31"/>
  <c r="H69" i="31" s="1"/>
  <c r="G70" i="31"/>
  <c r="H70" i="31" s="1"/>
  <c r="G71" i="31"/>
  <c r="H71" i="31" s="1"/>
  <c r="G72" i="31"/>
  <c r="H72" i="31" s="1"/>
  <c r="G73" i="31"/>
  <c r="H73" i="31" s="1"/>
  <c r="G74" i="31"/>
  <c r="H74" i="31" s="1"/>
  <c r="G75" i="31"/>
  <c r="H75" i="31" s="1"/>
  <c r="G76" i="31"/>
  <c r="H76" i="31" s="1"/>
  <c r="G77" i="31"/>
  <c r="H77" i="31" s="1"/>
  <c r="G78" i="31"/>
  <c r="H78" i="31" s="1"/>
  <c r="G79" i="31"/>
  <c r="H79" i="31" s="1"/>
  <c r="G80" i="31"/>
  <c r="H80" i="31" s="1"/>
  <c r="G81" i="31"/>
  <c r="H81" i="31" s="1"/>
  <c r="G82" i="31"/>
  <c r="G83" i="31"/>
  <c r="H83" i="31" s="1"/>
  <c r="G84" i="31"/>
  <c r="H84" i="31" s="1"/>
  <c r="G85" i="31"/>
  <c r="H85" i="31" s="1"/>
  <c r="G86" i="31"/>
  <c r="H86" i="31" s="1"/>
  <c r="G87" i="31"/>
  <c r="H87" i="31" s="1"/>
  <c r="G88" i="31"/>
  <c r="H88" i="31" s="1"/>
  <c r="G89" i="31"/>
  <c r="H89" i="31" s="1"/>
  <c r="G90" i="31"/>
  <c r="H90" i="31" s="1"/>
  <c r="G91" i="31"/>
  <c r="H91" i="31" s="1"/>
  <c r="G92" i="31"/>
  <c r="H92" i="31" s="1"/>
  <c r="G93" i="31"/>
  <c r="H93" i="31" s="1"/>
  <c r="G94" i="31"/>
  <c r="H94" i="31" s="1"/>
  <c r="G95" i="31"/>
  <c r="H95" i="31" s="1"/>
  <c r="G96" i="31"/>
  <c r="H96" i="31" s="1"/>
  <c r="G97" i="31"/>
  <c r="H97" i="31" s="1"/>
  <c r="G98" i="31"/>
  <c r="H98" i="31" s="1"/>
  <c r="G99" i="31"/>
  <c r="H99" i="31" s="1"/>
  <c r="G100" i="31"/>
  <c r="H100" i="31" s="1"/>
  <c r="G101" i="31"/>
  <c r="H101" i="31" s="1"/>
  <c r="G102" i="31"/>
  <c r="H102" i="31" s="1"/>
  <c r="G103" i="31"/>
  <c r="H103" i="31" s="1"/>
  <c r="G104" i="31"/>
  <c r="H104" i="31" s="1"/>
  <c r="G105" i="31"/>
  <c r="H105" i="31" s="1"/>
  <c r="G106" i="31"/>
  <c r="H106" i="31" s="1"/>
  <c r="G107" i="31"/>
  <c r="H107" i="31" s="1"/>
  <c r="G108" i="31"/>
  <c r="H108" i="31" s="1"/>
  <c r="G109" i="31"/>
  <c r="H109" i="31" s="1"/>
  <c r="G110" i="31"/>
  <c r="H110" i="31" s="1"/>
  <c r="G111" i="31"/>
  <c r="H111" i="31" s="1"/>
  <c r="G112" i="31"/>
  <c r="H112" i="31" s="1"/>
  <c r="G113" i="31"/>
  <c r="H113" i="31" s="1"/>
  <c r="G114" i="31"/>
  <c r="G115" i="31"/>
  <c r="H115" i="31" s="1"/>
  <c r="G116" i="31"/>
  <c r="H116" i="31" s="1"/>
  <c r="G117" i="31"/>
  <c r="H117" i="31" s="1"/>
  <c r="G118" i="31"/>
  <c r="H118" i="31" s="1"/>
  <c r="G119" i="31"/>
  <c r="H119" i="31" s="1"/>
  <c r="G120" i="31"/>
  <c r="H120" i="31" s="1"/>
  <c r="G121" i="31"/>
  <c r="H121" i="31" s="1"/>
  <c r="G122" i="31"/>
  <c r="H122" i="31" s="1"/>
  <c r="G123" i="31"/>
  <c r="H123" i="31" s="1"/>
  <c r="G124" i="31"/>
  <c r="H124" i="31" s="1"/>
  <c r="G125" i="31"/>
  <c r="H125" i="31" s="1"/>
  <c r="G126" i="31"/>
  <c r="H126" i="31" s="1"/>
  <c r="G127" i="31"/>
  <c r="H127" i="31" s="1"/>
  <c r="G128" i="31"/>
  <c r="H128" i="31" s="1"/>
  <c r="G129" i="31"/>
  <c r="H129" i="31" s="1"/>
  <c r="G130" i="31"/>
  <c r="H130" i="31" s="1"/>
  <c r="G131" i="31"/>
  <c r="H131" i="31" s="1"/>
  <c r="G132" i="31"/>
  <c r="H132" i="31" s="1"/>
  <c r="G133" i="31"/>
  <c r="H133" i="31" s="1"/>
  <c r="G134" i="31"/>
  <c r="H134" i="31" s="1"/>
  <c r="G135" i="31"/>
  <c r="H135" i="31" s="1"/>
  <c r="G136" i="31"/>
  <c r="H136" i="31" s="1"/>
  <c r="G137" i="31"/>
  <c r="H137" i="31" s="1"/>
  <c r="G138" i="31"/>
  <c r="H138" i="31" s="1"/>
  <c r="G139" i="31"/>
  <c r="H139" i="31" s="1"/>
  <c r="G140" i="31"/>
  <c r="H140" i="31" s="1"/>
  <c r="G141" i="31"/>
  <c r="H141" i="31" s="1"/>
  <c r="G142" i="31"/>
  <c r="H142" i="31" s="1"/>
  <c r="G143" i="31"/>
  <c r="H143" i="31" s="1"/>
  <c r="G144" i="31"/>
  <c r="H144" i="31" s="1"/>
  <c r="G145" i="31"/>
  <c r="H145" i="31" s="1"/>
  <c r="G146" i="31"/>
  <c r="G147" i="31"/>
  <c r="H147" i="31" s="1"/>
  <c r="G148" i="31"/>
  <c r="H148" i="31" s="1"/>
  <c r="G149" i="31"/>
  <c r="H149" i="31" s="1"/>
  <c r="G150" i="31"/>
  <c r="H150" i="31" s="1"/>
  <c r="G151" i="31"/>
  <c r="H151" i="31" s="1"/>
  <c r="G152" i="31"/>
  <c r="H152" i="31" s="1"/>
  <c r="G153" i="31"/>
  <c r="H153" i="31" s="1"/>
  <c r="G154" i="31"/>
  <c r="H154" i="31" s="1"/>
  <c r="G155" i="31"/>
  <c r="H155" i="31" s="1"/>
  <c r="G156" i="31"/>
  <c r="H156" i="31" s="1"/>
  <c r="G157" i="31"/>
  <c r="H157" i="31" s="1"/>
  <c r="G158" i="31"/>
  <c r="H158" i="31" s="1"/>
  <c r="G159" i="31"/>
  <c r="H159" i="31" s="1"/>
  <c r="G160" i="31"/>
  <c r="H160" i="31" s="1"/>
  <c r="G161" i="31"/>
  <c r="H161" i="31" s="1"/>
  <c r="G162" i="31"/>
  <c r="H162" i="31" s="1"/>
  <c r="G163" i="31"/>
  <c r="H163" i="31" s="1"/>
  <c r="G164" i="31"/>
  <c r="H164" i="31" s="1"/>
  <c r="G165" i="31"/>
  <c r="H165" i="31" s="1"/>
  <c r="G166" i="31"/>
  <c r="H166" i="31" s="1"/>
  <c r="G167" i="31"/>
  <c r="H167" i="31" s="1"/>
  <c r="G168" i="31"/>
  <c r="H168" i="31" s="1"/>
  <c r="G169" i="31"/>
  <c r="H169" i="31" s="1"/>
  <c r="G170" i="31"/>
  <c r="H170" i="31" s="1"/>
  <c r="G171" i="31"/>
  <c r="H171" i="31" s="1"/>
  <c r="G172" i="31"/>
  <c r="H172" i="31" s="1"/>
  <c r="G173" i="31"/>
  <c r="H173" i="31" s="1"/>
  <c r="G174" i="31"/>
  <c r="H174" i="31" s="1"/>
  <c r="G175" i="31"/>
  <c r="H175" i="31" s="1"/>
  <c r="G176" i="31"/>
  <c r="H176" i="31" s="1"/>
  <c r="G177" i="31"/>
  <c r="H177" i="31" s="1"/>
  <c r="G178" i="31"/>
  <c r="G179" i="31"/>
  <c r="H179" i="31" s="1"/>
  <c r="G180" i="31"/>
  <c r="H180" i="31" s="1"/>
  <c r="G181" i="31"/>
  <c r="H181" i="31" s="1"/>
  <c r="G182" i="31"/>
  <c r="H182" i="31" s="1"/>
  <c r="G183" i="31"/>
  <c r="H183" i="31" s="1"/>
  <c r="G184" i="31"/>
  <c r="H184" i="31" s="1"/>
  <c r="G185" i="31"/>
  <c r="H185" i="31" s="1"/>
  <c r="G186" i="31"/>
  <c r="H186" i="31" s="1"/>
  <c r="G187" i="31"/>
  <c r="H187" i="31" s="1"/>
  <c r="G188" i="31"/>
  <c r="H188" i="31" s="1"/>
  <c r="G189" i="31"/>
  <c r="H189" i="31" s="1"/>
  <c r="G190" i="31"/>
  <c r="H190" i="31" s="1"/>
  <c r="G191" i="31"/>
  <c r="H191" i="31" s="1"/>
  <c r="G192" i="31"/>
  <c r="H192" i="31" s="1"/>
  <c r="G193" i="31"/>
  <c r="H193" i="31" s="1"/>
  <c r="G194" i="31"/>
  <c r="H194" i="31" s="1"/>
  <c r="G195" i="31"/>
  <c r="H195" i="31" s="1"/>
  <c r="G196" i="31"/>
  <c r="H196" i="31" s="1"/>
  <c r="G197" i="31"/>
  <c r="H197" i="31" s="1"/>
  <c r="G198" i="31"/>
  <c r="H198" i="31" s="1"/>
  <c r="G199" i="31"/>
  <c r="H199" i="31" s="1"/>
  <c r="G200" i="31"/>
  <c r="H200" i="31" s="1"/>
  <c r="G201" i="31"/>
  <c r="H201" i="31" s="1"/>
  <c r="G202" i="31"/>
  <c r="H202" i="31" s="1"/>
  <c r="G203" i="31"/>
  <c r="H203" i="31" s="1"/>
  <c r="G204" i="31"/>
  <c r="H204" i="31" s="1"/>
  <c r="G205" i="31"/>
  <c r="H205" i="31" s="1"/>
  <c r="G206" i="31"/>
  <c r="H206" i="31" s="1"/>
  <c r="G207" i="31"/>
  <c r="H207" i="31" s="1"/>
  <c r="G208" i="31"/>
  <c r="H208" i="31" s="1"/>
  <c r="G209" i="31"/>
  <c r="H209" i="31" s="1"/>
  <c r="G210" i="31"/>
  <c r="G211" i="31"/>
  <c r="H211" i="31" s="1"/>
  <c r="G212" i="31"/>
  <c r="H212" i="31" s="1"/>
  <c r="G213" i="31"/>
  <c r="H213" i="31" s="1"/>
  <c r="G214" i="31"/>
  <c r="H214" i="31" s="1"/>
  <c r="G215" i="31"/>
  <c r="H215" i="31" s="1"/>
  <c r="G216" i="31"/>
  <c r="H216" i="31" s="1"/>
  <c r="G217" i="31"/>
  <c r="H217" i="31" s="1"/>
  <c r="G218" i="31"/>
  <c r="H218" i="31" s="1"/>
  <c r="G219" i="31"/>
  <c r="H219" i="31" s="1"/>
  <c r="G220" i="31"/>
  <c r="H220" i="31" s="1"/>
  <c r="G221" i="31"/>
  <c r="H221" i="31" s="1"/>
  <c r="G222" i="31"/>
  <c r="H222" i="31" s="1"/>
  <c r="G223" i="31"/>
  <c r="H223" i="31" s="1"/>
  <c r="G224" i="31"/>
  <c r="H224" i="31" s="1"/>
  <c r="G225" i="31"/>
  <c r="H225" i="31" s="1"/>
  <c r="G226" i="31"/>
  <c r="H226" i="31" s="1"/>
  <c r="P7" i="31" l="1"/>
  <c r="R9" i="31"/>
  <c r="R9" i="33"/>
  <c r="J226" i="33" l="1"/>
  <c r="G226" i="33"/>
  <c r="H226" i="33" s="1"/>
  <c r="J225" i="33"/>
  <c r="G225" i="33"/>
  <c r="H225" i="33" s="1"/>
  <c r="J224" i="33"/>
  <c r="G224" i="33"/>
  <c r="H224" i="33" s="1"/>
  <c r="J223" i="33"/>
  <c r="G223" i="33"/>
  <c r="H223" i="33" s="1"/>
  <c r="J222" i="33"/>
  <c r="G222" i="33"/>
  <c r="H222" i="33" s="1"/>
  <c r="J221" i="33"/>
  <c r="G221" i="33"/>
  <c r="H221" i="33" s="1"/>
  <c r="J220" i="33"/>
  <c r="G220" i="33"/>
  <c r="H220" i="33" s="1"/>
  <c r="J219" i="33"/>
  <c r="G219" i="33"/>
  <c r="H219" i="33" s="1"/>
  <c r="J218" i="33"/>
  <c r="G218" i="33"/>
  <c r="H218" i="33" s="1"/>
  <c r="J217" i="33"/>
  <c r="G217" i="33"/>
  <c r="H217" i="33" s="1"/>
  <c r="J216" i="33"/>
  <c r="G216" i="33"/>
  <c r="H216" i="33" s="1"/>
  <c r="J215" i="33"/>
  <c r="G215" i="33"/>
  <c r="H215" i="33" s="1"/>
  <c r="J214" i="33"/>
  <c r="G214" i="33"/>
  <c r="H214" i="33" s="1"/>
  <c r="J213" i="33"/>
  <c r="G213" i="33"/>
  <c r="H213" i="33" s="1"/>
  <c r="J212" i="33"/>
  <c r="G212" i="33"/>
  <c r="H212" i="33" s="1"/>
  <c r="J211" i="33"/>
  <c r="G211" i="33"/>
  <c r="H211" i="33" s="1"/>
  <c r="J210" i="33"/>
  <c r="G210" i="33"/>
  <c r="H210" i="33" s="1"/>
  <c r="J209" i="33"/>
  <c r="G209" i="33"/>
  <c r="H209" i="33" s="1"/>
  <c r="J208" i="33"/>
  <c r="G208" i="33"/>
  <c r="H208" i="33" s="1"/>
  <c r="J207" i="33"/>
  <c r="G207" i="33"/>
  <c r="H207" i="33" s="1"/>
  <c r="J206" i="33"/>
  <c r="G206" i="33"/>
  <c r="H206" i="33" s="1"/>
  <c r="J205" i="33"/>
  <c r="G205" i="33"/>
  <c r="H205" i="33" s="1"/>
  <c r="J204" i="33"/>
  <c r="G204" i="33"/>
  <c r="H204" i="33" s="1"/>
  <c r="J203" i="33"/>
  <c r="G203" i="33"/>
  <c r="H203" i="33" s="1"/>
  <c r="J202" i="33"/>
  <c r="G202" i="33"/>
  <c r="H202" i="33" s="1"/>
  <c r="J201" i="33"/>
  <c r="G201" i="33"/>
  <c r="H201" i="33" s="1"/>
  <c r="J200" i="33"/>
  <c r="G200" i="33"/>
  <c r="H200" i="33" s="1"/>
  <c r="J199" i="33"/>
  <c r="G199" i="33"/>
  <c r="H199" i="33" s="1"/>
  <c r="J198" i="33"/>
  <c r="G198" i="33"/>
  <c r="H198" i="33" s="1"/>
  <c r="J197" i="33"/>
  <c r="G197" i="33"/>
  <c r="H197" i="33" s="1"/>
  <c r="J196" i="33"/>
  <c r="G196" i="33"/>
  <c r="H196" i="33" s="1"/>
  <c r="J195" i="33"/>
  <c r="G195" i="33"/>
  <c r="H195" i="33" s="1"/>
  <c r="J194" i="33"/>
  <c r="G194" i="33"/>
  <c r="H194" i="33" s="1"/>
  <c r="J193" i="33"/>
  <c r="G193" i="33"/>
  <c r="H193" i="33" s="1"/>
  <c r="J192" i="33"/>
  <c r="G192" i="33"/>
  <c r="H192" i="33" s="1"/>
  <c r="J191" i="33"/>
  <c r="G191" i="33"/>
  <c r="H191" i="33" s="1"/>
  <c r="J190" i="33"/>
  <c r="G190" i="33"/>
  <c r="H190" i="33" s="1"/>
  <c r="J189" i="33"/>
  <c r="G189" i="33"/>
  <c r="H189" i="33" s="1"/>
  <c r="J188" i="33"/>
  <c r="G188" i="33"/>
  <c r="H188" i="33" s="1"/>
  <c r="J187" i="33"/>
  <c r="G187" i="33"/>
  <c r="H187" i="33" s="1"/>
  <c r="J186" i="33"/>
  <c r="G186" i="33"/>
  <c r="H186" i="33" s="1"/>
  <c r="J185" i="33"/>
  <c r="G185" i="33"/>
  <c r="H185" i="33" s="1"/>
  <c r="J184" i="33"/>
  <c r="G184" i="33"/>
  <c r="H184" i="33" s="1"/>
  <c r="J183" i="33"/>
  <c r="G183" i="33"/>
  <c r="H183" i="33" s="1"/>
  <c r="J182" i="33"/>
  <c r="G182" i="33"/>
  <c r="H182" i="33" s="1"/>
  <c r="J181" i="33"/>
  <c r="G181" i="33"/>
  <c r="H181" i="33" s="1"/>
  <c r="J180" i="33"/>
  <c r="G180" i="33"/>
  <c r="H180" i="33" s="1"/>
  <c r="J179" i="33"/>
  <c r="G179" i="33"/>
  <c r="H179" i="33" s="1"/>
  <c r="J178" i="33"/>
  <c r="G178" i="33"/>
  <c r="H178" i="33" s="1"/>
  <c r="J177" i="33"/>
  <c r="G177" i="33"/>
  <c r="H177" i="33" s="1"/>
  <c r="J176" i="33"/>
  <c r="G176" i="33"/>
  <c r="H176" i="33" s="1"/>
  <c r="J175" i="33"/>
  <c r="G175" i="33"/>
  <c r="H175" i="33" s="1"/>
  <c r="J174" i="33"/>
  <c r="G174" i="33"/>
  <c r="H174" i="33" s="1"/>
  <c r="J173" i="33"/>
  <c r="G173" i="33"/>
  <c r="H173" i="33" s="1"/>
  <c r="J172" i="33"/>
  <c r="G172" i="33"/>
  <c r="H172" i="33" s="1"/>
  <c r="J171" i="33"/>
  <c r="G171" i="33"/>
  <c r="H171" i="33" s="1"/>
  <c r="J170" i="33"/>
  <c r="G170" i="33"/>
  <c r="H170" i="33" s="1"/>
  <c r="J169" i="33"/>
  <c r="G169" i="33"/>
  <c r="H169" i="33" s="1"/>
  <c r="J168" i="33"/>
  <c r="G168" i="33"/>
  <c r="H168" i="33" s="1"/>
  <c r="J167" i="33"/>
  <c r="G167" i="33"/>
  <c r="H167" i="33" s="1"/>
  <c r="J166" i="33"/>
  <c r="G166" i="33"/>
  <c r="H166" i="33" s="1"/>
  <c r="J165" i="33"/>
  <c r="G165" i="33"/>
  <c r="H165" i="33" s="1"/>
  <c r="J164" i="33"/>
  <c r="G164" i="33"/>
  <c r="H164" i="33" s="1"/>
  <c r="J163" i="33"/>
  <c r="G163" i="33"/>
  <c r="H163" i="33" s="1"/>
  <c r="J162" i="33"/>
  <c r="G162" i="33"/>
  <c r="H162" i="33" s="1"/>
  <c r="J161" i="33"/>
  <c r="G161" i="33"/>
  <c r="H161" i="33" s="1"/>
  <c r="J160" i="33"/>
  <c r="G160" i="33"/>
  <c r="H160" i="33" s="1"/>
  <c r="J159" i="33"/>
  <c r="G159" i="33"/>
  <c r="H159" i="33" s="1"/>
  <c r="J158" i="33"/>
  <c r="G158" i="33"/>
  <c r="H158" i="33" s="1"/>
  <c r="J157" i="33"/>
  <c r="G157" i="33"/>
  <c r="H157" i="33" s="1"/>
  <c r="J156" i="33"/>
  <c r="G156" i="33"/>
  <c r="H156" i="33" s="1"/>
  <c r="J155" i="33"/>
  <c r="G155" i="33"/>
  <c r="H155" i="33" s="1"/>
  <c r="J154" i="33"/>
  <c r="G154" i="33"/>
  <c r="H154" i="33" s="1"/>
  <c r="J153" i="33"/>
  <c r="G153" i="33"/>
  <c r="H153" i="33" s="1"/>
  <c r="J152" i="33"/>
  <c r="G152" i="33"/>
  <c r="H152" i="33" s="1"/>
  <c r="J151" i="33"/>
  <c r="G151" i="33"/>
  <c r="H151" i="33" s="1"/>
  <c r="J150" i="33"/>
  <c r="G150" i="33"/>
  <c r="H150" i="33" s="1"/>
  <c r="J149" i="33"/>
  <c r="G149" i="33"/>
  <c r="H149" i="33" s="1"/>
  <c r="J148" i="33"/>
  <c r="G148" i="33"/>
  <c r="H148" i="33" s="1"/>
  <c r="J147" i="33"/>
  <c r="G147" i="33"/>
  <c r="H147" i="33" s="1"/>
  <c r="J146" i="33"/>
  <c r="G146" i="33"/>
  <c r="H146" i="33" s="1"/>
  <c r="J145" i="33"/>
  <c r="J144" i="33"/>
  <c r="G144" i="33"/>
  <c r="H144" i="33" s="1"/>
  <c r="J143" i="33"/>
  <c r="G143" i="33"/>
  <c r="H143" i="33" s="1"/>
  <c r="J142" i="33"/>
  <c r="G142" i="33"/>
  <c r="H142" i="33" s="1"/>
  <c r="J141" i="33"/>
  <c r="G141" i="33"/>
  <c r="H141" i="33" s="1"/>
  <c r="J140" i="33"/>
  <c r="G140" i="33"/>
  <c r="H140" i="33" s="1"/>
  <c r="J139" i="33"/>
  <c r="G139" i="33"/>
  <c r="H139" i="33" s="1"/>
  <c r="J138" i="33"/>
  <c r="G138" i="33"/>
  <c r="H138" i="33" s="1"/>
  <c r="J137" i="33"/>
  <c r="G137" i="33"/>
  <c r="H137" i="33" s="1"/>
  <c r="J136" i="33"/>
  <c r="G136" i="33"/>
  <c r="H136" i="33" s="1"/>
  <c r="J135" i="33"/>
  <c r="G135" i="33"/>
  <c r="H135" i="33" s="1"/>
  <c r="J134" i="33"/>
  <c r="G134" i="33"/>
  <c r="H134" i="33" s="1"/>
  <c r="J133" i="33"/>
  <c r="G133" i="33"/>
  <c r="H133" i="33" s="1"/>
  <c r="J132" i="33"/>
  <c r="G132" i="33"/>
  <c r="H132" i="33" s="1"/>
  <c r="J131" i="33"/>
  <c r="G131" i="33"/>
  <c r="H131" i="33" s="1"/>
  <c r="J130" i="33"/>
  <c r="G130" i="33"/>
  <c r="H130" i="33" s="1"/>
  <c r="J129" i="33"/>
  <c r="G129" i="33"/>
  <c r="H129" i="33" s="1"/>
  <c r="J128" i="33"/>
  <c r="G128" i="33"/>
  <c r="H128" i="33" s="1"/>
  <c r="J127" i="33"/>
  <c r="G127" i="33"/>
  <c r="H127" i="33" s="1"/>
  <c r="J126" i="33"/>
  <c r="G126" i="33"/>
  <c r="H126" i="33" s="1"/>
  <c r="J125" i="33"/>
  <c r="G125" i="33"/>
  <c r="H125" i="33" s="1"/>
  <c r="J124" i="33"/>
  <c r="G124" i="33"/>
  <c r="H124" i="33" s="1"/>
  <c r="J123" i="33"/>
  <c r="G123" i="33"/>
  <c r="H123" i="33" s="1"/>
  <c r="J122" i="33"/>
  <c r="G122" i="33"/>
  <c r="H122" i="33" s="1"/>
  <c r="J121" i="33"/>
  <c r="G121" i="33"/>
  <c r="H121" i="33" s="1"/>
  <c r="J120" i="33"/>
  <c r="G120" i="33"/>
  <c r="H120" i="33" s="1"/>
  <c r="J119" i="33"/>
  <c r="G119" i="33"/>
  <c r="H119" i="33" s="1"/>
  <c r="J118" i="33"/>
  <c r="G118" i="33"/>
  <c r="H118" i="33" s="1"/>
  <c r="J117" i="33"/>
  <c r="G117" i="33"/>
  <c r="H117" i="33" s="1"/>
  <c r="J116" i="33"/>
  <c r="G116" i="33"/>
  <c r="H116" i="33" s="1"/>
  <c r="J115" i="33"/>
  <c r="G115" i="33"/>
  <c r="H115" i="33" s="1"/>
  <c r="J114" i="33"/>
  <c r="G114" i="33"/>
  <c r="H114" i="33" s="1"/>
  <c r="J113" i="33"/>
  <c r="G113" i="33"/>
  <c r="H113" i="33" s="1"/>
  <c r="J112" i="33"/>
  <c r="G112" i="33"/>
  <c r="H112" i="33" s="1"/>
  <c r="J111" i="33"/>
  <c r="G111" i="33"/>
  <c r="H111" i="33" s="1"/>
  <c r="J110" i="33"/>
  <c r="G110" i="33"/>
  <c r="H110" i="33" s="1"/>
  <c r="J109" i="33"/>
  <c r="G109" i="33"/>
  <c r="H109" i="33" s="1"/>
  <c r="J108" i="33"/>
  <c r="G108" i="33"/>
  <c r="H108" i="33" s="1"/>
  <c r="J107" i="33"/>
  <c r="G107" i="33"/>
  <c r="H107" i="33" s="1"/>
  <c r="J106" i="33"/>
  <c r="G106" i="33"/>
  <c r="H106" i="33" s="1"/>
  <c r="J105" i="33"/>
  <c r="G105" i="33"/>
  <c r="H105" i="33" s="1"/>
  <c r="J104" i="33"/>
  <c r="G104" i="33"/>
  <c r="H104" i="33" s="1"/>
  <c r="J103" i="33"/>
  <c r="G103" i="33"/>
  <c r="H103" i="33" s="1"/>
  <c r="J102" i="33"/>
  <c r="G102" i="33"/>
  <c r="H102" i="33" s="1"/>
  <c r="J101" i="33"/>
  <c r="G101" i="33"/>
  <c r="H101" i="33" s="1"/>
  <c r="J100" i="33"/>
  <c r="G100" i="33"/>
  <c r="H100" i="33" s="1"/>
  <c r="J99" i="33"/>
  <c r="G99" i="33"/>
  <c r="H99" i="33" s="1"/>
  <c r="J98" i="33"/>
  <c r="G98" i="33"/>
  <c r="H98" i="33" s="1"/>
  <c r="J97" i="33"/>
  <c r="G97" i="33"/>
  <c r="H97" i="33" s="1"/>
  <c r="J96" i="33"/>
  <c r="G96" i="33"/>
  <c r="H96" i="33" s="1"/>
  <c r="J95" i="33"/>
  <c r="G95" i="33"/>
  <c r="H95" i="33" s="1"/>
  <c r="J94" i="33"/>
  <c r="G94" i="33"/>
  <c r="H94" i="33" s="1"/>
  <c r="J93" i="33"/>
  <c r="G93" i="33"/>
  <c r="H93" i="33" s="1"/>
  <c r="J92" i="33"/>
  <c r="G92" i="33"/>
  <c r="H92" i="33" s="1"/>
  <c r="J91" i="33"/>
  <c r="G91" i="33"/>
  <c r="H91" i="33" s="1"/>
  <c r="J90" i="33"/>
  <c r="G90" i="33"/>
  <c r="H90" i="33" s="1"/>
  <c r="J89" i="33"/>
  <c r="G89" i="33"/>
  <c r="H89" i="33" s="1"/>
  <c r="J88" i="33"/>
  <c r="G88" i="33"/>
  <c r="H88" i="33" s="1"/>
  <c r="J87" i="33"/>
  <c r="G87" i="33"/>
  <c r="H87" i="33" s="1"/>
  <c r="J86" i="33"/>
  <c r="G86" i="33"/>
  <c r="H86" i="33" s="1"/>
  <c r="J85" i="33"/>
  <c r="G85" i="33"/>
  <c r="H85" i="33" s="1"/>
  <c r="J84" i="33"/>
  <c r="G84" i="33"/>
  <c r="H84" i="33" s="1"/>
  <c r="J83" i="33"/>
  <c r="G83" i="33"/>
  <c r="H83" i="33" s="1"/>
  <c r="J82" i="33"/>
  <c r="G82" i="33"/>
  <c r="H82" i="33" s="1"/>
  <c r="J81" i="33"/>
  <c r="G81" i="33"/>
  <c r="H81" i="33" s="1"/>
  <c r="J80" i="33"/>
  <c r="G80" i="33"/>
  <c r="H80" i="33" s="1"/>
  <c r="J79" i="33"/>
  <c r="G79" i="33"/>
  <c r="H79" i="33" s="1"/>
  <c r="J78" i="33"/>
  <c r="G78" i="33"/>
  <c r="H78" i="33" s="1"/>
  <c r="J77" i="33"/>
  <c r="G77" i="33"/>
  <c r="H77" i="33" s="1"/>
  <c r="J76" i="33"/>
  <c r="G76" i="33"/>
  <c r="H76" i="33" s="1"/>
  <c r="J75" i="33"/>
  <c r="G75" i="33"/>
  <c r="H75" i="33" s="1"/>
  <c r="J74" i="33"/>
  <c r="G74" i="33"/>
  <c r="H74" i="33" s="1"/>
  <c r="J73" i="33"/>
  <c r="G73" i="33"/>
  <c r="H73" i="33" s="1"/>
  <c r="J72" i="33"/>
  <c r="G72" i="33"/>
  <c r="H72" i="33" s="1"/>
  <c r="J71" i="33"/>
  <c r="G71" i="33"/>
  <c r="H71" i="33" s="1"/>
  <c r="J70" i="33"/>
  <c r="G70" i="33"/>
  <c r="H70" i="33" s="1"/>
  <c r="J69" i="33"/>
  <c r="G69" i="33"/>
  <c r="H69" i="33" s="1"/>
  <c r="J68" i="33"/>
  <c r="G68" i="33"/>
  <c r="H68" i="33" s="1"/>
  <c r="J67" i="33"/>
  <c r="G67" i="33"/>
  <c r="H67" i="33" s="1"/>
  <c r="J66" i="33"/>
  <c r="G66" i="33"/>
  <c r="H66" i="33" s="1"/>
  <c r="J65" i="33"/>
  <c r="G65" i="33"/>
  <c r="H65" i="33" s="1"/>
  <c r="J64" i="33"/>
  <c r="G64" i="33"/>
  <c r="H64" i="33" s="1"/>
  <c r="J63" i="33"/>
  <c r="G63" i="33"/>
  <c r="H63" i="33" s="1"/>
  <c r="J62" i="33"/>
  <c r="G62" i="33"/>
  <c r="H62" i="33" s="1"/>
  <c r="J61" i="33"/>
  <c r="G61" i="33"/>
  <c r="H61" i="33" s="1"/>
  <c r="J60" i="33"/>
  <c r="G60" i="33"/>
  <c r="H60" i="33" s="1"/>
  <c r="J59" i="33"/>
  <c r="G59" i="33"/>
  <c r="H59" i="33" s="1"/>
  <c r="J58" i="33"/>
  <c r="G58" i="33"/>
  <c r="H58" i="33" s="1"/>
  <c r="J57" i="33"/>
  <c r="G57" i="33"/>
  <c r="H57" i="33" s="1"/>
  <c r="J56" i="33"/>
  <c r="G56" i="33"/>
  <c r="H56" i="33" s="1"/>
  <c r="J55" i="33"/>
  <c r="G55" i="33"/>
  <c r="H55" i="33" s="1"/>
  <c r="J54" i="33"/>
  <c r="G54" i="33"/>
  <c r="H54" i="33" s="1"/>
  <c r="J53" i="33"/>
  <c r="G53" i="33"/>
  <c r="H53" i="33" s="1"/>
  <c r="J52" i="33"/>
  <c r="G52" i="33"/>
  <c r="H52" i="33" s="1"/>
  <c r="J51" i="33"/>
  <c r="G51" i="33"/>
  <c r="H51" i="33" s="1"/>
  <c r="J50" i="33"/>
  <c r="G50" i="33"/>
  <c r="H50" i="33" s="1"/>
  <c r="J49" i="33"/>
  <c r="G49" i="33"/>
  <c r="H49" i="33" s="1"/>
  <c r="J48" i="33"/>
  <c r="G48" i="33"/>
  <c r="H48" i="33" s="1"/>
  <c r="J47" i="33"/>
  <c r="G47" i="33"/>
  <c r="H47" i="33" s="1"/>
  <c r="J46" i="33"/>
  <c r="G46" i="33"/>
  <c r="H46" i="33" s="1"/>
  <c r="J45" i="33"/>
  <c r="G45" i="33"/>
  <c r="H45" i="33" s="1"/>
  <c r="J44" i="33"/>
  <c r="G44" i="33"/>
  <c r="H44" i="33" s="1"/>
  <c r="J43" i="33"/>
  <c r="G43" i="33"/>
  <c r="H43" i="33" s="1"/>
  <c r="J42" i="33"/>
  <c r="G42" i="33"/>
  <c r="H42" i="33" s="1"/>
  <c r="J41" i="33"/>
  <c r="G41" i="33"/>
  <c r="H41" i="33" s="1"/>
  <c r="J40" i="33"/>
  <c r="G40" i="33"/>
  <c r="H40" i="33" s="1"/>
  <c r="J39" i="33"/>
  <c r="G39" i="33"/>
  <c r="H39" i="33" s="1"/>
  <c r="J38" i="33"/>
  <c r="G38" i="33"/>
  <c r="H38" i="33" s="1"/>
  <c r="J37" i="33"/>
  <c r="G37" i="33"/>
  <c r="H37" i="33" s="1"/>
  <c r="J36" i="33"/>
  <c r="G36" i="33"/>
  <c r="H36" i="33" s="1"/>
  <c r="J35" i="33"/>
  <c r="G35" i="33"/>
  <c r="H35" i="33" s="1"/>
  <c r="J34" i="33"/>
  <c r="G34" i="33"/>
  <c r="H34" i="33" s="1"/>
  <c r="J33" i="33"/>
  <c r="G33" i="33"/>
  <c r="H33" i="33" s="1"/>
  <c r="J32" i="33"/>
  <c r="G32" i="33"/>
  <c r="H32" i="33" s="1"/>
  <c r="J31" i="33"/>
  <c r="G31" i="33"/>
  <c r="H31" i="33" s="1"/>
  <c r="P25" i="33"/>
  <c r="P28" i="33" s="1"/>
  <c r="P23" i="32" s="1"/>
  <c r="P29" i="32" s="1"/>
  <c r="J30" i="33"/>
  <c r="G30" i="33"/>
  <c r="H30" i="33" s="1"/>
  <c r="P24" i="33"/>
  <c r="P27" i="33" s="1"/>
  <c r="P22" i="32" s="1"/>
  <c r="P28" i="32" s="1"/>
  <c r="J29" i="33"/>
  <c r="G29" i="33"/>
  <c r="H29" i="33" s="1"/>
  <c r="J28" i="33"/>
  <c r="G28" i="33"/>
  <c r="H28" i="33" s="1"/>
  <c r="J27" i="33"/>
  <c r="G27" i="33"/>
  <c r="H27" i="33" s="1"/>
  <c r="J26" i="33"/>
  <c r="G26" i="33"/>
  <c r="H26" i="33" s="1"/>
  <c r="J25" i="33"/>
  <c r="G25" i="33"/>
  <c r="H25" i="33" s="1"/>
  <c r="J24" i="33"/>
  <c r="G24" i="33"/>
  <c r="H24" i="33" s="1"/>
  <c r="J23" i="33"/>
  <c r="G23" i="33"/>
  <c r="H23" i="33" s="1"/>
  <c r="J22" i="33"/>
  <c r="G22" i="33"/>
  <c r="H22" i="33" s="1"/>
  <c r="J21" i="33"/>
  <c r="G21" i="33"/>
  <c r="H21" i="33" s="1"/>
  <c r="J20" i="33"/>
  <c r="G20" i="33"/>
  <c r="H20" i="33" s="1"/>
  <c r="P16" i="33"/>
  <c r="J19" i="33"/>
  <c r="G19" i="33"/>
  <c r="H19" i="33" s="1"/>
  <c r="P15" i="33"/>
  <c r="J18" i="33"/>
  <c r="G18" i="33"/>
  <c r="H18" i="33" s="1"/>
  <c r="P14" i="33"/>
  <c r="J17" i="33"/>
  <c r="G17" i="33"/>
  <c r="H17" i="33" s="1"/>
  <c r="J16" i="33"/>
  <c r="G16" i="33"/>
  <c r="H16" i="33" s="1"/>
  <c r="J15" i="33"/>
  <c r="G15" i="33"/>
  <c r="H15" i="33" s="1"/>
  <c r="J14" i="33"/>
  <c r="G14" i="33"/>
  <c r="H14" i="33" s="1"/>
  <c r="J13" i="33"/>
  <c r="G13" i="33"/>
  <c r="H13" i="33" s="1"/>
  <c r="J12" i="33"/>
  <c r="G12" i="33"/>
  <c r="H12" i="33" s="1"/>
  <c r="P10" i="33"/>
  <c r="J11" i="33"/>
  <c r="G11" i="33"/>
  <c r="H11" i="33" s="1"/>
  <c r="J10" i="33"/>
  <c r="G10" i="33"/>
  <c r="H10" i="33" s="1"/>
  <c r="P8" i="33"/>
  <c r="J9" i="33"/>
  <c r="G9" i="33"/>
  <c r="H9" i="33" s="1"/>
  <c r="J8" i="33"/>
  <c r="G8" i="33"/>
  <c r="P5" i="33"/>
  <c r="J7" i="33"/>
  <c r="P4" i="33"/>
  <c r="J6" i="33"/>
  <c r="P3" i="33"/>
  <c r="T5" i="33" s="1"/>
  <c r="V9" i="33" s="1"/>
  <c r="W9" i="33" s="1"/>
  <c r="J5" i="33"/>
  <c r="J4" i="33"/>
  <c r="G4" i="33"/>
  <c r="H4" i="33" s="1"/>
  <c r="J226" i="31"/>
  <c r="J225" i="31"/>
  <c r="J224" i="31"/>
  <c r="J223" i="31"/>
  <c r="J222" i="31"/>
  <c r="J221" i="31"/>
  <c r="J220" i="31"/>
  <c r="J219" i="31"/>
  <c r="J218" i="31"/>
  <c r="J217" i="31"/>
  <c r="J216" i="31"/>
  <c r="J215" i="31"/>
  <c r="J214" i="31"/>
  <c r="J213" i="31"/>
  <c r="J212" i="31"/>
  <c r="J211" i="31"/>
  <c r="J210" i="31"/>
  <c r="J209" i="31"/>
  <c r="J208" i="31"/>
  <c r="J207" i="31"/>
  <c r="J206" i="31"/>
  <c r="J205" i="31"/>
  <c r="J204" i="31"/>
  <c r="J203" i="31"/>
  <c r="J202" i="31"/>
  <c r="J201" i="31"/>
  <c r="J200" i="31"/>
  <c r="J199" i="31"/>
  <c r="J198" i="31"/>
  <c r="J197" i="31"/>
  <c r="J196" i="31"/>
  <c r="J195" i="31"/>
  <c r="J194" i="31"/>
  <c r="J193" i="31"/>
  <c r="J192" i="31"/>
  <c r="J191" i="31"/>
  <c r="J190" i="31"/>
  <c r="J189" i="31"/>
  <c r="J188" i="31"/>
  <c r="J187" i="31"/>
  <c r="J186" i="31"/>
  <c r="J185" i="31"/>
  <c r="J184" i="31"/>
  <c r="J183" i="31"/>
  <c r="J182" i="31"/>
  <c r="J181" i="31"/>
  <c r="J180" i="31"/>
  <c r="J179" i="31"/>
  <c r="J178" i="31"/>
  <c r="J177" i="31"/>
  <c r="J176" i="31"/>
  <c r="J175" i="31"/>
  <c r="J174" i="31"/>
  <c r="J173" i="31"/>
  <c r="J172" i="31"/>
  <c r="J171" i="31"/>
  <c r="J170" i="31"/>
  <c r="J169" i="31"/>
  <c r="J168" i="31"/>
  <c r="J167" i="31"/>
  <c r="J166" i="31"/>
  <c r="J165" i="31"/>
  <c r="J164" i="31"/>
  <c r="J163" i="31"/>
  <c r="J162" i="31"/>
  <c r="J161" i="31"/>
  <c r="J160" i="31"/>
  <c r="J159" i="31"/>
  <c r="J158" i="31"/>
  <c r="J157" i="31"/>
  <c r="J156" i="31"/>
  <c r="J155" i="31"/>
  <c r="J154" i="31"/>
  <c r="J153" i="31"/>
  <c r="J152" i="31"/>
  <c r="J151" i="31"/>
  <c r="J150" i="31"/>
  <c r="J149" i="31"/>
  <c r="J148" i="31"/>
  <c r="J147" i="31"/>
  <c r="J146" i="31"/>
  <c r="J145" i="31"/>
  <c r="J144" i="31"/>
  <c r="J143" i="31"/>
  <c r="J142" i="31"/>
  <c r="J141" i="31"/>
  <c r="J140" i="31"/>
  <c r="J139" i="31"/>
  <c r="J138" i="31"/>
  <c r="J137" i="31"/>
  <c r="J136" i="31"/>
  <c r="J135" i="31"/>
  <c r="J134" i="31"/>
  <c r="J133" i="31"/>
  <c r="J132" i="31"/>
  <c r="J131" i="31"/>
  <c r="J130" i="31"/>
  <c r="J129" i="31"/>
  <c r="J128" i="31"/>
  <c r="J127" i="31"/>
  <c r="J126" i="31"/>
  <c r="J125" i="31"/>
  <c r="J124" i="31"/>
  <c r="J123" i="31"/>
  <c r="J122" i="31"/>
  <c r="J121" i="31"/>
  <c r="J120" i="31"/>
  <c r="J119" i="31"/>
  <c r="J118" i="31"/>
  <c r="J117" i="31"/>
  <c r="J116" i="31"/>
  <c r="J115" i="31"/>
  <c r="J114" i="31"/>
  <c r="J113" i="31"/>
  <c r="J112" i="31"/>
  <c r="J111" i="31"/>
  <c r="J110" i="31"/>
  <c r="J109" i="31"/>
  <c r="J108" i="31"/>
  <c r="J107" i="31"/>
  <c r="J106" i="31"/>
  <c r="J105" i="31"/>
  <c r="J104" i="31"/>
  <c r="J103" i="31"/>
  <c r="J102" i="31"/>
  <c r="J101" i="31"/>
  <c r="J100" i="31"/>
  <c r="J99" i="31"/>
  <c r="J98" i="31"/>
  <c r="J97" i="31"/>
  <c r="J96" i="31"/>
  <c r="J95" i="31"/>
  <c r="J94" i="31"/>
  <c r="J93" i="31"/>
  <c r="J92" i="31"/>
  <c r="J91" i="31"/>
  <c r="J90" i="31"/>
  <c r="J89" i="31"/>
  <c r="J88" i="31"/>
  <c r="J87" i="31"/>
  <c r="J86" i="31"/>
  <c r="J85" i="31"/>
  <c r="J84" i="31"/>
  <c r="J83" i="31"/>
  <c r="J82" i="31"/>
  <c r="J81" i="31"/>
  <c r="J80" i="31"/>
  <c r="J79" i="31"/>
  <c r="J78" i="31"/>
  <c r="J77" i="31"/>
  <c r="J76" i="31"/>
  <c r="J75" i="31"/>
  <c r="J74" i="31"/>
  <c r="J73" i="31"/>
  <c r="J72" i="31"/>
  <c r="J71" i="31"/>
  <c r="J70" i="31"/>
  <c r="J69" i="31"/>
  <c r="J68" i="31"/>
  <c r="J67" i="31"/>
  <c r="J66" i="31"/>
  <c r="J65" i="31"/>
  <c r="J64" i="31"/>
  <c r="J63" i="31"/>
  <c r="J62" i="31"/>
  <c r="J61" i="31"/>
  <c r="J60" i="31"/>
  <c r="J59" i="31"/>
  <c r="J58" i="31"/>
  <c r="J57" i="31"/>
  <c r="J56" i="31"/>
  <c r="J55" i="31"/>
  <c r="J54" i="31"/>
  <c r="J53" i="31"/>
  <c r="J52" i="31"/>
  <c r="J51" i="31"/>
  <c r="J50" i="31"/>
  <c r="J49" i="31"/>
  <c r="J48" i="31"/>
  <c r="J47" i="31"/>
  <c r="J46" i="31"/>
  <c r="J45" i="31"/>
  <c r="J44" i="31"/>
  <c r="J43" i="31"/>
  <c r="J42" i="31"/>
  <c r="J41" i="31"/>
  <c r="J40" i="31"/>
  <c r="J39" i="31"/>
  <c r="J38" i="31"/>
  <c r="J37" i="31"/>
  <c r="J36" i="31"/>
  <c r="J35" i="31"/>
  <c r="J34" i="31"/>
  <c r="J33" i="31"/>
  <c r="J32" i="31"/>
  <c r="J31" i="31"/>
  <c r="J30" i="31"/>
  <c r="J29" i="31"/>
  <c r="J28" i="31"/>
  <c r="J27" i="31"/>
  <c r="J26" i="31"/>
  <c r="J25" i="31"/>
  <c r="J24" i="31"/>
  <c r="J23" i="31"/>
  <c r="J22" i="31"/>
  <c r="J21" i="31"/>
  <c r="J20" i="31"/>
  <c r="P17" i="31"/>
  <c r="J19" i="31"/>
  <c r="P16" i="31"/>
  <c r="J18" i="31"/>
  <c r="P15" i="31"/>
  <c r="J17" i="31"/>
  <c r="J16" i="31"/>
  <c r="J15" i="31"/>
  <c r="J14" i="31"/>
  <c r="J13" i="31"/>
  <c r="J12" i="31"/>
  <c r="P10" i="31"/>
  <c r="J11" i="31"/>
  <c r="J10" i="31"/>
  <c r="P8" i="31"/>
  <c r="J9" i="31"/>
  <c r="J8" i="31"/>
  <c r="P5" i="31"/>
  <c r="J7" i="31"/>
  <c r="P4" i="31"/>
  <c r="J6" i="31"/>
  <c r="P3" i="31"/>
  <c r="T5" i="31" s="1"/>
  <c r="J5" i="31"/>
  <c r="J4" i="31"/>
  <c r="J226" i="30"/>
  <c r="G226" i="30"/>
  <c r="H226" i="30" s="1"/>
  <c r="J225" i="30"/>
  <c r="G225" i="30"/>
  <c r="H225" i="30" s="1"/>
  <c r="J224" i="30"/>
  <c r="G224" i="30"/>
  <c r="H224" i="30" s="1"/>
  <c r="J223" i="30"/>
  <c r="G223" i="30"/>
  <c r="H223" i="30" s="1"/>
  <c r="J222" i="30"/>
  <c r="G222" i="30"/>
  <c r="H222" i="30" s="1"/>
  <c r="J221" i="30"/>
  <c r="G221" i="30"/>
  <c r="H221" i="30" s="1"/>
  <c r="J220" i="30"/>
  <c r="G220" i="30"/>
  <c r="H220" i="30" s="1"/>
  <c r="J219" i="30"/>
  <c r="G219" i="30"/>
  <c r="H219" i="30" s="1"/>
  <c r="J218" i="30"/>
  <c r="G218" i="30"/>
  <c r="H218" i="30" s="1"/>
  <c r="J217" i="30"/>
  <c r="G217" i="30"/>
  <c r="H217" i="30" s="1"/>
  <c r="J216" i="30"/>
  <c r="G216" i="30"/>
  <c r="H216" i="30" s="1"/>
  <c r="J215" i="30"/>
  <c r="G215" i="30"/>
  <c r="H215" i="30" s="1"/>
  <c r="J214" i="30"/>
  <c r="G214" i="30"/>
  <c r="H214" i="30" s="1"/>
  <c r="J213" i="30"/>
  <c r="G213" i="30"/>
  <c r="H213" i="30" s="1"/>
  <c r="J212" i="30"/>
  <c r="G212" i="30"/>
  <c r="H212" i="30" s="1"/>
  <c r="J211" i="30"/>
  <c r="G211" i="30"/>
  <c r="H211" i="30" s="1"/>
  <c r="J210" i="30"/>
  <c r="G210" i="30"/>
  <c r="H210" i="30" s="1"/>
  <c r="J209" i="30"/>
  <c r="G209" i="30"/>
  <c r="H209" i="30" s="1"/>
  <c r="J208" i="30"/>
  <c r="G208" i="30"/>
  <c r="H208" i="30" s="1"/>
  <c r="J207" i="30"/>
  <c r="G207" i="30"/>
  <c r="H207" i="30" s="1"/>
  <c r="J206" i="30"/>
  <c r="G206" i="30"/>
  <c r="H206" i="30" s="1"/>
  <c r="J205" i="30"/>
  <c r="G205" i="30"/>
  <c r="H205" i="30" s="1"/>
  <c r="J204" i="30"/>
  <c r="G204" i="30"/>
  <c r="H204" i="30" s="1"/>
  <c r="J203" i="30"/>
  <c r="G203" i="30"/>
  <c r="H203" i="30" s="1"/>
  <c r="J202" i="30"/>
  <c r="G202" i="30"/>
  <c r="H202" i="30" s="1"/>
  <c r="J201" i="30"/>
  <c r="G201" i="30"/>
  <c r="H201" i="30" s="1"/>
  <c r="J200" i="30"/>
  <c r="G200" i="30"/>
  <c r="H200" i="30" s="1"/>
  <c r="J199" i="30"/>
  <c r="G199" i="30"/>
  <c r="H199" i="30" s="1"/>
  <c r="J198" i="30"/>
  <c r="G198" i="30"/>
  <c r="H198" i="30" s="1"/>
  <c r="J197" i="30"/>
  <c r="G197" i="30"/>
  <c r="H197" i="30" s="1"/>
  <c r="J196" i="30"/>
  <c r="G196" i="30"/>
  <c r="H196" i="30" s="1"/>
  <c r="J195" i="30"/>
  <c r="G195" i="30"/>
  <c r="H195" i="30" s="1"/>
  <c r="J194" i="30"/>
  <c r="G194" i="30"/>
  <c r="H194" i="30" s="1"/>
  <c r="J193" i="30"/>
  <c r="G193" i="30"/>
  <c r="H193" i="30" s="1"/>
  <c r="J192" i="30"/>
  <c r="G192" i="30"/>
  <c r="H192" i="30" s="1"/>
  <c r="J191" i="30"/>
  <c r="G191" i="30"/>
  <c r="H191" i="30" s="1"/>
  <c r="J190" i="30"/>
  <c r="G190" i="30"/>
  <c r="H190" i="30" s="1"/>
  <c r="J189" i="30"/>
  <c r="G189" i="30"/>
  <c r="H189" i="30" s="1"/>
  <c r="J188" i="30"/>
  <c r="G188" i="30"/>
  <c r="H188" i="30" s="1"/>
  <c r="J187" i="30"/>
  <c r="G187" i="30"/>
  <c r="H187" i="30" s="1"/>
  <c r="J186" i="30"/>
  <c r="G186" i="30"/>
  <c r="H186" i="30" s="1"/>
  <c r="J185" i="30"/>
  <c r="G185" i="30"/>
  <c r="H185" i="30" s="1"/>
  <c r="J184" i="30"/>
  <c r="G184" i="30"/>
  <c r="H184" i="30" s="1"/>
  <c r="J183" i="30"/>
  <c r="G183" i="30"/>
  <c r="H183" i="30" s="1"/>
  <c r="J182" i="30"/>
  <c r="G182" i="30"/>
  <c r="H182" i="30" s="1"/>
  <c r="J181" i="30"/>
  <c r="G181" i="30"/>
  <c r="H181" i="30" s="1"/>
  <c r="J180" i="30"/>
  <c r="G180" i="30"/>
  <c r="H180" i="30" s="1"/>
  <c r="J179" i="30"/>
  <c r="G179" i="30"/>
  <c r="H179" i="30" s="1"/>
  <c r="J178" i="30"/>
  <c r="G178" i="30"/>
  <c r="H178" i="30" s="1"/>
  <c r="J177" i="30"/>
  <c r="G177" i="30"/>
  <c r="H177" i="30" s="1"/>
  <c r="J176" i="30"/>
  <c r="G176" i="30"/>
  <c r="H176" i="30" s="1"/>
  <c r="J175" i="30"/>
  <c r="G175" i="30"/>
  <c r="H175" i="30" s="1"/>
  <c r="J174" i="30"/>
  <c r="G174" i="30"/>
  <c r="H174" i="30" s="1"/>
  <c r="J173" i="30"/>
  <c r="G173" i="30"/>
  <c r="H173" i="30" s="1"/>
  <c r="J172" i="30"/>
  <c r="G172" i="30"/>
  <c r="H172" i="30" s="1"/>
  <c r="J171" i="30"/>
  <c r="G171" i="30"/>
  <c r="H171" i="30" s="1"/>
  <c r="J170" i="30"/>
  <c r="G170" i="30"/>
  <c r="H170" i="30" s="1"/>
  <c r="J169" i="30"/>
  <c r="G169" i="30"/>
  <c r="H169" i="30" s="1"/>
  <c r="J168" i="30"/>
  <c r="G168" i="30"/>
  <c r="H168" i="30" s="1"/>
  <c r="J167" i="30"/>
  <c r="G167" i="30"/>
  <c r="H167" i="30" s="1"/>
  <c r="J166" i="30"/>
  <c r="G166" i="30"/>
  <c r="H166" i="30" s="1"/>
  <c r="J165" i="30"/>
  <c r="G165" i="30"/>
  <c r="H165" i="30" s="1"/>
  <c r="J164" i="30"/>
  <c r="G164" i="30"/>
  <c r="H164" i="30" s="1"/>
  <c r="J163" i="30"/>
  <c r="G163" i="30"/>
  <c r="H163" i="30" s="1"/>
  <c r="J162" i="30"/>
  <c r="G162" i="30"/>
  <c r="H162" i="30" s="1"/>
  <c r="J161" i="30"/>
  <c r="G161" i="30"/>
  <c r="H161" i="30" s="1"/>
  <c r="J160" i="30"/>
  <c r="G160" i="30"/>
  <c r="H160" i="30" s="1"/>
  <c r="J159" i="30"/>
  <c r="G159" i="30"/>
  <c r="H159" i="30" s="1"/>
  <c r="J158" i="30"/>
  <c r="G158" i="30"/>
  <c r="H158" i="30" s="1"/>
  <c r="J157" i="30"/>
  <c r="G157" i="30"/>
  <c r="H157" i="30" s="1"/>
  <c r="J156" i="30"/>
  <c r="G156" i="30"/>
  <c r="H156" i="30" s="1"/>
  <c r="J155" i="30"/>
  <c r="G155" i="30"/>
  <c r="H155" i="30" s="1"/>
  <c r="J154" i="30"/>
  <c r="G154" i="30"/>
  <c r="H154" i="30" s="1"/>
  <c r="J153" i="30"/>
  <c r="G153" i="30"/>
  <c r="H153" i="30" s="1"/>
  <c r="J152" i="30"/>
  <c r="G152" i="30"/>
  <c r="H152" i="30" s="1"/>
  <c r="J151" i="30"/>
  <c r="G151" i="30"/>
  <c r="H151" i="30" s="1"/>
  <c r="J150" i="30"/>
  <c r="G150" i="30"/>
  <c r="H150" i="30" s="1"/>
  <c r="J149" i="30"/>
  <c r="G149" i="30"/>
  <c r="H149" i="30" s="1"/>
  <c r="J148" i="30"/>
  <c r="G148" i="30"/>
  <c r="H148" i="30" s="1"/>
  <c r="J147" i="30"/>
  <c r="G147" i="30"/>
  <c r="H147" i="30" s="1"/>
  <c r="J146" i="30"/>
  <c r="G146" i="30"/>
  <c r="H146" i="30" s="1"/>
  <c r="J145" i="30"/>
  <c r="G145" i="30"/>
  <c r="H145" i="30" s="1"/>
  <c r="J144" i="30"/>
  <c r="G144" i="30"/>
  <c r="H144" i="30" s="1"/>
  <c r="J143" i="30"/>
  <c r="G143" i="30"/>
  <c r="H143" i="30" s="1"/>
  <c r="J142" i="30"/>
  <c r="G142" i="30"/>
  <c r="H142" i="30" s="1"/>
  <c r="J141" i="30"/>
  <c r="G141" i="30"/>
  <c r="H141" i="30" s="1"/>
  <c r="J140" i="30"/>
  <c r="G140" i="30"/>
  <c r="H140" i="30" s="1"/>
  <c r="J139" i="30"/>
  <c r="G139" i="30"/>
  <c r="H139" i="30" s="1"/>
  <c r="J138" i="30"/>
  <c r="G138" i="30"/>
  <c r="H138" i="30" s="1"/>
  <c r="J137" i="30"/>
  <c r="G137" i="30"/>
  <c r="H137" i="30" s="1"/>
  <c r="J136" i="30"/>
  <c r="G136" i="30"/>
  <c r="H136" i="30" s="1"/>
  <c r="J135" i="30"/>
  <c r="G135" i="30"/>
  <c r="H135" i="30" s="1"/>
  <c r="J134" i="30"/>
  <c r="G134" i="30"/>
  <c r="H134" i="30" s="1"/>
  <c r="J133" i="30"/>
  <c r="G133" i="30"/>
  <c r="H133" i="30" s="1"/>
  <c r="J132" i="30"/>
  <c r="G132" i="30"/>
  <c r="H132" i="30" s="1"/>
  <c r="J131" i="30"/>
  <c r="G131" i="30"/>
  <c r="H131" i="30" s="1"/>
  <c r="J130" i="30"/>
  <c r="G130" i="30"/>
  <c r="H130" i="30" s="1"/>
  <c r="J129" i="30"/>
  <c r="G129" i="30"/>
  <c r="H129" i="30" s="1"/>
  <c r="J128" i="30"/>
  <c r="G128" i="30"/>
  <c r="H128" i="30" s="1"/>
  <c r="J127" i="30"/>
  <c r="G127" i="30"/>
  <c r="H127" i="30" s="1"/>
  <c r="J126" i="30"/>
  <c r="G126" i="30"/>
  <c r="H126" i="30" s="1"/>
  <c r="J125" i="30"/>
  <c r="G125" i="30"/>
  <c r="H125" i="30" s="1"/>
  <c r="J124" i="30"/>
  <c r="G124" i="30"/>
  <c r="H124" i="30" s="1"/>
  <c r="J123" i="30"/>
  <c r="G123" i="30"/>
  <c r="H123" i="30" s="1"/>
  <c r="J122" i="30"/>
  <c r="G122" i="30"/>
  <c r="H122" i="30" s="1"/>
  <c r="J121" i="30"/>
  <c r="G121" i="30"/>
  <c r="H121" i="30" s="1"/>
  <c r="J120" i="30"/>
  <c r="G120" i="30"/>
  <c r="H120" i="30" s="1"/>
  <c r="J119" i="30"/>
  <c r="G119" i="30"/>
  <c r="H119" i="30" s="1"/>
  <c r="J118" i="30"/>
  <c r="G118" i="30"/>
  <c r="H118" i="30" s="1"/>
  <c r="J117" i="30"/>
  <c r="G117" i="30"/>
  <c r="H117" i="30" s="1"/>
  <c r="J116" i="30"/>
  <c r="G116" i="30"/>
  <c r="H116" i="30" s="1"/>
  <c r="J115" i="30"/>
  <c r="G115" i="30"/>
  <c r="H115" i="30" s="1"/>
  <c r="J114" i="30"/>
  <c r="G114" i="30"/>
  <c r="H114" i="30" s="1"/>
  <c r="J113" i="30"/>
  <c r="G113" i="30"/>
  <c r="H113" i="30" s="1"/>
  <c r="J112" i="30"/>
  <c r="G112" i="30"/>
  <c r="H112" i="30" s="1"/>
  <c r="J111" i="30"/>
  <c r="G111" i="30"/>
  <c r="H111" i="30" s="1"/>
  <c r="J110" i="30"/>
  <c r="G110" i="30"/>
  <c r="H110" i="30" s="1"/>
  <c r="J109" i="30"/>
  <c r="G109" i="30"/>
  <c r="H109" i="30" s="1"/>
  <c r="J108" i="30"/>
  <c r="G108" i="30"/>
  <c r="H108" i="30" s="1"/>
  <c r="J107" i="30"/>
  <c r="G107" i="30"/>
  <c r="H107" i="30" s="1"/>
  <c r="J106" i="30"/>
  <c r="G106" i="30"/>
  <c r="H106" i="30" s="1"/>
  <c r="J105" i="30"/>
  <c r="G105" i="30"/>
  <c r="H105" i="30" s="1"/>
  <c r="J104" i="30"/>
  <c r="G104" i="30"/>
  <c r="H104" i="30" s="1"/>
  <c r="J103" i="30"/>
  <c r="G103" i="30"/>
  <c r="H103" i="30" s="1"/>
  <c r="J102" i="30"/>
  <c r="G102" i="30"/>
  <c r="H102" i="30" s="1"/>
  <c r="J101" i="30"/>
  <c r="G101" i="30"/>
  <c r="H101" i="30" s="1"/>
  <c r="J100" i="30"/>
  <c r="G100" i="30"/>
  <c r="H100" i="30" s="1"/>
  <c r="J99" i="30"/>
  <c r="G99" i="30"/>
  <c r="H99" i="30" s="1"/>
  <c r="J98" i="30"/>
  <c r="G98" i="30"/>
  <c r="H98" i="30" s="1"/>
  <c r="J97" i="30"/>
  <c r="G97" i="30"/>
  <c r="H97" i="30" s="1"/>
  <c r="J96" i="30"/>
  <c r="G96" i="30"/>
  <c r="H96" i="30" s="1"/>
  <c r="J95" i="30"/>
  <c r="G95" i="30"/>
  <c r="H95" i="30" s="1"/>
  <c r="J94" i="30"/>
  <c r="G94" i="30"/>
  <c r="H94" i="30" s="1"/>
  <c r="J93" i="30"/>
  <c r="G93" i="30"/>
  <c r="H93" i="30" s="1"/>
  <c r="J92" i="30"/>
  <c r="G92" i="30"/>
  <c r="H92" i="30" s="1"/>
  <c r="J91" i="30"/>
  <c r="G91" i="30"/>
  <c r="H91" i="30" s="1"/>
  <c r="J90" i="30"/>
  <c r="G90" i="30"/>
  <c r="H90" i="30" s="1"/>
  <c r="J89" i="30"/>
  <c r="G89" i="30"/>
  <c r="H89" i="30" s="1"/>
  <c r="J88" i="30"/>
  <c r="G88" i="30"/>
  <c r="H88" i="30" s="1"/>
  <c r="J87" i="30"/>
  <c r="G87" i="30"/>
  <c r="H87" i="30" s="1"/>
  <c r="J86" i="30"/>
  <c r="G86" i="30"/>
  <c r="H86" i="30" s="1"/>
  <c r="J85" i="30"/>
  <c r="G85" i="30"/>
  <c r="H85" i="30" s="1"/>
  <c r="J84" i="30"/>
  <c r="G84" i="30"/>
  <c r="H84" i="30" s="1"/>
  <c r="J83" i="30"/>
  <c r="G83" i="30"/>
  <c r="H83" i="30" s="1"/>
  <c r="J82" i="30"/>
  <c r="G82" i="30"/>
  <c r="H82" i="30" s="1"/>
  <c r="J81" i="30"/>
  <c r="G81" i="30"/>
  <c r="H81" i="30" s="1"/>
  <c r="J80" i="30"/>
  <c r="G80" i="30"/>
  <c r="H80" i="30" s="1"/>
  <c r="J79" i="30"/>
  <c r="G79" i="30"/>
  <c r="H79" i="30" s="1"/>
  <c r="J78" i="30"/>
  <c r="G78" i="30"/>
  <c r="H78" i="30" s="1"/>
  <c r="J77" i="30"/>
  <c r="G77" i="30"/>
  <c r="H77" i="30" s="1"/>
  <c r="J76" i="30"/>
  <c r="G76" i="30"/>
  <c r="H76" i="30" s="1"/>
  <c r="J75" i="30"/>
  <c r="G75" i="30"/>
  <c r="H75" i="30" s="1"/>
  <c r="J74" i="30"/>
  <c r="G74" i="30"/>
  <c r="H74" i="30" s="1"/>
  <c r="J73" i="30"/>
  <c r="G73" i="30"/>
  <c r="H73" i="30" s="1"/>
  <c r="J72" i="30"/>
  <c r="G72" i="30"/>
  <c r="H72" i="30" s="1"/>
  <c r="J71" i="30"/>
  <c r="G71" i="30"/>
  <c r="H71" i="30" s="1"/>
  <c r="J70" i="30"/>
  <c r="G70" i="30"/>
  <c r="H70" i="30" s="1"/>
  <c r="J69" i="30"/>
  <c r="G69" i="30"/>
  <c r="H69" i="30" s="1"/>
  <c r="J68" i="30"/>
  <c r="G68" i="30"/>
  <c r="H68" i="30" s="1"/>
  <c r="J67" i="30"/>
  <c r="G67" i="30"/>
  <c r="H67" i="30" s="1"/>
  <c r="J66" i="30"/>
  <c r="G66" i="30"/>
  <c r="H66" i="30" s="1"/>
  <c r="J65" i="30"/>
  <c r="G65" i="30"/>
  <c r="H65" i="30" s="1"/>
  <c r="J64" i="30"/>
  <c r="G64" i="30"/>
  <c r="H64" i="30" s="1"/>
  <c r="J63" i="30"/>
  <c r="G63" i="30"/>
  <c r="H63" i="30" s="1"/>
  <c r="J62" i="30"/>
  <c r="G62" i="30"/>
  <c r="H62" i="30" s="1"/>
  <c r="J61" i="30"/>
  <c r="G61" i="30"/>
  <c r="H61" i="30" s="1"/>
  <c r="J60" i="30"/>
  <c r="G60" i="30"/>
  <c r="H60" i="30" s="1"/>
  <c r="J59" i="30"/>
  <c r="G59" i="30"/>
  <c r="H59" i="30" s="1"/>
  <c r="J58" i="30"/>
  <c r="G58" i="30"/>
  <c r="H58" i="30" s="1"/>
  <c r="J57" i="30"/>
  <c r="G57" i="30"/>
  <c r="H57" i="30" s="1"/>
  <c r="J56" i="30"/>
  <c r="G56" i="30"/>
  <c r="H56" i="30" s="1"/>
  <c r="J55" i="30"/>
  <c r="G55" i="30"/>
  <c r="H55" i="30" s="1"/>
  <c r="J54" i="30"/>
  <c r="G54" i="30"/>
  <c r="H54" i="30" s="1"/>
  <c r="J53" i="30"/>
  <c r="G53" i="30"/>
  <c r="H53" i="30" s="1"/>
  <c r="J52" i="30"/>
  <c r="G52" i="30"/>
  <c r="H52" i="30" s="1"/>
  <c r="J51" i="30"/>
  <c r="G51" i="30"/>
  <c r="H51" i="30" s="1"/>
  <c r="J50" i="30"/>
  <c r="G50" i="30"/>
  <c r="H50" i="30" s="1"/>
  <c r="J49" i="30"/>
  <c r="G49" i="30"/>
  <c r="H49" i="30" s="1"/>
  <c r="J48" i="30"/>
  <c r="G48" i="30"/>
  <c r="H48" i="30" s="1"/>
  <c r="J47" i="30"/>
  <c r="G47" i="30"/>
  <c r="H47" i="30" s="1"/>
  <c r="J46" i="30"/>
  <c r="G46" i="30"/>
  <c r="H46" i="30" s="1"/>
  <c r="J45" i="30"/>
  <c r="G45" i="30"/>
  <c r="H45" i="30" s="1"/>
  <c r="J44" i="30"/>
  <c r="G44" i="30"/>
  <c r="H44" i="30" s="1"/>
  <c r="J43" i="30"/>
  <c r="G43" i="30"/>
  <c r="H43" i="30" s="1"/>
  <c r="J42" i="30"/>
  <c r="G42" i="30"/>
  <c r="H42" i="30" s="1"/>
  <c r="J41" i="30"/>
  <c r="G41" i="30"/>
  <c r="H41" i="30" s="1"/>
  <c r="J40" i="30"/>
  <c r="G40" i="30"/>
  <c r="H40" i="30" s="1"/>
  <c r="J39" i="30"/>
  <c r="G39" i="30"/>
  <c r="H39" i="30" s="1"/>
  <c r="J38" i="30"/>
  <c r="G38" i="30"/>
  <c r="H38" i="30" s="1"/>
  <c r="J37" i="30"/>
  <c r="G37" i="30"/>
  <c r="H37" i="30" s="1"/>
  <c r="J36" i="30"/>
  <c r="G36" i="30"/>
  <c r="H36" i="30" s="1"/>
  <c r="J35" i="30"/>
  <c r="G35" i="30"/>
  <c r="H35" i="30" s="1"/>
  <c r="J34" i="30"/>
  <c r="G34" i="30"/>
  <c r="H34" i="30" s="1"/>
  <c r="J33" i="30"/>
  <c r="G33" i="30"/>
  <c r="H33" i="30" s="1"/>
  <c r="J32" i="30"/>
  <c r="G32" i="30"/>
  <c r="H32" i="30" s="1"/>
  <c r="J31" i="30"/>
  <c r="G31" i="30"/>
  <c r="H31" i="30" s="1"/>
  <c r="J30" i="30"/>
  <c r="G30" i="30"/>
  <c r="H30" i="30" s="1"/>
  <c r="J29" i="30"/>
  <c r="G29" i="30"/>
  <c r="H29" i="30" s="1"/>
  <c r="J28" i="30"/>
  <c r="G28" i="30"/>
  <c r="H28" i="30" s="1"/>
  <c r="J27" i="30"/>
  <c r="G27" i="30"/>
  <c r="H27" i="30" s="1"/>
  <c r="J26" i="30"/>
  <c r="G26" i="30"/>
  <c r="H26" i="30" s="1"/>
  <c r="J25" i="30"/>
  <c r="G25" i="30"/>
  <c r="H25" i="30" s="1"/>
  <c r="J24" i="30"/>
  <c r="G24" i="30"/>
  <c r="H24" i="30" s="1"/>
  <c r="J23" i="30"/>
  <c r="G23" i="30"/>
  <c r="H23" i="30" s="1"/>
  <c r="J22" i="30"/>
  <c r="G22" i="30"/>
  <c r="H22" i="30" s="1"/>
  <c r="J21" i="30"/>
  <c r="G21" i="30"/>
  <c r="H21" i="30" s="1"/>
  <c r="J20" i="30"/>
  <c r="G20" i="30"/>
  <c r="H20" i="30" s="1"/>
  <c r="P17" i="30"/>
  <c r="J19" i="30"/>
  <c r="G19" i="30"/>
  <c r="H19" i="30" s="1"/>
  <c r="P16" i="30"/>
  <c r="J18" i="30"/>
  <c r="G18" i="30"/>
  <c r="H18" i="30" s="1"/>
  <c r="P15" i="30"/>
  <c r="J17" i="30"/>
  <c r="G17" i="30"/>
  <c r="H17" i="30" s="1"/>
  <c r="J16" i="30"/>
  <c r="G16" i="30"/>
  <c r="H16" i="30" s="1"/>
  <c r="J15" i="30"/>
  <c r="G15" i="30"/>
  <c r="H15" i="30" s="1"/>
  <c r="J14" i="30"/>
  <c r="G14" i="30"/>
  <c r="H14" i="30" s="1"/>
  <c r="J13" i="30"/>
  <c r="G13" i="30"/>
  <c r="H13" i="30" s="1"/>
  <c r="J12" i="30"/>
  <c r="G12" i="30"/>
  <c r="H12" i="30" s="1"/>
  <c r="P10" i="30"/>
  <c r="J11" i="30"/>
  <c r="G11" i="30"/>
  <c r="H11" i="30" s="1"/>
  <c r="J10" i="30"/>
  <c r="G10" i="30"/>
  <c r="H10" i="30" s="1"/>
  <c r="P8" i="30"/>
  <c r="J9" i="30"/>
  <c r="G9" i="30"/>
  <c r="H9" i="30" s="1"/>
  <c r="J8" i="30"/>
  <c r="G8" i="30"/>
  <c r="H8" i="30" s="1"/>
  <c r="P5" i="30"/>
  <c r="J7" i="30"/>
  <c r="G7" i="30"/>
  <c r="H7" i="30" s="1"/>
  <c r="P4" i="30"/>
  <c r="J6" i="30"/>
  <c r="G6" i="30"/>
  <c r="H6" i="30" s="1"/>
  <c r="P3" i="30"/>
  <c r="T5" i="30" s="1"/>
  <c r="V9" i="30" s="1"/>
  <c r="W9" i="30" s="1"/>
  <c r="J5" i="30"/>
  <c r="G5" i="30"/>
  <c r="H5" i="30" s="1"/>
  <c r="J4" i="30"/>
  <c r="G4" i="30"/>
  <c r="J226" i="29"/>
  <c r="G226" i="29"/>
  <c r="H226" i="29" s="1"/>
  <c r="J225" i="29"/>
  <c r="G225" i="29"/>
  <c r="H225" i="29" s="1"/>
  <c r="J224" i="29"/>
  <c r="G224" i="29"/>
  <c r="H224" i="29" s="1"/>
  <c r="J223" i="29"/>
  <c r="G223" i="29"/>
  <c r="H223" i="29" s="1"/>
  <c r="J222" i="29"/>
  <c r="G222" i="29"/>
  <c r="H222" i="29" s="1"/>
  <c r="J221" i="29"/>
  <c r="G221" i="29"/>
  <c r="H221" i="29" s="1"/>
  <c r="J220" i="29"/>
  <c r="G220" i="29"/>
  <c r="H220" i="29" s="1"/>
  <c r="J219" i="29"/>
  <c r="G219" i="29"/>
  <c r="H219" i="29" s="1"/>
  <c r="J218" i="29"/>
  <c r="G218" i="29"/>
  <c r="H218" i="29" s="1"/>
  <c r="J217" i="29"/>
  <c r="G217" i="29"/>
  <c r="H217" i="29" s="1"/>
  <c r="J216" i="29"/>
  <c r="G216" i="29"/>
  <c r="H216" i="29" s="1"/>
  <c r="J215" i="29"/>
  <c r="G215" i="29"/>
  <c r="H215" i="29" s="1"/>
  <c r="J214" i="29"/>
  <c r="G214" i="29"/>
  <c r="H214" i="29" s="1"/>
  <c r="J213" i="29"/>
  <c r="G213" i="29"/>
  <c r="H213" i="29" s="1"/>
  <c r="J212" i="29"/>
  <c r="G212" i="29"/>
  <c r="H212" i="29" s="1"/>
  <c r="J211" i="29"/>
  <c r="G211" i="29"/>
  <c r="H211" i="29" s="1"/>
  <c r="J210" i="29"/>
  <c r="G210" i="29"/>
  <c r="H210" i="29" s="1"/>
  <c r="J209" i="29"/>
  <c r="G209" i="29"/>
  <c r="H209" i="29" s="1"/>
  <c r="J208" i="29"/>
  <c r="G208" i="29"/>
  <c r="H208" i="29" s="1"/>
  <c r="J207" i="29"/>
  <c r="G207" i="29"/>
  <c r="H207" i="29" s="1"/>
  <c r="J206" i="29"/>
  <c r="G206" i="29"/>
  <c r="H206" i="29" s="1"/>
  <c r="J205" i="29"/>
  <c r="G205" i="29"/>
  <c r="H205" i="29" s="1"/>
  <c r="J204" i="29"/>
  <c r="G204" i="29"/>
  <c r="H204" i="29" s="1"/>
  <c r="J203" i="29"/>
  <c r="G203" i="29"/>
  <c r="H203" i="29" s="1"/>
  <c r="J202" i="29"/>
  <c r="G202" i="29"/>
  <c r="H202" i="29" s="1"/>
  <c r="J201" i="29"/>
  <c r="G201" i="29"/>
  <c r="H201" i="29" s="1"/>
  <c r="J200" i="29"/>
  <c r="G200" i="29"/>
  <c r="H200" i="29" s="1"/>
  <c r="J199" i="29"/>
  <c r="G199" i="29"/>
  <c r="H199" i="29" s="1"/>
  <c r="J198" i="29"/>
  <c r="G198" i="29"/>
  <c r="H198" i="29" s="1"/>
  <c r="J197" i="29"/>
  <c r="G197" i="29"/>
  <c r="H197" i="29" s="1"/>
  <c r="J196" i="29"/>
  <c r="G196" i="29"/>
  <c r="H196" i="29" s="1"/>
  <c r="J195" i="29"/>
  <c r="G195" i="29"/>
  <c r="H195" i="29" s="1"/>
  <c r="J194" i="29"/>
  <c r="G194" i="29"/>
  <c r="H194" i="29" s="1"/>
  <c r="J193" i="29"/>
  <c r="G193" i="29"/>
  <c r="H193" i="29" s="1"/>
  <c r="J192" i="29"/>
  <c r="G192" i="29"/>
  <c r="H192" i="29" s="1"/>
  <c r="J191" i="29"/>
  <c r="G191" i="29"/>
  <c r="H191" i="29" s="1"/>
  <c r="J190" i="29"/>
  <c r="G190" i="29"/>
  <c r="H190" i="29" s="1"/>
  <c r="J189" i="29"/>
  <c r="G189" i="29"/>
  <c r="H189" i="29" s="1"/>
  <c r="J188" i="29"/>
  <c r="G188" i="29"/>
  <c r="H188" i="29" s="1"/>
  <c r="J187" i="29"/>
  <c r="G187" i="29"/>
  <c r="H187" i="29" s="1"/>
  <c r="J186" i="29"/>
  <c r="G186" i="29"/>
  <c r="H186" i="29" s="1"/>
  <c r="J185" i="29"/>
  <c r="G185" i="29"/>
  <c r="H185" i="29" s="1"/>
  <c r="J184" i="29"/>
  <c r="G184" i="29"/>
  <c r="H184" i="29" s="1"/>
  <c r="J183" i="29"/>
  <c r="G183" i="29"/>
  <c r="H183" i="29" s="1"/>
  <c r="J182" i="29"/>
  <c r="G182" i="29"/>
  <c r="H182" i="29" s="1"/>
  <c r="J181" i="29"/>
  <c r="G181" i="29"/>
  <c r="H181" i="29" s="1"/>
  <c r="J180" i="29"/>
  <c r="G180" i="29"/>
  <c r="H180" i="29" s="1"/>
  <c r="J179" i="29"/>
  <c r="G179" i="29"/>
  <c r="H179" i="29" s="1"/>
  <c r="J178" i="29"/>
  <c r="G178" i="29"/>
  <c r="H178" i="29" s="1"/>
  <c r="J177" i="29"/>
  <c r="G177" i="29"/>
  <c r="H177" i="29" s="1"/>
  <c r="J176" i="29"/>
  <c r="G176" i="29"/>
  <c r="H176" i="29" s="1"/>
  <c r="J175" i="29"/>
  <c r="G175" i="29"/>
  <c r="H175" i="29" s="1"/>
  <c r="J174" i="29"/>
  <c r="G174" i="29"/>
  <c r="H174" i="29" s="1"/>
  <c r="J173" i="29"/>
  <c r="G173" i="29"/>
  <c r="H173" i="29" s="1"/>
  <c r="J172" i="29"/>
  <c r="G172" i="29"/>
  <c r="H172" i="29" s="1"/>
  <c r="J171" i="29"/>
  <c r="G171" i="29"/>
  <c r="H171" i="29" s="1"/>
  <c r="J170" i="29"/>
  <c r="G170" i="29"/>
  <c r="H170" i="29" s="1"/>
  <c r="J169" i="29"/>
  <c r="G169" i="29"/>
  <c r="H169" i="29" s="1"/>
  <c r="J168" i="29"/>
  <c r="G168" i="29"/>
  <c r="H168" i="29" s="1"/>
  <c r="J167" i="29"/>
  <c r="G167" i="29"/>
  <c r="H167" i="29" s="1"/>
  <c r="J166" i="29"/>
  <c r="G166" i="29"/>
  <c r="H166" i="29" s="1"/>
  <c r="J165" i="29"/>
  <c r="G165" i="29"/>
  <c r="H165" i="29" s="1"/>
  <c r="J164" i="29"/>
  <c r="G164" i="29"/>
  <c r="H164" i="29" s="1"/>
  <c r="J163" i="29"/>
  <c r="G163" i="29"/>
  <c r="H163" i="29" s="1"/>
  <c r="J162" i="29"/>
  <c r="G162" i="29"/>
  <c r="H162" i="29" s="1"/>
  <c r="J161" i="29"/>
  <c r="G161" i="29"/>
  <c r="H161" i="29" s="1"/>
  <c r="J160" i="29"/>
  <c r="G160" i="29"/>
  <c r="H160" i="29" s="1"/>
  <c r="J159" i="29"/>
  <c r="G159" i="29"/>
  <c r="H159" i="29" s="1"/>
  <c r="J158" i="29"/>
  <c r="G158" i="29"/>
  <c r="H158" i="29" s="1"/>
  <c r="J157" i="29"/>
  <c r="G157" i="29"/>
  <c r="H157" i="29" s="1"/>
  <c r="J156" i="29"/>
  <c r="G156" i="29"/>
  <c r="H156" i="29" s="1"/>
  <c r="J155" i="29"/>
  <c r="G155" i="29"/>
  <c r="H155" i="29" s="1"/>
  <c r="J154" i="29"/>
  <c r="G154" i="29"/>
  <c r="H154" i="29" s="1"/>
  <c r="J153" i="29"/>
  <c r="G153" i="29"/>
  <c r="H153" i="29" s="1"/>
  <c r="J152" i="29"/>
  <c r="G152" i="29"/>
  <c r="H152" i="29" s="1"/>
  <c r="J151" i="29"/>
  <c r="G151" i="29"/>
  <c r="H151" i="29" s="1"/>
  <c r="J150" i="29"/>
  <c r="G150" i="29"/>
  <c r="H150" i="29" s="1"/>
  <c r="J149" i="29"/>
  <c r="G149" i="29"/>
  <c r="H149" i="29" s="1"/>
  <c r="J148" i="29"/>
  <c r="G148" i="29"/>
  <c r="H148" i="29" s="1"/>
  <c r="J147" i="29"/>
  <c r="G147" i="29"/>
  <c r="H147" i="29" s="1"/>
  <c r="J146" i="29"/>
  <c r="G146" i="29"/>
  <c r="H146" i="29" s="1"/>
  <c r="J145" i="29"/>
  <c r="G145" i="29"/>
  <c r="H145" i="29" s="1"/>
  <c r="J144" i="29"/>
  <c r="G144" i="29"/>
  <c r="H144" i="29" s="1"/>
  <c r="J143" i="29"/>
  <c r="G143" i="29"/>
  <c r="H143" i="29" s="1"/>
  <c r="J142" i="29"/>
  <c r="G142" i="29"/>
  <c r="H142" i="29" s="1"/>
  <c r="J141" i="29"/>
  <c r="G141" i="29"/>
  <c r="H141" i="29" s="1"/>
  <c r="J140" i="29"/>
  <c r="G140" i="29"/>
  <c r="H140" i="29" s="1"/>
  <c r="J139" i="29"/>
  <c r="G139" i="29"/>
  <c r="H139" i="29" s="1"/>
  <c r="J138" i="29"/>
  <c r="G138" i="29"/>
  <c r="H138" i="29" s="1"/>
  <c r="J137" i="29"/>
  <c r="G137" i="29"/>
  <c r="H137" i="29" s="1"/>
  <c r="J136" i="29"/>
  <c r="G136" i="29"/>
  <c r="H136" i="29" s="1"/>
  <c r="J135" i="29"/>
  <c r="G135" i="29"/>
  <c r="H135" i="29" s="1"/>
  <c r="J134" i="29"/>
  <c r="G134" i="29"/>
  <c r="H134" i="29" s="1"/>
  <c r="J133" i="29"/>
  <c r="G133" i="29"/>
  <c r="H133" i="29" s="1"/>
  <c r="J132" i="29"/>
  <c r="G132" i="29"/>
  <c r="H132" i="29" s="1"/>
  <c r="J131" i="29"/>
  <c r="G131" i="29"/>
  <c r="H131" i="29" s="1"/>
  <c r="J130" i="29"/>
  <c r="G130" i="29"/>
  <c r="H130" i="29" s="1"/>
  <c r="J129" i="29"/>
  <c r="G129" i="29"/>
  <c r="H129" i="29" s="1"/>
  <c r="J128" i="29"/>
  <c r="G128" i="29"/>
  <c r="H128" i="29" s="1"/>
  <c r="J127" i="29"/>
  <c r="G127" i="29"/>
  <c r="H127" i="29" s="1"/>
  <c r="J126" i="29"/>
  <c r="G126" i="29"/>
  <c r="H126" i="29" s="1"/>
  <c r="J125" i="29"/>
  <c r="G125" i="29"/>
  <c r="H125" i="29" s="1"/>
  <c r="J124" i="29"/>
  <c r="G124" i="29"/>
  <c r="H124" i="29" s="1"/>
  <c r="J123" i="29"/>
  <c r="G123" i="29"/>
  <c r="H123" i="29" s="1"/>
  <c r="J122" i="29"/>
  <c r="G122" i="29"/>
  <c r="H122" i="29" s="1"/>
  <c r="J121" i="29"/>
  <c r="G121" i="29"/>
  <c r="H121" i="29" s="1"/>
  <c r="J120" i="29"/>
  <c r="G120" i="29"/>
  <c r="H120" i="29" s="1"/>
  <c r="J119" i="29"/>
  <c r="G119" i="29"/>
  <c r="H119" i="29" s="1"/>
  <c r="J118" i="29"/>
  <c r="G118" i="29"/>
  <c r="H118" i="29" s="1"/>
  <c r="J117" i="29"/>
  <c r="G117" i="29"/>
  <c r="H117" i="29" s="1"/>
  <c r="J116" i="29"/>
  <c r="G116" i="29"/>
  <c r="H116" i="29" s="1"/>
  <c r="J115" i="29"/>
  <c r="G115" i="29"/>
  <c r="H115" i="29" s="1"/>
  <c r="J114" i="29"/>
  <c r="G114" i="29"/>
  <c r="H114" i="29" s="1"/>
  <c r="J113" i="29"/>
  <c r="G113" i="29"/>
  <c r="H113" i="29" s="1"/>
  <c r="J112" i="29"/>
  <c r="G112" i="29"/>
  <c r="H112" i="29" s="1"/>
  <c r="J111" i="29"/>
  <c r="G111" i="29"/>
  <c r="H111" i="29" s="1"/>
  <c r="J110" i="29"/>
  <c r="G110" i="29"/>
  <c r="H110" i="29" s="1"/>
  <c r="J109" i="29"/>
  <c r="G109" i="29"/>
  <c r="H109" i="29" s="1"/>
  <c r="J108" i="29"/>
  <c r="G108" i="29"/>
  <c r="H108" i="29" s="1"/>
  <c r="J107" i="29"/>
  <c r="G107" i="29"/>
  <c r="H107" i="29" s="1"/>
  <c r="J106" i="29"/>
  <c r="G106" i="29"/>
  <c r="H106" i="29" s="1"/>
  <c r="J105" i="29"/>
  <c r="G105" i="29"/>
  <c r="H105" i="29" s="1"/>
  <c r="J104" i="29"/>
  <c r="G104" i="29"/>
  <c r="H104" i="29" s="1"/>
  <c r="J103" i="29"/>
  <c r="G103" i="29"/>
  <c r="H103" i="29" s="1"/>
  <c r="J102" i="29"/>
  <c r="G102" i="29"/>
  <c r="H102" i="29" s="1"/>
  <c r="J101" i="29"/>
  <c r="G101" i="29"/>
  <c r="H101" i="29" s="1"/>
  <c r="J100" i="29"/>
  <c r="G100" i="29"/>
  <c r="H100" i="29" s="1"/>
  <c r="J99" i="29"/>
  <c r="G99" i="29"/>
  <c r="H99" i="29" s="1"/>
  <c r="J98" i="29"/>
  <c r="G98" i="29"/>
  <c r="H98" i="29" s="1"/>
  <c r="J97" i="29"/>
  <c r="G97" i="29"/>
  <c r="H97" i="29" s="1"/>
  <c r="J96" i="29"/>
  <c r="G96" i="29"/>
  <c r="H96" i="29" s="1"/>
  <c r="J95" i="29"/>
  <c r="G95" i="29"/>
  <c r="H95" i="29" s="1"/>
  <c r="J94" i="29"/>
  <c r="G94" i="29"/>
  <c r="H94" i="29" s="1"/>
  <c r="J93" i="29"/>
  <c r="G93" i="29"/>
  <c r="H93" i="29" s="1"/>
  <c r="J92" i="29"/>
  <c r="G92" i="29"/>
  <c r="H92" i="29" s="1"/>
  <c r="J91" i="29"/>
  <c r="G91" i="29"/>
  <c r="H91" i="29" s="1"/>
  <c r="J90" i="29"/>
  <c r="G90" i="29"/>
  <c r="H90" i="29" s="1"/>
  <c r="J89" i="29"/>
  <c r="G89" i="29"/>
  <c r="H89" i="29" s="1"/>
  <c r="J88" i="29"/>
  <c r="G88" i="29"/>
  <c r="H88" i="29" s="1"/>
  <c r="J87" i="29"/>
  <c r="G87" i="29"/>
  <c r="H87" i="29" s="1"/>
  <c r="J86" i="29"/>
  <c r="G86" i="29"/>
  <c r="H86" i="29" s="1"/>
  <c r="J85" i="29"/>
  <c r="G85" i="29"/>
  <c r="H85" i="29" s="1"/>
  <c r="J84" i="29"/>
  <c r="G84" i="29"/>
  <c r="H84" i="29" s="1"/>
  <c r="J83" i="29"/>
  <c r="G83" i="29"/>
  <c r="H83" i="29" s="1"/>
  <c r="J82" i="29"/>
  <c r="G82" i="29"/>
  <c r="H82" i="29" s="1"/>
  <c r="J81" i="29"/>
  <c r="G81" i="29"/>
  <c r="H81" i="29" s="1"/>
  <c r="J80" i="29"/>
  <c r="G80" i="29"/>
  <c r="H80" i="29" s="1"/>
  <c r="J79" i="29"/>
  <c r="G79" i="29"/>
  <c r="H79" i="29" s="1"/>
  <c r="J78" i="29"/>
  <c r="G78" i="29"/>
  <c r="H78" i="29" s="1"/>
  <c r="J77" i="29"/>
  <c r="G77" i="29"/>
  <c r="H77" i="29" s="1"/>
  <c r="J76" i="29"/>
  <c r="G76" i="29"/>
  <c r="H76" i="29" s="1"/>
  <c r="J75" i="29"/>
  <c r="G75" i="29"/>
  <c r="H75" i="29" s="1"/>
  <c r="J74" i="29"/>
  <c r="G74" i="29"/>
  <c r="H74" i="29" s="1"/>
  <c r="J73" i="29"/>
  <c r="G73" i="29"/>
  <c r="H73" i="29" s="1"/>
  <c r="J72" i="29"/>
  <c r="G72" i="29"/>
  <c r="H72" i="29" s="1"/>
  <c r="J71" i="29"/>
  <c r="G71" i="29"/>
  <c r="H71" i="29" s="1"/>
  <c r="J70" i="29"/>
  <c r="G70" i="29"/>
  <c r="H70" i="29" s="1"/>
  <c r="J69" i="29"/>
  <c r="G69" i="29"/>
  <c r="H69" i="29" s="1"/>
  <c r="J68" i="29"/>
  <c r="G68" i="29"/>
  <c r="H68" i="29" s="1"/>
  <c r="J67" i="29"/>
  <c r="G67" i="29"/>
  <c r="H67" i="29" s="1"/>
  <c r="J66" i="29"/>
  <c r="G66" i="29"/>
  <c r="H66" i="29" s="1"/>
  <c r="J65" i="29"/>
  <c r="G65" i="29"/>
  <c r="H65" i="29" s="1"/>
  <c r="J64" i="29"/>
  <c r="G64" i="29"/>
  <c r="H64" i="29" s="1"/>
  <c r="J63" i="29"/>
  <c r="G63" i="29"/>
  <c r="H63" i="29" s="1"/>
  <c r="J62" i="29"/>
  <c r="G62" i="29"/>
  <c r="H62" i="29" s="1"/>
  <c r="J61" i="29"/>
  <c r="G61" i="29"/>
  <c r="H61" i="29" s="1"/>
  <c r="J60" i="29"/>
  <c r="G60" i="29"/>
  <c r="H60" i="29" s="1"/>
  <c r="J59" i="29"/>
  <c r="G59" i="29"/>
  <c r="H59" i="29" s="1"/>
  <c r="J58" i="29"/>
  <c r="G58" i="29"/>
  <c r="H58" i="29" s="1"/>
  <c r="J57" i="29"/>
  <c r="G57" i="29"/>
  <c r="H57" i="29" s="1"/>
  <c r="J56" i="29"/>
  <c r="G56" i="29"/>
  <c r="H56" i="29" s="1"/>
  <c r="J55" i="29"/>
  <c r="G55" i="29"/>
  <c r="H55" i="29" s="1"/>
  <c r="J54" i="29"/>
  <c r="G54" i="29"/>
  <c r="H54" i="29" s="1"/>
  <c r="J53" i="29"/>
  <c r="G53" i="29"/>
  <c r="H53" i="29" s="1"/>
  <c r="J52" i="29"/>
  <c r="G52" i="29"/>
  <c r="H52" i="29" s="1"/>
  <c r="J51" i="29"/>
  <c r="G51" i="29"/>
  <c r="H51" i="29" s="1"/>
  <c r="J50" i="29"/>
  <c r="G50" i="29"/>
  <c r="H50" i="29" s="1"/>
  <c r="J49" i="29"/>
  <c r="G49" i="29"/>
  <c r="H49" i="29" s="1"/>
  <c r="J48" i="29"/>
  <c r="G48" i="29"/>
  <c r="H48" i="29" s="1"/>
  <c r="J47" i="29"/>
  <c r="G47" i="29"/>
  <c r="H47" i="29" s="1"/>
  <c r="J46" i="29"/>
  <c r="G46" i="29"/>
  <c r="H46" i="29" s="1"/>
  <c r="J45" i="29"/>
  <c r="G45" i="29"/>
  <c r="H45" i="29" s="1"/>
  <c r="J44" i="29"/>
  <c r="G44" i="29"/>
  <c r="H44" i="29" s="1"/>
  <c r="J43" i="29"/>
  <c r="G43" i="29"/>
  <c r="H43" i="29" s="1"/>
  <c r="J42" i="29"/>
  <c r="G42" i="29"/>
  <c r="H42" i="29" s="1"/>
  <c r="J41" i="29"/>
  <c r="G41" i="29"/>
  <c r="H41" i="29" s="1"/>
  <c r="J40" i="29"/>
  <c r="G40" i="29"/>
  <c r="H40" i="29" s="1"/>
  <c r="J39" i="29"/>
  <c r="G39" i="29"/>
  <c r="H39" i="29" s="1"/>
  <c r="J38" i="29"/>
  <c r="G38" i="29"/>
  <c r="H38" i="29" s="1"/>
  <c r="J37" i="29"/>
  <c r="G37" i="29"/>
  <c r="H37" i="29" s="1"/>
  <c r="J36" i="29"/>
  <c r="G36" i="29"/>
  <c r="H36" i="29" s="1"/>
  <c r="J35" i="29"/>
  <c r="G35" i="29"/>
  <c r="H35" i="29" s="1"/>
  <c r="J34" i="29"/>
  <c r="G34" i="29"/>
  <c r="H34" i="29" s="1"/>
  <c r="J33" i="29"/>
  <c r="G33" i="29"/>
  <c r="H33" i="29" s="1"/>
  <c r="J32" i="29"/>
  <c r="G32" i="29"/>
  <c r="H32" i="29" s="1"/>
  <c r="J31" i="29"/>
  <c r="G31" i="29"/>
  <c r="H31" i="29" s="1"/>
  <c r="J30" i="29"/>
  <c r="G30" i="29"/>
  <c r="H30" i="29" s="1"/>
  <c r="J29" i="29"/>
  <c r="G29" i="29"/>
  <c r="H29" i="29" s="1"/>
  <c r="J28" i="29"/>
  <c r="G28" i="29"/>
  <c r="H28" i="29" s="1"/>
  <c r="J27" i="29"/>
  <c r="G27" i="29"/>
  <c r="H27" i="29" s="1"/>
  <c r="J26" i="29"/>
  <c r="G26" i="29"/>
  <c r="H26" i="29" s="1"/>
  <c r="J25" i="29"/>
  <c r="G25" i="29"/>
  <c r="H25" i="29" s="1"/>
  <c r="J24" i="29"/>
  <c r="G24" i="29"/>
  <c r="H24" i="29" s="1"/>
  <c r="J23" i="29"/>
  <c r="G23" i="29"/>
  <c r="H23" i="29" s="1"/>
  <c r="J22" i="29"/>
  <c r="G22" i="29"/>
  <c r="H22" i="29" s="1"/>
  <c r="J21" i="29"/>
  <c r="G21" i="29"/>
  <c r="H21" i="29" s="1"/>
  <c r="J20" i="29"/>
  <c r="G20" i="29"/>
  <c r="H20" i="29" s="1"/>
  <c r="P17" i="29"/>
  <c r="J19" i="29"/>
  <c r="G19" i="29"/>
  <c r="H19" i="29" s="1"/>
  <c r="P16" i="29"/>
  <c r="J18" i="29"/>
  <c r="G18" i="29"/>
  <c r="H18" i="29" s="1"/>
  <c r="P15" i="29"/>
  <c r="J17" i="29"/>
  <c r="G17" i="29"/>
  <c r="H17" i="29" s="1"/>
  <c r="J16" i="29"/>
  <c r="G16" i="29"/>
  <c r="H16" i="29" s="1"/>
  <c r="J15" i="29"/>
  <c r="G15" i="29"/>
  <c r="H15" i="29" s="1"/>
  <c r="J14" i="29"/>
  <c r="G14" i="29"/>
  <c r="H14" i="29" s="1"/>
  <c r="J13" i="29"/>
  <c r="G13" i="29"/>
  <c r="H13" i="29" s="1"/>
  <c r="J12" i="29"/>
  <c r="G12" i="29"/>
  <c r="H12" i="29" s="1"/>
  <c r="P10" i="29"/>
  <c r="J11" i="29"/>
  <c r="G11" i="29"/>
  <c r="H11" i="29" s="1"/>
  <c r="J10" i="29"/>
  <c r="G10" i="29"/>
  <c r="H10" i="29" s="1"/>
  <c r="P8" i="29"/>
  <c r="J9" i="29"/>
  <c r="G9" i="29"/>
  <c r="H9" i="29" s="1"/>
  <c r="J8" i="29"/>
  <c r="G8" i="29"/>
  <c r="H8" i="29" s="1"/>
  <c r="P5" i="29"/>
  <c r="J7" i="29"/>
  <c r="P4" i="29"/>
  <c r="J6" i="29"/>
  <c r="G6" i="29"/>
  <c r="H6" i="29" s="1"/>
  <c r="P3" i="29"/>
  <c r="T5" i="29" s="1"/>
  <c r="V9" i="29" s="1"/>
  <c r="W9" i="29" s="1"/>
  <c r="J5" i="29"/>
  <c r="G5" i="29"/>
  <c r="H5" i="29" s="1"/>
  <c r="J4" i="29"/>
  <c r="G4" i="29"/>
  <c r="J226" i="28"/>
  <c r="G226" i="28"/>
  <c r="H226" i="28" s="1"/>
  <c r="J225" i="28"/>
  <c r="G225" i="28"/>
  <c r="H225" i="28" s="1"/>
  <c r="J224" i="28"/>
  <c r="G224" i="28"/>
  <c r="H224" i="28" s="1"/>
  <c r="J223" i="28"/>
  <c r="G223" i="28"/>
  <c r="H223" i="28" s="1"/>
  <c r="J222" i="28"/>
  <c r="G222" i="28"/>
  <c r="H222" i="28" s="1"/>
  <c r="J221" i="28"/>
  <c r="G221" i="28"/>
  <c r="H221" i="28" s="1"/>
  <c r="J220" i="28"/>
  <c r="G220" i="28"/>
  <c r="H220" i="28" s="1"/>
  <c r="J219" i="28"/>
  <c r="G219" i="28"/>
  <c r="H219" i="28" s="1"/>
  <c r="J218" i="28"/>
  <c r="G218" i="28"/>
  <c r="H218" i="28" s="1"/>
  <c r="J217" i="28"/>
  <c r="G217" i="28"/>
  <c r="H217" i="28" s="1"/>
  <c r="J216" i="28"/>
  <c r="G216" i="28"/>
  <c r="H216" i="28" s="1"/>
  <c r="J215" i="28"/>
  <c r="G215" i="28"/>
  <c r="H215" i="28" s="1"/>
  <c r="J214" i="28"/>
  <c r="G214" i="28"/>
  <c r="H214" i="28" s="1"/>
  <c r="J213" i="28"/>
  <c r="G213" i="28"/>
  <c r="H213" i="28" s="1"/>
  <c r="J212" i="28"/>
  <c r="G212" i="28"/>
  <c r="H212" i="28" s="1"/>
  <c r="J211" i="28"/>
  <c r="G211" i="28"/>
  <c r="H211" i="28" s="1"/>
  <c r="J210" i="28"/>
  <c r="G210" i="28"/>
  <c r="H210" i="28" s="1"/>
  <c r="J209" i="28"/>
  <c r="G209" i="28"/>
  <c r="H209" i="28" s="1"/>
  <c r="J208" i="28"/>
  <c r="G208" i="28"/>
  <c r="H208" i="28" s="1"/>
  <c r="J207" i="28"/>
  <c r="G207" i="28"/>
  <c r="H207" i="28" s="1"/>
  <c r="J206" i="28"/>
  <c r="G206" i="28"/>
  <c r="H206" i="28" s="1"/>
  <c r="J205" i="28"/>
  <c r="G205" i="28"/>
  <c r="H205" i="28" s="1"/>
  <c r="J204" i="28"/>
  <c r="G204" i="28"/>
  <c r="H204" i="28" s="1"/>
  <c r="J203" i="28"/>
  <c r="G203" i="28"/>
  <c r="H203" i="28" s="1"/>
  <c r="J202" i="28"/>
  <c r="G202" i="28"/>
  <c r="H202" i="28" s="1"/>
  <c r="J201" i="28"/>
  <c r="G201" i="28"/>
  <c r="H201" i="28" s="1"/>
  <c r="J200" i="28"/>
  <c r="G200" i="28"/>
  <c r="H200" i="28" s="1"/>
  <c r="J199" i="28"/>
  <c r="G199" i="28"/>
  <c r="H199" i="28" s="1"/>
  <c r="J198" i="28"/>
  <c r="G198" i="28"/>
  <c r="H198" i="28" s="1"/>
  <c r="J197" i="28"/>
  <c r="G197" i="28"/>
  <c r="H197" i="28" s="1"/>
  <c r="J196" i="28"/>
  <c r="G196" i="28"/>
  <c r="H196" i="28" s="1"/>
  <c r="J195" i="28"/>
  <c r="G195" i="28"/>
  <c r="H195" i="28" s="1"/>
  <c r="J194" i="28"/>
  <c r="G194" i="28"/>
  <c r="H194" i="28" s="1"/>
  <c r="J193" i="28"/>
  <c r="G193" i="28"/>
  <c r="H193" i="28" s="1"/>
  <c r="J192" i="28"/>
  <c r="G192" i="28"/>
  <c r="H192" i="28" s="1"/>
  <c r="J191" i="28"/>
  <c r="G191" i="28"/>
  <c r="H191" i="28" s="1"/>
  <c r="J190" i="28"/>
  <c r="G190" i="28"/>
  <c r="H190" i="28" s="1"/>
  <c r="J189" i="28"/>
  <c r="G189" i="28"/>
  <c r="H189" i="28" s="1"/>
  <c r="J188" i="28"/>
  <c r="G188" i="28"/>
  <c r="H188" i="28" s="1"/>
  <c r="J187" i="28"/>
  <c r="G187" i="28"/>
  <c r="H187" i="28" s="1"/>
  <c r="J186" i="28"/>
  <c r="G186" i="28"/>
  <c r="H186" i="28" s="1"/>
  <c r="J185" i="28"/>
  <c r="G185" i="28"/>
  <c r="H185" i="28" s="1"/>
  <c r="J184" i="28"/>
  <c r="G184" i="28"/>
  <c r="H184" i="28" s="1"/>
  <c r="J183" i="28"/>
  <c r="G183" i="28"/>
  <c r="H183" i="28" s="1"/>
  <c r="J182" i="28"/>
  <c r="G182" i="28"/>
  <c r="H182" i="28" s="1"/>
  <c r="J181" i="28"/>
  <c r="G181" i="28"/>
  <c r="H181" i="28" s="1"/>
  <c r="J180" i="28"/>
  <c r="G180" i="28"/>
  <c r="H180" i="28" s="1"/>
  <c r="J179" i="28"/>
  <c r="G179" i="28"/>
  <c r="H179" i="28" s="1"/>
  <c r="J178" i="28"/>
  <c r="G178" i="28"/>
  <c r="H178" i="28" s="1"/>
  <c r="J177" i="28"/>
  <c r="G177" i="28"/>
  <c r="H177" i="28" s="1"/>
  <c r="J176" i="28"/>
  <c r="G176" i="28"/>
  <c r="H176" i="28" s="1"/>
  <c r="J175" i="28"/>
  <c r="G175" i="28"/>
  <c r="H175" i="28" s="1"/>
  <c r="J174" i="28"/>
  <c r="G174" i="28"/>
  <c r="H174" i="28" s="1"/>
  <c r="J173" i="28"/>
  <c r="G173" i="28"/>
  <c r="H173" i="28" s="1"/>
  <c r="J172" i="28"/>
  <c r="G172" i="28"/>
  <c r="H172" i="28" s="1"/>
  <c r="J171" i="28"/>
  <c r="G171" i="28"/>
  <c r="H171" i="28" s="1"/>
  <c r="J170" i="28"/>
  <c r="G170" i="28"/>
  <c r="H170" i="28" s="1"/>
  <c r="J169" i="28"/>
  <c r="G169" i="28"/>
  <c r="H169" i="28" s="1"/>
  <c r="J168" i="28"/>
  <c r="G168" i="28"/>
  <c r="H168" i="28" s="1"/>
  <c r="J167" i="28"/>
  <c r="G167" i="28"/>
  <c r="H167" i="28" s="1"/>
  <c r="J166" i="28"/>
  <c r="G166" i="28"/>
  <c r="H166" i="28" s="1"/>
  <c r="J165" i="28"/>
  <c r="G165" i="28"/>
  <c r="H165" i="28" s="1"/>
  <c r="J164" i="28"/>
  <c r="G164" i="28"/>
  <c r="H164" i="28" s="1"/>
  <c r="J163" i="28"/>
  <c r="G163" i="28"/>
  <c r="H163" i="28" s="1"/>
  <c r="J162" i="28"/>
  <c r="G162" i="28"/>
  <c r="H162" i="28" s="1"/>
  <c r="J161" i="28"/>
  <c r="G161" i="28"/>
  <c r="H161" i="28" s="1"/>
  <c r="J160" i="28"/>
  <c r="G160" i="28"/>
  <c r="H160" i="28" s="1"/>
  <c r="J159" i="28"/>
  <c r="G159" i="28"/>
  <c r="H159" i="28" s="1"/>
  <c r="J158" i="28"/>
  <c r="G158" i="28"/>
  <c r="H158" i="28" s="1"/>
  <c r="J157" i="28"/>
  <c r="G157" i="28"/>
  <c r="H157" i="28" s="1"/>
  <c r="J156" i="28"/>
  <c r="G156" i="28"/>
  <c r="H156" i="28" s="1"/>
  <c r="J155" i="28"/>
  <c r="G155" i="28"/>
  <c r="H155" i="28" s="1"/>
  <c r="J154" i="28"/>
  <c r="G154" i="28"/>
  <c r="H154" i="28" s="1"/>
  <c r="J153" i="28"/>
  <c r="G153" i="28"/>
  <c r="H153" i="28" s="1"/>
  <c r="J152" i="28"/>
  <c r="G152" i="28"/>
  <c r="H152" i="28" s="1"/>
  <c r="J151" i="28"/>
  <c r="G151" i="28"/>
  <c r="H151" i="28" s="1"/>
  <c r="J150" i="28"/>
  <c r="G150" i="28"/>
  <c r="H150" i="28" s="1"/>
  <c r="J149" i="28"/>
  <c r="G149" i="28"/>
  <c r="H149" i="28" s="1"/>
  <c r="J148" i="28"/>
  <c r="G148" i="28"/>
  <c r="H148" i="28" s="1"/>
  <c r="J147" i="28"/>
  <c r="G147" i="28"/>
  <c r="H147" i="28" s="1"/>
  <c r="J146" i="28"/>
  <c r="G146" i="28"/>
  <c r="H146" i="28" s="1"/>
  <c r="J145" i="28"/>
  <c r="G145" i="28"/>
  <c r="H145" i="28" s="1"/>
  <c r="J144" i="28"/>
  <c r="G144" i="28"/>
  <c r="H144" i="28" s="1"/>
  <c r="J143" i="28"/>
  <c r="G143" i="28"/>
  <c r="H143" i="28" s="1"/>
  <c r="J142" i="28"/>
  <c r="G142" i="28"/>
  <c r="H142" i="28" s="1"/>
  <c r="J141" i="28"/>
  <c r="G141" i="28"/>
  <c r="H141" i="28" s="1"/>
  <c r="J140" i="28"/>
  <c r="G140" i="28"/>
  <c r="H140" i="28" s="1"/>
  <c r="J139" i="28"/>
  <c r="G139" i="28"/>
  <c r="H139" i="28" s="1"/>
  <c r="J138" i="28"/>
  <c r="G138" i="28"/>
  <c r="H138" i="28" s="1"/>
  <c r="J137" i="28"/>
  <c r="G137" i="28"/>
  <c r="H137" i="28" s="1"/>
  <c r="J136" i="28"/>
  <c r="G136" i="28"/>
  <c r="H136" i="28" s="1"/>
  <c r="J135" i="28"/>
  <c r="G135" i="28"/>
  <c r="H135" i="28" s="1"/>
  <c r="J134" i="28"/>
  <c r="G134" i="28"/>
  <c r="H134" i="28" s="1"/>
  <c r="J133" i="28"/>
  <c r="G133" i="28"/>
  <c r="H133" i="28" s="1"/>
  <c r="J132" i="28"/>
  <c r="G132" i="28"/>
  <c r="H132" i="28" s="1"/>
  <c r="J131" i="28"/>
  <c r="G131" i="28"/>
  <c r="H131" i="28" s="1"/>
  <c r="J130" i="28"/>
  <c r="G130" i="28"/>
  <c r="H130" i="28" s="1"/>
  <c r="J129" i="28"/>
  <c r="G129" i="28"/>
  <c r="H129" i="28" s="1"/>
  <c r="J128" i="28"/>
  <c r="G128" i="28"/>
  <c r="H128" i="28" s="1"/>
  <c r="J127" i="28"/>
  <c r="G127" i="28"/>
  <c r="H127" i="28" s="1"/>
  <c r="J126" i="28"/>
  <c r="G126" i="28"/>
  <c r="H126" i="28" s="1"/>
  <c r="J125" i="28"/>
  <c r="G125" i="28"/>
  <c r="H125" i="28" s="1"/>
  <c r="J124" i="28"/>
  <c r="G124" i="28"/>
  <c r="H124" i="28" s="1"/>
  <c r="J123" i="28"/>
  <c r="G123" i="28"/>
  <c r="H123" i="28" s="1"/>
  <c r="J122" i="28"/>
  <c r="G122" i="28"/>
  <c r="H122" i="28" s="1"/>
  <c r="J121" i="28"/>
  <c r="G121" i="28"/>
  <c r="H121" i="28" s="1"/>
  <c r="J120" i="28"/>
  <c r="G120" i="28"/>
  <c r="H120" i="28" s="1"/>
  <c r="J119" i="28"/>
  <c r="G119" i="28"/>
  <c r="H119" i="28" s="1"/>
  <c r="J118" i="28"/>
  <c r="G118" i="28"/>
  <c r="H118" i="28" s="1"/>
  <c r="J117" i="28"/>
  <c r="G117" i="28"/>
  <c r="H117" i="28" s="1"/>
  <c r="J116" i="28"/>
  <c r="G116" i="28"/>
  <c r="H116" i="28" s="1"/>
  <c r="J115" i="28"/>
  <c r="G115" i="28"/>
  <c r="H115" i="28" s="1"/>
  <c r="J114" i="28"/>
  <c r="G114" i="28"/>
  <c r="H114" i="28" s="1"/>
  <c r="J113" i="28"/>
  <c r="G113" i="28"/>
  <c r="H113" i="28" s="1"/>
  <c r="J112" i="28"/>
  <c r="G112" i="28"/>
  <c r="H112" i="28" s="1"/>
  <c r="J111" i="28"/>
  <c r="G111" i="28"/>
  <c r="H111" i="28" s="1"/>
  <c r="J110" i="28"/>
  <c r="G110" i="28"/>
  <c r="H110" i="28" s="1"/>
  <c r="J109" i="28"/>
  <c r="G109" i="28"/>
  <c r="H109" i="28" s="1"/>
  <c r="J108" i="28"/>
  <c r="G108" i="28"/>
  <c r="H108" i="28" s="1"/>
  <c r="J107" i="28"/>
  <c r="G107" i="28"/>
  <c r="H107" i="28" s="1"/>
  <c r="J106" i="28"/>
  <c r="G106" i="28"/>
  <c r="H106" i="28" s="1"/>
  <c r="J105" i="28"/>
  <c r="G105" i="28"/>
  <c r="H105" i="28" s="1"/>
  <c r="J104" i="28"/>
  <c r="G104" i="28"/>
  <c r="H104" i="28" s="1"/>
  <c r="J103" i="28"/>
  <c r="G103" i="28"/>
  <c r="H103" i="28" s="1"/>
  <c r="J102" i="28"/>
  <c r="G102" i="28"/>
  <c r="H102" i="28" s="1"/>
  <c r="J101" i="28"/>
  <c r="G101" i="28"/>
  <c r="H101" i="28" s="1"/>
  <c r="J100" i="28"/>
  <c r="G100" i="28"/>
  <c r="H100" i="28" s="1"/>
  <c r="J99" i="28"/>
  <c r="G99" i="28"/>
  <c r="H99" i="28" s="1"/>
  <c r="J98" i="28"/>
  <c r="G98" i="28"/>
  <c r="H98" i="28" s="1"/>
  <c r="J97" i="28"/>
  <c r="G97" i="28"/>
  <c r="H97" i="28" s="1"/>
  <c r="J96" i="28"/>
  <c r="G96" i="28"/>
  <c r="H96" i="28" s="1"/>
  <c r="J95" i="28"/>
  <c r="G95" i="28"/>
  <c r="H95" i="28" s="1"/>
  <c r="J94" i="28"/>
  <c r="G94" i="28"/>
  <c r="H94" i="28" s="1"/>
  <c r="J93" i="28"/>
  <c r="G93" i="28"/>
  <c r="H93" i="28" s="1"/>
  <c r="J92" i="28"/>
  <c r="G92" i="28"/>
  <c r="H92" i="28" s="1"/>
  <c r="J91" i="28"/>
  <c r="G91" i="28"/>
  <c r="H91" i="28" s="1"/>
  <c r="J90" i="28"/>
  <c r="G90" i="28"/>
  <c r="H90" i="28" s="1"/>
  <c r="J89" i="28"/>
  <c r="G89" i="28"/>
  <c r="H89" i="28" s="1"/>
  <c r="J88" i="28"/>
  <c r="G88" i="28"/>
  <c r="H88" i="28" s="1"/>
  <c r="J87" i="28"/>
  <c r="G87" i="28"/>
  <c r="H87" i="28" s="1"/>
  <c r="J86" i="28"/>
  <c r="G86" i="28"/>
  <c r="H86" i="28" s="1"/>
  <c r="J85" i="28"/>
  <c r="G85" i="28"/>
  <c r="H85" i="28" s="1"/>
  <c r="J84" i="28"/>
  <c r="G84" i="28"/>
  <c r="H84" i="28" s="1"/>
  <c r="J83" i="28"/>
  <c r="G83" i="28"/>
  <c r="H83" i="28" s="1"/>
  <c r="J82" i="28"/>
  <c r="G82" i="28"/>
  <c r="H82" i="28" s="1"/>
  <c r="J81" i="28"/>
  <c r="G81" i="28"/>
  <c r="H81" i="28" s="1"/>
  <c r="J80" i="28"/>
  <c r="G80" i="28"/>
  <c r="H80" i="28" s="1"/>
  <c r="J79" i="28"/>
  <c r="G79" i="28"/>
  <c r="H79" i="28" s="1"/>
  <c r="J78" i="28"/>
  <c r="G78" i="28"/>
  <c r="H78" i="28" s="1"/>
  <c r="J77" i="28"/>
  <c r="G77" i="28"/>
  <c r="H77" i="28" s="1"/>
  <c r="J76" i="28"/>
  <c r="G76" i="28"/>
  <c r="H76" i="28" s="1"/>
  <c r="J75" i="28"/>
  <c r="G75" i="28"/>
  <c r="H75" i="28" s="1"/>
  <c r="J74" i="28"/>
  <c r="G74" i="28"/>
  <c r="H74" i="28" s="1"/>
  <c r="J73" i="28"/>
  <c r="G73" i="28"/>
  <c r="H73" i="28" s="1"/>
  <c r="J72" i="28"/>
  <c r="G72" i="28"/>
  <c r="H72" i="28" s="1"/>
  <c r="J71" i="28"/>
  <c r="G71" i="28"/>
  <c r="H71" i="28" s="1"/>
  <c r="J70" i="28"/>
  <c r="G70" i="28"/>
  <c r="H70" i="28" s="1"/>
  <c r="J69" i="28"/>
  <c r="G69" i="28"/>
  <c r="H69" i="28" s="1"/>
  <c r="J68" i="28"/>
  <c r="G68" i="28"/>
  <c r="H68" i="28" s="1"/>
  <c r="J67" i="28"/>
  <c r="G67" i="28"/>
  <c r="H67" i="28" s="1"/>
  <c r="J66" i="28"/>
  <c r="G66" i="28"/>
  <c r="H66" i="28" s="1"/>
  <c r="J65" i="28"/>
  <c r="G65" i="28"/>
  <c r="H65" i="28" s="1"/>
  <c r="J64" i="28"/>
  <c r="G64" i="28"/>
  <c r="H64" i="28" s="1"/>
  <c r="J63" i="28"/>
  <c r="G63" i="28"/>
  <c r="H63" i="28" s="1"/>
  <c r="J62" i="28"/>
  <c r="G62" i="28"/>
  <c r="H62" i="28" s="1"/>
  <c r="J61" i="28"/>
  <c r="G61" i="28"/>
  <c r="H61" i="28" s="1"/>
  <c r="J60" i="28"/>
  <c r="G60" i="28"/>
  <c r="H60" i="28" s="1"/>
  <c r="J59" i="28"/>
  <c r="G59" i="28"/>
  <c r="H59" i="28" s="1"/>
  <c r="J58" i="28"/>
  <c r="G58" i="28"/>
  <c r="H58" i="28" s="1"/>
  <c r="J57" i="28"/>
  <c r="G57" i="28"/>
  <c r="H57" i="28" s="1"/>
  <c r="J56" i="28"/>
  <c r="G56" i="28"/>
  <c r="H56" i="28" s="1"/>
  <c r="J55" i="28"/>
  <c r="G55" i="28"/>
  <c r="H55" i="28" s="1"/>
  <c r="J54" i="28"/>
  <c r="G54" i="28"/>
  <c r="H54" i="28" s="1"/>
  <c r="J53" i="28"/>
  <c r="G53" i="28"/>
  <c r="H53" i="28" s="1"/>
  <c r="J52" i="28"/>
  <c r="G52" i="28"/>
  <c r="H52" i="28" s="1"/>
  <c r="J51" i="28"/>
  <c r="G51" i="28"/>
  <c r="H51" i="28" s="1"/>
  <c r="J50" i="28"/>
  <c r="G50" i="28"/>
  <c r="H50" i="28" s="1"/>
  <c r="J49" i="28"/>
  <c r="G49" i="28"/>
  <c r="H49" i="28" s="1"/>
  <c r="J48" i="28"/>
  <c r="G48" i="28"/>
  <c r="H48" i="28" s="1"/>
  <c r="J47" i="28"/>
  <c r="G47" i="28"/>
  <c r="H47" i="28" s="1"/>
  <c r="J46" i="28"/>
  <c r="G46" i="28"/>
  <c r="H46" i="28" s="1"/>
  <c r="J45" i="28"/>
  <c r="G45" i="28"/>
  <c r="H45" i="28" s="1"/>
  <c r="J44" i="28"/>
  <c r="G44" i="28"/>
  <c r="H44" i="28" s="1"/>
  <c r="J43" i="28"/>
  <c r="G43" i="28"/>
  <c r="H43" i="28" s="1"/>
  <c r="J42" i="28"/>
  <c r="G42" i="28"/>
  <c r="H42" i="28" s="1"/>
  <c r="J41" i="28"/>
  <c r="G41" i="28"/>
  <c r="H41" i="28" s="1"/>
  <c r="J40" i="28"/>
  <c r="G40" i="28"/>
  <c r="H40" i="28" s="1"/>
  <c r="J39" i="28"/>
  <c r="G39" i="28"/>
  <c r="H39" i="28" s="1"/>
  <c r="J38" i="28"/>
  <c r="G38" i="28"/>
  <c r="H38" i="28" s="1"/>
  <c r="J37" i="28"/>
  <c r="G37" i="28"/>
  <c r="H37" i="28" s="1"/>
  <c r="J36" i="28"/>
  <c r="G36" i="28"/>
  <c r="H36" i="28" s="1"/>
  <c r="J35" i="28"/>
  <c r="G35" i="28"/>
  <c r="H35" i="28" s="1"/>
  <c r="J34" i="28"/>
  <c r="G34" i="28"/>
  <c r="H34" i="28" s="1"/>
  <c r="J33" i="28"/>
  <c r="G33" i="28"/>
  <c r="H33" i="28" s="1"/>
  <c r="J32" i="28"/>
  <c r="G32" i="28"/>
  <c r="H32" i="28" s="1"/>
  <c r="J31" i="28"/>
  <c r="G31" i="28"/>
  <c r="H31" i="28" s="1"/>
  <c r="J30" i="28"/>
  <c r="G30" i="28"/>
  <c r="H30" i="28" s="1"/>
  <c r="J29" i="28"/>
  <c r="G29" i="28"/>
  <c r="H29" i="28" s="1"/>
  <c r="J28" i="28"/>
  <c r="G28" i="28"/>
  <c r="H28" i="28" s="1"/>
  <c r="J27" i="28"/>
  <c r="G27" i="28"/>
  <c r="H27" i="28" s="1"/>
  <c r="J26" i="28"/>
  <c r="G26" i="28"/>
  <c r="H26" i="28" s="1"/>
  <c r="J25" i="28"/>
  <c r="G25" i="28"/>
  <c r="H25" i="28" s="1"/>
  <c r="J24" i="28"/>
  <c r="G24" i="28"/>
  <c r="H24" i="28" s="1"/>
  <c r="J23" i="28"/>
  <c r="G23" i="28"/>
  <c r="H23" i="28" s="1"/>
  <c r="J22" i="28"/>
  <c r="G22" i="28"/>
  <c r="H22" i="28" s="1"/>
  <c r="J21" i="28"/>
  <c r="G21" i="28"/>
  <c r="H21" i="28" s="1"/>
  <c r="J20" i="28"/>
  <c r="G20" i="28"/>
  <c r="H20" i="28" s="1"/>
  <c r="P17" i="28"/>
  <c r="J19" i="28"/>
  <c r="G19" i="28"/>
  <c r="H19" i="28" s="1"/>
  <c r="P16" i="28"/>
  <c r="J18" i="28"/>
  <c r="G18" i="28"/>
  <c r="H18" i="28" s="1"/>
  <c r="P15" i="28"/>
  <c r="J17" i="28"/>
  <c r="G17" i="28"/>
  <c r="H17" i="28" s="1"/>
  <c r="J16" i="28"/>
  <c r="G16" i="28"/>
  <c r="H16" i="28" s="1"/>
  <c r="J15" i="28"/>
  <c r="G15" i="28"/>
  <c r="H15" i="28" s="1"/>
  <c r="J14" i="28"/>
  <c r="G14" i="28"/>
  <c r="H14" i="28" s="1"/>
  <c r="J13" i="28"/>
  <c r="G13" i="28"/>
  <c r="H13" i="28" s="1"/>
  <c r="J12" i="28"/>
  <c r="G12" i="28"/>
  <c r="H12" i="28" s="1"/>
  <c r="P10" i="28"/>
  <c r="J11" i="28"/>
  <c r="G11" i="28"/>
  <c r="H11" i="28" s="1"/>
  <c r="J10" i="28"/>
  <c r="G10" i="28"/>
  <c r="H10" i="28" s="1"/>
  <c r="P8" i="28"/>
  <c r="J9" i="28"/>
  <c r="G9" i="28"/>
  <c r="H9" i="28" s="1"/>
  <c r="J8" i="28"/>
  <c r="G8" i="28"/>
  <c r="H8" i="28" s="1"/>
  <c r="P5" i="28"/>
  <c r="J7" i="28"/>
  <c r="G7" i="28"/>
  <c r="H7" i="28" s="1"/>
  <c r="P4" i="28"/>
  <c r="J6" i="28"/>
  <c r="G6" i="28"/>
  <c r="H6" i="28" s="1"/>
  <c r="P3" i="28"/>
  <c r="T5" i="28" s="1"/>
  <c r="V9" i="28" s="1"/>
  <c r="W9" i="28" s="1"/>
  <c r="J5" i="28"/>
  <c r="G5" i="28"/>
  <c r="J4" i="28"/>
  <c r="G4" i="28"/>
  <c r="J226" i="27"/>
  <c r="G226" i="27"/>
  <c r="H226" i="27" s="1"/>
  <c r="J225" i="27"/>
  <c r="G225" i="27"/>
  <c r="H225" i="27" s="1"/>
  <c r="J224" i="27"/>
  <c r="G224" i="27"/>
  <c r="H224" i="27" s="1"/>
  <c r="J223" i="27"/>
  <c r="G223" i="27"/>
  <c r="H223" i="27" s="1"/>
  <c r="J222" i="27"/>
  <c r="G222" i="27"/>
  <c r="H222" i="27" s="1"/>
  <c r="J221" i="27"/>
  <c r="G221" i="27"/>
  <c r="H221" i="27" s="1"/>
  <c r="J220" i="27"/>
  <c r="G220" i="27"/>
  <c r="H220" i="27" s="1"/>
  <c r="J219" i="27"/>
  <c r="G219" i="27"/>
  <c r="H219" i="27" s="1"/>
  <c r="J218" i="27"/>
  <c r="G218" i="27"/>
  <c r="H218" i="27" s="1"/>
  <c r="J217" i="27"/>
  <c r="G217" i="27"/>
  <c r="H217" i="27" s="1"/>
  <c r="J216" i="27"/>
  <c r="G216" i="27"/>
  <c r="H216" i="27" s="1"/>
  <c r="J215" i="27"/>
  <c r="G215" i="27"/>
  <c r="H215" i="27" s="1"/>
  <c r="J214" i="27"/>
  <c r="G214" i="27"/>
  <c r="H214" i="27" s="1"/>
  <c r="J213" i="27"/>
  <c r="G213" i="27"/>
  <c r="H213" i="27" s="1"/>
  <c r="J212" i="27"/>
  <c r="G212" i="27"/>
  <c r="H212" i="27" s="1"/>
  <c r="J211" i="27"/>
  <c r="G211" i="27"/>
  <c r="H211" i="27" s="1"/>
  <c r="J210" i="27"/>
  <c r="G210" i="27"/>
  <c r="H210" i="27" s="1"/>
  <c r="J209" i="27"/>
  <c r="G209" i="27"/>
  <c r="H209" i="27" s="1"/>
  <c r="J208" i="27"/>
  <c r="G208" i="27"/>
  <c r="H208" i="27" s="1"/>
  <c r="J207" i="27"/>
  <c r="G207" i="27"/>
  <c r="H207" i="27" s="1"/>
  <c r="J206" i="27"/>
  <c r="G206" i="27"/>
  <c r="H206" i="27" s="1"/>
  <c r="J205" i="27"/>
  <c r="G205" i="27"/>
  <c r="H205" i="27" s="1"/>
  <c r="J204" i="27"/>
  <c r="G204" i="27"/>
  <c r="H204" i="27" s="1"/>
  <c r="J203" i="27"/>
  <c r="G203" i="27"/>
  <c r="H203" i="27" s="1"/>
  <c r="J202" i="27"/>
  <c r="G202" i="27"/>
  <c r="H202" i="27" s="1"/>
  <c r="J201" i="27"/>
  <c r="G201" i="27"/>
  <c r="H201" i="27" s="1"/>
  <c r="J200" i="27"/>
  <c r="G200" i="27"/>
  <c r="H200" i="27" s="1"/>
  <c r="J199" i="27"/>
  <c r="G199" i="27"/>
  <c r="H199" i="27" s="1"/>
  <c r="J198" i="27"/>
  <c r="G198" i="27"/>
  <c r="H198" i="27" s="1"/>
  <c r="J197" i="27"/>
  <c r="G197" i="27"/>
  <c r="H197" i="27" s="1"/>
  <c r="J196" i="27"/>
  <c r="G196" i="27"/>
  <c r="H196" i="27" s="1"/>
  <c r="J195" i="27"/>
  <c r="G195" i="27"/>
  <c r="H195" i="27" s="1"/>
  <c r="J194" i="27"/>
  <c r="G194" i="27"/>
  <c r="H194" i="27" s="1"/>
  <c r="J193" i="27"/>
  <c r="G193" i="27"/>
  <c r="H193" i="27" s="1"/>
  <c r="J192" i="27"/>
  <c r="G192" i="27"/>
  <c r="H192" i="27" s="1"/>
  <c r="J191" i="27"/>
  <c r="G191" i="27"/>
  <c r="H191" i="27" s="1"/>
  <c r="J190" i="27"/>
  <c r="G190" i="27"/>
  <c r="H190" i="27" s="1"/>
  <c r="J189" i="27"/>
  <c r="G189" i="27"/>
  <c r="H189" i="27" s="1"/>
  <c r="J188" i="27"/>
  <c r="G188" i="27"/>
  <c r="H188" i="27" s="1"/>
  <c r="J187" i="27"/>
  <c r="G187" i="27"/>
  <c r="H187" i="27" s="1"/>
  <c r="J186" i="27"/>
  <c r="G186" i="27"/>
  <c r="H186" i="27" s="1"/>
  <c r="J185" i="27"/>
  <c r="G185" i="27"/>
  <c r="H185" i="27" s="1"/>
  <c r="J184" i="27"/>
  <c r="G184" i="27"/>
  <c r="H184" i="27" s="1"/>
  <c r="J183" i="27"/>
  <c r="G183" i="27"/>
  <c r="H183" i="27" s="1"/>
  <c r="J182" i="27"/>
  <c r="G182" i="27"/>
  <c r="H182" i="27" s="1"/>
  <c r="J181" i="27"/>
  <c r="G181" i="27"/>
  <c r="H181" i="27" s="1"/>
  <c r="J180" i="27"/>
  <c r="G180" i="27"/>
  <c r="H180" i="27" s="1"/>
  <c r="J179" i="27"/>
  <c r="G179" i="27"/>
  <c r="H179" i="27" s="1"/>
  <c r="J178" i="27"/>
  <c r="G178" i="27"/>
  <c r="H178" i="27" s="1"/>
  <c r="J177" i="27"/>
  <c r="G177" i="27"/>
  <c r="H177" i="27" s="1"/>
  <c r="J176" i="27"/>
  <c r="G176" i="27"/>
  <c r="H176" i="27" s="1"/>
  <c r="J175" i="27"/>
  <c r="G175" i="27"/>
  <c r="H175" i="27" s="1"/>
  <c r="J174" i="27"/>
  <c r="G174" i="27"/>
  <c r="H174" i="27" s="1"/>
  <c r="J173" i="27"/>
  <c r="G173" i="27"/>
  <c r="H173" i="27" s="1"/>
  <c r="J172" i="27"/>
  <c r="G172" i="27"/>
  <c r="H172" i="27" s="1"/>
  <c r="J171" i="27"/>
  <c r="G171" i="27"/>
  <c r="H171" i="27" s="1"/>
  <c r="J170" i="27"/>
  <c r="G170" i="27"/>
  <c r="H170" i="27" s="1"/>
  <c r="J169" i="27"/>
  <c r="G169" i="27"/>
  <c r="H169" i="27" s="1"/>
  <c r="J168" i="27"/>
  <c r="G168" i="27"/>
  <c r="H168" i="27" s="1"/>
  <c r="J167" i="27"/>
  <c r="G167" i="27"/>
  <c r="H167" i="27" s="1"/>
  <c r="J166" i="27"/>
  <c r="G166" i="27"/>
  <c r="H166" i="27" s="1"/>
  <c r="J165" i="27"/>
  <c r="G165" i="27"/>
  <c r="H165" i="27" s="1"/>
  <c r="J164" i="27"/>
  <c r="G164" i="27"/>
  <c r="H164" i="27" s="1"/>
  <c r="J163" i="27"/>
  <c r="G163" i="27"/>
  <c r="H163" i="27" s="1"/>
  <c r="J162" i="27"/>
  <c r="G162" i="27"/>
  <c r="H162" i="27" s="1"/>
  <c r="J161" i="27"/>
  <c r="G161" i="27"/>
  <c r="H161" i="27" s="1"/>
  <c r="J160" i="27"/>
  <c r="G160" i="27"/>
  <c r="H160" i="27" s="1"/>
  <c r="J159" i="27"/>
  <c r="G159" i="27"/>
  <c r="H159" i="27" s="1"/>
  <c r="J158" i="27"/>
  <c r="G158" i="27"/>
  <c r="H158" i="27" s="1"/>
  <c r="J157" i="27"/>
  <c r="G157" i="27"/>
  <c r="H157" i="27" s="1"/>
  <c r="J156" i="27"/>
  <c r="G156" i="27"/>
  <c r="H156" i="27" s="1"/>
  <c r="J155" i="27"/>
  <c r="G155" i="27"/>
  <c r="H155" i="27" s="1"/>
  <c r="J154" i="27"/>
  <c r="G154" i="27"/>
  <c r="H154" i="27" s="1"/>
  <c r="J153" i="27"/>
  <c r="G153" i="27"/>
  <c r="H153" i="27" s="1"/>
  <c r="J152" i="27"/>
  <c r="G152" i="27"/>
  <c r="H152" i="27" s="1"/>
  <c r="J151" i="27"/>
  <c r="G151" i="27"/>
  <c r="H151" i="27" s="1"/>
  <c r="J150" i="27"/>
  <c r="G150" i="27"/>
  <c r="H150" i="27" s="1"/>
  <c r="J149" i="27"/>
  <c r="G149" i="27"/>
  <c r="H149" i="27" s="1"/>
  <c r="J148" i="27"/>
  <c r="G148" i="27"/>
  <c r="H148" i="27" s="1"/>
  <c r="J147" i="27"/>
  <c r="G147" i="27"/>
  <c r="H147" i="27" s="1"/>
  <c r="J146" i="27"/>
  <c r="G146" i="27"/>
  <c r="H146" i="27" s="1"/>
  <c r="J145" i="27"/>
  <c r="G145" i="27"/>
  <c r="H145" i="27" s="1"/>
  <c r="J144" i="27"/>
  <c r="G144" i="27"/>
  <c r="H144" i="27" s="1"/>
  <c r="J143" i="27"/>
  <c r="G143" i="27"/>
  <c r="H143" i="27" s="1"/>
  <c r="J142" i="27"/>
  <c r="G142" i="27"/>
  <c r="H142" i="27" s="1"/>
  <c r="J141" i="27"/>
  <c r="G141" i="27"/>
  <c r="H141" i="27" s="1"/>
  <c r="J140" i="27"/>
  <c r="G140" i="27"/>
  <c r="H140" i="27" s="1"/>
  <c r="J139" i="27"/>
  <c r="G139" i="27"/>
  <c r="H139" i="27" s="1"/>
  <c r="J138" i="27"/>
  <c r="G138" i="27"/>
  <c r="H138" i="27" s="1"/>
  <c r="J137" i="27"/>
  <c r="G137" i="27"/>
  <c r="H137" i="27" s="1"/>
  <c r="J136" i="27"/>
  <c r="G136" i="27"/>
  <c r="H136" i="27" s="1"/>
  <c r="J135" i="27"/>
  <c r="G135" i="27"/>
  <c r="H135" i="27" s="1"/>
  <c r="J134" i="27"/>
  <c r="G134" i="27"/>
  <c r="H134" i="27" s="1"/>
  <c r="J133" i="27"/>
  <c r="G133" i="27"/>
  <c r="H133" i="27" s="1"/>
  <c r="J132" i="27"/>
  <c r="G132" i="27"/>
  <c r="H132" i="27" s="1"/>
  <c r="J131" i="27"/>
  <c r="G131" i="27"/>
  <c r="H131" i="27" s="1"/>
  <c r="J130" i="27"/>
  <c r="G130" i="27"/>
  <c r="H130" i="27" s="1"/>
  <c r="J129" i="27"/>
  <c r="G129" i="27"/>
  <c r="H129" i="27" s="1"/>
  <c r="J128" i="27"/>
  <c r="G128" i="27"/>
  <c r="H128" i="27" s="1"/>
  <c r="J127" i="27"/>
  <c r="G127" i="27"/>
  <c r="H127" i="27" s="1"/>
  <c r="J126" i="27"/>
  <c r="G126" i="27"/>
  <c r="H126" i="27" s="1"/>
  <c r="J125" i="27"/>
  <c r="G125" i="27"/>
  <c r="H125" i="27" s="1"/>
  <c r="J124" i="27"/>
  <c r="G124" i="27"/>
  <c r="H124" i="27" s="1"/>
  <c r="J123" i="27"/>
  <c r="G123" i="27"/>
  <c r="H123" i="27" s="1"/>
  <c r="J122" i="27"/>
  <c r="G122" i="27"/>
  <c r="H122" i="27" s="1"/>
  <c r="J121" i="27"/>
  <c r="G121" i="27"/>
  <c r="H121" i="27" s="1"/>
  <c r="J120" i="27"/>
  <c r="G120" i="27"/>
  <c r="H120" i="27" s="1"/>
  <c r="J119" i="27"/>
  <c r="G119" i="27"/>
  <c r="H119" i="27" s="1"/>
  <c r="J118" i="27"/>
  <c r="G118" i="27"/>
  <c r="H118" i="27" s="1"/>
  <c r="J117" i="27"/>
  <c r="G117" i="27"/>
  <c r="H117" i="27" s="1"/>
  <c r="J116" i="27"/>
  <c r="G116" i="27"/>
  <c r="H116" i="27" s="1"/>
  <c r="J115" i="27"/>
  <c r="G115" i="27"/>
  <c r="H115" i="27" s="1"/>
  <c r="J114" i="27"/>
  <c r="G114" i="27"/>
  <c r="H114" i="27" s="1"/>
  <c r="J113" i="27"/>
  <c r="G113" i="27"/>
  <c r="H113" i="27" s="1"/>
  <c r="J112" i="27"/>
  <c r="G112" i="27"/>
  <c r="H112" i="27" s="1"/>
  <c r="J111" i="27"/>
  <c r="G111" i="27"/>
  <c r="H111" i="27" s="1"/>
  <c r="J110" i="27"/>
  <c r="G110" i="27"/>
  <c r="H110" i="27" s="1"/>
  <c r="J109" i="27"/>
  <c r="G109" i="27"/>
  <c r="H109" i="27" s="1"/>
  <c r="J108" i="27"/>
  <c r="G108" i="27"/>
  <c r="H108" i="27" s="1"/>
  <c r="J107" i="27"/>
  <c r="G107" i="27"/>
  <c r="H107" i="27" s="1"/>
  <c r="J106" i="27"/>
  <c r="G106" i="27"/>
  <c r="H106" i="27" s="1"/>
  <c r="J105" i="27"/>
  <c r="G105" i="27"/>
  <c r="H105" i="27" s="1"/>
  <c r="J104" i="27"/>
  <c r="G104" i="27"/>
  <c r="H104" i="27" s="1"/>
  <c r="J103" i="27"/>
  <c r="G103" i="27"/>
  <c r="H103" i="27" s="1"/>
  <c r="J102" i="27"/>
  <c r="G102" i="27"/>
  <c r="H102" i="27" s="1"/>
  <c r="J101" i="27"/>
  <c r="G101" i="27"/>
  <c r="H101" i="27" s="1"/>
  <c r="J100" i="27"/>
  <c r="G100" i="27"/>
  <c r="H100" i="27" s="1"/>
  <c r="J99" i="27"/>
  <c r="G99" i="27"/>
  <c r="H99" i="27" s="1"/>
  <c r="J98" i="27"/>
  <c r="G98" i="27"/>
  <c r="H98" i="27" s="1"/>
  <c r="J97" i="27"/>
  <c r="G97" i="27"/>
  <c r="H97" i="27" s="1"/>
  <c r="J96" i="27"/>
  <c r="G96" i="27"/>
  <c r="H96" i="27" s="1"/>
  <c r="J95" i="27"/>
  <c r="G95" i="27"/>
  <c r="H95" i="27" s="1"/>
  <c r="J94" i="27"/>
  <c r="G94" i="27"/>
  <c r="H94" i="27" s="1"/>
  <c r="J93" i="27"/>
  <c r="G93" i="27"/>
  <c r="H93" i="27" s="1"/>
  <c r="J92" i="27"/>
  <c r="G92" i="27"/>
  <c r="H92" i="27" s="1"/>
  <c r="J91" i="27"/>
  <c r="G91" i="27"/>
  <c r="H91" i="27" s="1"/>
  <c r="J90" i="27"/>
  <c r="G90" i="27"/>
  <c r="H90" i="27" s="1"/>
  <c r="J89" i="27"/>
  <c r="G89" i="27"/>
  <c r="H89" i="27" s="1"/>
  <c r="J88" i="27"/>
  <c r="G88" i="27"/>
  <c r="H88" i="27" s="1"/>
  <c r="J87" i="27"/>
  <c r="G87" i="27"/>
  <c r="H87" i="27" s="1"/>
  <c r="J86" i="27"/>
  <c r="G86" i="27"/>
  <c r="H86" i="27" s="1"/>
  <c r="J85" i="27"/>
  <c r="G85" i="27"/>
  <c r="H85" i="27" s="1"/>
  <c r="J84" i="27"/>
  <c r="G84" i="27"/>
  <c r="H84" i="27" s="1"/>
  <c r="J83" i="27"/>
  <c r="G83" i="27"/>
  <c r="H83" i="27" s="1"/>
  <c r="J82" i="27"/>
  <c r="G82" i="27"/>
  <c r="H82" i="27" s="1"/>
  <c r="J81" i="27"/>
  <c r="G81" i="27"/>
  <c r="H81" i="27" s="1"/>
  <c r="J80" i="27"/>
  <c r="G80" i="27"/>
  <c r="H80" i="27" s="1"/>
  <c r="J79" i="27"/>
  <c r="G79" i="27"/>
  <c r="H79" i="27" s="1"/>
  <c r="J78" i="27"/>
  <c r="G78" i="27"/>
  <c r="H78" i="27" s="1"/>
  <c r="J77" i="27"/>
  <c r="G77" i="27"/>
  <c r="H77" i="27" s="1"/>
  <c r="J76" i="27"/>
  <c r="G76" i="27"/>
  <c r="H76" i="27" s="1"/>
  <c r="J75" i="27"/>
  <c r="G75" i="27"/>
  <c r="H75" i="27" s="1"/>
  <c r="J74" i="27"/>
  <c r="G74" i="27"/>
  <c r="H74" i="27" s="1"/>
  <c r="J73" i="27"/>
  <c r="G73" i="27"/>
  <c r="H73" i="27" s="1"/>
  <c r="J72" i="27"/>
  <c r="G72" i="27"/>
  <c r="H72" i="27" s="1"/>
  <c r="J71" i="27"/>
  <c r="G71" i="27"/>
  <c r="H71" i="27" s="1"/>
  <c r="J70" i="27"/>
  <c r="G70" i="27"/>
  <c r="H70" i="27" s="1"/>
  <c r="J69" i="27"/>
  <c r="G69" i="27"/>
  <c r="H69" i="27" s="1"/>
  <c r="J68" i="27"/>
  <c r="G68" i="27"/>
  <c r="H68" i="27" s="1"/>
  <c r="J67" i="27"/>
  <c r="G67" i="27"/>
  <c r="H67" i="27" s="1"/>
  <c r="J66" i="27"/>
  <c r="G66" i="27"/>
  <c r="H66" i="27" s="1"/>
  <c r="J65" i="27"/>
  <c r="G65" i="27"/>
  <c r="H65" i="27" s="1"/>
  <c r="J64" i="27"/>
  <c r="G64" i="27"/>
  <c r="H64" i="27" s="1"/>
  <c r="J63" i="27"/>
  <c r="G63" i="27"/>
  <c r="H63" i="27" s="1"/>
  <c r="J62" i="27"/>
  <c r="G62" i="27"/>
  <c r="H62" i="27" s="1"/>
  <c r="J61" i="27"/>
  <c r="G61" i="27"/>
  <c r="H61" i="27" s="1"/>
  <c r="J60" i="27"/>
  <c r="G60" i="27"/>
  <c r="H60" i="27" s="1"/>
  <c r="J59" i="27"/>
  <c r="G59" i="27"/>
  <c r="H59" i="27" s="1"/>
  <c r="J58" i="27"/>
  <c r="G58" i="27"/>
  <c r="H58" i="27" s="1"/>
  <c r="J57" i="27"/>
  <c r="G57" i="27"/>
  <c r="H57" i="27" s="1"/>
  <c r="J56" i="27"/>
  <c r="G56" i="27"/>
  <c r="H56" i="27" s="1"/>
  <c r="J55" i="27"/>
  <c r="G55" i="27"/>
  <c r="H55" i="27" s="1"/>
  <c r="J54" i="27"/>
  <c r="G54" i="27"/>
  <c r="H54" i="27" s="1"/>
  <c r="J53" i="27"/>
  <c r="G53" i="27"/>
  <c r="H53" i="27" s="1"/>
  <c r="J52" i="27"/>
  <c r="G52" i="27"/>
  <c r="H52" i="27" s="1"/>
  <c r="J51" i="27"/>
  <c r="G51" i="27"/>
  <c r="H51" i="27" s="1"/>
  <c r="J50" i="27"/>
  <c r="G50" i="27"/>
  <c r="H50" i="27" s="1"/>
  <c r="J49" i="27"/>
  <c r="G49" i="27"/>
  <c r="H49" i="27" s="1"/>
  <c r="J48" i="27"/>
  <c r="G48" i="27"/>
  <c r="H48" i="27" s="1"/>
  <c r="J47" i="27"/>
  <c r="G47" i="27"/>
  <c r="H47" i="27" s="1"/>
  <c r="J46" i="27"/>
  <c r="G46" i="27"/>
  <c r="H46" i="27" s="1"/>
  <c r="J45" i="27"/>
  <c r="G45" i="27"/>
  <c r="H45" i="27" s="1"/>
  <c r="J44" i="27"/>
  <c r="G44" i="27"/>
  <c r="H44" i="27" s="1"/>
  <c r="J43" i="27"/>
  <c r="G43" i="27"/>
  <c r="H43" i="27" s="1"/>
  <c r="J42" i="27"/>
  <c r="G42" i="27"/>
  <c r="H42" i="27" s="1"/>
  <c r="J41" i="27"/>
  <c r="G41" i="27"/>
  <c r="H41" i="27" s="1"/>
  <c r="J40" i="27"/>
  <c r="G40" i="27"/>
  <c r="H40" i="27" s="1"/>
  <c r="J39" i="27"/>
  <c r="G39" i="27"/>
  <c r="H39" i="27" s="1"/>
  <c r="J38" i="27"/>
  <c r="G38" i="27"/>
  <c r="H38" i="27" s="1"/>
  <c r="J37" i="27"/>
  <c r="G37" i="27"/>
  <c r="H37" i="27" s="1"/>
  <c r="J36" i="27"/>
  <c r="G36" i="27"/>
  <c r="H36" i="27" s="1"/>
  <c r="J35" i="27"/>
  <c r="G35" i="27"/>
  <c r="H35" i="27" s="1"/>
  <c r="J34" i="27"/>
  <c r="G34" i="27"/>
  <c r="H34" i="27" s="1"/>
  <c r="J33" i="27"/>
  <c r="G33" i="27"/>
  <c r="H33" i="27" s="1"/>
  <c r="J32" i="27"/>
  <c r="G32" i="27"/>
  <c r="H32" i="27" s="1"/>
  <c r="J31" i="27"/>
  <c r="G31" i="27"/>
  <c r="H31" i="27" s="1"/>
  <c r="J30" i="27"/>
  <c r="G30" i="27"/>
  <c r="H30" i="27" s="1"/>
  <c r="J29" i="27"/>
  <c r="G29" i="27"/>
  <c r="H29" i="27" s="1"/>
  <c r="J28" i="27"/>
  <c r="G28" i="27"/>
  <c r="H28" i="27" s="1"/>
  <c r="J27" i="27"/>
  <c r="G27" i="27"/>
  <c r="H27" i="27" s="1"/>
  <c r="J26" i="27"/>
  <c r="G26" i="27"/>
  <c r="H26" i="27" s="1"/>
  <c r="J25" i="27"/>
  <c r="G25" i="27"/>
  <c r="H25" i="27" s="1"/>
  <c r="J24" i="27"/>
  <c r="G24" i="27"/>
  <c r="H24" i="27" s="1"/>
  <c r="J23" i="27"/>
  <c r="G23" i="27"/>
  <c r="H23" i="27" s="1"/>
  <c r="J22" i="27"/>
  <c r="G22" i="27"/>
  <c r="H22" i="27" s="1"/>
  <c r="J21" i="27"/>
  <c r="G21" i="27"/>
  <c r="H21" i="27" s="1"/>
  <c r="J20" i="27"/>
  <c r="G20" i="27"/>
  <c r="H20" i="27" s="1"/>
  <c r="P17" i="27"/>
  <c r="J19" i="27"/>
  <c r="G19" i="27"/>
  <c r="H19" i="27" s="1"/>
  <c r="P16" i="27"/>
  <c r="J18" i="27"/>
  <c r="G18" i="27"/>
  <c r="H18" i="27" s="1"/>
  <c r="P15" i="27"/>
  <c r="J17" i="27"/>
  <c r="G17" i="27"/>
  <c r="H17" i="27" s="1"/>
  <c r="J16" i="27"/>
  <c r="G16" i="27"/>
  <c r="H16" i="27" s="1"/>
  <c r="J15" i="27"/>
  <c r="G15" i="27"/>
  <c r="H15" i="27" s="1"/>
  <c r="J14" i="27"/>
  <c r="G14" i="27"/>
  <c r="H14" i="27" s="1"/>
  <c r="J13" i="27"/>
  <c r="G13" i="27"/>
  <c r="H13" i="27" s="1"/>
  <c r="J12" i="27"/>
  <c r="G12" i="27"/>
  <c r="H12" i="27" s="1"/>
  <c r="P10" i="27"/>
  <c r="J11" i="27"/>
  <c r="G11" i="27"/>
  <c r="H11" i="27" s="1"/>
  <c r="J10" i="27"/>
  <c r="G10" i="27"/>
  <c r="H10" i="27" s="1"/>
  <c r="P8" i="27"/>
  <c r="J9" i="27"/>
  <c r="G9" i="27"/>
  <c r="H9" i="27" s="1"/>
  <c r="J8" i="27"/>
  <c r="G8" i="27"/>
  <c r="H8" i="27" s="1"/>
  <c r="P5" i="27"/>
  <c r="J7" i="27"/>
  <c r="G7" i="27"/>
  <c r="H7" i="27" s="1"/>
  <c r="P4" i="27"/>
  <c r="J6" i="27"/>
  <c r="G6" i="27"/>
  <c r="H6" i="27" s="1"/>
  <c r="P3" i="27"/>
  <c r="T5" i="27" s="1"/>
  <c r="V9" i="27" s="1"/>
  <c r="W9" i="27" s="1"/>
  <c r="J5" i="27"/>
  <c r="G5" i="27"/>
  <c r="J4" i="27"/>
  <c r="G4" i="27"/>
  <c r="H4" i="27" s="1"/>
  <c r="P7" i="27" s="1"/>
  <c r="J226" i="26"/>
  <c r="G226" i="26"/>
  <c r="H226" i="26" s="1"/>
  <c r="J225" i="26"/>
  <c r="G225" i="26"/>
  <c r="H225" i="26" s="1"/>
  <c r="J224" i="26"/>
  <c r="G224" i="26"/>
  <c r="H224" i="26" s="1"/>
  <c r="J223" i="26"/>
  <c r="G223" i="26"/>
  <c r="H223" i="26" s="1"/>
  <c r="J222" i="26"/>
  <c r="G222" i="26"/>
  <c r="H222" i="26" s="1"/>
  <c r="J221" i="26"/>
  <c r="G221" i="26"/>
  <c r="H221" i="26" s="1"/>
  <c r="J220" i="26"/>
  <c r="G220" i="26"/>
  <c r="H220" i="26" s="1"/>
  <c r="J219" i="26"/>
  <c r="G219" i="26"/>
  <c r="H219" i="26" s="1"/>
  <c r="J218" i="26"/>
  <c r="G218" i="26"/>
  <c r="H218" i="26" s="1"/>
  <c r="J217" i="26"/>
  <c r="G217" i="26"/>
  <c r="H217" i="26" s="1"/>
  <c r="J216" i="26"/>
  <c r="G216" i="26"/>
  <c r="H216" i="26" s="1"/>
  <c r="J215" i="26"/>
  <c r="G215" i="26"/>
  <c r="H215" i="26" s="1"/>
  <c r="J214" i="26"/>
  <c r="G214" i="26"/>
  <c r="H214" i="26" s="1"/>
  <c r="J213" i="26"/>
  <c r="G213" i="26"/>
  <c r="H213" i="26" s="1"/>
  <c r="J212" i="26"/>
  <c r="G212" i="26"/>
  <c r="H212" i="26" s="1"/>
  <c r="J211" i="26"/>
  <c r="G211" i="26"/>
  <c r="H211" i="26" s="1"/>
  <c r="J210" i="26"/>
  <c r="G210" i="26"/>
  <c r="H210" i="26" s="1"/>
  <c r="J209" i="26"/>
  <c r="G209" i="26"/>
  <c r="H209" i="26" s="1"/>
  <c r="J208" i="26"/>
  <c r="G208" i="26"/>
  <c r="H208" i="26" s="1"/>
  <c r="J207" i="26"/>
  <c r="G207" i="26"/>
  <c r="H207" i="26" s="1"/>
  <c r="J206" i="26"/>
  <c r="G206" i="26"/>
  <c r="H206" i="26" s="1"/>
  <c r="J205" i="26"/>
  <c r="G205" i="26"/>
  <c r="H205" i="26" s="1"/>
  <c r="J204" i="26"/>
  <c r="G204" i="26"/>
  <c r="H204" i="26" s="1"/>
  <c r="J203" i="26"/>
  <c r="G203" i="26"/>
  <c r="H203" i="26" s="1"/>
  <c r="J202" i="26"/>
  <c r="G202" i="26"/>
  <c r="H202" i="26" s="1"/>
  <c r="J201" i="26"/>
  <c r="G201" i="26"/>
  <c r="H201" i="26" s="1"/>
  <c r="J200" i="26"/>
  <c r="G200" i="26"/>
  <c r="H200" i="26" s="1"/>
  <c r="J199" i="26"/>
  <c r="G199" i="26"/>
  <c r="H199" i="26" s="1"/>
  <c r="J198" i="26"/>
  <c r="G198" i="26"/>
  <c r="H198" i="26" s="1"/>
  <c r="J197" i="26"/>
  <c r="G197" i="26"/>
  <c r="H197" i="26" s="1"/>
  <c r="J196" i="26"/>
  <c r="G196" i="26"/>
  <c r="H196" i="26" s="1"/>
  <c r="J195" i="26"/>
  <c r="G195" i="26"/>
  <c r="H195" i="26" s="1"/>
  <c r="J194" i="26"/>
  <c r="G194" i="26"/>
  <c r="H194" i="26" s="1"/>
  <c r="J193" i="26"/>
  <c r="G193" i="26"/>
  <c r="H193" i="26" s="1"/>
  <c r="J192" i="26"/>
  <c r="G192" i="26"/>
  <c r="H192" i="26" s="1"/>
  <c r="J191" i="26"/>
  <c r="G191" i="26"/>
  <c r="H191" i="26" s="1"/>
  <c r="J190" i="26"/>
  <c r="G190" i="26"/>
  <c r="H190" i="26" s="1"/>
  <c r="J189" i="26"/>
  <c r="G189" i="26"/>
  <c r="H189" i="26" s="1"/>
  <c r="J188" i="26"/>
  <c r="G188" i="26"/>
  <c r="H188" i="26" s="1"/>
  <c r="J187" i="26"/>
  <c r="G187" i="26"/>
  <c r="H187" i="26" s="1"/>
  <c r="J186" i="26"/>
  <c r="G186" i="26"/>
  <c r="H186" i="26" s="1"/>
  <c r="J185" i="26"/>
  <c r="G185" i="26"/>
  <c r="H185" i="26" s="1"/>
  <c r="J184" i="26"/>
  <c r="G184" i="26"/>
  <c r="H184" i="26" s="1"/>
  <c r="J183" i="26"/>
  <c r="G183" i="26"/>
  <c r="H183" i="26" s="1"/>
  <c r="J182" i="26"/>
  <c r="G182" i="26"/>
  <c r="H182" i="26" s="1"/>
  <c r="J181" i="26"/>
  <c r="G181" i="26"/>
  <c r="H181" i="26" s="1"/>
  <c r="J180" i="26"/>
  <c r="G180" i="26"/>
  <c r="H180" i="26" s="1"/>
  <c r="J179" i="26"/>
  <c r="G179" i="26"/>
  <c r="H179" i="26" s="1"/>
  <c r="J178" i="26"/>
  <c r="G178" i="26"/>
  <c r="H178" i="26" s="1"/>
  <c r="J177" i="26"/>
  <c r="G177" i="26"/>
  <c r="H177" i="26" s="1"/>
  <c r="J176" i="26"/>
  <c r="G176" i="26"/>
  <c r="H176" i="26" s="1"/>
  <c r="J175" i="26"/>
  <c r="G175" i="26"/>
  <c r="H175" i="26" s="1"/>
  <c r="J174" i="26"/>
  <c r="G174" i="26"/>
  <c r="H174" i="26" s="1"/>
  <c r="J173" i="26"/>
  <c r="G173" i="26"/>
  <c r="H173" i="26" s="1"/>
  <c r="J172" i="26"/>
  <c r="G172" i="26"/>
  <c r="H172" i="26" s="1"/>
  <c r="J171" i="26"/>
  <c r="G171" i="26"/>
  <c r="H171" i="26" s="1"/>
  <c r="J170" i="26"/>
  <c r="G170" i="26"/>
  <c r="H170" i="26" s="1"/>
  <c r="J169" i="26"/>
  <c r="G169" i="26"/>
  <c r="H169" i="26" s="1"/>
  <c r="J168" i="26"/>
  <c r="G168" i="26"/>
  <c r="H168" i="26" s="1"/>
  <c r="J167" i="26"/>
  <c r="G167" i="26"/>
  <c r="H167" i="26" s="1"/>
  <c r="J166" i="26"/>
  <c r="G166" i="26"/>
  <c r="H166" i="26" s="1"/>
  <c r="J165" i="26"/>
  <c r="G165" i="26"/>
  <c r="H165" i="26" s="1"/>
  <c r="J164" i="26"/>
  <c r="G164" i="26"/>
  <c r="H164" i="26" s="1"/>
  <c r="J163" i="26"/>
  <c r="G163" i="26"/>
  <c r="H163" i="26" s="1"/>
  <c r="J162" i="26"/>
  <c r="G162" i="26"/>
  <c r="H162" i="26" s="1"/>
  <c r="J161" i="26"/>
  <c r="G161" i="26"/>
  <c r="H161" i="26" s="1"/>
  <c r="J160" i="26"/>
  <c r="G160" i="26"/>
  <c r="H160" i="26" s="1"/>
  <c r="J159" i="26"/>
  <c r="G159" i="26"/>
  <c r="H159" i="26" s="1"/>
  <c r="J158" i="26"/>
  <c r="G158" i="26"/>
  <c r="H158" i="26" s="1"/>
  <c r="J157" i="26"/>
  <c r="G157" i="26"/>
  <c r="H157" i="26" s="1"/>
  <c r="J156" i="26"/>
  <c r="G156" i="26"/>
  <c r="H156" i="26" s="1"/>
  <c r="J155" i="26"/>
  <c r="G155" i="26"/>
  <c r="H155" i="26" s="1"/>
  <c r="J154" i="26"/>
  <c r="G154" i="26"/>
  <c r="H154" i="26" s="1"/>
  <c r="J153" i="26"/>
  <c r="G153" i="26"/>
  <c r="H153" i="26" s="1"/>
  <c r="J152" i="26"/>
  <c r="G152" i="26"/>
  <c r="H152" i="26" s="1"/>
  <c r="J151" i="26"/>
  <c r="G151" i="26"/>
  <c r="H151" i="26" s="1"/>
  <c r="J150" i="26"/>
  <c r="G150" i="26"/>
  <c r="H150" i="26" s="1"/>
  <c r="J149" i="26"/>
  <c r="G149" i="26"/>
  <c r="H149" i="26" s="1"/>
  <c r="J148" i="26"/>
  <c r="G148" i="26"/>
  <c r="H148" i="26" s="1"/>
  <c r="J147" i="26"/>
  <c r="G147" i="26"/>
  <c r="H147" i="26" s="1"/>
  <c r="J146" i="26"/>
  <c r="G146" i="26"/>
  <c r="H146" i="26" s="1"/>
  <c r="J145" i="26"/>
  <c r="G145" i="26"/>
  <c r="H145" i="26" s="1"/>
  <c r="J144" i="26"/>
  <c r="G144" i="26"/>
  <c r="H144" i="26" s="1"/>
  <c r="J143" i="26"/>
  <c r="G143" i="26"/>
  <c r="H143" i="26" s="1"/>
  <c r="J142" i="26"/>
  <c r="G142" i="26"/>
  <c r="H142" i="26" s="1"/>
  <c r="J141" i="26"/>
  <c r="G141" i="26"/>
  <c r="H141" i="26" s="1"/>
  <c r="J140" i="26"/>
  <c r="G140" i="26"/>
  <c r="H140" i="26" s="1"/>
  <c r="J139" i="26"/>
  <c r="G139" i="26"/>
  <c r="H139" i="26" s="1"/>
  <c r="J138" i="26"/>
  <c r="G138" i="26"/>
  <c r="H138" i="26" s="1"/>
  <c r="J137" i="26"/>
  <c r="G137" i="26"/>
  <c r="H137" i="26" s="1"/>
  <c r="J136" i="26"/>
  <c r="G136" i="26"/>
  <c r="H136" i="26" s="1"/>
  <c r="J135" i="26"/>
  <c r="G135" i="26"/>
  <c r="H135" i="26" s="1"/>
  <c r="J134" i="26"/>
  <c r="G134" i="26"/>
  <c r="H134" i="26" s="1"/>
  <c r="J133" i="26"/>
  <c r="G133" i="26"/>
  <c r="H133" i="26" s="1"/>
  <c r="J132" i="26"/>
  <c r="G132" i="26"/>
  <c r="H132" i="26" s="1"/>
  <c r="J131" i="26"/>
  <c r="G131" i="26"/>
  <c r="H131" i="26" s="1"/>
  <c r="J130" i="26"/>
  <c r="G130" i="26"/>
  <c r="H130" i="26" s="1"/>
  <c r="J129" i="26"/>
  <c r="G129" i="26"/>
  <c r="H129" i="26" s="1"/>
  <c r="J128" i="26"/>
  <c r="G128" i="26"/>
  <c r="H128" i="26" s="1"/>
  <c r="J127" i="26"/>
  <c r="G127" i="26"/>
  <c r="H127" i="26" s="1"/>
  <c r="J126" i="26"/>
  <c r="G126" i="26"/>
  <c r="H126" i="26" s="1"/>
  <c r="J125" i="26"/>
  <c r="G125" i="26"/>
  <c r="H125" i="26" s="1"/>
  <c r="J124" i="26"/>
  <c r="G124" i="26"/>
  <c r="H124" i="26" s="1"/>
  <c r="J123" i="26"/>
  <c r="G123" i="26"/>
  <c r="H123" i="26" s="1"/>
  <c r="J122" i="26"/>
  <c r="G122" i="26"/>
  <c r="H122" i="26" s="1"/>
  <c r="J121" i="26"/>
  <c r="G121" i="26"/>
  <c r="H121" i="26" s="1"/>
  <c r="J120" i="26"/>
  <c r="G120" i="26"/>
  <c r="H120" i="26" s="1"/>
  <c r="J119" i="26"/>
  <c r="G119" i="26"/>
  <c r="H119" i="26" s="1"/>
  <c r="J118" i="26"/>
  <c r="G118" i="26"/>
  <c r="H118" i="26" s="1"/>
  <c r="J117" i="26"/>
  <c r="G117" i="26"/>
  <c r="H117" i="26" s="1"/>
  <c r="J116" i="26"/>
  <c r="G116" i="26"/>
  <c r="H116" i="26" s="1"/>
  <c r="J115" i="26"/>
  <c r="G115" i="26"/>
  <c r="H115" i="26" s="1"/>
  <c r="J114" i="26"/>
  <c r="G114" i="26"/>
  <c r="H114" i="26" s="1"/>
  <c r="J113" i="26"/>
  <c r="G113" i="26"/>
  <c r="H113" i="26" s="1"/>
  <c r="J112" i="26"/>
  <c r="G112" i="26"/>
  <c r="H112" i="26" s="1"/>
  <c r="J111" i="26"/>
  <c r="G111" i="26"/>
  <c r="H111" i="26" s="1"/>
  <c r="J110" i="26"/>
  <c r="G110" i="26"/>
  <c r="H110" i="26" s="1"/>
  <c r="J109" i="26"/>
  <c r="G109" i="26"/>
  <c r="H109" i="26" s="1"/>
  <c r="J108" i="26"/>
  <c r="G108" i="26"/>
  <c r="H108" i="26" s="1"/>
  <c r="J107" i="26"/>
  <c r="G107" i="26"/>
  <c r="H107" i="26" s="1"/>
  <c r="J106" i="26"/>
  <c r="G106" i="26"/>
  <c r="H106" i="26" s="1"/>
  <c r="J105" i="26"/>
  <c r="G105" i="26"/>
  <c r="H105" i="26" s="1"/>
  <c r="J104" i="26"/>
  <c r="G104" i="26"/>
  <c r="H104" i="26" s="1"/>
  <c r="J103" i="26"/>
  <c r="G103" i="26"/>
  <c r="H103" i="26" s="1"/>
  <c r="J102" i="26"/>
  <c r="G102" i="26"/>
  <c r="H102" i="26" s="1"/>
  <c r="J101" i="26"/>
  <c r="G101" i="26"/>
  <c r="H101" i="26" s="1"/>
  <c r="J100" i="26"/>
  <c r="G100" i="26"/>
  <c r="H100" i="26" s="1"/>
  <c r="J99" i="26"/>
  <c r="G99" i="26"/>
  <c r="H99" i="26" s="1"/>
  <c r="J98" i="26"/>
  <c r="G98" i="26"/>
  <c r="H98" i="26" s="1"/>
  <c r="J97" i="26"/>
  <c r="G97" i="26"/>
  <c r="H97" i="26" s="1"/>
  <c r="J96" i="26"/>
  <c r="G96" i="26"/>
  <c r="H96" i="26" s="1"/>
  <c r="J95" i="26"/>
  <c r="G95" i="26"/>
  <c r="H95" i="26" s="1"/>
  <c r="J94" i="26"/>
  <c r="G94" i="26"/>
  <c r="H94" i="26" s="1"/>
  <c r="J93" i="26"/>
  <c r="G93" i="26"/>
  <c r="H93" i="26" s="1"/>
  <c r="J92" i="26"/>
  <c r="G92" i="26"/>
  <c r="H92" i="26" s="1"/>
  <c r="J91" i="26"/>
  <c r="G91" i="26"/>
  <c r="H91" i="26" s="1"/>
  <c r="J90" i="26"/>
  <c r="G90" i="26"/>
  <c r="H90" i="26" s="1"/>
  <c r="J89" i="26"/>
  <c r="G89" i="26"/>
  <c r="H89" i="26" s="1"/>
  <c r="J88" i="26"/>
  <c r="G88" i="26"/>
  <c r="H88" i="26" s="1"/>
  <c r="J87" i="26"/>
  <c r="G87" i="26"/>
  <c r="H87" i="26" s="1"/>
  <c r="J86" i="26"/>
  <c r="G86" i="26"/>
  <c r="H86" i="26" s="1"/>
  <c r="J85" i="26"/>
  <c r="G85" i="26"/>
  <c r="H85" i="26" s="1"/>
  <c r="J84" i="26"/>
  <c r="G84" i="26"/>
  <c r="H84" i="26" s="1"/>
  <c r="J83" i="26"/>
  <c r="G83" i="26"/>
  <c r="H83" i="26" s="1"/>
  <c r="J82" i="26"/>
  <c r="G82" i="26"/>
  <c r="H82" i="26" s="1"/>
  <c r="J81" i="26"/>
  <c r="G81" i="26"/>
  <c r="H81" i="26" s="1"/>
  <c r="J80" i="26"/>
  <c r="G80" i="26"/>
  <c r="H80" i="26" s="1"/>
  <c r="J79" i="26"/>
  <c r="G79" i="26"/>
  <c r="H79" i="26" s="1"/>
  <c r="J78" i="26"/>
  <c r="G78" i="26"/>
  <c r="H78" i="26" s="1"/>
  <c r="J77" i="26"/>
  <c r="G77" i="26"/>
  <c r="H77" i="26" s="1"/>
  <c r="J76" i="26"/>
  <c r="G76" i="26"/>
  <c r="H76" i="26" s="1"/>
  <c r="J75" i="26"/>
  <c r="G75" i="26"/>
  <c r="H75" i="26" s="1"/>
  <c r="J74" i="26"/>
  <c r="G74" i="26"/>
  <c r="H74" i="26" s="1"/>
  <c r="J73" i="26"/>
  <c r="G73" i="26"/>
  <c r="H73" i="26" s="1"/>
  <c r="J72" i="26"/>
  <c r="G72" i="26"/>
  <c r="H72" i="26" s="1"/>
  <c r="J71" i="26"/>
  <c r="G71" i="26"/>
  <c r="H71" i="26" s="1"/>
  <c r="J70" i="26"/>
  <c r="G70" i="26"/>
  <c r="H70" i="26" s="1"/>
  <c r="J69" i="26"/>
  <c r="G69" i="26"/>
  <c r="H69" i="26" s="1"/>
  <c r="J68" i="26"/>
  <c r="G68" i="26"/>
  <c r="H68" i="26" s="1"/>
  <c r="J67" i="26"/>
  <c r="G67" i="26"/>
  <c r="H67" i="26" s="1"/>
  <c r="J66" i="26"/>
  <c r="G66" i="26"/>
  <c r="H66" i="26" s="1"/>
  <c r="J65" i="26"/>
  <c r="G65" i="26"/>
  <c r="H65" i="26" s="1"/>
  <c r="J64" i="26"/>
  <c r="G64" i="26"/>
  <c r="H64" i="26" s="1"/>
  <c r="J63" i="26"/>
  <c r="G63" i="26"/>
  <c r="H63" i="26" s="1"/>
  <c r="J62" i="26"/>
  <c r="G62" i="26"/>
  <c r="H62" i="26" s="1"/>
  <c r="J61" i="26"/>
  <c r="G61" i="26"/>
  <c r="H61" i="26" s="1"/>
  <c r="J60" i="26"/>
  <c r="G60" i="26"/>
  <c r="H60" i="26" s="1"/>
  <c r="J59" i="26"/>
  <c r="G59" i="26"/>
  <c r="H59" i="26" s="1"/>
  <c r="J58" i="26"/>
  <c r="G58" i="26"/>
  <c r="H58" i="26" s="1"/>
  <c r="J57" i="26"/>
  <c r="G57" i="26"/>
  <c r="H57" i="26" s="1"/>
  <c r="J56" i="26"/>
  <c r="G56" i="26"/>
  <c r="H56" i="26" s="1"/>
  <c r="J55" i="26"/>
  <c r="G55" i="26"/>
  <c r="H55" i="26" s="1"/>
  <c r="J54" i="26"/>
  <c r="G54" i="26"/>
  <c r="H54" i="26" s="1"/>
  <c r="J53" i="26"/>
  <c r="G53" i="26"/>
  <c r="H53" i="26" s="1"/>
  <c r="J52" i="26"/>
  <c r="G52" i="26"/>
  <c r="H52" i="26" s="1"/>
  <c r="J51" i="26"/>
  <c r="G51" i="26"/>
  <c r="H51" i="26" s="1"/>
  <c r="J50" i="26"/>
  <c r="G50" i="26"/>
  <c r="H50" i="26" s="1"/>
  <c r="J49" i="26"/>
  <c r="G49" i="26"/>
  <c r="H49" i="26" s="1"/>
  <c r="J48" i="26"/>
  <c r="G48" i="26"/>
  <c r="H48" i="26" s="1"/>
  <c r="J47" i="26"/>
  <c r="G47" i="26"/>
  <c r="H47" i="26" s="1"/>
  <c r="J46" i="26"/>
  <c r="G46" i="26"/>
  <c r="H46" i="26" s="1"/>
  <c r="J45" i="26"/>
  <c r="G45" i="26"/>
  <c r="H45" i="26" s="1"/>
  <c r="J44" i="26"/>
  <c r="G44" i="26"/>
  <c r="H44" i="26" s="1"/>
  <c r="J43" i="26"/>
  <c r="G43" i="26"/>
  <c r="H43" i="26" s="1"/>
  <c r="J42" i="26"/>
  <c r="G42" i="26"/>
  <c r="H42" i="26" s="1"/>
  <c r="J41" i="26"/>
  <c r="G41" i="26"/>
  <c r="H41" i="26" s="1"/>
  <c r="J40" i="26"/>
  <c r="G40" i="26"/>
  <c r="H40" i="26" s="1"/>
  <c r="J39" i="26"/>
  <c r="G39" i="26"/>
  <c r="H39" i="26" s="1"/>
  <c r="J38" i="26"/>
  <c r="G38" i="26"/>
  <c r="H38" i="26" s="1"/>
  <c r="J37" i="26"/>
  <c r="G37" i="26"/>
  <c r="H37" i="26" s="1"/>
  <c r="J36" i="26"/>
  <c r="G36" i="26"/>
  <c r="H36" i="26" s="1"/>
  <c r="J35" i="26"/>
  <c r="G35" i="26"/>
  <c r="H35" i="26" s="1"/>
  <c r="J34" i="26"/>
  <c r="G34" i="26"/>
  <c r="H34" i="26" s="1"/>
  <c r="J33" i="26"/>
  <c r="G33" i="26"/>
  <c r="H33" i="26" s="1"/>
  <c r="J32" i="26"/>
  <c r="G32" i="26"/>
  <c r="H32" i="26" s="1"/>
  <c r="J31" i="26"/>
  <c r="G31" i="26"/>
  <c r="H31" i="26" s="1"/>
  <c r="J30" i="26"/>
  <c r="G30" i="26"/>
  <c r="H30" i="26" s="1"/>
  <c r="J29" i="26"/>
  <c r="G29" i="26"/>
  <c r="H29" i="26" s="1"/>
  <c r="J28" i="26"/>
  <c r="G28" i="26"/>
  <c r="H28" i="26" s="1"/>
  <c r="J27" i="26"/>
  <c r="G27" i="26"/>
  <c r="H27" i="26" s="1"/>
  <c r="J26" i="26"/>
  <c r="G26" i="26"/>
  <c r="H26" i="26" s="1"/>
  <c r="J25" i="26"/>
  <c r="G25" i="26"/>
  <c r="H25" i="26" s="1"/>
  <c r="J24" i="26"/>
  <c r="G24" i="26"/>
  <c r="H24" i="26" s="1"/>
  <c r="J23" i="26"/>
  <c r="G23" i="26"/>
  <c r="H23" i="26" s="1"/>
  <c r="J22" i="26"/>
  <c r="G22" i="26"/>
  <c r="H22" i="26" s="1"/>
  <c r="J21" i="26"/>
  <c r="G21" i="26"/>
  <c r="H21" i="26" s="1"/>
  <c r="J20" i="26"/>
  <c r="G20" i="26"/>
  <c r="H20" i="26" s="1"/>
  <c r="P17" i="26"/>
  <c r="J19" i="26"/>
  <c r="G19" i="26"/>
  <c r="H19" i="26" s="1"/>
  <c r="P16" i="26"/>
  <c r="J18" i="26"/>
  <c r="G18" i="26"/>
  <c r="H18" i="26" s="1"/>
  <c r="P15" i="26"/>
  <c r="J17" i="26"/>
  <c r="G17" i="26"/>
  <c r="H17" i="26" s="1"/>
  <c r="J16" i="26"/>
  <c r="G16" i="26"/>
  <c r="H16" i="26" s="1"/>
  <c r="J15" i="26"/>
  <c r="G15" i="26"/>
  <c r="H15" i="26" s="1"/>
  <c r="J14" i="26"/>
  <c r="G14" i="26"/>
  <c r="H14" i="26" s="1"/>
  <c r="J13" i="26"/>
  <c r="G13" i="26"/>
  <c r="H13" i="26" s="1"/>
  <c r="J12" i="26"/>
  <c r="G12" i="26"/>
  <c r="H12" i="26" s="1"/>
  <c r="P10" i="26"/>
  <c r="J11" i="26"/>
  <c r="G11" i="26"/>
  <c r="H11" i="26" s="1"/>
  <c r="J10" i="26"/>
  <c r="G10" i="26"/>
  <c r="H10" i="26" s="1"/>
  <c r="P8" i="26"/>
  <c r="J9" i="26"/>
  <c r="G9" i="26"/>
  <c r="H9" i="26" s="1"/>
  <c r="J8" i="26"/>
  <c r="G8" i="26"/>
  <c r="H8" i="26" s="1"/>
  <c r="P5" i="26"/>
  <c r="J7" i="26"/>
  <c r="G7" i="26"/>
  <c r="H7" i="26" s="1"/>
  <c r="P7" i="26" s="1"/>
  <c r="P4" i="26"/>
  <c r="J6" i="26"/>
  <c r="G6" i="26"/>
  <c r="H6" i="26" s="1"/>
  <c r="P3" i="26"/>
  <c r="T5" i="26" s="1"/>
  <c r="V9" i="26" s="1"/>
  <c r="W9" i="26" s="1"/>
  <c r="J5" i="26"/>
  <c r="G5" i="26"/>
  <c r="H5" i="26" s="1"/>
  <c r="J4" i="26"/>
  <c r="G4" i="26"/>
  <c r="H4" i="26" s="1"/>
  <c r="J226" i="25"/>
  <c r="G226" i="25"/>
  <c r="H226" i="25" s="1"/>
  <c r="J225" i="25"/>
  <c r="G225" i="25"/>
  <c r="H225" i="25" s="1"/>
  <c r="J224" i="25"/>
  <c r="G224" i="25"/>
  <c r="H224" i="25" s="1"/>
  <c r="J223" i="25"/>
  <c r="G223" i="25"/>
  <c r="H223" i="25" s="1"/>
  <c r="J222" i="25"/>
  <c r="G222" i="25"/>
  <c r="H222" i="25" s="1"/>
  <c r="J221" i="25"/>
  <c r="G221" i="25"/>
  <c r="H221" i="25" s="1"/>
  <c r="J220" i="25"/>
  <c r="G220" i="25"/>
  <c r="H220" i="25" s="1"/>
  <c r="J219" i="25"/>
  <c r="G219" i="25"/>
  <c r="H219" i="25" s="1"/>
  <c r="J218" i="25"/>
  <c r="G218" i="25"/>
  <c r="H218" i="25" s="1"/>
  <c r="J217" i="25"/>
  <c r="G217" i="25"/>
  <c r="H217" i="25" s="1"/>
  <c r="J216" i="25"/>
  <c r="G216" i="25"/>
  <c r="H216" i="25" s="1"/>
  <c r="J215" i="25"/>
  <c r="G215" i="25"/>
  <c r="H215" i="25" s="1"/>
  <c r="J214" i="25"/>
  <c r="G214" i="25"/>
  <c r="H214" i="25" s="1"/>
  <c r="J213" i="25"/>
  <c r="G213" i="25"/>
  <c r="H213" i="25" s="1"/>
  <c r="J212" i="25"/>
  <c r="G212" i="25"/>
  <c r="H212" i="25" s="1"/>
  <c r="J211" i="25"/>
  <c r="G211" i="25"/>
  <c r="H211" i="25" s="1"/>
  <c r="J210" i="25"/>
  <c r="G210" i="25"/>
  <c r="H210" i="25" s="1"/>
  <c r="J209" i="25"/>
  <c r="G209" i="25"/>
  <c r="H209" i="25" s="1"/>
  <c r="J208" i="25"/>
  <c r="G208" i="25"/>
  <c r="H208" i="25" s="1"/>
  <c r="J207" i="25"/>
  <c r="G207" i="25"/>
  <c r="H207" i="25" s="1"/>
  <c r="J206" i="25"/>
  <c r="G206" i="25"/>
  <c r="H206" i="25" s="1"/>
  <c r="J205" i="25"/>
  <c r="G205" i="25"/>
  <c r="H205" i="25" s="1"/>
  <c r="J204" i="25"/>
  <c r="G204" i="25"/>
  <c r="H204" i="25" s="1"/>
  <c r="J203" i="25"/>
  <c r="G203" i="25"/>
  <c r="H203" i="25" s="1"/>
  <c r="J202" i="25"/>
  <c r="G202" i="25"/>
  <c r="H202" i="25" s="1"/>
  <c r="J201" i="25"/>
  <c r="G201" i="25"/>
  <c r="H201" i="25" s="1"/>
  <c r="J200" i="25"/>
  <c r="G200" i="25"/>
  <c r="H200" i="25" s="1"/>
  <c r="J199" i="25"/>
  <c r="G199" i="25"/>
  <c r="H199" i="25" s="1"/>
  <c r="J198" i="25"/>
  <c r="G198" i="25"/>
  <c r="H198" i="25" s="1"/>
  <c r="J197" i="25"/>
  <c r="G197" i="25"/>
  <c r="H197" i="25" s="1"/>
  <c r="J196" i="25"/>
  <c r="G196" i="25"/>
  <c r="H196" i="25" s="1"/>
  <c r="J195" i="25"/>
  <c r="G195" i="25"/>
  <c r="H195" i="25" s="1"/>
  <c r="J194" i="25"/>
  <c r="G194" i="25"/>
  <c r="H194" i="25" s="1"/>
  <c r="J193" i="25"/>
  <c r="G193" i="25"/>
  <c r="H193" i="25" s="1"/>
  <c r="J192" i="25"/>
  <c r="G192" i="25"/>
  <c r="H192" i="25" s="1"/>
  <c r="J191" i="25"/>
  <c r="G191" i="25"/>
  <c r="H191" i="25" s="1"/>
  <c r="J190" i="25"/>
  <c r="G190" i="25"/>
  <c r="H190" i="25" s="1"/>
  <c r="J189" i="25"/>
  <c r="G189" i="25"/>
  <c r="H189" i="25" s="1"/>
  <c r="J188" i="25"/>
  <c r="G188" i="25"/>
  <c r="H188" i="25" s="1"/>
  <c r="J187" i="25"/>
  <c r="G187" i="25"/>
  <c r="H187" i="25" s="1"/>
  <c r="J186" i="25"/>
  <c r="G186" i="25"/>
  <c r="H186" i="25" s="1"/>
  <c r="J185" i="25"/>
  <c r="G185" i="25"/>
  <c r="H185" i="25" s="1"/>
  <c r="J184" i="25"/>
  <c r="G184" i="25"/>
  <c r="H184" i="25" s="1"/>
  <c r="J183" i="25"/>
  <c r="G183" i="25"/>
  <c r="H183" i="25" s="1"/>
  <c r="J182" i="25"/>
  <c r="G182" i="25"/>
  <c r="H182" i="25" s="1"/>
  <c r="J181" i="25"/>
  <c r="G181" i="25"/>
  <c r="H181" i="25" s="1"/>
  <c r="J180" i="25"/>
  <c r="G180" i="25"/>
  <c r="H180" i="25" s="1"/>
  <c r="J179" i="25"/>
  <c r="G179" i="25"/>
  <c r="H179" i="25" s="1"/>
  <c r="J178" i="25"/>
  <c r="G178" i="25"/>
  <c r="H178" i="25" s="1"/>
  <c r="J177" i="25"/>
  <c r="G177" i="25"/>
  <c r="H177" i="25" s="1"/>
  <c r="J176" i="25"/>
  <c r="G176" i="25"/>
  <c r="H176" i="25" s="1"/>
  <c r="J175" i="25"/>
  <c r="G175" i="25"/>
  <c r="H175" i="25" s="1"/>
  <c r="J174" i="25"/>
  <c r="G174" i="25"/>
  <c r="H174" i="25" s="1"/>
  <c r="J173" i="25"/>
  <c r="G173" i="25"/>
  <c r="H173" i="25" s="1"/>
  <c r="J172" i="25"/>
  <c r="G172" i="25"/>
  <c r="H172" i="25" s="1"/>
  <c r="J171" i="25"/>
  <c r="G171" i="25"/>
  <c r="H171" i="25" s="1"/>
  <c r="J170" i="25"/>
  <c r="G170" i="25"/>
  <c r="H170" i="25" s="1"/>
  <c r="J169" i="25"/>
  <c r="G169" i="25"/>
  <c r="H169" i="25" s="1"/>
  <c r="J168" i="25"/>
  <c r="G168" i="25"/>
  <c r="H168" i="25" s="1"/>
  <c r="J167" i="25"/>
  <c r="G167" i="25"/>
  <c r="H167" i="25" s="1"/>
  <c r="J166" i="25"/>
  <c r="G166" i="25"/>
  <c r="H166" i="25" s="1"/>
  <c r="J165" i="25"/>
  <c r="G165" i="25"/>
  <c r="H165" i="25" s="1"/>
  <c r="J164" i="25"/>
  <c r="G164" i="25"/>
  <c r="H164" i="25" s="1"/>
  <c r="J163" i="25"/>
  <c r="G163" i="25"/>
  <c r="H163" i="25" s="1"/>
  <c r="J162" i="25"/>
  <c r="G162" i="25"/>
  <c r="H162" i="25" s="1"/>
  <c r="J161" i="25"/>
  <c r="G161" i="25"/>
  <c r="H161" i="25" s="1"/>
  <c r="J160" i="25"/>
  <c r="G160" i="25"/>
  <c r="H160" i="25" s="1"/>
  <c r="J159" i="25"/>
  <c r="G159" i="25"/>
  <c r="H159" i="25" s="1"/>
  <c r="J158" i="25"/>
  <c r="G158" i="25"/>
  <c r="H158" i="25" s="1"/>
  <c r="J157" i="25"/>
  <c r="G157" i="25"/>
  <c r="H157" i="25" s="1"/>
  <c r="J156" i="25"/>
  <c r="G156" i="25"/>
  <c r="H156" i="25" s="1"/>
  <c r="J155" i="25"/>
  <c r="G155" i="25"/>
  <c r="H155" i="25" s="1"/>
  <c r="J154" i="25"/>
  <c r="G154" i="25"/>
  <c r="H154" i="25" s="1"/>
  <c r="J153" i="25"/>
  <c r="G153" i="25"/>
  <c r="H153" i="25" s="1"/>
  <c r="J152" i="25"/>
  <c r="G152" i="25"/>
  <c r="H152" i="25" s="1"/>
  <c r="J151" i="25"/>
  <c r="G151" i="25"/>
  <c r="H151" i="25" s="1"/>
  <c r="J150" i="25"/>
  <c r="G150" i="25"/>
  <c r="H150" i="25" s="1"/>
  <c r="J149" i="25"/>
  <c r="G149" i="25"/>
  <c r="H149" i="25" s="1"/>
  <c r="J148" i="25"/>
  <c r="G148" i="25"/>
  <c r="H148" i="25" s="1"/>
  <c r="J147" i="25"/>
  <c r="G147" i="25"/>
  <c r="H147" i="25" s="1"/>
  <c r="J146" i="25"/>
  <c r="G146" i="25"/>
  <c r="H146" i="25" s="1"/>
  <c r="J145" i="25"/>
  <c r="G145" i="25"/>
  <c r="H145" i="25" s="1"/>
  <c r="J144" i="25"/>
  <c r="G144" i="25"/>
  <c r="H144" i="25" s="1"/>
  <c r="J143" i="25"/>
  <c r="G143" i="25"/>
  <c r="H143" i="25" s="1"/>
  <c r="J142" i="25"/>
  <c r="G142" i="25"/>
  <c r="H142" i="25" s="1"/>
  <c r="J141" i="25"/>
  <c r="G141" i="25"/>
  <c r="H141" i="25" s="1"/>
  <c r="J140" i="25"/>
  <c r="G140" i="25"/>
  <c r="H140" i="25" s="1"/>
  <c r="J139" i="25"/>
  <c r="G139" i="25"/>
  <c r="H139" i="25" s="1"/>
  <c r="J138" i="25"/>
  <c r="G138" i="25"/>
  <c r="H138" i="25" s="1"/>
  <c r="J137" i="25"/>
  <c r="G137" i="25"/>
  <c r="H137" i="25" s="1"/>
  <c r="J136" i="25"/>
  <c r="G136" i="25"/>
  <c r="H136" i="25" s="1"/>
  <c r="J135" i="25"/>
  <c r="G135" i="25"/>
  <c r="H135" i="25" s="1"/>
  <c r="J134" i="25"/>
  <c r="G134" i="25"/>
  <c r="H134" i="25" s="1"/>
  <c r="J133" i="25"/>
  <c r="G133" i="25"/>
  <c r="H133" i="25" s="1"/>
  <c r="J132" i="25"/>
  <c r="G132" i="25"/>
  <c r="H132" i="25" s="1"/>
  <c r="J131" i="25"/>
  <c r="G131" i="25"/>
  <c r="H131" i="25" s="1"/>
  <c r="J130" i="25"/>
  <c r="G130" i="25"/>
  <c r="H130" i="25" s="1"/>
  <c r="J129" i="25"/>
  <c r="G129" i="25"/>
  <c r="H129" i="25" s="1"/>
  <c r="J128" i="25"/>
  <c r="G128" i="25"/>
  <c r="H128" i="25" s="1"/>
  <c r="J127" i="25"/>
  <c r="G127" i="25"/>
  <c r="H127" i="25" s="1"/>
  <c r="J126" i="25"/>
  <c r="G126" i="25"/>
  <c r="H126" i="25" s="1"/>
  <c r="J125" i="25"/>
  <c r="G125" i="25"/>
  <c r="H125" i="25" s="1"/>
  <c r="J124" i="25"/>
  <c r="G124" i="25"/>
  <c r="H124" i="25" s="1"/>
  <c r="J123" i="25"/>
  <c r="G123" i="25"/>
  <c r="H123" i="25" s="1"/>
  <c r="J122" i="25"/>
  <c r="G122" i="25"/>
  <c r="H122" i="25" s="1"/>
  <c r="J121" i="25"/>
  <c r="G121" i="25"/>
  <c r="H121" i="25" s="1"/>
  <c r="J120" i="25"/>
  <c r="G120" i="25"/>
  <c r="H120" i="25" s="1"/>
  <c r="J119" i="25"/>
  <c r="G119" i="25"/>
  <c r="H119" i="25" s="1"/>
  <c r="J118" i="25"/>
  <c r="G118" i="25"/>
  <c r="H118" i="25" s="1"/>
  <c r="J117" i="25"/>
  <c r="G117" i="25"/>
  <c r="H117" i="25" s="1"/>
  <c r="J116" i="25"/>
  <c r="G116" i="25"/>
  <c r="H116" i="25" s="1"/>
  <c r="J115" i="25"/>
  <c r="G115" i="25"/>
  <c r="H115" i="25" s="1"/>
  <c r="J114" i="25"/>
  <c r="G114" i="25"/>
  <c r="H114" i="25" s="1"/>
  <c r="J113" i="25"/>
  <c r="G113" i="25"/>
  <c r="H113" i="25" s="1"/>
  <c r="J112" i="25"/>
  <c r="G112" i="25"/>
  <c r="H112" i="25" s="1"/>
  <c r="J111" i="25"/>
  <c r="G111" i="25"/>
  <c r="H111" i="25" s="1"/>
  <c r="J110" i="25"/>
  <c r="G110" i="25"/>
  <c r="H110" i="25" s="1"/>
  <c r="J109" i="25"/>
  <c r="G109" i="25"/>
  <c r="H109" i="25" s="1"/>
  <c r="J108" i="25"/>
  <c r="G108" i="25"/>
  <c r="H108" i="25" s="1"/>
  <c r="J107" i="25"/>
  <c r="G107" i="25"/>
  <c r="H107" i="25" s="1"/>
  <c r="J106" i="25"/>
  <c r="G106" i="25"/>
  <c r="H106" i="25" s="1"/>
  <c r="J105" i="25"/>
  <c r="G105" i="25"/>
  <c r="H105" i="25" s="1"/>
  <c r="J104" i="25"/>
  <c r="G104" i="25"/>
  <c r="H104" i="25" s="1"/>
  <c r="J103" i="25"/>
  <c r="G103" i="25"/>
  <c r="H103" i="25" s="1"/>
  <c r="J102" i="25"/>
  <c r="G102" i="25"/>
  <c r="H102" i="25" s="1"/>
  <c r="J101" i="25"/>
  <c r="G101" i="25"/>
  <c r="H101" i="25" s="1"/>
  <c r="J100" i="25"/>
  <c r="G100" i="25"/>
  <c r="H100" i="25" s="1"/>
  <c r="J99" i="25"/>
  <c r="G99" i="25"/>
  <c r="H99" i="25" s="1"/>
  <c r="J98" i="25"/>
  <c r="G98" i="25"/>
  <c r="H98" i="25" s="1"/>
  <c r="J97" i="25"/>
  <c r="G97" i="25"/>
  <c r="H97" i="25" s="1"/>
  <c r="J96" i="25"/>
  <c r="G96" i="25"/>
  <c r="H96" i="25" s="1"/>
  <c r="J95" i="25"/>
  <c r="G95" i="25"/>
  <c r="H95" i="25" s="1"/>
  <c r="J94" i="25"/>
  <c r="G94" i="25"/>
  <c r="H94" i="25" s="1"/>
  <c r="J93" i="25"/>
  <c r="G93" i="25"/>
  <c r="H93" i="25" s="1"/>
  <c r="J92" i="25"/>
  <c r="G92" i="25"/>
  <c r="H92" i="25" s="1"/>
  <c r="J91" i="25"/>
  <c r="G91" i="25"/>
  <c r="H91" i="25" s="1"/>
  <c r="J90" i="25"/>
  <c r="G90" i="25"/>
  <c r="H90" i="25" s="1"/>
  <c r="J89" i="25"/>
  <c r="G89" i="25"/>
  <c r="H89" i="25" s="1"/>
  <c r="J88" i="25"/>
  <c r="G88" i="25"/>
  <c r="H88" i="25" s="1"/>
  <c r="J87" i="25"/>
  <c r="G87" i="25"/>
  <c r="H87" i="25" s="1"/>
  <c r="J86" i="25"/>
  <c r="G86" i="25"/>
  <c r="H86" i="25" s="1"/>
  <c r="J85" i="25"/>
  <c r="G85" i="25"/>
  <c r="H85" i="25" s="1"/>
  <c r="J84" i="25"/>
  <c r="G84" i="25"/>
  <c r="H84" i="25" s="1"/>
  <c r="J83" i="25"/>
  <c r="G83" i="25"/>
  <c r="H83" i="25" s="1"/>
  <c r="J82" i="25"/>
  <c r="G82" i="25"/>
  <c r="H82" i="25" s="1"/>
  <c r="J81" i="25"/>
  <c r="G81" i="25"/>
  <c r="H81" i="25" s="1"/>
  <c r="J80" i="25"/>
  <c r="G80" i="25"/>
  <c r="H80" i="25" s="1"/>
  <c r="J79" i="25"/>
  <c r="G79" i="25"/>
  <c r="H79" i="25" s="1"/>
  <c r="J78" i="25"/>
  <c r="G78" i="25"/>
  <c r="H78" i="25" s="1"/>
  <c r="J77" i="25"/>
  <c r="G77" i="25"/>
  <c r="H77" i="25" s="1"/>
  <c r="J76" i="25"/>
  <c r="G76" i="25"/>
  <c r="H76" i="25" s="1"/>
  <c r="J75" i="25"/>
  <c r="G75" i="25"/>
  <c r="H75" i="25" s="1"/>
  <c r="J74" i="25"/>
  <c r="G74" i="25"/>
  <c r="H74" i="25" s="1"/>
  <c r="J73" i="25"/>
  <c r="G73" i="25"/>
  <c r="H73" i="25" s="1"/>
  <c r="J72" i="25"/>
  <c r="G72" i="25"/>
  <c r="H72" i="25" s="1"/>
  <c r="J71" i="25"/>
  <c r="G71" i="25"/>
  <c r="H71" i="25" s="1"/>
  <c r="J70" i="25"/>
  <c r="G70" i="25"/>
  <c r="H70" i="25" s="1"/>
  <c r="J69" i="25"/>
  <c r="G69" i="25"/>
  <c r="H69" i="25" s="1"/>
  <c r="J68" i="25"/>
  <c r="G68" i="25"/>
  <c r="H68" i="25" s="1"/>
  <c r="J67" i="25"/>
  <c r="G67" i="25"/>
  <c r="H67" i="25" s="1"/>
  <c r="J66" i="25"/>
  <c r="G66" i="25"/>
  <c r="H66" i="25" s="1"/>
  <c r="J65" i="25"/>
  <c r="G65" i="25"/>
  <c r="H65" i="25" s="1"/>
  <c r="J64" i="25"/>
  <c r="G64" i="25"/>
  <c r="H64" i="25" s="1"/>
  <c r="J63" i="25"/>
  <c r="G63" i="25"/>
  <c r="H63" i="25" s="1"/>
  <c r="J62" i="25"/>
  <c r="G62" i="25"/>
  <c r="H62" i="25" s="1"/>
  <c r="J61" i="25"/>
  <c r="G61" i="25"/>
  <c r="H61" i="25" s="1"/>
  <c r="J60" i="25"/>
  <c r="G60" i="25"/>
  <c r="H60" i="25" s="1"/>
  <c r="J59" i="25"/>
  <c r="G59" i="25"/>
  <c r="H59" i="25" s="1"/>
  <c r="J58" i="25"/>
  <c r="G58" i="25"/>
  <c r="H58" i="25" s="1"/>
  <c r="J57" i="25"/>
  <c r="G57" i="25"/>
  <c r="H57" i="25" s="1"/>
  <c r="J56" i="25"/>
  <c r="G56" i="25"/>
  <c r="H56" i="25" s="1"/>
  <c r="J55" i="25"/>
  <c r="G55" i="25"/>
  <c r="H55" i="25" s="1"/>
  <c r="J54" i="25"/>
  <c r="G54" i="25"/>
  <c r="H54" i="25" s="1"/>
  <c r="J53" i="25"/>
  <c r="G53" i="25"/>
  <c r="H53" i="25" s="1"/>
  <c r="J52" i="25"/>
  <c r="G52" i="25"/>
  <c r="H52" i="25" s="1"/>
  <c r="J51" i="25"/>
  <c r="G51" i="25"/>
  <c r="H51" i="25" s="1"/>
  <c r="J50" i="25"/>
  <c r="G50" i="25"/>
  <c r="H50" i="25" s="1"/>
  <c r="J49" i="25"/>
  <c r="G49" i="25"/>
  <c r="H49" i="25" s="1"/>
  <c r="J48" i="25"/>
  <c r="G48" i="25"/>
  <c r="H48" i="25" s="1"/>
  <c r="J47" i="25"/>
  <c r="G47" i="25"/>
  <c r="H47" i="25" s="1"/>
  <c r="J46" i="25"/>
  <c r="G46" i="25"/>
  <c r="H46" i="25" s="1"/>
  <c r="J45" i="25"/>
  <c r="G45" i="25"/>
  <c r="H45" i="25" s="1"/>
  <c r="J44" i="25"/>
  <c r="G44" i="25"/>
  <c r="H44" i="25" s="1"/>
  <c r="J43" i="25"/>
  <c r="G43" i="25"/>
  <c r="H43" i="25" s="1"/>
  <c r="J42" i="25"/>
  <c r="G42" i="25"/>
  <c r="H42" i="25" s="1"/>
  <c r="J41" i="25"/>
  <c r="G41" i="25"/>
  <c r="H41" i="25" s="1"/>
  <c r="J40" i="25"/>
  <c r="G40" i="25"/>
  <c r="H40" i="25" s="1"/>
  <c r="J39" i="25"/>
  <c r="G39" i="25"/>
  <c r="H39" i="25" s="1"/>
  <c r="J38" i="25"/>
  <c r="G38" i="25"/>
  <c r="H38" i="25" s="1"/>
  <c r="J37" i="25"/>
  <c r="G37" i="25"/>
  <c r="H37" i="25" s="1"/>
  <c r="J36" i="25"/>
  <c r="G36" i="25"/>
  <c r="H36" i="25" s="1"/>
  <c r="J35" i="25"/>
  <c r="G35" i="25"/>
  <c r="H35" i="25" s="1"/>
  <c r="J34" i="25"/>
  <c r="G34" i="25"/>
  <c r="H34" i="25" s="1"/>
  <c r="J33" i="25"/>
  <c r="G33" i="25"/>
  <c r="H33" i="25" s="1"/>
  <c r="J32" i="25"/>
  <c r="G32" i="25"/>
  <c r="H32" i="25" s="1"/>
  <c r="J31" i="25"/>
  <c r="G31" i="25"/>
  <c r="H31" i="25" s="1"/>
  <c r="J30" i="25"/>
  <c r="G30" i="25"/>
  <c r="H30" i="25" s="1"/>
  <c r="J29" i="25"/>
  <c r="G29" i="25"/>
  <c r="H29" i="25" s="1"/>
  <c r="J28" i="25"/>
  <c r="G28" i="25"/>
  <c r="H28" i="25" s="1"/>
  <c r="J27" i="25"/>
  <c r="G27" i="25"/>
  <c r="H27" i="25" s="1"/>
  <c r="J26" i="25"/>
  <c r="G26" i="25"/>
  <c r="H26" i="25" s="1"/>
  <c r="J25" i="25"/>
  <c r="G25" i="25"/>
  <c r="H25" i="25" s="1"/>
  <c r="J24" i="25"/>
  <c r="G24" i="25"/>
  <c r="H24" i="25" s="1"/>
  <c r="J23" i="25"/>
  <c r="G23" i="25"/>
  <c r="H23" i="25" s="1"/>
  <c r="J22" i="25"/>
  <c r="G22" i="25"/>
  <c r="H22" i="25" s="1"/>
  <c r="J21" i="25"/>
  <c r="G21" i="25"/>
  <c r="H21" i="25" s="1"/>
  <c r="J20" i="25"/>
  <c r="G20" i="25"/>
  <c r="H20" i="25" s="1"/>
  <c r="P17" i="25"/>
  <c r="J19" i="25"/>
  <c r="G19" i="25"/>
  <c r="H19" i="25" s="1"/>
  <c r="P16" i="25"/>
  <c r="J18" i="25"/>
  <c r="G18" i="25"/>
  <c r="H18" i="25" s="1"/>
  <c r="P15" i="25"/>
  <c r="J17" i="25"/>
  <c r="G17" i="25"/>
  <c r="H17" i="25" s="1"/>
  <c r="J16" i="25"/>
  <c r="G16" i="25"/>
  <c r="H16" i="25" s="1"/>
  <c r="J15" i="25"/>
  <c r="G15" i="25"/>
  <c r="H15" i="25" s="1"/>
  <c r="J14" i="25"/>
  <c r="G14" i="25"/>
  <c r="H14" i="25" s="1"/>
  <c r="J13" i="25"/>
  <c r="G13" i="25"/>
  <c r="H13" i="25" s="1"/>
  <c r="J12" i="25"/>
  <c r="G12" i="25"/>
  <c r="H12" i="25" s="1"/>
  <c r="P10" i="25"/>
  <c r="J11" i="25"/>
  <c r="G11" i="25"/>
  <c r="H11" i="25" s="1"/>
  <c r="J10" i="25"/>
  <c r="G10" i="25"/>
  <c r="H10" i="25" s="1"/>
  <c r="P8" i="25"/>
  <c r="J9" i="25"/>
  <c r="G9" i="25"/>
  <c r="H9" i="25" s="1"/>
  <c r="J8" i="25"/>
  <c r="G8" i="25"/>
  <c r="H8" i="25" s="1"/>
  <c r="P5" i="25"/>
  <c r="J7" i="25"/>
  <c r="G7" i="25"/>
  <c r="H7" i="25" s="1"/>
  <c r="P4" i="25"/>
  <c r="J6" i="25"/>
  <c r="G6" i="25"/>
  <c r="P3" i="25"/>
  <c r="T5" i="25" s="1"/>
  <c r="V9" i="25" s="1"/>
  <c r="W9" i="25" s="1"/>
  <c r="J5" i="25"/>
  <c r="G5" i="25"/>
  <c r="H5" i="25" s="1"/>
  <c r="J4" i="25"/>
  <c r="G4" i="25"/>
  <c r="H4" i="25" s="1"/>
  <c r="J226" i="24"/>
  <c r="G226" i="24"/>
  <c r="H226" i="24" s="1"/>
  <c r="J225" i="24"/>
  <c r="G225" i="24"/>
  <c r="H225" i="24" s="1"/>
  <c r="J224" i="24"/>
  <c r="G224" i="24"/>
  <c r="H224" i="24" s="1"/>
  <c r="J223" i="24"/>
  <c r="G223" i="24"/>
  <c r="H223" i="24" s="1"/>
  <c r="J222" i="24"/>
  <c r="G222" i="24"/>
  <c r="H222" i="24" s="1"/>
  <c r="J221" i="24"/>
  <c r="G221" i="24"/>
  <c r="H221" i="24" s="1"/>
  <c r="J220" i="24"/>
  <c r="G220" i="24"/>
  <c r="H220" i="24" s="1"/>
  <c r="J219" i="24"/>
  <c r="G219" i="24"/>
  <c r="H219" i="24" s="1"/>
  <c r="J218" i="24"/>
  <c r="G218" i="24"/>
  <c r="H218" i="24" s="1"/>
  <c r="J217" i="24"/>
  <c r="G217" i="24"/>
  <c r="H217" i="24" s="1"/>
  <c r="J216" i="24"/>
  <c r="G216" i="24"/>
  <c r="H216" i="24" s="1"/>
  <c r="J215" i="24"/>
  <c r="G215" i="24"/>
  <c r="H215" i="24" s="1"/>
  <c r="J214" i="24"/>
  <c r="G214" i="24"/>
  <c r="H214" i="24" s="1"/>
  <c r="J213" i="24"/>
  <c r="G213" i="24"/>
  <c r="H213" i="24" s="1"/>
  <c r="J212" i="24"/>
  <c r="G212" i="24"/>
  <c r="H212" i="24" s="1"/>
  <c r="J211" i="24"/>
  <c r="G211" i="24"/>
  <c r="H211" i="24" s="1"/>
  <c r="J210" i="24"/>
  <c r="G210" i="24"/>
  <c r="H210" i="24" s="1"/>
  <c r="J209" i="24"/>
  <c r="G209" i="24"/>
  <c r="H209" i="24" s="1"/>
  <c r="J208" i="24"/>
  <c r="G208" i="24"/>
  <c r="H208" i="24" s="1"/>
  <c r="J207" i="24"/>
  <c r="G207" i="24"/>
  <c r="H207" i="24" s="1"/>
  <c r="J206" i="24"/>
  <c r="G206" i="24"/>
  <c r="H206" i="24" s="1"/>
  <c r="J205" i="24"/>
  <c r="G205" i="24"/>
  <c r="H205" i="24" s="1"/>
  <c r="J204" i="24"/>
  <c r="G204" i="24"/>
  <c r="H204" i="24" s="1"/>
  <c r="J203" i="24"/>
  <c r="G203" i="24"/>
  <c r="H203" i="24" s="1"/>
  <c r="J202" i="24"/>
  <c r="G202" i="24"/>
  <c r="H202" i="24" s="1"/>
  <c r="J201" i="24"/>
  <c r="G201" i="24"/>
  <c r="H201" i="24" s="1"/>
  <c r="J200" i="24"/>
  <c r="G200" i="24"/>
  <c r="H200" i="24" s="1"/>
  <c r="J199" i="24"/>
  <c r="G199" i="24"/>
  <c r="H199" i="24" s="1"/>
  <c r="J198" i="24"/>
  <c r="G198" i="24"/>
  <c r="H198" i="24" s="1"/>
  <c r="J197" i="24"/>
  <c r="G197" i="24"/>
  <c r="H197" i="24" s="1"/>
  <c r="J196" i="24"/>
  <c r="G196" i="24"/>
  <c r="H196" i="24" s="1"/>
  <c r="J195" i="24"/>
  <c r="G195" i="24"/>
  <c r="H195" i="24" s="1"/>
  <c r="J194" i="24"/>
  <c r="G194" i="24"/>
  <c r="H194" i="24" s="1"/>
  <c r="J193" i="24"/>
  <c r="G193" i="24"/>
  <c r="H193" i="24" s="1"/>
  <c r="J192" i="24"/>
  <c r="G192" i="24"/>
  <c r="H192" i="24" s="1"/>
  <c r="J191" i="24"/>
  <c r="G191" i="24"/>
  <c r="H191" i="24" s="1"/>
  <c r="J190" i="24"/>
  <c r="G190" i="24"/>
  <c r="H190" i="24" s="1"/>
  <c r="J189" i="24"/>
  <c r="G189" i="24"/>
  <c r="H189" i="24" s="1"/>
  <c r="J188" i="24"/>
  <c r="G188" i="24"/>
  <c r="H188" i="24" s="1"/>
  <c r="J187" i="24"/>
  <c r="G187" i="24"/>
  <c r="H187" i="24" s="1"/>
  <c r="J186" i="24"/>
  <c r="G186" i="24"/>
  <c r="H186" i="24" s="1"/>
  <c r="J185" i="24"/>
  <c r="G185" i="24"/>
  <c r="H185" i="24" s="1"/>
  <c r="J184" i="24"/>
  <c r="G184" i="24"/>
  <c r="H184" i="24" s="1"/>
  <c r="J183" i="24"/>
  <c r="G183" i="24"/>
  <c r="H183" i="24" s="1"/>
  <c r="J182" i="24"/>
  <c r="G182" i="24"/>
  <c r="H182" i="24" s="1"/>
  <c r="J181" i="24"/>
  <c r="G181" i="24"/>
  <c r="H181" i="24" s="1"/>
  <c r="J180" i="24"/>
  <c r="G180" i="24"/>
  <c r="H180" i="24" s="1"/>
  <c r="J179" i="24"/>
  <c r="G179" i="24"/>
  <c r="H179" i="24" s="1"/>
  <c r="J178" i="24"/>
  <c r="G178" i="24"/>
  <c r="H178" i="24" s="1"/>
  <c r="J177" i="24"/>
  <c r="G177" i="24"/>
  <c r="H177" i="24" s="1"/>
  <c r="J176" i="24"/>
  <c r="G176" i="24"/>
  <c r="H176" i="24" s="1"/>
  <c r="J175" i="24"/>
  <c r="G175" i="24"/>
  <c r="H175" i="24" s="1"/>
  <c r="J174" i="24"/>
  <c r="G174" i="24"/>
  <c r="H174" i="24" s="1"/>
  <c r="J173" i="24"/>
  <c r="G173" i="24"/>
  <c r="H173" i="24" s="1"/>
  <c r="J172" i="24"/>
  <c r="G172" i="24"/>
  <c r="H172" i="24" s="1"/>
  <c r="J171" i="24"/>
  <c r="G171" i="24"/>
  <c r="H171" i="24" s="1"/>
  <c r="J170" i="24"/>
  <c r="G170" i="24"/>
  <c r="H170" i="24" s="1"/>
  <c r="J169" i="24"/>
  <c r="G169" i="24"/>
  <c r="H169" i="24" s="1"/>
  <c r="J168" i="24"/>
  <c r="G168" i="24"/>
  <c r="H168" i="24" s="1"/>
  <c r="J167" i="24"/>
  <c r="G167" i="24"/>
  <c r="H167" i="24" s="1"/>
  <c r="J166" i="24"/>
  <c r="G166" i="24"/>
  <c r="H166" i="24" s="1"/>
  <c r="J165" i="24"/>
  <c r="G165" i="24"/>
  <c r="H165" i="24" s="1"/>
  <c r="J164" i="24"/>
  <c r="G164" i="24"/>
  <c r="H164" i="24" s="1"/>
  <c r="J163" i="24"/>
  <c r="G163" i="24"/>
  <c r="H163" i="24" s="1"/>
  <c r="J162" i="24"/>
  <c r="G162" i="24"/>
  <c r="H162" i="24" s="1"/>
  <c r="J161" i="24"/>
  <c r="G161" i="24"/>
  <c r="H161" i="24" s="1"/>
  <c r="J160" i="24"/>
  <c r="G160" i="24"/>
  <c r="H160" i="24" s="1"/>
  <c r="J159" i="24"/>
  <c r="G159" i="24"/>
  <c r="H159" i="24" s="1"/>
  <c r="J158" i="24"/>
  <c r="G158" i="24"/>
  <c r="H158" i="24" s="1"/>
  <c r="J157" i="24"/>
  <c r="G157" i="24"/>
  <c r="H157" i="24" s="1"/>
  <c r="J156" i="24"/>
  <c r="G156" i="24"/>
  <c r="H156" i="24" s="1"/>
  <c r="J155" i="24"/>
  <c r="G155" i="24"/>
  <c r="H155" i="24" s="1"/>
  <c r="J154" i="24"/>
  <c r="G154" i="24"/>
  <c r="H154" i="24" s="1"/>
  <c r="J153" i="24"/>
  <c r="G153" i="24"/>
  <c r="H153" i="24" s="1"/>
  <c r="J152" i="24"/>
  <c r="G152" i="24"/>
  <c r="H152" i="24" s="1"/>
  <c r="J151" i="24"/>
  <c r="G151" i="24"/>
  <c r="H151" i="24" s="1"/>
  <c r="J150" i="24"/>
  <c r="G150" i="24"/>
  <c r="H150" i="24" s="1"/>
  <c r="J149" i="24"/>
  <c r="G149" i="24"/>
  <c r="H149" i="24" s="1"/>
  <c r="J148" i="24"/>
  <c r="G148" i="24"/>
  <c r="H148" i="24" s="1"/>
  <c r="J147" i="24"/>
  <c r="G147" i="24"/>
  <c r="H147" i="24" s="1"/>
  <c r="J146" i="24"/>
  <c r="G146" i="24"/>
  <c r="H146" i="24" s="1"/>
  <c r="J145" i="24"/>
  <c r="G145" i="24"/>
  <c r="H145" i="24" s="1"/>
  <c r="J144" i="24"/>
  <c r="G144" i="24"/>
  <c r="H144" i="24" s="1"/>
  <c r="J143" i="24"/>
  <c r="G143" i="24"/>
  <c r="H143" i="24" s="1"/>
  <c r="J142" i="24"/>
  <c r="G142" i="24"/>
  <c r="H142" i="24" s="1"/>
  <c r="J141" i="24"/>
  <c r="G141" i="24"/>
  <c r="H141" i="24" s="1"/>
  <c r="J140" i="24"/>
  <c r="G140" i="24"/>
  <c r="H140" i="24" s="1"/>
  <c r="J139" i="24"/>
  <c r="G139" i="24"/>
  <c r="H139" i="24" s="1"/>
  <c r="J138" i="24"/>
  <c r="G138" i="24"/>
  <c r="H138" i="24" s="1"/>
  <c r="J137" i="24"/>
  <c r="G137" i="24"/>
  <c r="H137" i="24" s="1"/>
  <c r="J136" i="24"/>
  <c r="G136" i="24"/>
  <c r="H136" i="24" s="1"/>
  <c r="J135" i="24"/>
  <c r="G135" i="24"/>
  <c r="H135" i="24" s="1"/>
  <c r="J134" i="24"/>
  <c r="G134" i="24"/>
  <c r="H134" i="24" s="1"/>
  <c r="J133" i="24"/>
  <c r="G133" i="24"/>
  <c r="H133" i="24" s="1"/>
  <c r="J132" i="24"/>
  <c r="G132" i="24"/>
  <c r="H132" i="24" s="1"/>
  <c r="J131" i="24"/>
  <c r="G131" i="24"/>
  <c r="H131" i="24" s="1"/>
  <c r="J130" i="24"/>
  <c r="G130" i="24"/>
  <c r="H130" i="24" s="1"/>
  <c r="J129" i="24"/>
  <c r="G129" i="24"/>
  <c r="H129" i="24" s="1"/>
  <c r="J128" i="24"/>
  <c r="G128" i="24"/>
  <c r="H128" i="24" s="1"/>
  <c r="J127" i="24"/>
  <c r="G127" i="24"/>
  <c r="H127" i="24" s="1"/>
  <c r="J126" i="24"/>
  <c r="G126" i="24"/>
  <c r="H126" i="24" s="1"/>
  <c r="J125" i="24"/>
  <c r="G125" i="24"/>
  <c r="H125" i="24" s="1"/>
  <c r="J124" i="24"/>
  <c r="G124" i="24"/>
  <c r="H124" i="24" s="1"/>
  <c r="J123" i="24"/>
  <c r="G123" i="24"/>
  <c r="H123" i="24" s="1"/>
  <c r="J122" i="24"/>
  <c r="G122" i="24"/>
  <c r="H122" i="24" s="1"/>
  <c r="J121" i="24"/>
  <c r="G121" i="24"/>
  <c r="H121" i="24" s="1"/>
  <c r="J120" i="24"/>
  <c r="G120" i="24"/>
  <c r="H120" i="24" s="1"/>
  <c r="J119" i="24"/>
  <c r="G119" i="24"/>
  <c r="H119" i="24" s="1"/>
  <c r="J118" i="24"/>
  <c r="G118" i="24"/>
  <c r="H118" i="24" s="1"/>
  <c r="J117" i="24"/>
  <c r="G117" i="24"/>
  <c r="H117" i="24" s="1"/>
  <c r="J116" i="24"/>
  <c r="G116" i="24"/>
  <c r="H116" i="24" s="1"/>
  <c r="J115" i="24"/>
  <c r="G115" i="24"/>
  <c r="H115" i="24" s="1"/>
  <c r="J114" i="24"/>
  <c r="G114" i="24"/>
  <c r="H114" i="24" s="1"/>
  <c r="J113" i="24"/>
  <c r="G113" i="24"/>
  <c r="H113" i="24" s="1"/>
  <c r="J112" i="24"/>
  <c r="G112" i="24"/>
  <c r="H112" i="24" s="1"/>
  <c r="J111" i="24"/>
  <c r="G111" i="24"/>
  <c r="H111" i="24" s="1"/>
  <c r="J110" i="24"/>
  <c r="G110" i="24"/>
  <c r="H110" i="24" s="1"/>
  <c r="J109" i="24"/>
  <c r="G109" i="24"/>
  <c r="H109" i="24" s="1"/>
  <c r="J108" i="24"/>
  <c r="G108" i="24"/>
  <c r="H108" i="24" s="1"/>
  <c r="J107" i="24"/>
  <c r="G107" i="24"/>
  <c r="H107" i="24" s="1"/>
  <c r="J106" i="24"/>
  <c r="G106" i="24"/>
  <c r="H106" i="24" s="1"/>
  <c r="J105" i="24"/>
  <c r="G105" i="24"/>
  <c r="H105" i="24" s="1"/>
  <c r="J104" i="24"/>
  <c r="G104" i="24"/>
  <c r="H104" i="24" s="1"/>
  <c r="J103" i="24"/>
  <c r="G103" i="24"/>
  <c r="H103" i="24" s="1"/>
  <c r="J102" i="24"/>
  <c r="G102" i="24"/>
  <c r="H102" i="24" s="1"/>
  <c r="J101" i="24"/>
  <c r="G101" i="24"/>
  <c r="H101" i="24" s="1"/>
  <c r="J100" i="24"/>
  <c r="G100" i="24"/>
  <c r="H100" i="24" s="1"/>
  <c r="J99" i="24"/>
  <c r="G99" i="24"/>
  <c r="H99" i="24" s="1"/>
  <c r="J98" i="24"/>
  <c r="G98" i="24"/>
  <c r="H98" i="24" s="1"/>
  <c r="J97" i="24"/>
  <c r="G97" i="24"/>
  <c r="H97" i="24" s="1"/>
  <c r="J96" i="24"/>
  <c r="G96" i="24"/>
  <c r="H96" i="24" s="1"/>
  <c r="J95" i="24"/>
  <c r="G95" i="24"/>
  <c r="H95" i="24" s="1"/>
  <c r="J94" i="24"/>
  <c r="G94" i="24"/>
  <c r="H94" i="24" s="1"/>
  <c r="J93" i="24"/>
  <c r="G93" i="24"/>
  <c r="H93" i="24" s="1"/>
  <c r="J92" i="24"/>
  <c r="G92" i="24"/>
  <c r="H92" i="24" s="1"/>
  <c r="J91" i="24"/>
  <c r="G91" i="24"/>
  <c r="H91" i="24" s="1"/>
  <c r="J90" i="24"/>
  <c r="G90" i="24"/>
  <c r="H90" i="24" s="1"/>
  <c r="J89" i="24"/>
  <c r="G89" i="24"/>
  <c r="H89" i="24" s="1"/>
  <c r="J88" i="24"/>
  <c r="G88" i="24"/>
  <c r="H88" i="24" s="1"/>
  <c r="J87" i="24"/>
  <c r="G87" i="24"/>
  <c r="H87" i="24" s="1"/>
  <c r="J86" i="24"/>
  <c r="G86" i="24"/>
  <c r="H86" i="24" s="1"/>
  <c r="J85" i="24"/>
  <c r="G85" i="24"/>
  <c r="H85" i="24" s="1"/>
  <c r="J84" i="24"/>
  <c r="G84" i="24"/>
  <c r="H84" i="24" s="1"/>
  <c r="J83" i="24"/>
  <c r="G83" i="24"/>
  <c r="H83" i="24" s="1"/>
  <c r="J82" i="24"/>
  <c r="G82" i="24"/>
  <c r="H82" i="24" s="1"/>
  <c r="J81" i="24"/>
  <c r="G81" i="24"/>
  <c r="H81" i="24" s="1"/>
  <c r="J80" i="24"/>
  <c r="G80" i="24"/>
  <c r="H80" i="24" s="1"/>
  <c r="J79" i="24"/>
  <c r="G79" i="24"/>
  <c r="H79" i="24" s="1"/>
  <c r="J78" i="24"/>
  <c r="G78" i="24"/>
  <c r="H78" i="24" s="1"/>
  <c r="J77" i="24"/>
  <c r="G77" i="24"/>
  <c r="H77" i="24" s="1"/>
  <c r="J76" i="24"/>
  <c r="G76" i="24"/>
  <c r="H76" i="24" s="1"/>
  <c r="J75" i="24"/>
  <c r="G75" i="24"/>
  <c r="H75" i="24" s="1"/>
  <c r="J74" i="24"/>
  <c r="G74" i="24"/>
  <c r="H74" i="24" s="1"/>
  <c r="J73" i="24"/>
  <c r="G73" i="24"/>
  <c r="H73" i="24" s="1"/>
  <c r="J72" i="24"/>
  <c r="G72" i="24"/>
  <c r="H72" i="24" s="1"/>
  <c r="J71" i="24"/>
  <c r="G71" i="24"/>
  <c r="H71" i="24" s="1"/>
  <c r="J70" i="24"/>
  <c r="G70" i="24"/>
  <c r="H70" i="24" s="1"/>
  <c r="J69" i="24"/>
  <c r="G69" i="24"/>
  <c r="H69" i="24" s="1"/>
  <c r="J68" i="24"/>
  <c r="G68" i="24"/>
  <c r="H68" i="24" s="1"/>
  <c r="J67" i="24"/>
  <c r="G67" i="24"/>
  <c r="H67" i="24" s="1"/>
  <c r="J66" i="24"/>
  <c r="G66" i="24"/>
  <c r="H66" i="24" s="1"/>
  <c r="J65" i="24"/>
  <c r="G65" i="24"/>
  <c r="H65" i="24" s="1"/>
  <c r="J64" i="24"/>
  <c r="G64" i="24"/>
  <c r="H64" i="24" s="1"/>
  <c r="J63" i="24"/>
  <c r="G63" i="24"/>
  <c r="H63" i="24" s="1"/>
  <c r="J62" i="24"/>
  <c r="G62" i="24"/>
  <c r="H62" i="24" s="1"/>
  <c r="J61" i="24"/>
  <c r="G61" i="24"/>
  <c r="H61" i="24" s="1"/>
  <c r="J60" i="24"/>
  <c r="G60" i="24"/>
  <c r="H60" i="24" s="1"/>
  <c r="J59" i="24"/>
  <c r="G59" i="24"/>
  <c r="H59" i="24" s="1"/>
  <c r="J58" i="24"/>
  <c r="G58" i="24"/>
  <c r="H58" i="24" s="1"/>
  <c r="J57" i="24"/>
  <c r="G57" i="24"/>
  <c r="H57" i="24" s="1"/>
  <c r="J56" i="24"/>
  <c r="G56" i="24"/>
  <c r="H56" i="24" s="1"/>
  <c r="J55" i="24"/>
  <c r="G55" i="24"/>
  <c r="H55" i="24" s="1"/>
  <c r="J54" i="24"/>
  <c r="G54" i="24"/>
  <c r="H54" i="24" s="1"/>
  <c r="J53" i="24"/>
  <c r="G53" i="24"/>
  <c r="H53" i="24" s="1"/>
  <c r="J52" i="24"/>
  <c r="G52" i="24"/>
  <c r="H52" i="24" s="1"/>
  <c r="J51" i="24"/>
  <c r="G51" i="24"/>
  <c r="H51" i="24" s="1"/>
  <c r="J50" i="24"/>
  <c r="G50" i="24"/>
  <c r="H50" i="24" s="1"/>
  <c r="J49" i="24"/>
  <c r="G49" i="24"/>
  <c r="H49" i="24" s="1"/>
  <c r="J48" i="24"/>
  <c r="G48" i="24"/>
  <c r="H48" i="24" s="1"/>
  <c r="J47" i="24"/>
  <c r="G47" i="24"/>
  <c r="H47" i="24" s="1"/>
  <c r="J46" i="24"/>
  <c r="G46" i="24"/>
  <c r="H46" i="24" s="1"/>
  <c r="J45" i="24"/>
  <c r="G45" i="24"/>
  <c r="H45" i="24" s="1"/>
  <c r="J44" i="24"/>
  <c r="G44" i="24"/>
  <c r="H44" i="24" s="1"/>
  <c r="J43" i="24"/>
  <c r="G43" i="24"/>
  <c r="H43" i="24" s="1"/>
  <c r="J42" i="24"/>
  <c r="G42" i="24"/>
  <c r="H42" i="24" s="1"/>
  <c r="J41" i="24"/>
  <c r="G41" i="24"/>
  <c r="H41" i="24" s="1"/>
  <c r="J40" i="24"/>
  <c r="G40" i="24"/>
  <c r="H40" i="24" s="1"/>
  <c r="J39" i="24"/>
  <c r="G39" i="24"/>
  <c r="H39" i="24" s="1"/>
  <c r="J38" i="24"/>
  <c r="G38" i="24"/>
  <c r="H38" i="24" s="1"/>
  <c r="J37" i="24"/>
  <c r="G37" i="24"/>
  <c r="H37" i="24" s="1"/>
  <c r="J36" i="24"/>
  <c r="G36" i="24"/>
  <c r="H36" i="24" s="1"/>
  <c r="J35" i="24"/>
  <c r="G35" i="24"/>
  <c r="H35" i="24" s="1"/>
  <c r="J34" i="24"/>
  <c r="G34" i="24"/>
  <c r="H34" i="24" s="1"/>
  <c r="J33" i="24"/>
  <c r="G33" i="24"/>
  <c r="H33" i="24" s="1"/>
  <c r="J32" i="24"/>
  <c r="G32" i="24"/>
  <c r="H32" i="24" s="1"/>
  <c r="J31" i="24"/>
  <c r="G31" i="24"/>
  <c r="H31" i="24" s="1"/>
  <c r="J30" i="24"/>
  <c r="G30" i="24"/>
  <c r="H30" i="24" s="1"/>
  <c r="J29" i="24"/>
  <c r="G29" i="24"/>
  <c r="H29" i="24" s="1"/>
  <c r="J28" i="24"/>
  <c r="G28" i="24"/>
  <c r="H28" i="24" s="1"/>
  <c r="J27" i="24"/>
  <c r="G27" i="24"/>
  <c r="H27" i="24" s="1"/>
  <c r="J26" i="24"/>
  <c r="G26" i="24"/>
  <c r="H26" i="24" s="1"/>
  <c r="J25" i="24"/>
  <c r="G25" i="24"/>
  <c r="H25" i="24" s="1"/>
  <c r="G24" i="24"/>
  <c r="H24" i="24" s="1"/>
  <c r="J23" i="24"/>
  <c r="G23" i="24"/>
  <c r="H23" i="24" s="1"/>
  <c r="J22" i="24"/>
  <c r="G22" i="24"/>
  <c r="H22" i="24" s="1"/>
  <c r="J21" i="24"/>
  <c r="G21" i="24"/>
  <c r="H21" i="24" s="1"/>
  <c r="J20" i="24"/>
  <c r="G20" i="24"/>
  <c r="H20" i="24" s="1"/>
  <c r="P17" i="24"/>
  <c r="J19" i="24"/>
  <c r="G19" i="24"/>
  <c r="H19" i="24" s="1"/>
  <c r="P16" i="24"/>
  <c r="J18" i="24"/>
  <c r="G18" i="24"/>
  <c r="H18" i="24" s="1"/>
  <c r="P15" i="24"/>
  <c r="J17" i="24"/>
  <c r="G17" i="24"/>
  <c r="H17" i="24" s="1"/>
  <c r="J16" i="24"/>
  <c r="G16" i="24"/>
  <c r="H16" i="24" s="1"/>
  <c r="J15" i="24"/>
  <c r="G15" i="24"/>
  <c r="H15" i="24" s="1"/>
  <c r="J14" i="24"/>
  <c r="G14" i="24"/>
  <c r="H14" i="24" s="1"/>
  <c r="J13" i="24"/>
  <c r="G13" i="24"/>
  <c r="H13" i="24" s="1"/>
  <c r="J12" i="24"/>
  <c r="G12" i="24"/>
  <c r="H12" i="24" s="1"/>
  <c r="P10" i="24"/>
  <c r="J11" i="24"/>
  <c r="G11" i="24"/>
  <c r="H11" i="24" s="1"/>
  <c r="P9" i="24"/>
  <c r="J10" i="24"/>
  <c r="G10" i="24"/>
  <c r="H10" i="24" s="1"/>
  <c r="P8" i="24"/>
  <c r="J9" i="24"/>
  <c r="G9" i="24"/>
  <c r="H9" i="24" s="1"/>
  <c r="J8" i="24"/>
  <c r="G8" i="24"/>
  <c r="H8" i="24" s="1"/>
  <c r="P5" i="24"/>
  <c r="J7" i="24"/>
  <c r="G7" i="24"/>
  <c r="H7" i="24" s="1"/>
  <c r="P4" i="24"/>
  <c r="J6" i="24"/>
  <c r="G6" i="24"/>
  <c r="H6" i="24" s="1"/>
  <c r="P3" i="24"/>
  <c r="T5" i="24" s="1"/>
  <c r="V9" i="24" s="1"/>
  <c r="W9" i="24" s="1"/>
  <c r="J5" i="24"/>
  <c r="G5" i="24"/>
  <c r="H5" i="24" s="1"/>
  <c r="J4" i="24"/>
  <c r="G4" i="24"/>
  <c r="H4" i="24" s="1"/>
  <c r="J226" i="23"/>
  <c r="G226" i="23"/>
  <c r="H226" i="23" s="1"/>
  <c r="J225" i="23"/>
  <c r="G225" i="23"/>
  <c r="H225" i="23" s="1"/>
  <c r="J224" i="23"/>
  <c r="G224" i="23"/>
  <c r="H224" i="23" s="1"/>
  <c r="J223" i="23"/>
  <c r="G223" i="23"/>
  <c r="H223" i="23" s="1"/>
  <c r="J222" i="23"/>
  <c r="G222" i="23"/>
  <c r="H222" i="23" s="1"/>
  <c r="J221" i="23"/>
  <c r="G221" i="23"/>
  <c r="H221" i="23" s="1"/>
  <c r="J220" i="23"/>
  <c r="G220" i="23"/>
  <c r="H220" i="23" s="1"/>
  <c r="J219" i="23"/>
  <c r="G219" i="23"/>
  <c r="H219" i="23" s="1"/>
  <c r="J218" i="23"/>
  <c r="G218" i="23"/>
  <c r="H218" i="23" s="1"/>
  <c r="J217" i="23"/>
  <c r="G217" i="23"/>
  <c r="H217" i="23" s="1"/>
  <c r="J216" i="23"/>
  <c r="G216" i="23"/>
  <c r="H216" i="23" s="1"/>
  <c r="J215" i="23"/>
  <c r="G215" i="23"/>
  <c r="H215" i="23" s="1"/>
  <c r="J214" i="23"/>
  <c r="G214" i="23"/>
  <c r="H214" i="23" s="1"/>
  <c r="J213" i="23"/>
  <c r="G213" i="23"/>
  <c r="H213" i="23" s="1"/>
  <c r="J212" i="23"/>
  <c r="G212" i="23"/>
  <c r="H212" i="23" s="1"/>
  <c r="J211" i="23"/>
  <c r="G211" i="23"/>
  <c r="H211" i="23" s="1"/>
  <c r="J210" i="23"/>
  <c r="G210" i="23"/>
  <c r="H210" i="23" s="1"/>
  <c r="J209" i="23"/>
  <c r="G209" i="23"/>
  <c r="H209" i="23" s="1"/>
  <c r="J208" i="23"/>
  <c r="G208" i="23"/>
  <c r="H208" i="23" s="1"/>
  <c r="J207" i="23"/>
  <c r="G207" i="23"/>
  <c r="H207" i="23" s="1"/>
  <c r="J206" i="23"/>
  <c r="G206" i="23"/>
  <c r="H206" i="23" s="1"/>
  <c r="J205" i="23"/>
  <c r="G205" i="23"/>
  <c r="H205" i="23" s="1"/>
  <c r="J204" i="23"/>
  <c r="G204" i="23"/>
  <c r="H204" i="23" s="1"/>
  <c r="J203" i="23"/>
  <c r="G203" i="23"/>
  <c r="H203" i="23" s="1"/>
  <c r="J202" i="23"/>
  <c r="G202" i="23"/>
  <c r="H202" i="23" s="1"/>
  <c r="J201" i="23"/>
  <c r="G201" i="23"/>
  <c r="H201" i="23" s="1"/>
  <c r="J200" i="23"/>
  <c r="G200" i="23"/>
  <c r="H200" i="23" s="1"/>
  <c r="J199" i="23"/>
  <c r="G199" i="23"/>
  <c r="H199" i="23" s="1"/>
  <c r="J198" i="23"/>
  <c r="G198" i="23"/>
  <c r="H198" i="23" s="1"/>
  <c r="J197" i="23"/>
  <c r="G197" i="23"/>
  <c r="H197" i="23" s="1"/>
  <c r="J196" i="23"/>
  <c r="G196" i="23"/>
  <c r="H196" i="23" s="1"/>
  <c r="J195" i="23"/>
  <c r="G195" i="23"/>
  <c r="H195" i="23" s="1"/>
  <c r="J194" i="23"/>
  <c r="G194" i="23"/>
  <c r="H194" i="23" s="1"/>
  <c r="J193" i="23"/>
  <c r="G193" i="23"/>
  <c r="H193" i="23" s="1"/>
  <c r="J192" i="23"/>
  <c r="G192" i="23"/>
  <c r="H192" i="23" s="1"/>
  <c r="J191" i="23"/>
  <c r="G191" i="23"/>
  <c r="H191" i="23" s="1"/>
  <c r="J190" i="23"/>
  <c r="G190" i="23"/>
  <c r="H190" i="23" s="1"/>
  <c r="J189" i="23"/>
  <c r="G189" i="23"/>
  <c r="H189" i="23" s="1"/>
  <c r="J188" i="23"/>
  <c r="G188" i="23"/>
  <c r="H188" i="23" s="1"/>
  <c r="J187" i="23"/>
  <c r="G187" i="23"/>
  <c r="H187" i="23" s="1"/>
  <c r="J186" i="23"/>
  <c r="G186" i="23"/>
  <c r="H186" i="23" s="1"/>
  <c r="J185" i="23"/>
  <c r="G185" i="23"/>
  <c r="H185" i="23" s="1"/>
  <c r="J184" i="23"/>
  <c r="G184" i="23"/>
  <c r="H184" i="23" s="1"/>
  <c r="J183" i="23"/>
  <c r="G183" i="23"/>
  <c r="H183" i="23" s="1"/>
  <c r="J182" i="23"/>
  <c r="G182" i="23"/>
  <c r="H182" i="23" s="1"/>
  <c r="J181" i="23"/>
  <c r="G181" i="23"/>
  <c r="H181" i="23" s="1"/>
  <c r="J180" i="23"/>
  <c r="G180" i="23"/>
  <c r="H180" i="23" s="1"/>
  <c r="J179" i="23"/>
  <c r="G179" i="23"/>
  <c r="H179" i="23" s="1"/>
  <c r="J178" i="23"/>
  <c r="G178" i="23"/>
  <c r="H178" i="23" s="1"/>
  <c r="J177" i="23"/>
  <c r="G177" i="23"/>
  <c r="H177" i="23" s="1"/>
  <c r="J176" i="23"/>
  <c r="G176" i="23"/>
  <c r="H176" i="23" s="1"/>
  <c r="J175" i="23"/>
  <c r="G175" i="23"/>
  <c r="H175" i="23" s="1"/>
  <c r="J174" i="23"/>
  <c r="G174" i="23"/>
  <c r="H174" i="23" s="1"/>
  <c r="J173" i="23"/>
  <c r="G173" i="23"/>
  <c r="H173" i="23" s="1"/>
  <c r="J172" i="23"/>
  <c r="G172" i="23"/>
  <c r="H172" i="23" s="1"/>
  <c r="J171" i="23"/>
  <c r="G171" i="23"/>
  <c r="H171" i="23" s="1"/>
  <c r="J170" i="23"/>
  <c r="G170" i="23"/>
  <c r="H170" i="23" s="1"/>
  <c r="J169" i="23"/>
  <c r="G169" i="23"/>
  <c r="H169" i="23" s="1"/>
  <c r="J168" i="23"/>
  <c r="G168" i="23"/>
  <c r="H168" i="23" s="1"/>
  <c r="J167" i="23"/>
  <c r="G167" i="23"/>
  <c r="H167" i="23" s="1"/>
  <c r="J166" i="23"/>
  <c r="G166" i="23"/>
  <c r="H166" i="23" s="1"/>
  <c r="J165" i="23"/>
  <c r="G165" i="23"/>
  <c r="H165" i="23" s="1"/>
  <c r="J164" i="23"/>
  <c r="G164" i="23"/>
  <c r="H164" i="23" s="1"/>
  <c r="J163" i="23"/>
  <c r="G163" i="23"/>
  <c r="H163" i="23" s="1"/>
  <c r="J162" i="23"/>
  <c r="G162" i="23"/>
  <c r="H162" i="23" s="1"/>
  <c r="J161" i="23"/>
  <c r="G161" i="23"/>
  <c r="H161" i="23" s="1"/>
  <c r="J160" i="23"/>
  <c r="G160" i="23"/>
  <c r="H160" i="23" s="1"/>
  <c r="J159" i="23"/>
  <c r="G159" i="23"/>
  <c r="H159" i="23" s="1"/>
  <c r="J158" i="23"/>
  <c r="G158" i="23"/>
  <c r="H158" i="23" s="1"/>
  <c r="J157" i="23"/>
  <c r="G157" i="23"/>
  <c r="H157" i="23" s="1"/>
  <c r="J156" i="23"/>
  <c r="G156" i="23"/>
  <c r="H156" i="23" s="1"/>
  <c r="J155" i="23"/>
  <c r="G155" i="23"/>
  <c r="H155" i="23" s="1"/>
  <c r="J154" i="23"/>
  <c r="G154" i="23"/>
  <c r="H154" i="23" s="1"/>
  <c r="J153" i="23"/>
  <c r="G153" i="23"/>
  <c r="H153" i="23" s="1"/>
  <c r="J152" i="23"/>
  <c r="G152" i="23"/>
  <c r="H152" i="23" s="1"/>
  <c r="J151" i="23"/>
  <c r="G151" i="23"/>
  <c r="H151" i="23" s="1"/>
  <c r="J150" i="23"/>
  <c r="G150" i="23"/>
  <c r="H150" i="23" s="1"/>
  <c r="J149" i="23"/>
  <c r="G149" i="23"/>
  <c r="H149" i="23" s="1"/>
  <c r="J148" i="23"/>
  <c r="G148" i="23"/>
  <c r="H148" i="23" s="1"/>
  <c r="J147" i="23"/>
  <c r="G147" i="23"/>
  <c r="H147" i="23" s="1"/>
  <c r="J146" i="23"/>
  <c r="G146" i="23"/>
  <c r="H146" i="23" s="1"/>
  <c r="J145" i="23"/>
  <c r="G145" i="23"/>
  <c r="H145" i="23" s="1"/>
  <c r="J144" i="23"/>
  <c r="G144" i="23"/>
  <c r="H144" i="23" s="1"/>
  <c r="J143" i="23"/>
  <c r="G143" i="23"/>
  <c r="H143" i="23" s="1"/>
  <c r="J142" i="23"/>
  <c r="G142" i="23"/>
  <c r="H142" i="23" s="1"/>
  <c r="J141" i="23"/>
  <c r="G141" i="23"/>
  <c r="H141" i="23" s="1"/>
  <c r="J140" i="23"/>
  <c r="G140" i="23"/>
  <c r="H140" i="23" s="1"/>
  <c r="J139" i="23"/>
  <c r="G139" i="23"/>
  <c r="H139" i="23" s="1"/>
  <c r="J138" i="23"/>
  <c r="G138" i="23"/>
  <c r="H138" i="23" s="1"/>
  <c r="J137" i="23"/>
  <c r="G137" i="23"/>
  <c r="H137" i="23" s="1"/>
  <c r="J136" i="23"/>
  <c r="G136" i="23"/>
  <c r="H136" i="23" s="1"/>
  <c r="J135" i="23"/>
  <c r="G135" i="23"/>
  <c r="H135" i="23" s="1"/>
  <c r="J134" i="23"/>
  <c r="G134" i="23"/>
  <c r="H134" i="23" s="1"/>
  <c r="J133" i="23"/>
  <c r="G133" i="23"/>
  <c r="H133" i="23" s="1"/>
  <c r="J132" i="23"/>
  <c r="G132" i="23"/>
  <c r="H132" i="23" s="1"/>
  <c r="J131" i="23"/>
  <c r="G131" i="23"/>
  <c r="H131" i="23" s="1"/>
  <c r="J130" i="23"/>
  <c r="G130" i="23"/>
  <c r="H130" i="23" s="1"/>
  <c r="J129" i="23"/>
  <c r="G129" i="23"/>
  <c r="H129" i="23" s="1"/>
  <c r="J128" i="23"/>
  <c r="G128" i="23"/>
  <c r="H128" i="23" s="1"/>
  <c r="J127" i="23"/>
  <c r="G127" i="23"/>
  <c r="H127" i="23" s="1"/>
  <c r="J126" i="23"/>
  <c r="G126" i="23"/>
  <c r="H126" i="23" s="1"/>
  <c r="J125" i="23"/>
  <c r="G125" i="23"/>
  <c r="H125" i="23" s="1"/>
  <c r="J124" i="23"/>
  <c r="G124" i="23"/>
  <c r="H124" i="23" s="1"/>
  <c r="J123" i="23"/>
  <c r="G123" i="23"/>
  <c r="H123" i="23" s="1"/>
  <c r="J122" i="23"/>
  <c r="G122" i="23"/>
  <c r="H122" i="23" s="1"/>
  <c r="J121" i="23"/>
  <c r="G121" i="23"/>
  <c r="H121" i="23" s="1"/>
  <c r="J120" i="23"/>
  <c r="G120" i="23"/>
  <c r="H120" i="23" s="1"/>
  <c r="J119" i="23"/>
  <c r="G119" i="23"/>
  <c r="H119" i="23" s="1"/>
  <c r="J118" i="23"/>
  <c r="G118" i="23"/>
  <c r="H118" i="23" s="1"/>
  <c r="J117" i="23"/>
  <c r="G117" i="23"/>
  <c r="H117" i="23" s="1"/>
  <c r="J116" i="23"/>
  <c r="G116" i="23"/>
  <c r="H116" i="23" s="1"/>
  <c r="J115" i="23"/>
  <c r="G115" i="23"/>
  <c r="H115" i="23" s="1"/>
  <c r="J114" i="23"/>
  <c r="G114" i="23"/>
  <c r="H114" i="23" s="1"/>
  <c r="J113" i="23"/>
  <c r="G113" i="23"/>
  <c r="H113" i="23" s="1"/>
  <c r="J112" i="23"/>
  <c r="G112" i="23"/>
  <c r="H112" i="23" s="1"/>
  <c r="J111" i="23"/>
  <c r="G111" i="23"/>
  <c r="H111" i="23" s="1"/>
  <c r="J110" i="23"/>
  <c r="G110" i="23"/>
  <c r="H110" i="23" s="1"/>
  <c r="J109" i="23"/>
  <c r="G109" i="23"/>
  <c r="H109" i="23" s="1"/>
  <c r="J108" i="23"/>
  <c r="G108" i="23"/>
  <c r="H108" i="23" s="1"/>
  <c r="J107" i="23"/>
  <c r="G107" i="23"/>
  <c r="H107" i="23" s="1"/>
  <c r="J106" i="23"/>
  <c r="G106" i="23"/>
  <c r="H106" i="23" s="1"/>
  <c r="J105" i="23"/>
  <c r="G105" i="23"/>
  <c r="H105" i="23" s="1"/>
  <c r="J104" i="23"/>
  <c r="G104" i="23"/>
  <c r="H104" i="23" s="1"/>
  <c r="J103" i="23"/>
  <c r="G103" i="23"/>
  <c r="H103" i="23" s="1"/>
  <c r="J102" i="23"/>
  <c r="G102" i="23"/>
  <c r="H102" i="23" s="1"/>
  <c r="J101" i="23"/>
  <c r="G101" i="23"/>
  <c r="H101" i="23" s="1"/>
  <c r="J100" i="23"/>
  <c r="G100" i="23"/>
  <c r="H100" i="23" s="1"/>
  <c r="J99" i="23"/>
  <c r="G99" i="23"/>
  <c r="H99" i="23" s="1"/>
  <c r="J98" i="23"/>
  <c r="G98" i="23"/>
  <c r="H98" i="23" s="1"/>
  <c r="J97" i="23"/>
  <c r="G97" i="23"/>
  <c r="H97" i="23" s="1"/>
  <c r="J96" i="23"/>
  <c r="G96" i="23"/>
  <c r="H96" i="23" s="1"/>
  <c r="J95" i="23"/>
  <c r="G95" i="23"/>
  <c r="H95" i="23" s="1"/>
  <c r="J94" i="23"/>
  <c r="G94" i="23"/>
  <c r="H94" i="23" s="1"/>
  <c r="J93" i="23"/>
  <c r="G93" i="23"/>
  <c r="H93" i="23" s="1"/>
  <c r="J92" i="23"/>
  <c r="G92" i="23"/>
  <c r="H92" i="23" s="1"/>
  <c r="J91" i="23"/>
  <c r="G91" i="23"/>
  <c r="H91" i="23" s="1"/>
  <c r="J90" i="23"/>
  <c r="G90" i="23"/>
  <c r="H90" i="23" s="1"/>
  <c r="J89" i="23"/>
  <c r="G89" i="23"/>
  <c r="H89" i="23" s="1"/>
  <c r="J88" i="23"/>
  <c r="G88" i="23"/>
  <c r="H88" i="23" s="1"/>
  <c r="J87" i="23"/>
  <c r="G87" i="23"/>
  <c r="H87" i="23" s="1"/>
  <c r="J86" i="23"/>
  <c r="G86" i="23"/>
  <c r="H86" i="23" s="1"/>
  <c r="J85" i="23"/>
  <c r="G85" i="23"/>
  <c r="H85" i="23" s="1"/>
  <c r="J84" i="23"/>
  <c r="G84" i="23"/>
  <c r="H84" i="23" s="1"/>
  <c r="J83" i="23"/>
  <c r="G83" i="23"/>
  <c r="H83" i="23" s="1"/>
  <c r="J82" i="23"/>
  <c r="G82" i="23"/>
  <c r="H82" i="23" s="1"/>
  <c r="J81" i="23"/>
  <c r="G81" i="23"/>
  <c r="H81" i="23" s="1"/>
  <c r="J80" i="23"/>
  <c r="G80" i="23"/>
  <c r="H80" i="23" s="1"/>
  <c r="J79" i="23"/>
  <c r="G79" i="23"/>
  <c r="H79" i="23" s="1"/>
  <c r="J78" i="23"/>
  <c r="G78" i="23"/>
  <c r="H78" i="23" s="1"/>
  <c r="J77" i="23"/>
  <c r="G77" i="23"/>
  <c r="H77" i="23" s="1"/>
  <c r="J76" i="23"/>
  <c r="G76" i="23"/>
  <c r="H76" i="23" s="1"/>
  <c r="J75" i="23"/>
  <c r="G75" i="23"/>
  <c r="H75" i="23" s="1"/>
  <c r="J74" i="23"/>
  <c r="G74" i="23"/>
  <c r="H74" i="23" s="1"/>
  <c r="J73" i="23"/>
  <c r="G73" i="23"/>
  <c r="H73" i="23" s="1"/>
  <c r="J72" i="23"/>
  <c r="G72" i="23"/>
  <c r="H72" i="23" s="1"/>
  <c r="J71" i="23"/>
  <c r="G71" i="23"/>
  <c r="H71" i="23" s="1"/>
  <c r="J70" i="23"/>
  <c r="G70" i="23"/>
  <c r="H70" i="23" s="1"/>
  <c r="J69" i="23"/>
  <c r="G69" i="23"/>
  <c r="H69" i="23" s="1"/>
  <c r="J68" i="23"/>
  <c r="G68" i="23"/>
  <c r="H68" i="23" s="1"/>
  <c r="J67" i="23"/>
  <c r="G67" i="23"/>
  <c r="H67" i="23" s="1"/>
  <c r="J66" i="23"/>
  <c r="G66" i="23"/>
  <c r="H66" i="23" s="1"/>
  <c r="J65" i="23"/>
  <c r="G65" i="23"/>
  <c r="H65" i="23" s="1"/>
  <c r="J64" i="23"/>
  <c r="G64" i="23"/>
  <c r="H64" i="23" s="1"/>
  <c r="J63" i="23"/>
  <c r="G63" i="23"/>
  <c r="H63" i="23" s="1"/>
  <c r="J62" i="23"/>
  <c r="G62" i="23"/>
  <c r="H62" i="23" s="1"/>
  <c r="J61" i="23"/>
  <c r="G61" i="23"/>
  <c r="H61" i="23" s="1"/>
  <c r="J60" i="23"/>
  <c r="G60" i="23"/>
  <c r="H60" i="23" s="1"/>
  <c r="J59" i="23"/>
  <c r="G59" i="23"/>
  <c r="H59" i="23" s="1"/>
  <c r="J58" i="23"/>
  <c r="G58" i="23"/>
  <c r="H58" i="23" s="1"/>
  <c r="J57" i="23"/>
  <c r="G57" i="23"/>
  <c r="H57" i="23" s="1"/>
  <c r="J56" i="23"/>
  <c r="G56" i="23"/>
  <c r="H56" i="23" s="1"/>
  <c r="J55" i="23"/>
  <c r="G55" i="23"/>
  <c r="H55" i="23" s="1"/>
  <c r="J54" i="23"/>
  <c r="G54" i="23"/>
  <c r="H54" i="23" s="1"/>
  <c r="J53" i="23"/>
  <c r="G53" i="23"/>
  <c r="H53" i="23" s="1"/>
  <c r="J52" i="23"/>
  <c r="G52" i="23"/>
  <c r="H52" i="23" s="1"/>
  <c r="J51" i="23"/>
  <c r="G51" i="23"/>
  <c r="H51" i="23" s="1"/>
  <c r="J50" i="23"/>
  <c r="G50" i="23"/>
  <c r="H50" i="23" s="1"/>
  <c r="J49" i="23"/>
  <c r="G49" i="23"/>
  <c r="H49" i="23" s="1"/>
  <c r="J48" i="23"/>
  <c r="G48" i="23"/>
  <c r="H48" i="23" s="1"/>
  <c r="J47" i="23"/>
  <c r="G47" i="23"/>
  <c r="H47" i="23" s="1"/>
  <c r="J46" i="23"/>
  <c r="G46" i="23"/>
  <c r="H46" i="23" s="1"/>
  <c r="J45" i="23"/>
  <c r="G45" i="23"/>
  <c r="H45" i="23" s="1"/>
  <c r="J44" i="23"/>
  <c r="G44" i="23"/>
  <c r="H44" i="23" s="1"/>
  <c r="J43" i="23"/>
  <c r="G43" i="23"/>
  <c r="H43" i="23" s="1"/>
  <c r="J42" i="23"/>
  <c r="G42" i="23"/>
  <c r="H42" i="23" s="1"/>
  <c r="J41" i="23"/>
  <c r="G41" i="23"/>
  <c r="H41" i="23" s="1"/>
  <c r="J40" i="23"/>
  <c r="G40" i="23"/>
  <c r="H40" i="23" s="1"/>
  <c r="J39" i="23"/>
  <c r="G39" i="23"/>
  <c r="H39" i="23" s="1"/>
  <c r="J38" i="23"/>
  <c r="G38" i="23"/>
  <c r="H38" i="23" s="1"/>
  <c r="J37" i="23"/>
  <c r="G37" i="23"/>
  <c r="H37" i="23" s="1"/>
  <c r="J36" i="23"/>
  <c r="G36" i="23"/>
  <c r="H36" i="23" s="1"/>
  <c r="J35" i="23"/>
  <c r="G35" i="23"/>
  <c r="H35" i="23" s="1"/>
  <c r="J34" i="23"/>
  <c r="G34" i="23"/>
  <c r="H34" i="23" s="1"/>
  <c r="J33" i="23"/>
  <c r="G33" i="23"/>
  <c r="H33" i="23" s="1"/>
  <c r="J32" i="23"/>
  <c r="G32" i="23"/>
  <c r="H32" i="23" s="1"/>
  <c r="J31" i="23"/>
  <c r="G31" i="23"/>
  <c r="H31" i="23" s="1"/>
  <c r="J30" i="23"/>
  <c r="G30" i="23"/>
  <c r="H30" i="23" s="1"/>
  <c r="J29" i="23"/>
  <c r="G29" i="23"/>
  <c r="H29" i="23" s="1"/>
  <c r="J28" i="23"/>
  <c r="G28" i="23"/>
  <c r="H28" i="23" s="1"/>
  <c r="J27" i="23"/>
  <c r="G27" i="23"/>
  <c r="H27" i="23" s="1"/>
  <c r="J26" i="23"/>
  <c r="G26" i="23"/>
  <c r="H26" i="23" s="1"/>
  <c r="J25" i="23"/>
  <c r="G25" i="23"/>
  <c r="H25" i="23" s="1"/>
  <c r="J24" i="23"/>
  <c r="G24" i="23"/>
  <c r="H24" i="23" s="1"/>
  <c r="J23" i="23"/>
  <c r="G23" i="23"/>
  <c r="H23" i="23" s="1"/>
  <c r="J22" i="23"/>
  <c r="G22" i="23"/>
  <c r="H22" i="23" s="1"/>
  <c r="J21" i="23"/>
  <c r="G21" i="23"/>
  <c r="H21" i="23" s="1"/>
  <c r="J20" i="23"/>
  <c r="G20" i="23"/>
  <c r="H20" i="23" s="1"/>
  <c r="P17" i="23"/>
  <c r="J19" i="23"/>
  <c r="G19" i="23"/>
  <c r="H19" i="23" s="1"/>
  <c r="P16" i="23"/>
  <c r="P18" i="23" s="1"/>
  <c r="J18" i="23"/>
  <c r="G18" i="23"/>
  <c r="H18" i="23" s="1"/>
  <c r="P15" i="23"/>
  <c r="J17" i="23"/>
  <c r="G17" i="23"/>
  <c r="H17" i="23" s="1"/>
  <c r="J16" i="23"/>
  <c r="G16" i="23"/>
  <c r="H16" i="23" s="1"/>
  <c r="J15" i="23"/>
  <c r="G15" i="23"/>
  <c r="H15" i="23" s="1"/>
  <c r="J14" i="23"/>
  <c r="G14" i="23"/>
  <c r="H14" i="23" s="1"/>
  <c r="J13" i="23"/>
  <c r="G13" i="23"/>
  <c r="H13" i="23" s="1"/>
  <c r="J12" i="23"/>
  <c r="G12" i="23"/>
  <c r="H12" i="23" s="1"/>
  <c r="P10" i="23"/>
  <c r="J11" i="23"/>
  <c r="G11" i="23"/>
  <c r="H11" i="23" s="1"/>
  <c r="J10" i="23"/>
  <c r="G10" i="23"/>
  <c r="H10" i="23" s="1"/>
  <c r="P8" i="23"/>
  <c r="J9" i="23"/>
  <c r="G9" i="23"/>
  <c r="H9" i="23" s="1"/>
  <c r="J8" i="23"/>
  <c r="G8" i="23"/>
  <c r="H8" i="23" s="1"/>
  <c r="P5" i="23"/>
  <c r="J7" i="23"/>
  <c r="G7" i="23"/>
  <c r="H7" i="23" s="1"/>
  <c r="P4" i="23"/>
  <c r="J6" i="23"/>
  <c r="G6" i="23"/>
  <c r="H6" i="23" s="1"/>
  <c r="P3" i="23"/>
  <c r="P6" i="23" s="1"/>
  <c r="J5" i="23"/>
  <c r="G5" i="23"/>
  <c r="H5" i="23" s="1"/>
  <c r="J4" i="23"/>
  <c r="G4" i="23"/>
  <c r="J226" i="22"/>
  <c r="G226" i="22"/>
  <c r="H226" i="22" s="1"/>
  <c r="J225" i="22"/>
  <c r="G225" i="22"/>
  <c r="H225" i="22" s="1"/>
  <c r="J224" i="22"/>
  <c r="G224" i="22"/>
  <c r="H224" i="22" s="1"/>
  <c r="J223" i="22"/>
  <c r="G223" i="22"/>
  <c r="H223" i="22" s="1"/>
  <c r="J222" i="22"/>
  <c r="G222" i="22"/>
  <c r="H222" i="22" s="1"/>
  <c r="J221" i="22"/>
  <c r="G221" i="22"/>
  <c r="H221" i="22" s="1"/>
  <c r="J220" i="22"/>
  <c r="G220" i="22"/>
  <c r="H220" i="22" s="1"/>
  <c r="J219" i="22"/>
  <c r="G219" i="22"/>
  <c r="H219" i="22" s="1"/>
  <c r="J218" i="22"/>
  <c r="G218" i="22"/>
  <c r="H218" i="22" s="1"/>
  <c r="J217" i="22"/>
  <c r="G217" i="22"/>
  <c r="H217" i="22" s="1"/>
  <c r="J216" i="22"/>
  <c r="G216" i="22"/>
  <c r="H216" i="22" s="1"/>
  <c r="J215" i="22"/>
  <c r="G215" i="22"/>
  <c r="H215" i="22" s="1"/>
  <c r="J214" i="22"/>
  <c r="G214" i="22"/>
  <c r="H214" i="22" s="1"/>
  <c r="J213" i="22"/>
  <c r="G213" i="22"/>
  <c r="H213" i="22" s="1"/>
  <c r="J212" i="22"/>
  <c r="G212" i="22"/>
  <c r="H212" i="22" s="1"/>
  <c r="J211" i="22"/>
  <c r="G211" i="22"/>
  <c r="H211" i="22" s="1"/>
  <c r="J210" i="22"/>
  <c r="G210" i="22"/>
  <c r="H210" i="22" s="1"/>
  <c r="J209" i="22"/>
  <c r="G209" i="22"/>
  <c r="H209" i="22" s="1"/>
  <c r="J208" i="22"/>
  <c r="G208" i="22"/>
  <c r="H208" i="22" s="1"/>
  <c r="J207" i="22"/>
  <c r="G207" i="22"/>
  <c r="H207" i="22" s="1"/>
  <c r="J206" i="22"/>
  <c r="G206" i="22"/>
  <c r="H206" i="22" s="1"/>
  <c r="J205" i="22"/>
  <c r="G205" i="22"/>
  <c r="H205" i="22" s="1"/>
  <c r="J204" i="22"/>
  <c r="G204" i="22"/>
  <c r="H204" i="22" s="1"/>
  <c r="J203" i="22"/>
  <c r="G203" i="22"/>
  <c r="H203" i="22" s="1"/>
  <c r="J202" i="22"/>
  <c r="G202" i="22"/>
  <c r="H202" i="22" s="1"/>
  <c r="J201" i="22"/>
  <c r="G201" i="22"/>
  <c r="H201" i="22" s="1"/>
  <c r="J200" i="22"/>
  <c r="G200" i="22"/>
  <c r="H200" i="22" s="1"/>
  <c r="J199" i="22"/>
  <c r="G199" i="22"/>
  <c r="H199" i="22" s="1"/>
  <c r="J198" i="22"/>
  <c r="G198" i="22"/>
  <c r="H198" i="22" s="1"/>
  <c r="J197" i="22"/>
  <c r="G197" i="22"/>
  <c r="H197" i="22" s="1"/>
  <c r="J196" i="22"/>
  <c r="G196" i="22"/>
  <c r="H196" i="22" s="1"/>
  <c r="J195" i="22"/>
  <c r="G195" i="22"/>
  <c r="H195" i="22" s="1"/>
  <c r="J194" i="22"/>
  <c r="G194" i="22"/>
  <c r="H194" i="22" s="1"/>
  <c r="J193" i="22"/>
  <c r="G193" i="22"/>
  <c r="H193" i="22" s="1"/>
  <c r="J192" i="22"/>
  <c r="G192" i="22"/>
  <c r="H192" i="22" s="1"/>
  <c r="J191" i="22"/>
  <c r="G191" i="22"/>
  <c r="H191" i="22" s="1"/>
  <c r="J190" i="22"/>
  <c r="G190" i="22"/>
  <c r="H190" i="22" s="1"/>
  <c r="J189" i="22"/>
  <c r="G189" i="22"/>
  <c r="H189" i="22" s="1"/>
  <c r="J188" i="22"/>
  <c r="G188" i="22"/>
  <c r="H188" i="22" s="1"/>
  <c r="J187" i="22"/>
  <c r="G187" i="22"/>
  <c r="H187" i="22" s="1"/>
  <c r="J186" i="22"/>
  <c r="G186" i="22"/>
  <c r="H186" i="22" s="1"/>
  <c r="J185" i="22"/>
  <c r="G185" i="22"/>
  <c r="H185" i="22" s="1"/>
  <c r="J184" i="22"/>
  <c r="G184" i="22"/>
  <c r="H184" i="22" s="1"/>
  <c r="J183" i="22"/>
  <c r="G183" i="22"/>
  <c r="H183" i="22" s="1"/>
  <c r="J182" i="22"/>
  <c r="G182" i="22"/>
  <c r="H182" i="22" s="1"/>
  <c r="J181" i="22"/>
  <c r="G181" i="22"/>
  <c r="H181" i="22" s="1"/>
  <c r="J180" i="22"/>
  <c r="G180" i="22"/>
  <c r="H180" i="22" s="1"/>
  <c r="J179" i="22"/>
  <c r="G179" i="22"/>
  <c r="H179" i="22" s="1"/>
  <c r="J178" i="22"/>
  <c r="G178" i="22"/>
  <c r="H178" i="22" s="1"/>
  <c r="J177" i="22"/>
  <c r="G177" i="22"/>
  <c r="H177" i="22" s="1"/>
  <c r="J176" i="22"/>
  <c r="G176" i="22"/>
  <c r="H176" i="22" s="1"/>
  <c r="J175" i="22"/>
  <c r="G175" i="22"/>
  <c r="H175" i="22" s="1"/>
  <c r="J174" i="22"/>
  <c r="G174" i="22"/>
  <c r="H174" i="22" s="1"/>
  <c r="J173" i="22"/>
  <c r="G173" i="22"/>
  <c r="H173" i="22" s="1"/>
  <c r="J172" i="22"/>
  <c r="G172" i="22"/>
  <c r="H172" i="22" s="1"/>
  <c r="J171" i="22"/>
  <c r="G171" i="22"/>
  <c r="H171" i="22" s="1"/>
  <c r="J170" i="22"/>
  <c r="G170" i="22"/>
  <c r="H170" i="22" s="1"/>
  <c r="J169" i="22"/>
  <c r="G169" i="22"/>
  <c r="H169" i="22" s="1"/>
  <c r="J168" i="22"/>
  <c r="G168" i="22"/>
  <c r="H168" i="22" s="1"/>
  <c r="J167" i="22"/>
  <c r="G167" i="22"/>
  <c r="H167" i="22" s="1"/>
  <c r="J166" i="22"/>
  <c r="G166" i="22"/>
  <c r="H166" i="22" s="1"/>
  <c r="J165" i="22"/>
  <c r="G165" i="22"/>
  <c r="H165" i="22" s="1"/>
  <c r="J164" i="22"/>
  <c r="G164" i="22"/>
  <c r="H164" i="22" s="1"/>
  <c r="J163" i="22"/>
  <c r="G163" i="22"/>
  <c r="H163" i="22" s="1"/>
  <c r="J162" i="22"/>
  <c r="G162" i="22"/>
  <c r="H162" i="22" s="1"/>
  <c r="J161" i="22"/>
  <c r="G161" i="22"/>
  <c r="H161" i="22" s="1"/>
  <c r="J160" i="22"/>
  <c r="G160" i="22"/>
  <c r="H160" i="22" s="1"/>
  <c r="J159" i="22"/>
  <c r="G159" i="22"/>
  <c r="H159" i="22" s="1"/>
  <c r="J158" i="22"/>
  <c r="G158" i="22"/>
  <c r="H158" i="22" s="1"/>
  <c r="J157" i="22"/>
  <c r="G157" i="22"/>
  <c r="H157" i="22" s="1"/>
  <c r="J156" i="22"/>
  <c r="G156" i="22"/>
  <c r="H156" i="22" s="1"/>
  <c r="J155" i="22"/>
  <c r="G155" i="22"/>
  <c r="H155" i="22" s="1"/>
  <c r="J154" i="22"/>
  <c r="G154" i="22"/>
  <c r="H154" i="22" s="1"/>
  <c r="J153" i="22"/>
  <c r="G153" i="22"/>
  <c r="H153" i="22" s="1"/>
  <c r="J152" i="22"/>
  <c r="G152" i="22"/>
  <c r="H152" i="22" s="1"/>
  <c r="J151" i="22"/>
  <c r="G151" i="22"/>
  <c r="H151" i="22" s="1"/>
  <c r="J150" i="22"/>
  <c r="G150" i="22"/>
  <c r="H150" i="22" s="1"/>
  <c r="J149" i="22"/>
  <c r="G149" i="22"/>
  <c r="H149" i="22" s="1"/>
  <c r="J148" i="22"/>
  <c r="G148" i="22"/>
  <c r="H148" i="22" s="1"/>
  <c r="J147" i="22"/>
  <c r="G147" i="22"/>
  <c r="H147" i="22" s="1"/>
  <c r="J146" i="22"/>
  <c r="G146" i="22"/>
  <c r="H146" i="22" s="1"/>
  <c r="J145" i="22"/>
  <c r="G145" i="22"/>
  <c r="H145" i="22" s="1"/>
  <c r="J144" i="22"/>
  <c r="G144" i="22"/>
  <c r="H144" i="22" s="1"/>
  <c r="J143" i="22"/>
  <c r="G143" i="22"/>
  <c r="H143" i="22" s="1"/>
  <c r="J142" i="22"/>
  <c r="G142" i="22"/>
  <c r="H142" i="22" s="1"/>
  <c r="J141" i="22"/>
  <c r="G141" i="22"/>
  <c r="H141" i="22" s="1"/>
  <c r="J140" i="22"/>
  <c r="G140" i="22"/>
  <c r="H140" i="22" s="1"/>
  <c r="J139" i="22"/>
  <c r="G139" i="22"/>
  <c r="H139" i="22" s="1"/>
  <c r="J138" i="22"/>
  <c r="G138" i="22"/>
  <c r="H138" i="22" s="1"/>
  <c r="J137" i="22"/>
  <c r="G137" i="22"/>
  <c r="H137" i="22" s="1"/>
  <c r="J136" i="22"/>
  <c r="G136" i="22"/>
  <c r="H136" i="22" s="1"/>
  <c r="J135" i="22"/>
  <c r="G135" i="22"/>
  <c r="H135" i="22" s="1"/>
  <c r="J134" i="22"/>
  <c r="G134" i="22"/>
  <c r="H134" i="22" s="1"/>
  <c r="J133" i="22"/>
  <c r="G133" i="22"/>
  <c r="H133" i="22" s="1"/>
  <c r="J132" i="22"/>
  <c r="G132" i="22"/>
  <c r="H132" i="22" s="1"/>
  <c r="J131" i="22"/>
  <c r="G131" i="22"/>
  <c r="H131" i="22" s="1"/>
  <c r="J130" i="22"/>
  <c r="G130" i="22"/>
  <c r="H130" i="22" s="1"/>
  <c r="J129" i="22"/>
  <c r="G129" i="22"/>
  <c r="H129" i="22" s="1"/>
  <c r="J128" i="22"/>
  <c r="G128" i="22"/>
  <c r="H128" i="22" s="1"/>
  <c r="J127" i="22"/>
  <c r="G127" i="22"/>
  <c r="H127" i="22" s="1"/>
  <c r="J126" i="22"/>
  <c r="G126" i="22"/>
  <c r="H126" i="22" s="1"/>
  <c r="J125" i="22"/>
  <c r="G125" i="22"/>
  <c r="H125" i="22" s="1"/>
  <c r="J124" i="22"/>
  <c r="G124" i="22"/>
  <c r="H124" i="22" s="1"/>
  <c r="J123" i="22"/>
  <c r="G123" i="22"/>
  <c r="H123" i="22" s="1"/>
  <c r="J122" i="22"/>
  <c r="G122" i="22"/>
  <c r="H122" i="22" s="1"/>
  <c r="J121" i="22"/>
  <c r="G121" i="22"/>
  <c r="H121" i="22" s="1"/>
  <c r="J120" i="22"/>
  <c r="G120" i="22"/>
  <c r="H120" i="22" s="1"/>
  <c r="J119" i="22"/>
  <c r="G119" i="22"/>
  <c r="H119" i="22" s="1"/>
  <c r="J118" i="22"/>
  <c r="G118" i="22"/>
  <c r="H118" i="22" s="1"/>
  <c r="J117" i="22"/>
  <c r="G117" i="22"/>
  <c r="H117" i="22" s="1"/>
  <c r="J116" i="22"/>
  <c r="G116" i="22"/>
  <c r="H116" i="22" s="1"/>
  <c r="J115" i="22"/>
  <c r="G115" i="22"/>
  <c r="H115" i="22" s="1"/>
  <c r="J114" i="22"/>
  <c r="G114" i="22"/>
  <c r="H114" i="22" s="1"/>
  <c r="J113" i="22"/>
  <c r="G113" i="22"/>
  <c r="H113" i="22" s="1"/>
  <c r="J112" i="22"/>
  <c r="G112" i="22"/>
  <c r="H112" i="22" s="1"/>
  <c r="J111" i="22"/>
  <c r="G111" i="22"/>
  <c r="H111" i="22" s="1"/>
  <c r="J110" i="22"/>
  <c r="G110" i="22"/>
  <c r="H110" i="22" s="1"/>
  <c r="J109" i="22"/>
  <c r="G109" i="22"/>
  <c r="H109" i="22" s="1"/>
  <c r="J108" i="22"/>
  <c r="G108" i="22"/>
  <c r="H108" i="22" s="1"/>
  <c r="J107" i="22"/>
  <c r="G107" i="22"/>
  <c r="H107" i="22" s="1"/>
  <c r="J106" i="22"/>
  <c r="G106" i="22"/>
  <c r="H106" i="22" s="1"/>
  <c r="J105" i="22"/>
  <c r="G105" i="22"/>
  <c r="H105" i="22" s="1"/>
  <c r="J104" i="22"/>
  <c r="G104" i="22"/>
  <c r="H104" i="22" s="1"/>
  <c r="J103" i="22"/>
  <c r="G103" i="22"/>
  <c r="H103" i="22" s="1"/>
  <c r="J102" i="22"/>
  <c r="G102" i="22"/>
  <c r="H102" i="22" s="1"/>
  <c r="J101" i="22"/>
  <c r="G101" i="22"/>
  <c r="H101" i="22" s="1"/>
  <c r="J100" i="22"/>
  <c r="G100" i="22"/>
  <c r="H100" i="22" s="1"/>
  <c r="J99" i="22"/>
  <c r="G99" i="22"/>
  <c r="H99" i="22" s="1"/>
  <c r="J98" i="22"/>
  <c r="G98" i="22"/>
  <c r="H98" i="22" s="1"/>
  <c r="J97" i="22"/>
  <c r="G97" i="22"/>
  <c r="H97" i="22" s="1"/>
  <c r="J96" i="22"/>
  <c r="G96" i="22"/>
  <c r="H96" i="22" s="1"/>
  <c r="J95" i="22"/>
  <c r="G95" i="22"/>
  <c r="H95" i="22" s="1"/>
  <c r="J94" i="22"/>
  <c r="G94" i="22"/>
  <c r="H94" i="22" s="1"/>
  <c r="J93" i="22"/>
  <c r="G93" i="22"/>
  <c r="H93" i="22" s="1"/>
  <c r="J92" i="22"/>
  <c r="G92" i="22"/>
  <c r="H92" i="22" s="1"/>
  <c r="J91" i="22"/>
  <c r="G91" i="22"/>
  <c r="H91" i="22" s="1"/>
  <c r="J90" i="22"/>
  <c r="G90" i="22"/>
  <c r="H90" i="22" s="1"/>
  <c r="J89" i="22"/>
  <c r="G89" i="22"/>
  <c r="H89" i="22" s="1"/>
  <c r="J88" i="22"/>
  <c r="G88" i="22"/>
  <c r="H88" i="22" s="1"/>
  <c r="J87" i="22"/>
  <c r="G87" i="22"/>
  <c r="H87" i="22" s="1"/>
  <c r="J86" i="22"/>
  <c r="G86" i="22"/>
  <c r="H86" i="22" s="1"/>
  <c r="J85" i="22"/>
  <c r="G85" i="22"/>
  <c r="H85" i="22" s="1"/>
  <c r="J84" i="22"/>
  <c r="G84" i="22"/>
  <c r="H84" i="22" s="1"/>
  <c r="J83" i="22"/>
  <c r="G83" i="22"/>
  <c r="H83" i="22" s="1"/>
  <c r="J82" i="22"/>
  <c r="G82" i="22"/>
  <c r="H82" i="22" s="1"/>
  <c r="J81" i="22"/>
  <c r="G81" i="22"/>
  <c r="H81" i="22" s="1"/>
  <c r="J80" i="22"/>
  <c r="G80" i="22"/>
  <c r="H80" i="22" s="1"/>
  <c r="J79" i="22"/>
  <c r="G79" i="22"/>
  <c r="H79" i="22" s="1"/>
  <c r="J78" i="22"/>
  <c r="G78" i="22"/>
  <c r="H78" i="22" s="1"/>
  <c r="J77" i="22"/>
  <c r="G77" i="22"/>
  <c r="H77" i="22" s="1"/>
  <c r="J76" i="22"/>
  <c r="G76" i="22"/>
  <c r="H76" i="22" s="1"/>
  <c r="J75" i="22"/>
  <c r="G75" i="22"/>
  <c r="H75" i="22" s="1"/>
  <c r="J74" i="22"/>
  <c r="G74" i="22"/>
  <c r="H74" i="22" s="1"/>
  <c r="J73" i="22"/>
  <c r="G73" i="22"/>
  <c r="H73" i="22" s="1"/>
  <c r="J72" i="22"/>
  <c r="G72" i="22"/>
  <c r="H72" i="22" s="1"/>
  <c r="J71" i="22"/>
  <c r="G71" i="22"/>
  <c r="H71" i="22" s="1"/>
  <c r="J70" i="22"/>
  <c r="G70" i="22"/>
  <c r="H70" i="22" s="1"/>
  <c r="J69" i="22"/>
  <c r="G69" i="22"/>
  <c r="H69" i="22" s="1"/>
  <c r="J68" i="22"/>
  <c r="G68" i="22"/>
  <c r="H68" i="22" s="1"/>
  <c r="J67" i="22"/>
  <c r="G67" i="22"/>
  <c r="H67" i="22" s="1"/>
  <c r="J66" i="22"/>
  <c r="G66" i="22"/>
  <c r="H66" i="22" s="1"/>
  <c r="J65" i="22"/>
  <c r="G65" i="22"/>
  <c r="H65" i="22" s="1"/>
  <c r="J64" i="22"/>
  <c r="G64" i="22"/>
  <c r="H64" i="22" s="1"/>
  <c r="J63" i="22"/>
  <c r="G63" i="22"/>
  <c r="H63" i="22" s="1"/>
  <c r="J62" i="22"/>
  <c r="G62" i="22"/>
  <c r="H62" i="22" s="1"/>
  <c r="J61" i="22"/>
  <c r="G61" i="22"/>
  <c r="H61" i="22" s="1"/>
  <c r="J60" i="22"/>
  <c r="G60" i="22"/>
  <c r="H60" i="22" s="1"/>
  <c r="J59" i="22"/>
  <c r="G59" i="22"/>
  <c r="H59" i="22" s="1"/>
  <c r="J58" i="22"/>
  <c r="G58" i="22"/>
  <c r="H58" i="22" s="1"/>
  <c r="J57" i="22"/>
  <c r="G57" i="22"/>
  <c r="H57" i="22" s="1"/>
  <c r="J56" i="22"/>
  <c r="G56" i="22"/>
  <c r="H56" i="22" s="1"/>
  <c r="J55" i="22"/>
  <c r="G55" i="22"/>
  <c r="H55" i="22" s="1"/>
  <c r="J54" i="22"/>
  <c r="G54" i="22"/>
  <c r="H54" i="22" s="1"/>
  <c r="J53" i="22"/>
  <c r="G53" i="22"/>
  <c r="H53" i="22" s="1"/>
  <c r="J52" i="22"/>
  <c r="G52" i="22"/>
  <c r="H52" i="22" s="1"/>
  <c r="J51" i="22"/>
  <c r="G51" i="22"/>
  <c r="H51" i="22" s="1"/>
  <c r="J50" i="22"/>
  <c r="G50" i="22"/>
  <c r="H50" i="22" s="1"/>
  <c r="J49" i="22"/>
  <c r="G49" i="22"/>
  <c r="H49" i="22" s="1"/>
  <c r="J48" i="22"/>
  <c r="G48" i="22"/>
  <c r="H48" i="22" s="1"/>
  <c r="J47" i="22"/>
  <c r="G47" i="22"/>
  <c r="H47" i="22" s="1"/>
  <c r="J46" i="22"/>
  <c r="G46" i="22"/>
  <c r="H46" i="22" s="1"/>
  <c r="J45" i="22"/>
  <c r="G45" i="22"/>
  <c r="H45" i="22" s="1"/>
  <c r="J44" i="22"/>
  <c r="G44" i="22"/>
  <c r="H44" i="22" s="1"/>
  <c r="J43" i="22"/>
  <c r="G43" i="22"/>
  <c r="H43" i="22" s="1"/>
  <c r="J42" i="22"/>
  <c r="G42" i="22"/>
  <c r="H42" i="22" s="1"/>
  <c r="J41" i="22"/>
  <c r="G41" i="22"/>
  <c r="H41" i="22" s="1"/>
  <c r="J40" i="22"/>
  <c r="G40" i="22"/>
  <c r="H40" i="22" s="1"/>
  <c r="J39" i="22"/>
  <c r="G39" i="22"/>
  <c r="H39" i="22" s="1"/>
  <c r="J38" i="22"/>
  <c r="G38" i="22"/>
  <c r="H38" i="22" s="1"/>
  <c r="J37" i="22"/>
  <c r="G37" i="22"/>
  <c r="H37" i="22" s="1"/>
  <c r="J36" i="22"/>
  <c r="G36" i="22"/>
  <c r="H36" i="22" s="1"/>
  <c r="J35" i="22"/>
  <c r="G35" i="22"/>
  <c r="H35" i="22" s="1"/>
  <c r="J34" i="22"/>
  <c r="G34" i="22"/>
  <c r="H34" i="22" s="1"/>
  <c r="J33" i="22"/>
  <c r="G33" i="22"/>
  <c r="H33" i="22" s="1"/>
  <c r="J32" i="22"/>
  <c r="G32" i="22"/>
  <c r="H32" i="22" s="1"/>
  <c r="J31" i="22"/>
  <c r="G31" i="22"/>
  <c r="H31" i="22" s="1"/>
  <c r="J30" i="22"/>
  <c r="G30" i="22"/>
  <c r="H30" i="22" s="1"/>
  <c r="J29" i="22"/>
  <c r="G29" i="22"/>
  <c r="H29" i="22" s="1"/>
  <c r="J28" i="22"/>
  <c r="G28" i="22"/>
  <c r="H28" i="22" s="1"/>
  <c r="J27" i="22"/>
  <c r="G27" i="22"/>
  <c r="H27" i="22" s="1"/>
  <c r="J26" i="22"/>
  <c r="G26" i="22"/>
  <c r="H26" i="22" s="1"/>
  <c r="J25" i="22"/>
  <c r="G25" i="22"/>
  <c r="H25" i="22" s="1"/>
  <c r="J24" i="22"/>
  <c r="G24" i="22"/>
  <c r="H24" i="22" s="1"/>
  <c r="J23" i="22"/>
  <c r="G23" i="22"/>
  <c r="H23" i="22" s="1"/>
  <c r="J22" i="22"/>
  <c r="G22" i="22"/>
  <c r="H22" i="22" s="1"/>
  <c r="J21" i="22"/>
  <c r="G21" i="22"/>
  <c r="H21" i="22" s="1"/>
  <c r="J20" i="22"/>
  <c r="G20" i="22"/>
  <c r="H20" i="22" s="1"/>
  <c r="P17" i="22"/>
  <c r="J19" i="22"/>
  <c r="G19" i="22"/>
  <c r="H19" i="22" s="1"/>
  <c r="P16" i="22"/>
  <c r="P18" i="22" s="1"/>
  <c r="J18" i="22"/>
  <c r="G18" i="22"/>
  <c r="H18" i="22" s="1"/>
  <c r="P15" i="22"/>
  <c r="J17" i="22"/>
  <c r="G17" i="22"/>
  <c r="H17" i="22" s="1"/>
  <c r="J16" i="22"/>
  <c r="G16" i="22"/>
  <c r="H16" i="22" s="1"/>
  <c r="J15" i="22"/>
  <c r="G15" i="22"/>
  <c r="H15" i="22" s="1"/>
  <c r="J14" i="22"/>
  <c r="G14" i="22"/>
  <c r="H14" i="22" s="1"/>
  <c r="J13" i="22"/>
  <c r="G13" i="22"/>
  <c r="H13" i="22" s="1"/>
  <c r="J12" i="22"/>
  <c r="G12" i="22"/>
  <c r="H12" i="22" s="1"/>
  <c r="P10" i="22"/>
  <c r="J11" i="22"/>
  <c r="G11" i="22"/>
  <c r="H11" i="22" s="1"/>
  <c r="P9" i="22"/>
  <c r="J10" i="22"/>
  <c r="G10" i="22"/>
  <c r="H10" i="22" s="1"/>
  <c r="P8" i="22"/>
  <c r="J9" i="22"/>
  <c r="G9" i="22"/>
  <c r="H9" i="22" s="1"/>
  <c r="J8" i="22"/>
  <c r="G8" i="22"/>
  <c r="H8" i="22" s="1"/>
  <c r="P5" i="22"/>
  <c r="J7" i="22"/>
  <c r="G7" i="22"/>
  <c r="H7" i="22" s="1"/>
  <c r="P4" i="22"/>
  <c r="J6" i="22"/>
  <c r="G6" i="22"/>
  <c r="H6" i="22" s="1"/>
  <c r="P3" i="22"/>
  <c r="T5" i="22" s="1"/>
  <c r="V9" i="22" s="1"/>
  <c r="W9" i="22" s="1"/>
  <c r="J5" i="22"/>
  <c r="G5" i="22"/>
  <c r="J4" i="22"/>
  <c r="G4" i="22"/>
  <c r="H4" i="22" s="1"/>
  <c r="P17" i="21"/>
  <c r="P16" i="21"/>
  <c r="P15" i="21"/>
  <c r="P10" i="21"/>
  <c r="P9" i="21"/>
  <c r="P8" i="21"/>
  <c r="P5" i="21"/>
  <c r="P4" i="21"/>
  <c r="P3" i="21"/>
  <c r="T5" i="21" s="1"/>
  <c r="V9" i="21" s="1"/>
  <c r="W9" i="21" s="1"/>
  <c r="P12" i="21"/>
  <c r="J226" i="20"/>
  <c r="G226" i="20"/>
  <c r="H226" i="20" s="1"/>
  <c r="J225" i="20"/>
  <c r="G225" i="20"/>
  <c r="H225" i="20" s="1"/>
  <c r="J224" i="20"/>
  <c r="G224" i="20"/>
  <c r="H224" i="20" s="1"/>
  <c r="J223" i="20"/>
  <c r="G223" i="20"/>
  <c r="H223" i="20" s="1"/>
  <c r="J222" i="20"/>
  <c r="G222" i="20"/>
  <c r="H222" i="20" s="1"/>
  <c r="J221" i="20"/>
  <c r="G221" i="20"/>
  <c r="H221" i="20" s="1"/>
  <c r="J220" i="20"/>
  <c r="G220" i="20"/>
  <c r="H220" i="20" s="1"/>
  <c r="J219" i="20"/>
  <c r="G219" i="20"/>
  <c r="H219" i="20" s="1"/>
  <c r="J218" i="20"/>
  <c r="G218" i="20"/>
  <c r="H218" i="20" s="1"/>
  <c r="J217" i="20"/>
  <c r="G217" i="20"/>
  <c r="H217" i="20" s="1"/>
  <c r="J216" i="20"/>
  <c r="G216" i="20"/>
  <c r="H216" i="20" s="1"/>
  <c r="J215" i="20"/>
  <c r="G215" i="20"/>
  <c r="H215" i="20" s="1"/>
  <c r="J214" i="20"/>
  <c r="G214" i="20"/>
  <c r="H214" i="20" s="1"/>
  <c r="J213" i="20"/>
  <c r="G213" i="20"/>
  <c r="H213" i="20" s="1"/>
  <c r="J212" i="20"/>
  <c r="G212" i="20"/>
  <c r="H212" i="20" s="1"/>
  <c r="J211" i="20"/>
  <c r="G211" i="20"/>
  <c r="H211" i="20" s="1"/>
  <c r="J210" i="20"/>
  <c r="G210" i="20"/>
  <c r="H210" i="20" s="1"/>
  <c r="J209" i="20"/>
  <c r="G209" i="20"/>
  <c r="H209" i="20" s="1"/>
  <c r="J208" i="20"/>
  <c r="G208" i="20"/>
  <c r="H208" i="20" s="1"/>
  <c r="J207" i="20"/>
  <c r="G207" i="20"/>
  <c r="H207" i="20" s="1"/>
  <c r="J206" i="20"/>
  <c r="G206" i="20"/>
  <c r="H206" i="20" s="1"/>
  <c r="J205" i="20"/>
  <c r="G205" i="20"/>
  <c r="H205" i="20" s="1"/>
  <c r="J204" i="20"/>
  <c r="G204" i="20"/>
  <c r="H204" i="20" s="1"/>
  <c r="J203" i="20"/>
  <c r="G203" i="20"/>
  <c r="H203" i="20" s="1"/>
  <c r="J202" i="20"/>
  <c r="G202" i="20"/>
  <c r="H202" i="20" s="1"/>
  <c r="J201" i="20"/>
  <c r="G201" i="20"/>
  <c r="H201" i="20" s="1"/>
  <c r="J200" i="20"/>
  <c r="G200" i="20"/>
  <c r="H200" i="20" s="1"/>
  <c r="J199" i="20"/>
  <c r="G199" i="20"/>
  <c r="H199" i="20" s="1"/>
  <c r="J198" i="20"/>
  <c r="G198" i="20"/>
  <c r="H198" i="20" s="1"/>
  <c r="J197" i="20"/>
  <c r="G197" i="20"/>
  <c r="H197" i="20" s="1"/>
  <c r="J196" i="20"/>
  <c r="G196" i="20"/>
  <c r="H196" i="20" s="1"/>
  <c r="J195" i="20"/>
  <c r="G195" i="20"/>
  <c r="H195" i="20" s="1"/>
  <c r="J194" i="20"/>
  <c r="G194" i="20"/>
  <c r="H194" i="20" s="1"/>
  <c r="J193" i="20"/>
  <c r="G193" i="20"/>
  <c r="H193" i="20" s="1"/>
  <c r="J192" i="20"/>
  <c r="G192" i="20"/>
  <c r="H192" i="20" s="1"/>
  <c r="J191" i="20"/>
  <c r="G191" i="20"/>
  <c r="H191" i="20" s="1"/>
  <c r="J190" i="20"/>
  <c r="G190" i="20"/>
  <c r="H190" i="20" s="1"/>
  <c r="J189" i="20"/>
  <c r="G189" i="20"/>
  <c r="H189" i="20" s="1"/>
  <c r="J188" i="20"/>
  <c r="G188" i="20"/>
  <c r="H188" i="20" s="1"/>
  <c r="J187" i="20"/>
  <c r="G187" i="20"/>
  <c r="H187" i="20" s="1"/>
  <c r="J186" i="20"/>
  <c r="G186" i="20"/>
  <c r="H186" i="20" s="1"/>
  <c r="J185" i="20"/>
  <c r="G185" i="20"/>
  <c r="H185" i="20" s="1"/>
  <c r="J184" i="20"/>
  <c r="G184" i="20"/>
  <c r="H184" i="20" s="1"/>
  <c r="J183" i="20"/>
  <c r="G183" i="20"/>
  <c r="H183" i="20" s="1"/>
  <c r="J182" i="20"/>
  <c r="G182" i="20"/>
  <c r="H182" i="20" s="1"/>
  <c r="J181" i="20"/>
  <c r="G181" i="20"/>
  <c r="H181" i="20" s="1"/>
  <c r="J180" i="20"/>
  <c r="G180" i="20"/>
  <c r="H180" i="20" s="1"/>
  <c r="J179" i="20"/>
  <c r="G179" i="20"/>
  <c r="H179" i="20" s="1"/>
  <c r="J178" i="20"/>
  <c r="G178" i="20"/>
  <c r="H178" i="20" s="1"/>
  <c r="J177" i="20"/>
  <c r="G177" i="20"/>
  <c r="H177" i="20" s="1"/>
  <c r="J176" i="20"/>
  <c r="G176" i="20"/>
  <c r="H176" i="20" s="1"/>
  <c r="J175" i="20"/>
  <c r="G175" i="20"/>
  <c r="H175" i="20" s="1"/>
  <c r="J174" i="20"/>
  <c r="G174" i="20"/>
  <c r="H174" i="20" s="1"/>
  <c r="J173" i="20"/>
  <c r="G173" i="20"/>
  <c r="H173" i="20" s="1"/>
  <c r="J172" i="20"/>
  <c r="G172" i="20"/>
  <c r="H172" i="20" s="1"/>
  <c r="J171" i="20"/>
  <c r="G171" i="20"/>
  <c r="H171" i="20" s="1"/>
  <c r="J170" i="20"/>
  <c r="G170" i="20"/>
  <c r="H170" i="20" s="1"/>
  <c r="J169" i="20"/>
  <c r="G169" i="20"/>
  <c r="H169" i="20" s="1"/>
  <c r="J168" i="20"/>
  <c r="G168" i="20"/>
  <c r="H168" i="20" s="1"/>
  <c r="J167" i="20"/>
  <c r="G167" i="20"/>
  <c r="H167" i="20" s="1"/>
  <c r="J166" i="20"/>
  <c r="G166" i="20"/>
  <c r="H166" i="20" s="1"/>
  <c r="J165" i="20"/>
  <c r="G165" i="20"/>
  <c r="H165" i="20" s="1"/>
  <c r="J164" i="20"/>
  <c r="G164" i="20"/>
  <c r="H164" i="20" s="1"/>
  <c r="J163" i="20"/>
  <c r="G163" i="20"/>
  <c r="H163" i="20" s="1"/>
  <c r="J162" i="20"/>
  <c r="G162" i="20"/>
  <c r="H162" i="20" s="1"/>
  <c r="J161" i="20"/>
  <c r="G161" i="20"/>
  <c r="H161" i="20" s="1"/>
  <c r="J160" i="20"/>
  <c r="G160" i="20"/>
  <c r="H160" i="20" s="1"/>
  <c r="J159" i="20"/>
  <c r="G159" i="20"/>
  <c r="H159" i="20" s="1"/>
  <c r="J158" i="20"/>
  <c r="G158" i="20"/>
  <c r="H158" i="20" s="1"/>
  <c r="J157" i="20"/>
  <c r="G157" i="20"/>
  <c r="H157" i="20" s="1"/>
  <c r="J156" i="20"/>
  <c r="G156" i="20"/>
  <c r="H156" i="20" s="1"/>
  <c r="J155" i="20"/>
  <c r="G155" i="20"/>
  <c r="H155" i="20" s="1"/>
  <c r="J154" i="20"/>
  <c r="G154" i="20"/>
  <c r="H154" i="20" s="1"/>
  <c r="J153" i="20"/>
  <c r="G153" i="20"/>
  <c r="H153" i="20" s="1"/>
  <c r="J152" i="20"/>
  <c r="G152" i="20"/>
  <c r="H152" i="20" s="1"/>
  <c r="J151" i="20"/>
  <c r="G151" i="20"/>
  <c r="H151" i="20" s="1"/>
  <c r="J150" i="20"/>
  <c r="G150" i="20"/>
  <c r="H150" i="20" s="1"/>
  <c r="J149" i="20"/>
  <c r="G149" i="20"/>
  <c r="H149" i="20" s="1"/>
  <c r="J148" i="20"/>
  <c r="G148" i="20"/>
  <c r="H148" i="20" s="1"/>
  <c r="J147" i="20"/>
  <c r="G147" i="20"/>
  <c r="H147" i="20" s="1"/>
  <c r="J146" i="20"/>
  <c r="G146" i="20"/>
  <c r="H146" i="20" s="1"/>
  <c r="J145" i="20"/>
  <c r="G145" i="20"/>
  <c r="H145" i="20" s="1"/>
  <c r="J144" i="20"/>
  <c r="G144" i="20"/>
  <c r="H144" i="20" s="1"/>
  <c r="J143" i="20"/>
  <c r="G143" i="20"/>
  <c r="H143" i="20" s="1"/>
  <c r="J142" i="20"/>
  <c r="G142" i="20"/>
  <c r="H142" i="20" s="1"/>
  <c r="J141" i="20"/>
  <c r="G141" i="20"/>
  <c r="H141" i="20" s="1"/>
  <c r="J140" i="20"/>
  <c r="G140" i="20"/>
  <c r="H140" i="20" s="1"/>
  <c r="J139" i="20"/>
  <c r="G139" i="20"/>
  <c r="H139" i="20" s="1"/>
  <c r="J138" i="20"/>
  <c r="G138" i="20"/>
  <c r="H138" i="20" s="1"/>
  <c r="J137" i="20"/>
  <c r="G137" i="20"/>
  <c r="H137" i="20" s="1"/>
  <c r="J136" i="20"/>
  <c r="G136" i="20"/>
  <c r="H136" i="20" s="1"/>
  <c r="J135" i="20"/>
  <c r="G135" i="20"/>
  <c r="H135" i="20" s="1"/>
  <c r="J134" i="20"/>
  <c r="G134" i="20"/>
  <c r="H134" i="20" s="1"/>
  <c r="J133" i="20"/>
  <c r="G133" i="20"/>
  <c r="H133" i="20" s="1"/>
  <c r="J132" i="20"/>
  <c r="G132" i="20"/>
  <c r="H132" i="20" s="1"/>
  <c r="J131" i="20"/>
  <c r="G131" i="20"/>
  <c r="H131" i="20" s="1"/>
  <c r="J130" i="20"/>
  <c r="G130" i="20"/>
  <c r="H130" i="20" s="1"/>
  <c r="J129" i="20"/>
  <c r="G129" i="20"/>
  <c r="H129" i="20" s="1"/>
  <c r="J128" i="20"/>
  <c r="G128" i="20"/>
  <c r="H128" i="20" s="1"/>
  <c r="J127" i="20"/>
  <c r="G127" i="20"/>
  <c r="H127" i="20" s="1"/>
  <c r="J126" i="20"/>
  <c r="G126" i="20"/>
  <c r="H126" i="20" s="1"/>
  <c r="J125" i="20"/>
  <c r="G125" i="20"/>
  <c r="H125" i="20" s="1"/>
  <c r="J124" i="20"/>
  <c r="G124" i="20"/>
  <c r="H124" i="20" s="1"/>
  <c r="J123" i="20"/>
  <c r="G123" i="20"/>
  <c r="H123" i="20" s="1"/>
  <c r="J122" i="20"/>
  <c r="G122" i="20"/>
  <c r="H122" i="20" s="1"/>
  <c r="J121" i="20"/>
  <c r="G121" i="20"/>
  <c r="H121" i="20" s="1"/>
  <c r="J120" i="20"/>
  <c r="G120" i="20"/>
  <c r="H120" i="20" s="1"/>
  <c r="J119" i="20"/>
  <c r="G119" i="20"/>
  <c r="H119" i="20" s="1"/>
  <c r="J118" i="20"/>
  <c r="G118" i="20"/>
  <c r="H118" i="20" s="1"/>
  <c r="J117" i="20"/>
  <c r="G117" i="20"/>
  <c r="H117" i="20" s="1"/>
  <c r="J116" i="20"/>
  <c r="G116" i="20"/>
  <c r="H116" i="20" s="1"/>
  <c r="J115" i="20"/>
  <c r="G115" i="20"/>
  <c r="H115" i="20" s="1"/>
  <c r="J114" i="20"/>
  <c r="G114" i="20"/>
  <c r="H114" i="20" s="1"/>
  <c r="J113" i="20"/>
  <c r="G113" i="20"/>
  <c r="H113" i="20" s="1"/>
  <c r="J112" i="20"/>
  <c r="G112" i="20"/>
  <c r="H112" i="20" s="1"/>
  <c r="J111" i="20"/>
  <c r="G111" i="20"/>
  <c r="H111" i="20" s="1"/>
  <c r="J110" i="20"/>
  <c r="G110" i="20"/>
  <c r="H110" i="20" s="1"/>
  <c r="J109" i="20"/>
  <c r="G109" i="20"/>
  <c r="H109" i="20" s="1"/>
  <c r="J108" i="20"/>
  <c r="G108" i="20"/>
  <c r="H108" i="20" s="1"/>
  <c r="J107" i="20"/>
  <c r="G107" i="20"/>
  <c r="H107" i="20" s="1"/>
  <c r="J106" i="20"/>
  <c r="G106" i="20"/>
  <c r="H106" i="20" s="1"/>
  <c r="J105" i="20"/>
  <c r="G105" i="20"/>
  <c r="H105" i="20" s="1"/>
  <c r="J104" i="20"/>
  <c r="G104" i="20"/>
  <c r="H104" i="20" s="1"/>
  <c r="J103" i="20"/>
  <c r="G103" i="20"/>
  <c r="H103" i="20" s="1"/>
  <c r="J102" i="20"/>
  <c r="G102" i="20"/>
  <c r="H102" i="20" s="1"/>
  <c r="J101" i="20"/>
  <c r="G101" i="20"/>
  <c r="H101" i="20" s="1"/>
  <c r="J100" i="20"/>
  <c r="G100" i="20"/>
  <c r="H100" i="20" s="1"/>
  <c r="J99" i="20"/>
  <c r="G99" i="20"/>
  <c r="H99" i="20" s="1"/>
  <c r="J98" i="20"/>
  <c r="G98" i="20"/>
  <c r="H98" i="20" s="1"/>
  <c r="J97" i="20"/>
  <c r="G97" i="20"/>
  <c r="H97" i="20" s="1"/>
  <c r="J96" i="20"/>
  <c r="G96" i="20"/>
  <c r="H96" i="20" s="1"/>
  <c r="J95" i="20"/>
  <c r="G95" i="20"/>
  <c r="H95" i="20" s="1"/>
  <c r="J94" i="20"/>
  <c r="G94" i="20"/>
  <c r="H94" i="20" s="1"/>
  <c r="J93" i="20"/>
  <c r="G93" i="20"/>
  <c r="H93" i="20" s="1"/>
  <c r="J92" i="20"/>
  <c r="G92" i="20"/>
  <c r="H92" i="20" s="1"/>
  <c r="J91" i="20"/>
  <c r="G91" i="20"/>
  <c r="H91" i="20" s="1"/>
  <c r="J90" i="20"/>
  <c r="G90" i="20"/>
  <c r="H90" i="20" s="1"/>
  <c r="J89" i="20"/>
  <c r="G89" i="20"/>
  <c r="H89" i="20" s="1"/>
  <c r="J88" i="20"/>
  <c r="G88" i="20"/>
  <c r="H88" i="20" s="1"/>
  <c r="J87" i="20"/>
  <c r="G87" i="20"/>
  <c r="H87" i="20" s="1"/>
  <c r="J86" i="20"/>
  <c r="G86" i="20"/>
  <c r="H86" i="20" s="1"/>
  <c r="J85" i="20"/>
  <c r="G85" i="20"/>
  <c r="H85" i="20" s="1"/>
  <c r="J84" i="20"/>
  <c r="G84" i="20"/>
  <c r="H84" i="20" s="1"/>
  <c r="J83" i="20"/>
  <c r="G83" i="20"/>
  <c r="H83" i="20" s="1"/>
  <c r="J82" i="20"/>
  <c r="G82" i="20"/>
  <c r="H82" i="20" s="1"/>
  <c r="J81" i="20"/>
  <c r="G81" i="20"/>
  <c r="H81" i="20" s="1"/>
  <c r="J80" i="20"/>
  <c r="G80" i="20"/>
  <c r="H80" i="20" s="1"/>
  <c r="J79" i="20"/>
  <c r="G79" i="20"/>
  <c r="H79" i="20" s="1"/>
  <c r="J78" i="20"/>
  <c r="G78" i="20"/>
  <c r="H78" i="20" s="1"/>
  <c r="J77" i="20"/>
  <c r="G77" i="20"/>
  <c r="H77" i="20" s="1"/>
  <c r="J76" i="20"/>
  <c r="G76" i="20"/>
  <c r="H76" i="20" s="1"/>
  <c r="J75" i="20"/>
  <c r="G75" i="20"/>
  <c r="H75" i="20" s="1"/>
  <c r="J74" i="20"/>
  <c r="G74" i="20"/>
  <c r="H74" i="20" s="1"/>
  <c r="J73" i="20"/>
  <c r="G73" i="20"/>
  <c r="H73" i="20" s="1"/>
  <c r="J72" i="20"/>
  <c r="G72" i="20"/>
  <c r="H72" i="20" s="1"/>
  <c r="J71" i="20"/>
  <c r="G71" i="20"/>
  <c r="H71" i="20" s="1"/>
  <c r="J70" i="20"/>
  <c r="G70" i="20"/>
  <c r="H70" i="20" s="1"/>
  <c r="J69" i="20"/>
  <c r="G69" i="20"/>
  <c r="H69" i="20" s="1"/>
  <c r="J68" i="20"/>
  <c r="G68" i="20"/>
  <c r="H68" i="20" s="1"/>
  <c r="J67" i="20"/>
  <c r="G67" i="20"/>
  <c r="H67" i="20" s="1"/>
  <c r="J66" i="20"/>
  <c r="G66" i="20"/>
  <c r="H66" i="20" s="1"/>
  <c r="J65" i="20"/>
  <c r="G65" i="20"/>
  <c r="H65" i="20" s="1"/>
  <c r="J64" i="20"/>
  <c r="G64" i="20"/>
  <c r="H64" i="20" s="1"/>
  <c r="J63" i="20"/>
  <c r="G63" i="20"/>
  <c r="H63" i="20" s="1"/>
  <c r="J62" i="20"/>
  <c r="G62" i="20"/>
  <c r="H62" i="20" s="1"/>
  <c r="J61" i="20"/>
  <c r="G61" i="20"/>
  <c r="H61" i="20" s="1"/>
  <c r="J60" i="20"/>
  <c r="G60" i="20"/>
  <c r="H60" i="20" s="1"/>
  <c r="J59" i="20"/>
  <c r="G59" i="20"/>
  <c r="H59" i="20" s="1"/>
  <c r="J58" i="20"/>
  <c r="G58" i="20"/>
  <c r="H58" i="20" s="1"/>
  <c r="J57" i="20"/>
  <c r="G57" i="20"/>
  <c r="H57" i="20" s="1"/>
  <c r="J56" i="20"/>
  <c r="G56" i="20"/>
  <c r="H56" i="20" s="1"/>
  <c r="J55" i="20"/>
  <c r="G55" i="20"/>
  <c r="H55" i="20" s="1"/>
  <c r="J54" i="20"/>
  <c r="G54" i="20"/>
  <c r="H54" i="20" s="1"/>
  <c r="J53" i="20"/>
  <c r="G53" i="20"/>
  <c r="H53" i="20" s="1"/>
  <c r="J52" i="20"/>
  <c r="G52" i="20"/>
  <c r="H52" i="20" s="1"/>
  <c r="J51" i="20"/>
  <c r="G51" i="20"/>
  <c r="H51" i="20" s="1"/>
  <c r="J50" i="20"/>
  <c r="G50" i="20"/>
  <c r="H50" i="20" s="1"/>
  <c r="J49" i="20"/>
  <c r="G49" i="20"/>
  <c r="H49" i="20" s="1"/>
  <c r="J48" i="20"/>
  <c r="G48" i="20"/>
  <c r="H48" i="20" s="1"/>
  <c r="J47" i="20"/>
  <c r="G47" i="20"/>
  <c r="H47" i="20" s="1"/>
  <c r="J46" i="20"/>
  <c r="G46" i="20"/>
  <c r="H46" i="20" s="1"/>
  <c r="J45" i="20"/>
  <c r="G45" i="20"/>
  <c r="H45" i="20" s="1"/>
  <c r="J44" i="20"/>
  <c r="G44" i="20"/>
  <c r="H44" i="20" s="1"/>
  <c r="J43" i="20"/>
  <c r="G43" i="20"/>
  <c r="H43" i="20" s="1"/>
  <c r="J42" i="20"/>
  <c r="G42" i="20"/>
  <c r="H42" i="20" s="1"/>
  <c r="J41" i="20"/>
  <c r="G41" i="20"/>
  <c r="H41" i="20" s="1"/>
  <c r="J40" i="20"/>
  <c r="G40" i="20"/>
  <c r="H40" i="20" s="1"/>
  <c r="J39" i="20"/>
  <c r="G39" i="20"/>
  <c r="H39" i="20" s="1"/>
  <c r="J38" i="20"/>
  <c r="G38" i="20"/>
  <c r="H38" i="20" s="1"/>
  <c r="J37" i="20"/>
  <c r="G37" i="20"/>
  <c r="H37" i="20" s="1"/>
  <c r="J36" i="20"/>
  <c r="G36" i="20"/>
  <c r="H36" i="20" s="1"/>
  <c r="J35" i="20"/>
  <c r="G35" i="20"/>
  <c r="H35" i="20" s="1"/>
  <c r="J34" i="20"/>
  <c r="G34" i="20"/>
  <c r="H34" i="20" s="1"/>
  <c r="J33" i="20"/>
  <c r="G33" i="20"/>
  <c r="H33" i="20" s="1"/>
  <c r="J32" i="20"/>
  <c r="G32" i="20"/>
  <c r="H32" i="20" s="1"/>
  <c r="J31" i="20"/>
  <c r="G31" i="20"/>
  <c r="H31" i="20" s="1"/>
  <c r="J30" i="20"/>
  <c r="G30" i="20"/>
  <c r="H30" i="20" s="1"/>
  <c r="J29" i="20"/>
  <c r="G29" i="20"/>
  <c r="H29" i="20" s="1"/>
  <c r="J28" i="20"/>
  <c r="G28" i="20"/>
  <c r="H28" i="20" s="1"/>
  <c r="J27" i="20"/>
  <c r="G27" i="20"/>
  <c r="H27" i="20" s="1"/>
  <c r="J26" i="20"/>
  <c r="G26" i="20"/>
  <c r="H26" i="20" s="1"/>
  <c r="J25" i="20"/>
  <c r="G25" i="20"/>
  <c r="H25" i="20" s="1"/>
  <c r="J24" i="20"/>
  <c r="G24" i="20"/>
  <c r="H24" i="20" s="1"/>
  <c r="J23" i="20"/>
  <c r="G23" i="20"/>
  <c r="H23" i="20" s="1"/>
  <c r="J22" i="20"/>
  <c r="G22" i="20"/>
  <c r="H22" i="20" s="1"/>
  <c r="J21" i="20"/>
  <c r="G21" i="20"/>
  <c r="H21" i="20" s="1"/>
  <c r="J20" i="20"/>
  <c r="G20" i="20"/>
  <c r="H20" i="20" s="1"/>
  <c r="P17" i="20"/>
  <c r="J19" i="20"/>
  <c r="G19" i="20"/>
  <c r="H19" i="20" s="1"/>
  <c r="P16" i="20"/>
  <c r="J18" i="20"/>
  <c r="G18" i="20"/>
  <c r="H18" i="20" s="1"/>
  <c r="P15" i="20"/>
  <c r="J17" i="20"/>
  <c r="G17" i="20"/>
  <c r="H17" i="20" s="1"/>
  <c r="J16" i="20"/>
  <c r="G16" i="20"/>
  <c r="H16" i="20" s="1"/>
  <c r="J15" i="20"/>
  <c r="G15" i="20"/>
  <c r="H15" i="20" s="1"/>
  <c r="J14" i="20"/>
  <c r="G14" i="20"/>
  <c r="H14" i="20" s="1"/>
  <c r="J13" i="20"/>
  <c r="G13" i="20"/>
  <c r="H13" i="20" s="1"/>
  <c r="J12" i="20"/>
  <c r="G12" i="20"/>
  <c r="H12" i="20" s="1"/>
  <c r="P10" i="20"/>
  <c r="J11" i="20"/>
  <c r="G11" i="20"/>
  <c r="H11" i="20" s="1"/>
  <c r="P9" i="20"/>
  <c r="J10" i="20"/>
  <c r="G10" i="20"/>
  <c r="H10" i="20" s="1"/>
  <c r="P8" i="20"/>
  <c r="J9" i="20"/>
  <c r="G9" i="20"/>
  <c r="H9" i="20" s="1"/>
  <c r="J8" i="20"/>
  <c r="G8" i="20"/>
  <c r="H8" i="20" s="1"/>
  <c r="P5" i="20"/>
  <c r="J7" i="20"/>
  <c r="G7" i="20"/>
  <c r="H7" i="20" s="1"/>
  <c r="P4" i="20"/>
  <c r="J6" i="20"/>
  <c r="G6" i="20"/>
  <c r="H6" i="20" s="1"/>
  <c r="P3" i="20"/>
  <c r="T5" i="20" s="1"/>
  <c r="V9" i="20" s="1"/>
  <c r="W9" i="20" s="1"/>
  <c r="J5" i="20"/>
  <c r="G5" i="20"/>
  <c r="H5" i="20" s="1"/>
  <c r="J4" i="20"/>
  <c r="G4" i="20"/>
  <c r="H4" i="20" s="1"/>
  <c r="J226" i="19"/>
  <c r="G226" i="19"/>
  <c r="H226" i="19" s="1"/>
  <c r="J225" i="19"/>
  <c r="G225" i="19"/>
  <c r="H225" i="19" s="1"/>
  <c r="J224" i="19"/>
  <c r="G224" i="19"/>
  <c r="H224" i="19" s="1"/>
  <c r="J223" i="19"/>
  <c r="G223" i="19"/>
  <c r="H223" i="19" s="1"/>
  <c r="J222" i="19"/>
  <c r="G222" i="19"/>
  <c r="H222" i="19" s="1"/>
  <c r="J221" i="19"/>
  <c r="G221" i="19"/>
  <c r="H221" i="19" s="1"/>
  <c r="J220" i="19"/>
  <c r="G220" i="19"/>
  <c r="H220" i="19" s="1"/>
  <c r="J219" i="19"/>
  <c r="G219" i="19"/>
  <c r="H219" i="19" s="1"/>
  <c r="J218" i="19"/>
  <c r="G218" i="19"/>
  <c r="H218" i="19" s="1"/>
  <c r="J217" i="19"/>
  <c r="G217" i="19"/>
  <c r="H217" i="19" s="1"/>
  <c r="J216" i="19"/>
  <c r="G216" i="19"/>
  <c r="H216" i="19" s="1"/>
  <c r="J215" i="19"/>
  <c r="G215" i="19"/>
  <c r="H215" i="19" s="1"/>
  <c r="J214" i="19"/>
  <c r="G214" i="19"/>
  <c r="H214" i="19" s="1"/>
  <c r="J213" i="19"/>
  <c r="G213" i="19"/>
  <c r="H213" i="19" s="1"/>
  <c r="J212" i="19"/>
  <c r="G212" i="19"/>
  <c r="H212" i="19" s="1"/>
  <c r="J211" i="19"/>
  <c r="G211" i="19"/>
  <c r="H211" i="19" s="1"/>
  <c r="J210" i="19"/>
  <c r="G210" i="19"/>
  <c r="H210" i="19" s="1"/>
  <c r="J209" i="19"/>
  <c r="G209" i="19"/>
  <c r="H209" i="19" s="1"/>
  <c r="J208" i="19"/>
  <c r="G208" i="19"/>
  <c r="H208" i="19" s="1"/>
  <c r="J207" i="19"/>
  <c r="G207" i="19"/>
  <c r="H207" i="19" s="1"/>
  <c r="J206" i="19"/>
  <c r="G206" i="19"/>
  <c r="H206" i="19" s="1"/>
  <c r="J205" i="19"/>
  <c r="G205" i="19"/>
  <c r="H205" i="19" s="1"/>
  <c r="J204" i="19"/>
  <c r="G204" i="19"/>
  <c r="H204" i="19" s="1"/>
  <c r="J203" i="19"/>
  <c r="G203" i="19"/>
  <c r="H203" i="19" s="1"/>
  <c r="J202" i="19"/>
  <c r="G202" i="19"/>
  <c r="H202" i="19" s="1"/>
  <c r="J201" i="19"/>
  <c r="G201" i="19"/>
  <c r="H201" i="19" s="1"/>
  <c r="J200" i="19"/>
  <c r="G200" i="19"/>
  <c r="H200" i="19" s="1"/>
  <c r="J199" i="19"/>
  <c r="G199" i="19"/>
  <c r="H199" i="19" s="1"/>
  <c r="J198" i="19"/>
  <c r="G198" i="19"/>
  <c r="H198" i="19" s="1"/>
  <c r="J197" i="19"/>
  <c r="G197" i="19"/>
  <c r="H197" i="19" s="1"/>
  <c r="J196" i="19"/>
  <c r="G196" i="19"/>
  <c r="H196" i="19" s="1"/>
  <c r="J195" i="19"/>
  <c r="G195" i="19"/>
  <c r="H195" i="19" s="1"/>
  <c r="J194" i="19"/>
  <c r="G194" i="19"/>
  <c r="H194" i="19" s="1"/>
  <c r="J193" i="19"/>
  <c r="G193" i="19"/>
  <c r="H193" i="19" s="1"/>
  <c r="J192" i="19"/>
  <c r="G192" i="19"/>
  <c r="H192" i="19" s="1"/>
  <c r="J191" i="19"/>
  <c r="G191" i="19"/>
  <c r="H191" i="19" s="1"/>
  <c r="J190" i="19"/>
  <c r="G190" i="19"/>
  <c r="H190" i="19" s="1"/>
  <c r="J189" i="19"/>
  <c r="G189" i="19"/>
  <c r="H189" i="19" s="1"/>
  <c r="J188" i="19"/>
  <c r="G188" i="19"/>
  <c r="H188" i="19" s="1"/>
  <c r="J187" i="19"/>
  <c r="G187" i="19"/>
  <c r="H187" i="19" s="1"/>
  <c r="J186" i="19"/>
  <c r="G186" i="19"/>
  <c r="H186" i="19" s="1"/>
  <c r="J185" i="19"/>
  <c r="G185" i="19"/>
  <c r="H185" i="19" s="1"/>
  <c r="J184" i="19"/>
  <c r="G184" i="19"/>
  <c r="H184" i="19" s="1"/>
  <c r="J183" i="19"/>
  <c r="G183" i="19"/>
  <c r="H183" i="19" s="1"/>
  <c r="J182" i="19"/>
  <c r="G182" i="19"/>
  <c r="H182" i="19" s="1"/>
  <c r="J181" i="19"/>
  <c r="G181" i="19"/>
  <c r="H181" i="19" s="1"/>
  <c r="J180" i="19"/>
  <c r="G180" i="19"/>
  <c r="H180" i="19" s="1"/>
  <c r="J179" i="19"/>
  <c r="G179" i="19"/>
  <c r="H179" i="19" s="1"/>
  <c r="J178" i="19"/>
  <c r="G178" i="19"/>
  <c r="H178" i="19" s="1"/>
  <c r="J177" i="19"/>
  <c r="G177" i="19"/>
  <c r="H177" i="19" s="1"/>
  <c r="J176" i="19"/>
  <c r="G176" i="19"/>
  <c r="H176" i="19" s="1"/>
  <c r="J175" i="19"/>
  <c r="G175" i="19"/>
  <c r="H175" i="19" s="1"/>
  <c r="J174" i="19"/>
  <c r="G174" i="19"/>
  <c r="H174" i="19" s="1"/>
  <c r="J173" i="19"/>
  <c r="G173" i="19"/>
  <c r="H173" i="19" s="1"/>
  <c r="J172" i="19"/>
  <c r="G172" i="19"/>
  <c r="H172" i="19" s="1"/>
  <c r="J171" i="19"/>
  <c r="G171" i="19"/>
  <c r="H171" i="19" s="1"/>
  <c r="J170" i="19"/>
  <c r="G170" i="19"/>
  <c r="H170" i="19" s="1"/>
  <c r="J169" i="19"/>
  <c r="G169" i="19"/>
  <c r="H169" i="19" s="1"/>
  <c r="J168" i="19"/>
  <c r="G168" i="19"/>
  <c r="H168" i="19" s="1"/>
  <c r="J167" i="19"/>
  <c r="G167" i="19"/>
  <c r="H167" i="19" s="1"/>
  <c r="J166" i="19"/>
  <c r="G166" i="19"/>
  <c r="H166" i="19" s="1"/>
  <c r="J165" i="19"/>
  <c r="G165" i="19"/>
  <c r="H165" i="19" s="1"/>
  <c r="J164" i="19"/>
  <c r="G164" i="19"/>
  <c r="H164" i="19" s="1"/>
  <c r="J163" i="19"/>
  <c r="G163" i="19"/>
  <c r="H163" i="19" s="1"/>
  <c r="J162" i="19"/>
  <c r="G162" i="19"/>
  <c r="H162" i="19" s="1"/>
  <c r="J161" i="19"/>
  <c r="G161" i="19"/>
  <c r="H161" i="19" s="1"/>
  <c r="J160" i="19"/>
  <c r="G160" i="19"/>
  <c r="H160" i="19" s="1"/>
  <c r="J159" i="19"/>
  <c r="G159" i="19"/>
  <c r="H159" i="19" s="1"/>
  <c r="J158" i="19"/>
  <c r="G158" i="19"/>
  <c r="H158" i="19" s="1"/>
  <c r="J157" i="19"/>
  <c r="G157" i="19"/>
  <c r="H157" i="19" s="1"/>
  <c r="J156" i="19"/>
  <c r="G156" i="19"/>
  <c r="H156" i="19" s="1"/>
  <c r="J155" i="19"/>
  <c r="G155" i="19"/>
  <c r="H155" i="19" s="1"/>
  <c r="J154" i="19"/>
  <c r="G154" i="19"/>
  <c r="H154" i="19" s="1"/>
  <c r="J153" i="19"/>
  <c r="G153" i="19"/>
  <c r="H153" i="19" s="1"/>
  <c r="J152" i="19"/>
  <c r="G152" i="19"/>
  <c r="H152" i="19" s="1"/>
  <c r="J151" i="19"/>
  <c r="G151" i="19"/>
  <c r="H151" i="19" s="1"/>
  <c r="J150" i="19"/>
  <c r="G150" i="19"/>
  <c r="H150" i="19" s="1"/>
  <c r="J149" i="19"/>
  <c r="G149" i="19"/>
  <c r="H149" i="19" s="1"/>
  <c r="J148" i="19"/>
  <c r="G148" i="19"/>
  <c r="H148" i="19" s="1"/>
  <c r="J147" i="19"/>
  <c r="G147" i="19"/>
  <c r="H147" i="19" s="1"/>
  <c r="J146" i="19"/>
  <c r="G146" i="19"/>
  <c r="H146" i="19" s="1"/>
  <c r="J145" i="19"/>
  <c r="G145" i="19"/>
  <c r="H145" i="19" s="1"/>
  <c r="J144" i="19"/>
  <c r="G144" i="19"/>
  <c r="H144" i="19" s="1"/>
  <c r="J143" i="19"/>
  <c r="G143" i="19"/>
  <c r="H143" i="19" s="1"/>
  <c r="J142" i="19"/>
  <c r="G142" i="19"/>
  <c r="H142" i="19" s="1"/>
  <c r="J141" i="19"/>
  <c r="G141" i="19"/>
  <c r="H141" i="19" s="1"/>
  <c r="J140" i="19"/>
  <c r="G140" i="19"/>
  <c r="H140" i="19" s="1"/>
  <c r="J139" i="19"/>
  <c r="G139" i="19"/>
  <c r="H139" i="19" s="1"/>
  <c r="J138" i="19"/>
  <c r="G138" i="19"/>
  <c r="H138" i="19" s="1"/>
  <c r="J137" i="19"/>
  <c r="G137" i="19"/>
  <c r="H137" i="19" s="1"/>
  <c r="J136" i="19"/>
  <c r="G136" i="19"/>
  <c r="H136" i="19" s="1"/>
  <c r="J135" i="19"/>
  <c r="G135" i="19"/>
  <c r="H135" i="19" s="1"/>
  <c r="J134" i="19"/>
  <c r="G134" i="19"/>
  <c r="H134" i="19" s="1"/>
  <c r="J133" i="19"/>
  <c r="G133" i="19"/>
  <c r="H133" i="19" s="1"/>
  <c r="J132" i="19"/>
  <c r="G132" i="19"/>
  <c r="H132" i="19" s="1"/>
  <c r="J131" i="19"/>
  <c r="G131" i="19"/>
  <c r="H131" i="19" s="1"/>
  <c r="J130" i="19"/>
  <c r="G130" i="19"/>
  <c r="H130" i="19" s="1"/>
  <c r="J129" i="19"/>
  <c r="G129" i="19"/>
  <c r="H129" i="19" s="1"/>
  <c r="J128" i="19"/>
  <c r="G128" i="19"/>
  <c r="H128" i="19" s="1"/>
  <c r="J127" i="19"/>
  <c r="G127" i="19"/>
  <c r="H127" i="19" s="1"/>
  <c r="J126" i="19"/>
  <c r="G126" i="19"/>
  <c r="H126" i="19" s="1"/>
  <c r="J125" i="19"/>
  <c r="G125" i="19"/>
  <c r="H125" i="19" s="1"/>
  <c r="J124" i="19"/>
  <c r="G124" i="19"/>
  <c r="H124" i="19" s="1"/>
  <c r="J123" i="19"/>
  <c r="G123" i="19"/>
  <c r="H123" i="19" s="1"/>
  <c r="J122" i="19"/>
  <c r="G122" i="19"/>
  <c r="H122" i="19" s="1"/>
  <c r="J121" i="19"/>
  <c r="G121" i="19"/>
  <c r="H121" i="19" s="1"/>
  <c r="J120" i="19"/>
  <c r="G120" i="19"/>
  <c r="H120" i="19" s="1"/>
  <c r="J119" i="19"/>
  <c r="G119" i="19"/>
  <c r="H119" i="19" s="1"/>
  <c r="J118" i="19"/>
  <c r="G118" i="19"/>
  <c r="H118" i="19" s="1"/>
  <c r="J117" i="19"/>
  <c r="G117" i="19"/>
  <c r="H117" i="19" s="1"/>
  <c r="J116" i="19"/>
  <c r="G116" i="19"/>
  <c r="H116" i="19" s="1"/>
  <c r="J115" i="19"/>
  <c r="G115" i="19"/>
  <c r="H115" i="19" s="1"/>
  <c r="J114" i="19"/>
  <c r="G114" i="19"/>
  <c r="H114" i="19" s="1"/>
  <c r="J113" i="19"/>
  <c r="G113" i="19"/>
  <c r="H113" i="19" s="1"/>
  <c r="J112" i="19"/>
  <c r="G112" i="19"/>
  <c r="H112" i="19" s="1"/>
  <c r="J111" i="19"/>
  <c r="G111" i="19"/>
  <c r="H111" i="19" s="1"/>
  <c r="J110" i="19"/>
  <c r="G110" i="19"/>
  <c r="H110" i="19" s="1"/>
  <c r="J109" i="19"/>
  <c r="G109" i="19"/>
  <c r="H109" i="19" s="1"/>
  <c r="J108" i="19"/>
  <c r="G108" i="19"/>
  <c r="H108" i="19" s="1"/>
  <c r="J107" i="19"/>
  <c r="G107" i="19"/>
  <c r="H107" i="19" s="1"/>
  <c r="J106" i="19"/>
  <c r="G106" i="19"/>
  <c r="H106" i="19" s="1"/>
  <c r="J105" i="19"/>
  <c r="G105" i="19"/>
  <c r="H105" i="19" s="1"/>
  <c r="J104" i="19"/>
  <c r="G104" i="19"/>
  <c r="H104" i="19" s="1"/>
  <c r="J103" i="19"/>
  <c r="G103" i="19"/>
  <c r="H103" i="19" s="1"/>
  <c r="J102" i="19"/>
  <c r="G102" i="19"/>
  <c r="H102" i="19" s="1"/>
  <c r="J101" i="19"/>
  <c r="G101" i="19"/>
  <c r="H101" i="19" s="1"/>
  <c r="J100" i="19"/>
  <c r="G100" i="19"/>
  <c r="H100" i="19" s="1"/>
  <c r="J99" i="19"/>
  <c r="G99" i="19"/>
  <c r="H99" i="19" s="1"/>
  <c r="J98" i="19"/>
  <c r="G98" i="19"/>
  <c r="H98" i="19" s="1"/>
  <c r="J97" i="19"/>
  <c r="G97" i="19"/>
  <c r="H97" i="19" s="1"/>
  <c r="J96" i="19"/>
  <c r="G96" i="19"/>
  <c r="H96" i="19" s="1"/>
  <c r="J95" i="19"/>
  <c r="G95" i="19"/>
  <c r="H95" i="19" s="1"/>
  <c r="J94" i="19"/>
  <c r="G94" i="19"/>
  <c r="H94" i="19" s="1"/>
  <c r="J93" i="19"/>
  <c r="G93" i="19"/>
  <c r="H93" i="19" s="1"/>
  <c r="J92" i="19"/>
  <c r="G92" i="19"/>
  <c r="H92" i="19" s="1"/>
  <c r="J91" i="19"/>
  <c r="G91" i="19"/>
  <c r="H91" i="19" s="1"/>
  <c r="J90" i="19"/>
  <c r="G90" i="19"/>
  <c r="H90" i="19" s="1"/>
  <c r="J89" i="19"/>
  <c r="G89" i="19"/>
  <c r="H89" i="19" s="1"/>
  <c r="J88" i="19"/>
  <c r="G88" i="19"/>
  <c r="H88" i="19" s="1"/>
  <c r="J87" i="19"/>
  <c r="G87" i="19"/>
  <c r="H87" i="19" s="1"/>
  <c r="J86" i="19"/>
  <c r="G86" i="19"/>
  <c r="H86" i="19" s="1"/>
  <c r="J85" i="19"/>
  <c r="G85" i="19"/>
  <c r="H85" i="19" s="1"/>
  <c r="J84" i="19"/>
  <c r="G84" i="19"/>
  <c r="H84" i="19" s="1"/>
  <c r="J83" i="19"/>
  <c r="G83" i="19"/>
  <c r="H83" i="19" s="1"/>
  <c r="J82" i="19"/>
  <c r="G82" i="19"/>
  <c r="H82" i="19" s="1"/>
  <c r="J81" i="19"/>
  <c r="G81" i="19"/>
  <c r="H81" i="19" s="1"/>
  <c r="J80" i="19"/>
  <c r="G80" i="19"/>
  <c r="H80" i="19" s="1"/>
  <c r="J79" i="19"/>
  <c r="G79" i="19"/>
  <c r="H79" i="19" s="1"/>
  <c r="J78" i="19"/>
  <c r="G78" i="19"/>
  <c r="H78" i="19" s="1"/>
  <c r="J77" i="19"/>
  <c r="G77" i="19"/>
  <c r="H77" i="19" s="1"/>
  <c r="J76" i="19"/>
  <c r="G76" i="19"/>
  <c r="H76" i="19" s="1"/>
  <c r="J75" i="19"/>
  <c r="G75" i="19"/>
  <c r="H75" i="19" s="1"/>
  <c r="J74" i="19"/>
  <c r="G74" i="19"/>
  <c r="H74" i="19" s="1"/>
  <c r="J73" i="19"/>
  <c r="G73" i="19"/>
  <c r="H73" i="19" s="1"/>
  <c r="J72" i="19"/>
  <c r="G72" i="19"/>
  <c r="H72" i="19" s="1"/>
  <c r="J71" i="19"/>
  <c r="G71" i="19"/>
  <c r="H71" i="19" s="1"/>
  <c r="J70" i="19"/>
  <c r="G70" i="19"/>
  <c r="H70" i="19" s="1"/>
  <c r="J69" i="19"/>
  <c r="G69" i="19"/>
  <c r="H69" i="19" s="1"/>
  <c r="J68" i="19"/>
  <c r="G68" i="19"/>
  <c r="H68" i="19" s="1"/>
  <c r="J67" i="19"/>
  <c r="G67" i="19"/>
  <c r="H67" i="19" s="1"/>
  <c r="J66" i="19"/>
  <c r="G66" i="19"/>
  <c r="H66" i="19" s="1"/>
  <c r="J65" i="19"/>
  <c r="G65" i="19"/>
  <c r="H65" i="19" s="1"/>
  <c r="J64" i="19"/>
  <c r="G64" i="19"/>
  <c r="H64" i="19" s="1"/>
  <c r="J63" i="19"/>
  <c r="G63" i="19"/>
  <c r="H63" i="19" s="1"/>
  <c r="J62" i="19"/>
  <c r="G62" i="19"/>
  <c r="H62" i="19" s="1"/>
  <c r="J61" i="19"/>
  <c r="G61" i="19"/>
  <c r="H61" i="19" s="1"/>
  <c r="J60" i="19"/>
  <c r="G60" i="19"/>
  <c r="H60" i="19" s="1"/>
  <c r="J59" i="19"/>
  <c r="G59" i="19"/>
  <c r="H59" i="19" s="1"/>
  <c r="J58" i="19"/>
  <c r="G58" i="19"/>
  <c r="H58" i="19" s="1"/>
  <c r="J57" i="19"/>
  <c r="G57" i="19"/>
  <c r="H57" i="19" s="1"/>
  <c r="J56" i="19"/>
  <c r="G56" i="19"/>
  <c r="H56" i="19" s="1"/>
  <c r="J55" i="19"/>
  <c r="G55" i="19"/>
  <c r="H55" i="19" s="1"/>
  <c r="J54" i="19"/>
  <c r="G54" i="19"/>
  <c r="H54" i="19" s="1"/>
  <c r="J53" i="19"/>
  <c r="G53" i="19"/>
  <c r="H53" i="19" s="1"/>
  <c r="J52" i="19"/>
  <c r="G52" i="19"/>
  <c r="H52" i="19" s="1"/>
  <c r="J51" i="19"/>
  <c r="G51" i="19"/>
  <c r="H51" i="19" s="1"/>
  <c r="J50" i="19"/>
  <c r="G50" i="19"/>
  <c r="H50" i="19" s="1"/>
  <c r="J49" i="19"/>
  <c r="G49" i="19"/>
  <c r="H49" i="19" s="1"/>
  <c r="J48" i="19"/>
  <c r="G48" i="19"/>
  <c r="H48" i="19" s="1"/>
  <c r="J47" i="19"/>
  <c r="G47" i="19"/>
  <c r="H47" i="19" s="1"/>
  <c r="J46" i="19"/>
  <c r="G46" i="19"/>
  <c r="H46" i="19" s="1"/>
  <c r="J45" i="19"/>
  <c r="G45" i="19"/>
  <c r="H45" i="19" s="1"/>
  <c r="J44" i="19"/>
  <c r="G44" i="19"/>
  <c r="H44" i="19" s="1"/>
  <c r="J43" i="19"/>
  <c r="G43" i="19"/>
  <c r="H43" i="19" s="1"/>
  <c r="J42" i="19"/>
  <c r="G42" i="19"/>
  <c r="H42" i="19" s="1"/>
  <c r="J41" i="19"/>
  <c r="G41" i="19"/>
  <c r="H41" i="19" s="1"/>
  <c r="J40" i="19"/>
  <c r="G40" i="19"/>
  <c r="H40" i="19" s="1"/>
  <c r="J39" i="19"/>
  <c r="G39" i="19"/>
  <c r="H39" i="19" s="1"/>
  <c r="J38" i="19"/>
  <c r="G38" i="19"/>
  <c r="H38" i="19" s="1"/>
  <c r="J37" i="19"/>
  <c r="G37" i="19"/>
  <c r="H37" i="19" s="1"/>
  <c r="J36" i="19"/>
  <c r="G36" i="19"/>
  <c r="H36" i="19" s="1"/>
  <c r="J35" i="19"/>
  <c r="G35" i="19"/>
  <c r="H35" i="19" s="1"/>
  <c r="J34" i="19"/>
  <c r="G34" i="19"/>
  <c r="H34" i="19" s="1"/>
  <c r="J33" i="19"/>
  <c r="G33" i="19"/>
  <c r="H33" i="19" s="1"/>
  <c r="J32" i="19"/>
  <c r="G32" i="19"/>
  <c r="H32" i="19" s="1"/>
  <c r="J31" i="19"/>
  <c r="G31" i="19"/>
  <c r="H31" i="19" s="1"/>
  <c r="J30" i="19"/>
  <c r="G30" i="19"/>
  <c r="H30" i="19" s="1"/>
  <c r="J29" i="19"/>
  <c r="G29" i="19"/>
  <c r="H29" i="19" s="1"/>
  <c r="J28" i="19"/>
  <c r="G28" i="19"/>
  <c r="H28" i="19" s="1"/>
  <c r="J27" i="19"/>
  <c r="G27" i="19"/>
  <c r="H27" i="19" s="1"/>
  <c r="J26" i="19"/>
  <c r="G26" i="19"/>
  <c r="H26" i="19" s="1"/>
  <c r="J25" i="19"/>
  <c r="G25" i="19"/>
  <c r="H25" i="19" s="1"/>
  <c r="J24" i="19"/>
  <c r="G24" i="19"/>
  <c r="H24" i="19" s="1"/>
  <c r="J23" i="19"/>
  <c r="G23" i="19"/>
  <c r="H23" i="19" s="1"/>
  <c r="J22" i="19"/>
  <c r="G22" i="19"/>
  <c r="H22" i="19" s="1"/>
  <c r="J21" i="19"/>
  <c r="G21" i="19"/>
  <c r="H21" i="19" s="1"/>
  <c r="J20" i="19"/>
  <c r="G20" i="19"/>
  <c r="H20" i="19" s="1"/>
  <c r="P17" i="19"/>
  <c r="J19" i="19"/>
  <c r="G19" i="19"/>
  <c r="H19" i="19" s="1"/>
  <c r="P16" i="19"/>
  <c r="P18" i="19" s="1"/>
  <c r="J18" i="19"/>
  <c r="G18" i="19"/>
  <c r="H18" i="19" s="1"/>
  <c r="P15" i="19"/>
  <c r="J17" i="19"/>
  <c r="G17" i="19"/>
  <c r="H17" i="19" s="1"/>
  <c r="J16" i="19"/>
  <c r="G16" i="19"/>
  <c r="H16" i="19" s="1"/>
  <c r="J15" i="19"/>
  <c r="G15" i="19"/>
  <c r="H15" i="19" s="1"/>
  <c r="J14" i="19"/>
  <c r="G14" i="19"/>
  <c r="H14" i="19" s="1"/>
  <c r="J13" i="19"/>
  <c r="G13" i="19"/>
  <c r="H13" i="19" s="1"/>
  <c r="J12" i="19"/>
  <c r="G12" i="19"/>
  <c r="H12" i="19" s="1"/>
  <c r="P10" i="19"/>
  <c r="J11" i="19"/>
  <c r="G11" i="19"/>
  <c r="H11" i="19" s="1"/>
  <c r="P9" i="19"/>
  <c r="J10" i="19"/>
  <c r="G10" i="19"/>
  <c r="H10" i="19" s="1"/>
  <c r="P8" i="19"/>
  <c r="J9" i="19"/>
  <c r="G9" i="19"/>
  <c r="H9" i="19" s="1"/>
  <c r="J8" i="19"/>
  <c r="G8" i="19"/>
  <c r="H8" i="19" s="1"/>
  <c r="P5" i="19"/>
  <c r="J7" i="19"/>
  <c r="G7" i="19"/>
  <c r="H7" i="19" s="1"/>
  <c r="P4" i="19"/>
  <c r="J6" i="19"/>
  <c r="G6" i="19"/>
  <c r="H6" i="19" s="1"/>
  <c r="P3" i="19"/>
  <c r="T5" i="19" s="1"/>
  <c r="V9" i="19" s="1"/>
  <c r="W9" i="19" s="1"/>
  <c r="J5" i="19"/>
  <c r="G5" i="19"/>
  <c r="J4" i="19"/>
  <c r="G4" i="19"/>
  <c r="H4" i="19" s="1"/>
  <c r="J226" i="18"/>
  <c r="G226" i="18"/>
  <c r="H226" i="18" s="1"/>
  <c r="J225" i="18"/>
  <c r="G225" i="18"/>
  <c r="H225" i="18" s="1"/>
  <c r="J224" i="18"/>
  <c r="G224" i="18"/>
  <c r="H224" i="18" s="1"/>
  <c r="J223" i="18"/>
  <c r="G223" i="18"/>
  <c r="H223" i="18" s="1"/>
  <c r="J222" i="18"/>
  <c r="G222" i="18"/>
  <c r="H222" i="18" s="1"/>
  <c r="J221" i="18"/>
  <c r="G221" i="18"/>
  <c r="H221" i="18" s="1"/>
  <c r="J220" i="18"/>
  <c r="G220" i="18"/>
  <c r="H220" i="18" s="1"/>
  <c r="J219" i="18"/>
  <c r="G219" i="18"/>
  <c r="H219" i="18" s="1"/>
  <c r="J218" i="18"/>
  <c r="G218" i="18"/>
  <c r="H218" i="18" s="1"/>
  <c r="J217" i="18"/>
  <c r="G217" i="18"/>
  <c r="H217" i="18" s="1"/>
  <c r="J216" i="18"/>
  <c r="G216" i="18"/>
  <c r="H216" i="18" s="1"/>
  <c r="J215" i="18"/>
  <c r="G215" i="18"/>
  <c r="H215" i="18" s="1"/>
  <c r="J214" i="18"/>
  <c r="G214" i="18"/>
  <c r="H214" i="18" s="1"/>
  <c r="J213" i="18"/>
  <c r="G213" i="18"/>
  <c r="H213" i="18" s="1"/>
  <c r="J212" i="18"/>
  <c r="G212" i="18"/>
  <c r="H212" i="18" s="1"/>
  <c r="J211" i="18"/>
  <c r="G211" i="18"/>
  <c r="H211" i="18" s="1"/>
  <c r="J210" i="18"/>
  <c r="G210" i="18"/>
  <c r="H210" i="18" s="1"/>
  <c r="J209" i="18"/>
  <c r="G209" i="18"/>
  <c r="H209" i="18" s="1"/>
  <c r="J208" i="18"/>
  <c r="G208" i="18"/>
  <c r="H208" i="18" s="1"/>
  <c r="J207" i="18"/>
  <c r="G207" i="18"/>
  <c r="H207" i="18" s="1"/>
  <c r="J206" i="18"/>
  <c r="G206" i="18"/>
  <c r="H206" i="18" s="1"/>
  <c r="J205" i="18"/>
  <c r="G205" i="18"/>
  <c r="H205" i="18" s="1"/>
  <c r="J204" i="18"/>
  <c r="G204" i="18"/>
  <c r="H204" i="18" s="1"/>
  <c r="J203" i="18"/>
  <c r="G203" i="18"/>
  <c r="H203" i="18" s="1"/>
  <c r="J202" i="18"/>
  <c r="G202" i="18"/>
  <c r="H202" i="18" s="1"/>
  <c r="J201" i="18"/>
  <c r="G201" i="18"/>
  <c r="H201" i="18" s="1"/>
  <c r="J200" i="18"/>
  <c r="G200" i="18"/>
  <c r="H200" i="18" s="1"/>
  <c r="J199" i="18"/>
  <c r="G199" i="18"/>
  <c r="H199" i="18" s="1"/>
  <c r="J198" i="18"/>
  <c r="G198" i="18"/>
  <c r="H198" i="18" s="1"/>
  <c r="J197" i="18"/>
  <c r="G197" i="18"/>
  <c r="H197" i="18" s="1"/>
  <c r="J196" i="18"/>
  <c r="G196" i="18"/>
  <c r="H196" i="18" s="1"/>
  <c r="J195" i="18"/>
  <c r="G195" i="18"/>
  <c r="H195" i="18" s="1"/>
  <c r="J194" i="18"/>
  <c r="G194" i="18"/>
  <c r="H194" i="18" s="1"/>
  <c r="J193" i="18"/>
  <c r="G193" i="18"/>
  <c r="H193" i="18" s="1"/>
  <c r="J192" i="18"/>
  <c r="G192" i="18"/>
  <c r="H192" i="18" s="1"/>
  <c r="J191" i="18"/>
  <c r="G191" i="18"/>
  <c r="H191" i="18" s="1"/>
  <c r="J190" i="18"/>
  <c r="G190" i="18"/>
  <c r="H190" i="18" s="1"/>
  <c r="J189" i="18"/>
  <c r="G189" i="18"/>
  <c r="H189" i="18" s="1"/>
  <c r="J188" i="18"/>
  <c r="G188" i="18"/>
  <c r="H188" i="18" s="1"/>
  <c r="J187" i="18"/>
  <c r="G187" i="18"/>
  <c r="H187" i="18" s="1"/>
  <c r="J186" i="18"/>
  <c r="G186" i="18"/>
  <c r="H186" i="18" s="1"/>
  <c r="J185" i="18"/>
  <c r="G185" i="18"/>
  <c r="H185" i="18" s="1"/>
  <c r="J184" i="18"/>
  <c r="G184" i="18"/>
  <c r="H184" i="18" s="1"/>
  <c r="J183" i="18"/>
  <c r="G183" i="18"/>
  <c r="H183" i="18" s="1"/>
  <c r="J182" i="18"/>
  <c r="G182" i="18"/>
  <c r="H182" i="18" s="1"/>
  <c r="J181" i="18"/>
  <c r="G181" i="18"/>
  <c r="H181" i="18" s="1"/>
  <c r="J180" i="18"/>
  <c r="G180" i="18"/>
  <c r="H180" i="18" s="1"/>
  <c r="J179" i="18"/>
  <c r="G179" i="18"/>
  <c r="H179" i="18" s="1"/>
  <c r="J178" i="18"/>
  <c r="G178" i="18"/>
  <c r="H178" i="18" s="1"/>
  <c r="J177" i="18"/>
  <c r="G177" i="18"/>
  <c r="H177" i="18" s="1"/>
  <c r="J176" i="18"/>
  <c r="G176" i="18"/>
  <c r="H176" i="18" s="1"/>
  <c r="J175" i="18"/>
  <c r="G175" i="18"/>
  <c r="H175" i="18" s="1"/>
  <c r="J174" i="18"/>
  <c r="G174" i="18"/>
  <c r="H174" i="18" s="1"/>
  <c r="J173" i="18"/>
  <c r="G173" i="18"/>
  <c r="H173" i="18" s="1"/>
  <c r="J172" i="18"/>
  <c r="G172" i="18"/>
  <c r="H172" i="18" s="1"/>
  <c r="J171" i="18"/>
  <c r="G171" i="18"/>
  <c r="H171" i="18" s="1"/>
  <c r="J170" i="18"/>
  <c r="G170" i="18"/>
  <c r="H170" i="18" s="1"/>
  <c r="J169" i="18"/>
  <c r="G169" i="18"/>
  <c r="H169" i="18" s="1"/>
  <c r="J168" i="18"/>
  <c r="G168" i="18"/>
  <c r="H168" i="18" s="1"/>
  <c r="J167" i="18"/>
  <c r="G167" i="18"/>
  <c r="H167" i="18" s="1"/>
  <c r="J166" i="18"/>
  <c r="G166" i="18"/>
  <c r="H166" i="18" s="1"/>
  <c r="J165" i="18"/>
  <c r="G165" i="18"/>
  <c r="H165" i="18" s="1"/>
  <c r="J164" i="18"/>
  <c r="G164" i="18"/>
  <c r="H164" i="18" s="1"/>
  <c r="J163" i="18"/>
  <c r="G163" i="18"/>
  <c r="H163" i="18" s="1"/>
  <c r="J162" i="18"/>
  <c r="G162" i="18"/>
  <c r="H162" i="18" s="1"/>
  <c r="J161" i="18"/>
  <c r="G161" i="18"/>
  <c r="H161" i="18" s="1"/>
  <c r="J160" i="18"/>
  <c r="G160" i="18"/>
  <c r="H160" i="18" s="1"/>
  <c r="J159" i="18"/>
  <c r="G159" i="18"/>
  <c r="H159" i="18" s="1"/>
  <c r="J158" i="18"/>
  <c r="G158" i="18"/>
  <c r="H158" i="18" s="1"/>
  <c r="J157" i="18"/>
  <c r="G157" i="18"/>
  <c r="H157" i="18" s="1"/>
  <c r="J156" i="18"/>
  <c r="G156" i="18"/>
  <c r="H156" i="18" s="1"/>
  <c r="J155" i="18"/>
  <c r="G155" i="18"/>
  <c r="H155" i="18" s="1"/>
  <c r="J154" i="18"/>
  <c r="G154" i="18"/>
  <c r="H154" i="18" s="1"/>
  <c r="J153" i="18"/>
  <c r="G153" i="18"/>
  <c r="H153" i="18" s="1"/>
  <c r="J152" i="18"/>
  <c r="G152" i="18"/>
  <c r="H152" i="18" s="1"/>
  <c r="J151" i="18"/>
  <c r="G151" i="18"/>
  <c r="H151" i="18" s="1"/>
  <c r="J150" i="18"/>
  <c r="G150" i="18"/>
  <c r="H150" i="18" s="1"/>
  <c r="J149" i="18"/>
  <c r="G149" i="18"/>
  <c r="H149" i="18" s="1"/>
  <c r="J148" i="18"/>
  <c r="G148" i="18"/>
  <c r="H148" i="18" s="1"/>
  <c r="J147" i="18"/>
  <c r="G147" i="18"/>
  <c r="H147" i="18" s="1"/>
  <c r="J146" i="18"/>
  <c r="G146" i="18"/>
  <c r="H146" i="18" s="1"/>
  <c r="J145" i="18"/>
  <c r="G145" i="18"/>
  <c r="H145" i="18" s="1"/>
  <c r="J144" i="18"/>
  <c r="G144" i="18"/>
  <c r="H144" i="18" s="1"/>
  <c r="J143" i="18"/>
  <c r="G143" i="18"/>
  <c r="H143" i="18" s="1"/>
  <c r="J142" i="18"/>
  <c r="G142" i="18"/>
  <c r="H142" i="18" s="1"/>
  <c r="J141" i="18"/>
  <c r="G141" i="18"/>
  <c r="H141" i="18" s="1"/>
  <c r="J140" i="18"/>
  <c r="G140" i="18"/>
  <c r="H140" i="18" s="1"/>
  <c r="J139" i="18"/>
  <c r="G139" i="18"/>
  <c r="H139" i="18" s="1"/>
  <c r="J138" i="18"/>
  <c r="G138" i="18"/>
  <c r="H138" i="18" s="1"/>
  <c r="J137" i="18"/>
  <c r="G137" i="18"/>
  <c r="H137" i="18" s="1"/>
  <c r="J136" i="18"/>
  <c r="G136" i="18"/>
  <c r="H136" i="18" s="1"/>
  <c r="J135" i="18"/>
  <c r="G135" i="18"/>
  <c r="H135" i="18" s="1"/>
  <c r="J134" i="18"/>
  <c r="G134" i="18"/>
  <c r="H134" i="18" s="1"/>
  <c r="J133" i="18"/>
  <c r="G133" i="18"/>
  <c r="H133" i="18" s="1"/>
  <c r="J132" i="18"/>
  <c r="G132" i="18"/>
  <c r="H132" i="18" s="1"/>
  <c r="J131" i="18"/>
  <c r="G131" i="18"/>
  <c r="H131" i="18" s="1"/>
  <c r="J130" i="18"/>
  <c r="G130" i="18"/>
  <c r="H130" i="18" s="1"/>
  <c r="J129" i="18"/>
  <c r="G129" i="18"/>
  <c r="H129" i="18" s="1"/>
  <c r="J128" i="18"/>
  <c r="G128" i="18"/>
  <c r="H128" i="18" s="1"/>
  <c r="J127" i="18"/>
  <c r="G127" i="18"/>
  <c r="H127" i="18" s="1"/>
  <c r="J126" i="18"/>
  <c r="G126" i="18"/>
  <c r="H126" i="18" s="1"/>
  <c r="J125" i="18"/>
  <c r="G125" i="18"/>
  <c r="H125" i="18" s="1"/>
  <c r="J124" i="18"/>
  <c r="G124" i="18"/>
  <c r="H124" i="18" s="1"/>
  <c r="J123" i="18"/>
  <c r="G123" i="18"/>
  <c r="H123" i="18" s="1"/>
  <c r="J122" i="18"/>
  <c r="G122" i="18"/>
  <c r="H122" i="18" s="1"/>
  <c r="J121" i="18"/>
  <c r="G121" i="18"/>
  <c r="H121" i="18" s="1"/>
  <c r="J120" i="18"/>
  <c r="G120" i="18"/>
  <c r="H120" i="18" s="1"/>
  <c r="J119" i="18"/>
  <c r="G119" i="18"/>
  <c r="H119" i="18" s="1"/>
  <c r="J118" i="18"/>
  <c r="G118" i="18"/>
  <c r="H118" i="18" s="1"/>
  <c r="J117" i="18"/>
  <c r="G117" i="18"/>
  <c r="H117" i="18" s="1"/>
  <c r="J116" i="18"/>
  <c r="G116" i="18"/>
  <c r="H116" i="18" s="1"/>
  <c r="J115" i="18"/>
  <c r="G115" i="18"/>
  <c r="H115" i="18" s="1"/>
  <c r="J114" i="18"/>
  <c r="G114" i="18"/>
  <c r="H114" i="18" s="1"/>
  <c r="J113" i="18"/>
  <c r="G113" i="18"/>
  <c r="H113" i="18" s="1"/>
  <c r="J112" i="18"/>
  <c r="G112" i="18"/>
  <c r="H112" i="18" s="1"/>
  <c r="J111" i="18"/>
  <c r="G111" i="18"/>
  <c r="H111" i="18" s="1"/>
  <c r="J110" i="18"/>
  <c r="G110" i="18"/>
  <c r="H110" i="18" s="1"/>
  <c r="J109" i="18"/>
  <c r="G109" i="18"/>
  <c r="H109" i="18" s="1"/>
  <c r="J108" i="18"/>
  <c r="G108" i="18"/>
  <c r="H108" i="18" s="1"/>
  <c r="J107" i="18"/>
  <c r="G107" i="18"/>
  <c r="H107" i="18" s="1"/>
  <c r="J106" i="18"/>
  <c r="G106" i="18"/>
  <c r="H106" i="18" s="1"/>
  <c r="J105" i="18"/>
  <c r="G105" i="18"/>
  <c r="H105" i="18" s="1"/>
  <c r="J104" i="18"/>
  <c r="G104" i="18"/>
  <c r="H104" i="18" s="1"/>
  <c r="J103" i="18"/>
  <c r="G103" i="18"/>
  <c r="H103" i="18" s="1"/>
  <c r="J102" i="18"/>
  <c r="G102" i="18"/>
  <c r="H102" i="18" s="1"/>
  <c r="J101" i="18"/>
  <c r="G101" i="18"/>
  <c r="H101" i="18" s="1"/>
  <c r="J100" i="18"/>
  <c r="G100" i="18"/>
  <c r="H100" i="18" s="1"/>
  <c r="J99" i="18"/>
  <c r="G99" i="18"/>
  <c r="H99" i="18" s="1"/>
  <c r="J98" i="18"/>
  <c r="G98" i="18"/>
  <c r="H98" i="18" s="1"/>
  <c r="J97" i="18"/>
  <c r="G97" i="18"/>
  <c r="H97" i="18" s="1"/>
  <c r="J96" i="18"/>
  <c r="G96" i="18"/>
  <c r="H96" i="18" s="1"/>
  <c r="J95" i="18"/>
  <c r="G95" i="18"/>
  <c r="H95" i="18" s="1"/>
  <c r="J94" i="18"/>
  <c r="G94" i="18"/>
  <c r="H94" i="18" s="1"/>
  <c r="J93" i="18"/>
  <c r="G93" i="18"/>
  <c r="H93" i="18" s="1"/>
  <c r="J92" i="18"/>
  <c r="G92" i="18"/>
  <c r="H92" i="18" s="1"/>
  <c r="J91" i="18"/>
  <c r="G91" i="18"/>
  <c r="H91" i="18" s="1"/>
  <c r="J90" i="18"/>
  <c r="G90" i="18"/>
  <c r="H90" i="18" s="1"/>
  <c r="J89" i="18"/>
  <c r="G89" i="18"/>
  <c r="H89" i="18" s="1"/>
  <c r="J88" i="18"/>
  <c r="G88" i="18"/>
  <c r="H88" i="18" s="1"/>
  <c r="J87" i="18"/>
  <c r="G87" i="18"/>
  <c r="H87" i="18" s="1"/>
  <c r="J86" i="18"/>
  <c r="G86" i="18"/>
  <c r="H86" i="18" s="1"/>
  <c r="J85" i="18"/>
  <c r="G85" i="18"/>
  <c r="H85" i="18" s="1"/>
  <c r="J84" i="18"/>
  <c r="G84" i="18"/>
  <c r="H84" i="18" s="1"/>
  <c r="J83" i="18"/>
  <c r="G83" i="18"/>
  <c r="H83" i="18" s="1"/>
  <c r="J82" i="18"/>
  <c r="G82" i="18"/>
  <c r="H82" i="18" s="1"/>
  <c r="J81" i="18"/>
  <c r="G81" i="18"/>
  <c r="H81" i="18" s="1"/>
  <c r="J80" i="18"/>
  <c r="G80" i="18"/>
  <c r="H80" i="18" s="1"/>
  <c r="J79" i="18"/>
  <c r="G79" i="18"/>
  <c r="H79" i="18" s="1"/>
  <c r="J78" i="18"/>
  <c r="G78" i="18"/>
  <c r="H78" i="18" s="1"/>
  <c r="J77" i="18"/>
  <c r="G77" i="18"/>
  <c r="H77" i="18" s="1"/>
  <c r="J76" i="18"/>
  <c r="G76" i="18"/>
  <c r="H76" i="18" s="1"/>
  <c r="J75" i="18"/>
  <c r="G75" i="18"/>
  <c r="H75" i="18" s="1"/>
  <c r="J74" i="18"/>
  <c r="G74" i="18"/>
  <c r="H74" i="18" s="1"/>
  <c r="J73" i="18"/>
  <c r="G73" i="18"/>
  <c r="H73" i="18" s="1"/>
  <c r="J72" i="18"/>
  <c r="G72" i="18"/>
  <c r="H72" i="18" s="1"/>
  <c r="J71" i="18"/>
  <c r="G71" i="18"/>
  <c r="H71" i="18" s="1"/>
  <c r="J70" i="18"/>
  <c r="G70" i="18"/>
  <c r="H70" i="18" s="1"/>
  <c r="J69" i="18"/>
  <c r="G69" i="18"/>
  <c r="H69" i="18" s="1"/>
  <c r="J68" i="18"/>
  <c r="G68" i="18"/>
  <c r="H68" i="18" s="1"/>
  <c r="J67" i="18"/>
  <c r="G67" i="18"/>
  <c r="H67" i="18" s="1"/>
  <c r="J66" i="18"/>
  <c r="G66" i="18"/>
  <c r="H66" i="18" s="1"/>
  <c r="J65" i="18"/>
  <c r="G65" i="18"/>
  <c r="H65" i="18" s="1"/>
  <c r="J64" i="18"/>
  <c r="G64" i="18"/>
  <c r="H64" i="18" s="1"/>
  <c r="J63" i="18"/>
  <c r="G63" i="18"/>
  <c r="H63" i="18" s="1"/>
  <c r="J62" i="18"/>
  <c r="G62" i="18"/>
  <c r="H62" i="18" s="1"/>
  <c r="J61" i="18"/>
  <c r="G61" i="18"/>
  <c r="H61" i="18" s="1"/>
  <c r="J60" i="18"/>
  <c r="G60" i="18"/>
  <c r="H60" i="18" s="1"/>
  <c r="J59" i="18"/>
  <c r="G59" i="18"/>
  <c r="H59" i="18" s="1"/>
  <c r="J58" i="18"/>
  <c r="G58" i="18"/>
  <c r="H58" i="18" s="1"/>
  <c r="J57" i="18"/>
  <c r="G57" i="18"/>
  <c r="H57" i="18" s="1"/>
  <c r="J56" i="18"/>
  <c r="G56" i="18"/>
  <c r="H56" i="18" s="1"/>
  <c r="J55" i="18"/>
  <c r="G55" i="18"/>
  <c r="H55" i="18" s="1"/>
  <c r="J54" i="18"/>
  <c r="G54" i="18"/>
  <c r="H54" i="18" s="1"/>
  <c r="J53" i="18"/>
  <c r="G53" i="18"/>
  <c r="H53" i="18" s="1"/>
  <c r="J52" i="18"/>
  <c r="G52" i="18"/>
  <c r="H52" i="18" s="1"/>
  <c r="J51" i="18"/>
  <c r="G51" i="18"/>
  <c r="H51" i="18" s="1"/>
  <c r="J50" i="18"/>
  <c r="G50" i="18"/>
  <c r="H50" i="18" s="1"/>
  <c r="J49" i="18"/>
  <c r="G49" i="18"/>
  <c r="H49" i="18" s="1"/>
  <c r="J48" i="18"/>
  <c r="G48" i="18"/>
  <c r="H48" i="18" s="1"/>
  <c r="J47" i="18"/>
  <c r="G47" i="18"/>
  <c r="H47" i="18" s="1"/>
  <c r="J46" i="18"/>
  <c r="G46" i="18"/>
  <c r="H46" i="18" s="1"/>
  <c r="J45" i="18"/>
  <c r="G45" i="18"/>
  <c r="H45" i="18" s="1"/>
  <c r="J44" i="18"/>
  <c r="G44" i="18"/>
  <c r="H44" i="18" s="1"/>
  <c r="J43" i="18"/>
  <c r="G43" i="18"/>
  <c r="H43" i="18" s="1"/>
  <c r="J42" i="18"/>
  <c r="G42" i="18"/>
  <c r="H42" i="18" s="1"/>
  <c r="J41" i="18"/>
  <c r="G41" i="18"/>
  <c r="H41" i="18" s="1"/>
  <c r="J40" i="18"/>
  <c r="G40" i="18"/>
  <c r="H40" i="18" s="1"/>
  <c r="J39" i="18"/>
  <c r="G39" i="18"/>
  <c r="H39" i="18" s="1"/>
  <c r="J38" i="18"/>
  <c r="G38" i="18"/>
  <c r="H38" i="18" s="1"/>
  <c r="J37" i="18"/>
  <c r="G37" i="18"/>
  <c r="H37" i="18" s="1"/>
  <c r="J36" i="18"/>
  <c r="G36" i="18"/>
  <c r="H36" i="18" s="1"/>
  <c r="J35" i="18"/>
  <c r="G35" i="18"/>
  <c r="H35" i="18" s="1"/>
  <c r="J34" i="18"/>
  <c r="G34" i="18"/>
  <c r="H34" i="18" s="1"/>
  <c r="J33" i="18"/>
  <c r="G33" i="18"/>
  <c r="H33" i="18" s="1"/>
  <c r="J32" i="18"/>
  <c r="G32" i="18"/>
  <c r="H32" i="18" s="1"/>
  <c r="J31" i="18"/>
  <c r="G31" i="18"/>
  <c r="H31" i="18" s="1"/>
  <c r="J30" i="18"/>
  <c r="G30" i="18"/>
  <c r="H30" i="18" s="1"/>
  <c r="J29" i="18"/>
  <c r="G29" i="18"/>
  <c r="H29" i="18" s="1"/>
  <c r="J28" i="18"/>
  <c r="G28" i="18"/>
  <c r="H28" i="18" s="1"/>
  <c r="J27" i="18"/>
  <c r="G27" i="18"/>
  <c r="H27" i="18" s="1"/>
  <c r="J26" i="18"/>
  <c r="G26" i="18"/>
  <c r="H26" i="18" s="1"/>
  <c r="J25" i="18"/>
  <c r="G25" i="18"/>
  <c r="H25" i="18" s="1"/>
  <c r="J24" i="18"/>
  <c r="G24" i="18"/>
  <c r="H24" i="18" s="1"/>
  <c r="J23" i="18"/>
  <c r="G23" i="18"/>
  <c r="H23" i="18" s="1"/>
  <c r="J22" i="18"/>
  <c r="G22" i="18"/>
  <c r="H22" i="18" s="1"/>
  <c r="J21" i="18"/>
  <c r="G21" i="18"/>
  <c r="H21" i="18" s="1"/>
  <c r="J20" i="18"/>
  <c r="G20" i="18"/>
  <c r="H20" i="18" s="1"/>
  <c r="P17" i="18"/>
  <c r="J19" i="18"/>
  <c r="G19" i="18"/>
  <c r="H19" i="18" s="1"/>
  <c r="P16" i="18"/>
  <c r="J18" i="18"/>
  <c r="G18" i="18"/>
  <c r="H18" i="18" s="1"/>
  <c r="P15" i="18"/>
  <c r="J17" i="18"/>
  <c r="G17" i="18"/>
  <c r="H17" i="18" s="1"/>
  <c r="J16" i="18"/>
  <c r="G16" i="18"/>
  <c r="H16" i="18" s="1"/>
  <c r="J15" i="18"/>
  <c r="G15" i="18"/>
  <c r="H15" i="18" s="1"/>
  <c r="J14" i="18"/>
  <c r="G14" i="18"/>
  <c r="H14" i="18" s="1"/>
  <c r="J13" i="18"/>
  <c r="G13" i="18"/>
  <c r="H13" i="18" s="1"/>
  <c r="J12" i="18"/>
  <c r="G12" i="18"/>
  <c r="H12" i="18" s="1"/>
  <c r="P10" i="18"/>
  <c r="J11" i="18"/>
  <c r="G11" i="18"/>
  <c r="H11" i="18" s="1"/>
  <c r="J10" i="18"/>
  <c r="G10" i="18"/>
  <c r="H10" i="18" s="1"/>
  <c r="P8" i="18"/>
  <c r="J9" i="18"/>
  <c r="G9" i="18"/>
  <c r="H9" i="18" s="1"/>
  <c r="J8" i="18"/>
  <c r="G8" i="18"/>
  <c r="H8" i="18" s="1"/>
  <c r="P5" i="18"/>
  <c r="J7" i="18"/>
  <c r="G7" i="18"/>
  <c r="H7" i="18" s="1"/>
  <c r="P4" i="18"/>
  <c r="J6" i="18"/>
  <c r="G6" i="18"/>
  <c r="P3" i="18"/>
  <c r="T5" i="18" s="1"/>
  <c r="V9" i="18" s="1"/>
  <c r="W9" i="18" s="1"/>
  <c r="J5" i="18"/>
  <c r="G5" i="18"/>
  <c r="H5" i="18" s="1"/>
  <c r="J4" i="18"/>
  <c r="G4" i="18"/>
  <c r="H4" i="18" s="1"/>
  <c r="J226" i="17"/>
  <c r="G226" i="17"/>
  <c r="H226" i="17" s="1"/>
  <c r="J225" i="17"/>
  <c r="G225" i="17"/>
  <c r="H225" i="17" s="1"/>
  <c r="J224" i="17"/>
  <c r="G224" i="17"/>
  <c r="H224" i="17" s="1"/>
  <c r="J223" i="17"/>
  <c r="G223" i="17"/>
  <c r="H223" i="17" s="1"/>
  <c r="J222" i="17"/>
  <c r="G222" i="17"/>
  <c r="H222" i="17" s="1"/>
  <c r="J221" i="17"/>
  <c r="G221" i="17"/>
  <c r="H221" i="17" s="1"/>
  <c r="J220" i="17"/>
  <c r="G220" i="17"/>
  <c r="H220" i="17" s="1"/>
  <c r="J219" i="17"/>
  <c r="G219" i="17"/>
  <c r="H219" i="17" s="1"/>
  <c r="J218" i="17"/>
  <c r="G218" i="17"/>
  <c r="H218" i="17" s="1"/>
  <c r="J217" i="17"/>
  <c r="G217" i="17"/>
  <c r="H217" i="17" s="1"/>
  <c r="J216" i="17"/>
  <c r="G216" i="17"/>
  <c r="H216" i="17" s="1"/>
  <c r="J215" i="17"/>
  <c r="G215" i="17"/>
  <c r="H215" i="17" s="1"/>
  <c r="J214" i="17"/>
  <c r="G214" i="17"/>
  <c r="H214" i="17" s="1"/>
  <c r="J213" i="17"/>
  <c r="G213" i="17"/>
  <c r="H213" i="17" s="1"/>
  <c r="J212" i="17"/>
  <c r="G212" i="17"/>
  <c r="H212" i="17" s="1"/>
  <c r="J211" i="17"/>
  <c r="G211" i="17"/>
  <c r="H211" i="17" s="1"/>
  <c r="J210" i="17"/>
  <c r="G210" i="17"/>
  <c r="H210" i="17" s="1"/>
  <c r="J209" i="17"/>
  <c r="G209" i="17"/>
  <c r="H209" i="17" s="1"/>
  <c r="J208" i="17"/>
  <c r="G208" i="17"/>
  <c r="H208" i="17" s="1"/>
  <c r="J207" i="17"/>
  <c r="G207" i="17"/>
  <c r="H207" i="17" s="1"/>
  <c r="J206" i="17"/>
  <c r="G206" i="17"/>
  <c r="H206" i="17" s="1"/>
  <c r="J205" i="17"/>
  <c r="G205" i="17"/>
  <c r="H205" i="17" s="1"/>
  <c r="J204" i="17"/>
  <c r="G204" i="17"/>
  <c r="H204" i="17" s="1"/>
  <c r="J203" i="17"/>
  <c r="G203" i="17"/>
  <c r="H203" i="17" s="1"/>
  <c r="J202" i="17"/>
  <c r="G202" i="17"/>
  <c r="H202" i="17" s="1"/>
  <c r="J201" i="17"/>
  <c r="G201" i="17"/>
  <c r="H201" i="17" s="1"/>
  <c r="J200" i="17"/>
  <c r="G200" i="17"/>
  <c r="H200" i="17" s="1"/>
  <c r="J199" i="17"/>
  <c r="G199" i="17"/>
  <c r="H199" i="17" s="1"/>
  <c r="J198" i="17"/>
  <c r="G198" i="17"/>
  <c r="H198" i="17" s="1"/>
  <c r="J197" i="17"/>
  <c r="G197" i="17"/>
  <c r="H197" i="17" s="1"/>
  <c r="J196" i="17"/>
  <c r="G196" i="17"/>
  <c r="H196" i="17" s="1"/>
  <c r="J195" i="17"/>
  <c r="G195" i="17"/>
  <c r="H195" i="17" s="1"/>
  <c r="J194" i="17"/>
  <c r="G194" i="17"/>
  <c r="H194" i="17" s="1"/>
  <c r="J193" i="17"/>
  <c r="G193" i="17"/>
  <c r="H193" i="17" s="1"/>
  <c r="J192" i="17"/>
  <c r="G192" i="17"/>
  <c r="H192" i="17" s="1"/>
  <c r="J191" i="17"/>
  <c r="G191" i="17"/>
  <c r="H191" i="17" s="1"/>
  <c r="J190" i="17"/>
  <c r="G190" i="17"/>
  <c r="H190" i="17" s="1"/>
  <c r="J189" i="17"/>
  <c r="G189" i="17"/>
  <c r="H189" i="17" s="1"/>
  <c r="J188" i="17"/>
  <c r="G188" i="17"/>
  <c r="H188" i="17" s="1"/>
  <c r="J187" i="17"/>
  <c r="G187" i="17"/>
  <c r="H187" i="17" s="1"/>
  <c r="J186" i="17"/>
  <c r="G186" i="17"/>
  <c r="H186" i="17" s="1"/>
  <c r="J185" i="17"/>
  <c r="G185" i="17"/>
  <c r="H185" i="17" s="1"/>
  <c r="J184" i="17"/>
  <c r="G184" i="17"/>
  <c r="H184" i="17" s="1"/>
  <c r="J183" i="17"/>
  <c r="G183" i="17"/>
  <c r="H183" i="17" s="1"/>
  <c r="J182" i="17"/>
  <c r="G182" i="17"/>
  <c r="H182" i="17" s="1"/>
  <c r="J181" i="17"/>
  <c r="G181" i="17"/>
  <c r="H181" i="17" s="1"/>
  <c r="J180" i="17"/>
  <c r="G180" i="17"/>
  <c r="H180" i="17" s="1"/>
  <c r="J179" i="17"/>
  <c r="G179" i="17"/>
  <c r="H179" i="17" s="1"/>
  <c r="J178" i="17"/>
  <c r="G178" i="17"/>
  <c r="H178" i="17" s="1"/>
  <c r="J177" i="17"/>
  <c r="G177" i="17"/>
  <c r="H177" i="17" s="1"/>
  <c r="J176" i="17"/>
  <c r="G176" i="17"/>
  <c r="H176" i="17" s="1"/>
  <c r="J175" i="17"/>
  <c r="G175" i="17"/>
  <c r="H175" i="17" s="1"/>
  <c r="J174" i="17"/>
  <c r="G174" i="17"/>
  <c r="H174" i="17" s="1"/>
  <c r="J173" i="17"/>
  <c r="G173" i="17"/>
  <c r="H173" i="17" s="1"/>
  <c r="J172" i="17"/>
  <c r="G172" i="17"/>
  <c r="H172" i="17" s="1"/>
  <c r="J171" i="17"/>
  <c r="G171" i="17"/>
  <c r="H171" i="17" s="1"/>
  <c r="J170" i="17"/>
  <c r="G170" i="17"/>
  <c r="H170" i="17" s="1"/>
  <c r="J169" i="17"/>
  <c r="G169" i="17"/>
  <c r="H169" i="17" s="1"/>
  <c r="J168" i="17"/>
  <c r="G168" i="17"/>
  <c r="H168" i="17" s="1"/>
  <c r="J167" i="17"/>
  <c r="G167" i="17"/>
  <c r="H167" i="17" s="1"/>
  <c r="J166" i="17"/>
  <c r="G166" i="17"/>
  <c r="H166" i="17" s="1"/>
  <c r="J165" i="17"/>
  <c r="G165" i="17"/>
  <c r="H165" i="17" s="1"/>
  <c r="J164" i="17"/>
  <c r="G164" i="17"/>
  <c r="H164" i="17" s="1"/>
  <c r="J163" i="17"/>
  <c r="G163" i="17"/>
  <c r="H163" i="17" s="1"/>
  <c r="J162" i="17"/>
  <c r="G162" i="17"/>
  <c r="H162" i="17" s="1"/>
  <c r="J161" i="17"/>
  <c r="G161" i="17"/>
  <c r="H161" i="17" s="1"/>
  <c r="J160" i="17"/>
  <c r="G160" i="17"/>
  <c r="H160" i="17" s="1"/>
  <c r="J159" i="17"/>
  <c r="G159" i="17"/>
  <c r="H159" i="17" s="1"/>
  <c r="J158" i="17"/>
  <c r="G158" i="17"/>
  <c r="H158" i="17" s="1"/>
  <c r="J157" i="17"/>
  <c r="G157" i="17"/>
  <c r="H157" i="17" s="1"/>
  <c r="J156" i="17"/>
  <c r="G156" i="17"/>
  <c r="H156" i="17" s="1"/>
  <c r="J155" i="17"/>
  <c r="G155" i="17"/>
  <c r="H155" i="17" s="1"/>
  <c r="J154" i="17"/>
  <c r="G154" i="17"/>
  <c r="H154" i="17" s="1"/>
  <c r="J153" i="17"/>
  <c r="G153" i="17"/>
  <c r="H153" i="17" s="1"/>
  <c r="J152" i="17"/>
  <c r="G152" i="17"/>
  <c r="H152" i="17" s="1"/>
  <c r="J151" i="17"/>
  <c r="G151" i="17"/>
  <c r="H151" i="17" s="1"/>
  <c r="J150" i="17"/>
  <c r="G150" i="17"/>
  <c r="H150" i="17" s="1"/>
  <c r="J149" i="17"/>
  <c r="G149" i="17"/>
  <c r="H149" i="17" s="1"/>
  <c r="J148" i="17"/>
  <c r="G148" i="17"/>
  <c r="H148" i="17" s="1"/>
  <c r="J147" i="17"/>
  <c r="G147" i="17"/>
  <c r="H147" i="17" s="1"/>
  <c r="J146" i="17"/>
  <c r="G146" i="17"/>
  <c r="H146" i="17" s="1"/>
  <c r="J145" i="17"/>
  <c r="G145" i="17"/>
  <c r="H145" i="17" s="1"/>
  <c r="J144" i="17"/>
  <c r="G144" i="17"/>
  <c r="H144" i="17" s="1"/>
  <c r="J143" i="17"/>
  <c r="G143" i="17"/>
  <c r="H143" i="17" s="1"/>
  <c r="J142" i="17"/>
  <c r="G142" i="17"/>
  <c r="H142" i="17" s="1"/>
  <c r="J141" i="17"/>
  <c r="G141" i="17"/>
  <c r="H141" i="17" s="1"/>
  <c r="J140" i="17"/>
  <c r="G140" i="17"/>
  <c r="H140" i="17" s="1"/>
  <c r="J139" i="17"/>
  <c r="G139" i="17"/>
  <c r="H139" i="17" s="1"/>
  <c r="J138" i="17"/>
  <c r="G138" i="17"/>
  <c r="H138" i="17" s="1"/>
  <c r="J137" i="17"/>
  <c r="G137" i="17"/>
  <c r="H137" i="17" s="1"/>
  <c r="J136" i="17"/>
  <c r="G136" i="17"/>
  <c r="H136" i="17" s="1"/>
  <c r="J135" i="17"/>
  <c r="G135" i="17"/>
  <c r="H135" i="17" s="1"/>
  <c r="J134" i="17"/>
  <c r="G134" i="17"/>
  <c r="H134" i="17" s="1"/>
  <c r="J133" i="17"/>
  <c r="G133" i="17"/>
  <c r="H133" i="17" s="1"/>
  <c r="J132" i="17"/>
  <c r="G132" i="17"/>
  <c r="H132" i="17" s="1"/>
  <c r="J131" i="17"/>
  <c r="G131" i="17"/>
  <c r="H131" i="17" s="1"/>
  <c r="J130" i="17"/>
  <c r="G130" i="17"/>
  <c r="H130" i="17" s="1"/>
  <c r="J129" i="17"/>
  <c r="G129" i="17"/>
  <c r="H129" i="17" s="1"/>
  <c r="J128" i="17"/>
  <c r="G128" i="17"/>
  <c r="H128" i="17" s="1"/>
  <c r="J127" i="17"/>
  <c r="G127" i="17"/>
  <c r="H127" i="17" s="1"/>
  <c r="J126" i="17"/>
  <c r="G126" i="17"/>
  <c r="H126" i="17" s="1"/>
  <c r="J125" i="17"/>
  <c r="G125" i="17"/>
  <c r="H125" i="17" s="1"/>
  <c r="J124" i="17"/>
  <c r="G124" i="17"/>
  <c r="H124" i="17" s="1"/>
  <c r="J123" i="17"/>
  <c r="G123" i="17"/>
  <c r="H123" i="17" s="1"/>
  <c r="J122" i="17"/>
  <c r="G122" i="17"/>
  <c r="H122" i="17" s="1"/>
  <c r="J121" i="17"/>
  <c r="G121" i="17"/>
  <c r="H121" i="17" s="1"/>
  <c r="J120" i="17"/>
  <c r="G120" i="17"/>
  <c r="H120" i="17" s="1"/>
  <c r="J119" i="17"/>
  <c r="G119" i="17"/>
  <c r="H119" i="17" s="1"/>
  <c r="J118" i="17"/>
  <c r="G118" i="17"/>
  <c r="H118" i="17" s="1"/>
  <c r="J117" i="17"/>
  <c r="G117" i="17"/>
  <c r="H117" i="17" s="1"/>
  <c r="J116" i="17"/>
  <c r="G116" i="17"/>
  <c r="H116" i="17" s="1"/>
  <c r="J115" i="17"/>
  <c r="G115" i="17"/>
  <c r="H115" i="17" s="1"/>
  <c r="J114" i="17"/>
  <c r="G114" i="17"/>
  <c r="H114" i="17" s="1"/>
  <c r="J113" i="17"/>
  <c r="G113" i="17"/>
  <c r="H113" i="17" s="1"/>
  <c r="J112" i="17"/>
  <c r="G112" i="17"/>
  <c r="H112" i="17" s="1"/>
  <c r="J111" i="17"/>
  <c r="G111" i="17"/>
  <c r="H111" i="17" s="1"/>
  <c r="J110" i="17"/>
  <c r="G110" i="17"/>
  <c r="H110" i="17" s="1"/>
  <c r="J109" i="17"/>
  <c r="G109" i="17"/>
  <c r="H109" i="17" s="1"/>
  <c r="J108" i="17"/>
  <c r="G108" i="17"/>
  <c r="H108" i="17" s="1"/>
  <c r="J107" i="17"/>
  <c r="G107" i="17"/>
  <c r="H107" i="17" s="1"/>
  <c r="J106" i="17"/>
  <c r="G106" i="17"/>
  <c r="H106" i="17" s="1"/>
  <c r="J105" i="17"/>
  <c r="G105" i="17"/>
  <c r="H105" i="17" s="1"/>
  <c r="J104" i="17"/>
  <c r="G104" i="17"/>
  <c r="H104" i="17" s="1"/>
  <c r="J103" i="17"/>
  <c r="G103" i="17"/>
  <c r="H103" i="17" s="1"/>
  <c r="J102" i="17"/>
  <c r="G102" i="17"/>
  <c r="H102" i="17" s="1"/>
  <c r="J101" i="17"/>
  <c r="G101" i="17"/>
  <c r="H101" i="17" s="1"/>
  <c r="J100" i="17"/>
  <c r="G100" i="17"/>
  <c r="H100" i="17" s="1"/>
  <c r="J99" i="17"/>
  <c r="G99" i="17"/>
  <c r="H99" i="17" s="1"/>
  <c r="J98" i="17"/>
  <c r="G98" i="17"/>
  <c r="H98" i="17" s="1"/>
  <c r="J97" i="17"/>
  <c r="G97" i="17"/>
  <c r="H97" i="17" s="1"/>
  <c r="J96" i="17"/>
  <c r="G96" i="17"/>
  <c r="H96" i="17" s="1"/>
  <c r="J95" i="17"/>
  <c r="G95" i="17"/>
  <c r="H95" i="17" s="1"/>
  <c r="J94" i="17"/>
  <c r="G94" i="17"/>
  <c r="H94" i="17" s="1"/>
  <c r="J93" i="17"/>
  <c r="G93" i="17"/>
  <c r="H93" i="17" s="1"/>
  <c r="J92" i="17"/>
  <c r="G92" i="17"/>
  <c r="H92" i="17" s="1"/>
  <c r="J91" i="17"/>
  <c r="G91" i="17"/>
  <c r="H91" i="17" s="1"/>
  <c r="J90" i="17"/>
  <c r="G90" i="17"/>
  <c r="H90" i="17" s="1"/>
  <c r="J89" i="17"/>
  <c r="G89" i="17"/>
  <c r="H89" i="17" s="1"/>
  <c r="J88" i="17"/>
  <c r="G88" i="17"/>
  <c r="H88" i="17" s="1"/>
  <c r="J87" i="17"/>
  <c r="G87" i="17"/>
  <c r="H87" i="17" s="1"/>
  <c r="J86" i="17"/>
  <c r="G86" i="17"/>
  <c r="H86" i="17" s="1"/>
  <c r="J85" i="17"/>
  <c r="G85" i="17"/>
  <c r="H85" i="17" s="1"/>
  <c r="J84" i="17"/>
  <c r="G84" i="17"/>
  <c r="H84" i="17" s="1"/>
  <c r="J83" i="17"/>
  <c r="G83" i="17"/>
  <c r="H83" i="17" s="1"/>
  <c r="J82" i="17"/>
  <c r="G82" i="17"/>
  <c r="H82" i="17" s="1"/>
  <c r="J81" i="17"/>
  <c r="G81" i="17"/>
  <c r="H81" i="17" s="1"/>
  <c r="J80" i="17"/>
  <c r="G80" i="17"/>
  <c r="H80" i="17" s="1"/>
  <c r="J79" i="17"/>
  <c r="G79" i="17"/>
  <c r="H79" i="17" s="1"/>
  <c r="J78" i="17"/>
  <c r="G78" i="17"/>
  <c r="H78" i="17" s="1"/>
  <c r="J77" i="17"/>
  <c r="G77" i="17"/>
  <c r="H77" i="17" s="1"/>
  <c r="J76" i="17"/>
  <c r="G76" i="17"/>
  <c r="H76" i="17" s="1"/>
  <c r="J75" i="17"/>
  <c r="G75" i="17"/>
  <c r="H75" i="17" s="1"/>
  <c r="J74" i="17"/>
  <c r="G74" i="17"/>
  <c r="H74" i="17" s="1"/>
  <c r="J73" i="17"/>
  <c r="G73" i="17"/>
  <c r="H73" i="17" s="1"/>
  <c r="J72" i="17"/>
  <c r="G72" i="17"/>
  <c r="H72" i="17" s="1"/>
  <c r="J71" i="17"/>
  <c r="G71" i="17"/>
  <c r="H71" i="17" s="1"/>
  <c r="J70" i="17"/>
  <c r="G70" i="17"/>
  <c r="H70" i="17" s="1"/>
  <c r="J69" i="17"/>
  <c r="G69" i="17"/>
  <c r="H69" i="17" s="1"/>
  <c r="J68" i="17"/>
  <c r="G68" i="17"/>
  <c r="H68" i="17" s="1"/>
  <c r="J67" i="17"/>
  <c r="G67" i="17"/>
  <c r="H67" i="17" s="1"/>
  <c r="J66" i="17"/>
  <c r="G66" i="17"/>
  <c r="H66" i="17" s="1"/>
  <c r="J65" i="17"/>
  <c r="G65" i="17"/>
  <c r="H65" i="17" s="1"/>
  <c r="J64" i="17"/>
  <c r="G64" i="17"/>
  <c r="H64" i="17" s="1"/>
  <c r="J63" i="17"/>
  <c r="G63" i="17"/>
  <c r="H63" i="17" s="1"/>
  <c r="J62" i="17"/>
  <c r="G62" i="17"/>
  <c r="H62" i="17" s="1"/>
  <c r="J61" i="17"/>
  <c r="G61" i="17"/>
  <c r="H61" i="17" s="1"/>
  <c r="J60" i="17"/>
  <c r="G60" i="17"/>
  <c r="H60" i="17" s="1"/>
  <c r="J59" i="17"/>
  <c r="G59" i="17"/>
  <c r="H59" i="17" s="1"/>
  <c r="J58" i="17"/>
  <c r="G58" i="17"/>
  <c r="H58" i="17" s="1"/>
  <c r="J57" i="17"/>
  <c r="G57" i="17"/>
  <c r="H57" i="17" s="1"/>
  <c r="J56" i="17"/>
  <c r="G56" i="17"/>
  <c r="H56" i="17" s="1"/>
  <c r="J55" i="17"/>
  <c r="G55" i="17"/>
  <c r="H55" i="17" s="1"/>
  <c r="J54" i="17"/>
  <c r="G54" i="17"/>
  <c r="H54" i="17" s="1"/>
  <c r="J53" i="17"/>
  <c r="G53" i="17"/>
  <c r="H53" i="17" s="1"/>
  <c r="J52" i="17"/>
  <c r="G52" i="17"/>
  <c r="H52" i="17" s="1"/>
  <c r="J51" i="17"/>
  <c r="G51" i="17"/>
  <c r="H51" i="17" s="1"/>
  <c r="J50" i="17"/>
  <c r="G50" i="17"/>
  <c r="H50" i="17" s="1"/>
  <c r="J49" i="17"/>
  <c r="G49" i="17"/>
  <c r="H49" i="17" s="1"/>
  <c r="J48" i="17"/>
  <c r="G48" i="17"/>
  <c r="H48" i="17" s="1"/>
  <c r="J47" i="17"/>
  <c r="G47" i="17"/>
  <c r="H47" i="17" s="1"/>
  <c r="J46" i="17"/>
  <c r="G46" i="17"/>
  <c r="H46" i="17" s="1"/>
  <c r="J45" i="17"/>
  <c r="G45" i="17"/>
  <c r="H45" i="17" s="1"/>
  <c r="J44" i="17"/>
  <c r="G44" i="17"/>
  <c r="H44" i="17" s="1"/>
  <c r="J43" i="17"/>
  <c r="G43" i="17"/>
  <c r="H43" i="17" s="1"/>
  <c r="J42" i="17"/>
  <c r="G42" i="17"/>
  <c r="H42" i="17" s="1"/>
  <c r="J41" i="17"/>
  <c r="G41" i="17"/>
  <c r="H41" i="17" s="1"/>
  <c r="J40" i="17"/>
  <c r="G40" i="17"/>
  <c r="H40" i="17" s="1"/>
  <c r="J39" i="17"/>
  <c r="G39" i="17"/>
  <c r="H39" i="17" s="1"/>
  <c r="J38" i="17"/>
  <c r="G38" i="17"/>
  <c r="H38" i="17" s="1"/>
  <c r="J37" i="17"/>
  <c r="G37" i="17"/>
  <c r="H37" i="17" s="1"/>
  <c r="J36" i="17"/>
  <c r="G36" i="17"/>
  <c r="H36" i="17" s="1"/>
  <c r="J35" i="17"/>
  <c r="G35" i="17"/>
  <c r="H35" i="17" s="1"/>
  <c r="J34" i="17"/>
  <c r="G34" i="17"/>
  <c r="H34" i="17" s="1"/>
  <c r="J33" i="17"/>
  <c r="G33" i="17"/>
  <c r="H33" i="17" s="1"/>
  <c r="J32" i="17"/>
  <c r="G32" i="17"/>
  <c r="H32" i="17" s="1"/>
  <c r="J31" i="17"/>
  <c r="G31" i="17"/>
  <c r="H31" i="17" s="1"/>
  <c r="J30" i="17"/>
  <c r="G30" i="17"/>
  <c r="H30" i="17" s="1"/>
  <c r="J29" i="17"/>
  <c r="G29" i="17"/>
  <c r="H29" i="17" s="1"/>
  <c r="J28" i="17"/>
  <c r="G28" i="17"/>
  <c r="H28" i="17" s="1"/>
  <c r="J27" i="17"/>
  <c r="G27" i="17"/>
  <c r="H27" i="17" s="1"/>
  <c r="J26" i="17"/>
  <c r="G26" i="17"/>
  <c r="H26" i="17" s="1"/>
  <c r="J25" i="17"/>
  <c r="G25" i="17"/>
  <c r="H25" i="17" s="1"/>
  <c r="J24" i="17"/>
  <c r="G24" i="17"/>
  <c r="H24" i="17" s="1"/>
  <c r="J23" i="17"/>
  <c r="G23" i="17"/>
  <c r="H23" i="17" s="1"/>
  <c r="J22" i="17"/>
  <c r="G22" i="17"/>
  <c r="H22" i="17" s="1"/>
  <c r="J21" i="17"/>
  <c r="G21" i="17"/>
  <c r="H21" i="17" s="1"/>
  <c r="J20" i="17"/>
  <c r="G20" i="17"/>
  <c r="H20" i="17" s="1"/>
  <c r="P17" i="17"/>
  <c r="J19" i="17"/>
  <c r="G19" i="17"/>
  <c r="H19" i="17" s="1"/>
  <c r="P16" i="17"/>
  <c r="J18" i="17"/>
  <c r="G18" i="17"/>
  <c r="H18" i="17" s="1"/>
  <c r="P15" i="17"/>
  <c r="J17" i="17"/>
  <c r="G17" i="17"/>
  <c r="H17" i="17" s="1"/>
  <c r="J16" i="17"/>
  <c r="G16" i="17"/>
  <c r="H16" i="17" s="1"/>
  <c r="J15" i="17"/>
  <c r="G15" i="17"/>
  <c r="H15" i="17" s="1"/>
  <c r="J14" i="17"/>
  <c r="G14" i="17"/>
  <c r="H14" i="17" s="1"/>
  <c r="J13" i="17"/>
  <c r="G13" i="17"/>
  <c r="H13" i="17" s="1"/>
  <c r="J12" i="17"/>
  <c r="G12" i="17"/>
  <c r="H12" i="17" s="1"/>
  <c r="P10" i="17"/>
  <c r="J11" i="17"/>
  <c r="G11" i="17"/>
  <c r="H11" i="17" s="1"/>
  <c r="J10" i="17"/>
  <c r="G10" i="17"/>
  <c r="H10" i="17" s="1"/>
  <c r="P8" i="17"/>
  <c r="J9" i="17"/>
  <c r="G9" i="17"/>
  <c r="H9" i="17" s="1"/>
  <c r="J8" i="17"/>
  <c r="G8" i="17"/>
  <c r="H8" i="17" s="1"/>
  <c r="P5" i="17"/>
  <c r="J7" i="17"/>
  <c r="G7" i="17"/>
  <c r="H7" i="17" s="1"/>
  <c r="P4" i="17"/>
  <c r="J6" i="17"/>
  <c r="G6" i="17"/>
  <c r="H6" i="17" s="1"/>
  <c r="P3" i="17"/>
  <c r="T5" i="17" s="1"/>
  <c r="V9" i="17" s="1"/>
  <c r="W9" i="17" s="1"/>
  <c r="J5" i="17"/>
  <c r="G5" i="17"/>
  <c r="H5" i="17" s="1"/>
  <c r="J4" i="17"/>
  <c r="G4" i="17"/>
  <c r="J226" i="16"/>
  <c r="G226" i="16"/>
  <c r="H226" i="16" s="1"/>
  <c r="J225" i="16"/>
  <c r="G225" i="16"/>
  <c r="H225" i="16" s="1"/>
  <c r="J224" i="16"/>
  <c r="G224" i="16"/>
  <c r="H224" i="16" s="1"/>
  <c r="J223" i="16"/>
  <c r="G223" i="16"/>
  <c r="H223" i="16" s="1"/>
  <c r="J222" i="16"/>
  <c r="G222" i="16"/>
  <c r="H222" i="16" s="1"/>
  <c r="J221" i="16"/>
  <c r="G221" i="16"/>
  <c r="H221" i="16" s="1"/>
  <c r="J220" i="16"/>
  <c r="G220" i="16"/>
  <c r="H220" i="16" s="1"/>
  <c r="J219" i="16"/>
  <c r="G219" i="16"/>
  <c r="H219" i="16" s="1"/>
  <c r="J218" i="16"/>
  <c r="G218" i="16"/>
  <c r="H218" i="16" s="1"/>
  <c r="J217" i="16"/>
  <c r="G217" i="16"/>
  <c r="H217" i="16" s="1"/>
  <c r="J216" i="16"/>
  <c r="G216" i="16"/>
  <c r="H216" i="16" s="1"/>
  <c r="J215" i="16"/>
  <c r="G215" i="16"/>
  <c r="H215" i="16" s="1"/>
  <c r="J214" i="16"/>
  <c r="G214" i="16"/>
  <c r="H214" i="16" s="1"/>
  <c r="J213" i="16"/>
  <c r="G213" i="16"/>
  <c r="H213" i="16" s="1"/>
  <c r="J212" i="16"/>
  <c r="G212" i="16"/>
  <c r="H212" i="16" s="1"/>
  <c r="J211" i="16"/>
  <c r="G211" i="16"/>
  <c r="H211" i="16" s="1"/>
  <c r="J210" i="16"/>
  <c r="G210" i="16"/>
  <c r="H210" i="16" s="1"/>
  <c r="J209" i="16"/>
  <c r="G209" i="16"/>
  <c r="H209" i="16" s="1"/>
  <c r="J208" i="16"/>
  <c r="G208" i="16"/>
  <c r="H208" i="16" s="1"/>
  <c r="J207" i="16"/>
  <c r="G207" i="16"/>
  <c r="H207" i="16" s="1"/>
  <c r="J206" i="16"/>
  <c r="G206" i="16"/>
  <c r="H206" i="16" s="1"/>
  <c r="J205" i="16"/>
  <c r="G205" i="16"/>
  <c r="H205" i="16" s="1"/>
  <c r="J204" i="16"/>
  <c r="G204" i="16"/>
  <c r="H204" i="16" s="1"/>
  <c r="J203" i="16"/>
  <c r="G203" i="16"/>
  <c r="H203" i="16" s="1"/>
  <c r="J202" i="16"/>
  <c r="G202" i="16"/>
  <c r="H202" i="16" s="1"/>
  <c r="J201" i="16"/>
  <c r="G201" i="16"/>
  <c r="H201" i="16" s="1"/>
  <c r="J200" i="16"/>
  <c r="G200" i="16"/>
  <c r="H200" i="16" s="1"/>
  <c r="J199" i="16"/>
  <c r="G199" i="16"/>
  <c r="H199" i="16" s="1"/>
  <c r="J198" i="16"/>
  <c r="G198" i="16"/>
  <c r="H198" i="16" s="1"/>
  <c r="J197" i="16"/>
  <c r="G197" i="16"/>
  <c r="H197" i="16" s="1"/>
  <c r="J196" i="16"/>
  <c r="G196" i="16"/>
  <c r="H196" i="16" s="1"/>
  <c r="J195" i="16"/>
  <c r="G195" i="16"/>
  <c r="H195" i="16" s="1"/>
  <c r="J194" i="16"/>
  <c r="G194" i="16"/>
  <c r="H194" i="16" s="1"/>
  <c r="J193" i="16"/>
  <c r="G193" i="16"/>
  <c r="H193" i="16" s="1"/>
  <c r="J192" i="16"/>
  <c r="G192" i="16"/>
  <c r="H192" i="16" s="1"/>
  <c r="J191" i="16"/>
  <c r="G191" i="16"/>
  <c r="H191" i="16" s="1"/>
  <c r="J190" i="16"/>
  <c r="G190" i="16"/>
  <c r="H190" i="16" s="1"/>
  <c r="J189" i="16"/>
  <c r="G189" i="16"/>
  <c r="H189" i="16" s="1"/>
  <c r="J188" i="16"/>
  <c r="G188" i="16"/>
  <c r="H188" i="16" s="1"/>
  <c r="J187" i="16"/>
  <c r="G187" i="16"/>
  <c r="H187" i="16" s="1"/>
  <c r="J186" i="16"/>
  <c r="G186" i="16"/>
  <c r="H186" i="16" s="1"/>
  <c r="J185" i="16"/>
  <c r="G185" i="16"/>
  <c r="H185" i="16" s="1"/>
  <c r="J184" i="16"/>
  <c r="G184" i="16"/>
  <c r="H184" i="16" s="1"/>
  <c r="J183" i="16"/>
  <c r="G183" i="16"/>
  <c r="H183" i="16" s="1"/>
  <c r="J182" i="16"/>
  <c r="G182" i="16"/>
  <c r="H182" i="16" s="1"/>
  <c r="J181" i="16"/>
  <c r="G181" i="16"/>
  <c r="H181" i="16" s="1"/>
  <c r="J180" i="16"/>
  <c r="G180" i="16"/>
  <c r="H180" i="16" s="1"/>
  <c r="J179" i="16"/>
  <c r="G179" i="16"/>
  <c r="H179" i="16" s="1"/>
  <c r="J178" i="16"/>
  <c r="G178" i="16"/>
  <c r="H178" i="16" s="1"/>
  <c r="J177" i="16"/>
  <c r="G177" i="16"/>
  <c r="H177" i="16" s="1"/>
  <c r="J176" i="16"/>
  <c r="G176" i="16"/>
  <c r="H176" i="16" s="1"/>
  <c r="J175" i="16"/>
  <c r="G175" i="16"/>
  <c r="H175" i="16" s="1"/>
  <c r="J174" i="16"/>
  <c r="G174" i="16"/>
  <c r="H174" i="16" s="1"/>
  <c r="J173" i="16"/>
  <c r="G173" i="16"/>
  <c r="H173" i="16" s="1"/>
  <c r="J172" i="16"/>
  <c r="G172" i="16"/>
  <c r="H172" i="16" s="1"/>
  <c r="J171" i="16"/>
  <c r="G171" i="16"/>
  <c r="H171" i="16" s="1"/>
  <c r="J170" i="16"/>
  <c r="G170" i="16"/>
  <c r="H170" i="16" s="1"/>
  <c r="J169" i="16"/>
  <c r="G169" i="16"/>
  <c r="H169" i="16" s="1"/>
  <c r="J168" i="16"/>
  <c r="G168" i="16"/>
  <c r="H168" i="16" s="1"/>
  <c r="J167" i="16"/>
  <c r="G167" i="16"/>
  <c r="H167" i="16" s="1"/>
  <c r="J166" i="16"/>
  <c r="G166" i="16"/>
  <c r="H166" i="16" s="1"/>
  <c r="J165" i="16"/>
  <c r="G165" i="16"/>
  <c r="H165" i="16" s="1"/>
  <c r="J164" i="16"/>
  <c r="G164" i="16"/>
  <c r="H164" i="16" s="1"/>
  <c r="J163" i="16"/>
  <c r="G163" i="16"/>
  <c r="H163" i="16" s="1"/>
  <c r="J162" i="16"/>
  <c r="G162" i="16"/>
  <c r="H162" i="16" s="1"/>
  <c r="J161" i="16"/>
  <c r="G161" i="16"/>
  <c r="H161" i="16" s="1"/>
  <c r="J160" i="16"/>
  <c r="G160" i="16"/>
  <c r="H160" i="16" s="1"/>
  <c r="J159" i="16"/>
  <c r="G159" i="16"/>
  <c r="H159" i="16" s="1"/>
  <c r="J158" i="16"/>
  <c r="G158" i="16"/>
  <c r="H158" i="16" s="1"/>
  <c r="J157" i="16"/>
  <c r="G157" i="16"/>
  <c r="H157" i="16" s="1"/>
  <c r="J156" i="16"/>
  <c r="G156" i="16"/>
  <c r="H156" i="16" s="1"/>
  <c r="J155" i="16"/>
  <c r="G155" i="16"/>
  <c r="H155" i="16" s="1"/>
  <c r="J154" i="16"/>
  <c r="G154" i="16"/>
  <c r="H154" i="16" s="1"/>
  <c r="J153" i="16"/>
  <c r="G153" i="16"/>
  <c r="H153" i="16" s="1"/>
  <c r="J152" i="16"/>
  <c r="G152" i="16"/>
  <c r="H152" i="16" s="1"/>
  <c r="J151" i="16"/>
  <c r="G151" i="16"/>
  <c r="H151" i="16" s="1"/>
  <c r="J150" i="16"/>
  <c r="G150" i="16"/>
  <c r="H150" i="16" s="1"/>
  <c r="J149" i="16"/>
  <c r="G149" i="16"/>
  <c r="H149" i="16" s="1"/>
  <c r="J148" i="16"/>
  <c r="G148" i="16"/>
  <c r="H148" i="16" s="1"/>
  <c r="J147" i="16"/>
  <c r="G147" i="16"/>
  <c r="H147" i="16" s="1"/>
  <c r="J146" i="16"/>
  <c r="G146" i="16"/>
  <c r="H146" i="16" s="1"/>
  <c r="J145" i="16"/>
  <c r="G145" i="16"/>
  <c r="H145" i="16" s="1"/>
  <c r="J144" i="16"/>
  <c r="G144" i="16"/>
  <c r="H144" i="16" s="1"/>
  <c r="J143" i="16"/>
  <c r="G143" i="16"/>
  <c r="H143" i="16" s="1"/>
  <c r="J142" i="16"/>
  <c r="G142" i="16"/>
  <c r="H142" i="16" s="1"/>
  <c r="J141" i="16"/>
  <c r="G141" i="16"/>
  <c r="H141" i="16" s="1"/>
  <c r="J140" i="16"/>
  <c r="G140" i="16"/>
  <c r="H140" i="16" s="1"/>
  <c r="J139" i="16"/>
  <c r="G139" i="16"/>
  <c r="H139" i="16" s="1"/>
  <c r="J138" i="16"/>
  <c r="G138" i="16"/>
  <c r="H138" i="16" s="1"/>
  <c r="J137" i="16"/>
  <c r="G137" i="16"/>
  <c r="H137" i="16" s="1"/>
  <c r="J136" i="16"/>
  <c r="G136" i="16"/>
  <c r="H136" i="16" s="1"/>
  <c r="J135" i="16"/>
  <c r="G135" i="16"/>
  <c r="H135" i="16" s="1"/>
  <c r="J134" i="16"/>
  <c r="G134" i="16"/>
  <c r="H134" i="16" s="1"/>
  <c r="J133" i="16"/>
  <c r="G133" i="16"/>
  <c r="H133" i="16" s="1"/>
  <c r="J132" i="16"/>
  <c r="G132" i="16"/>
  <c r="H132" i="16" s="1"/>
  <c r="J131" i="16"/>
  <c r="G131" i="16"/>
  <c r="H131" i="16" s="1"/>
  <c r="J130" i="16"/>
  <c r="G130" i="16"/>
  <c r="H130" i="16" s="1"/>
  <c r="J129" i="16"/>
  <c r="G129" i="16"/>
  <c r="H129" i="16" s="1"/>
  <c r="J128" i="16"/>
  <c r="G128" i="16"/>
  <c r="H128" i="16" s="1"/>
  <c r="J127" i="16"/>
  <c r="G127" i="16"/>
  <c r="H127" i="16" s="1"/>
  <c r="J126" i="16"/>
  <c r="G126" i="16"/>
  <c r="H126" i="16" s="1"/>
  <c r="J125" i="16"/>
  <c r="G125" i="16"/>
  <c r="H125" i="16" s="1"/>
  <c r="J124" i="16"/>
  <c r="G124" i="16"/>
  <c r="H124" i="16" s="1"/>
  <c r="J123" i="16"/>
  <c r="G123" i="16"/>
  <c r="H123" i="16" s="1"/>
  <c r="J122" i="16"/>
  <c r="G122" i="16"/>
  <c r="H122" i="16" s="1"/>
  <c r="J121" i="16"/>
  <c r="G121" i="16"/>
  <c r="H121" i="16" s="1"/>
  <c r="J120" i="16"/>
  <c r="G120" i="16"/>
  <c r="H120" i="16" s="1"/>
  <c r="J119" i="16"/>
  <c r="G119" i="16"/>
  <c r="H119" i="16" s="1"/>
  <c r="J118" i="16"/>
  <c r="G118" i="16"/>
  <c r="H118" i="16" s="1"/>
  <c r="J117" i="16"/>
  <c r="G117" i="16"/>
  <c r="H117" i="16" s="1"/>
  <c r="J116" i="16"/>
  <c r="G116" i="16"/>
  <c r="H116" i="16" s="1"/>
  <c r="J115" i="16"/>
  <c r="G115" i="16"/>
  <c r="H115" i="16" s="1"/>
  <c r="J114" i="16"/>
  <c r="G114" i="16"/>
  <c r="H114" i="16" s="1"/>
  <c r="J113" i="16"/>
  <c r="G113" i="16"/>
  <c r="H113" i="16" s="1"/>
  <c r="J112" i="16"/>
  <c r="G112" i="16"/>
  <c r="H112" i="16" s="1"/>
  <c r="J111" i="16"/>
  <c r="G111" i="16"/>
  <c r="H111" i="16" s="1"/>
  <c r="J110" i="16"/>
  <c r="G110" i="16"/>
  <c r="H110" i="16" s="1"/>
  <c r="J109" i="16"/>
  <c r="G109" i="16"/>
  <c r="H109" i="16" s="1"/>
  <c r="J108" i="16"/>
  <c r="G108" i="16"/>
  <c r="H108" i="16" s="1"/>
  <c r="J107" i="16"/>
  <c r="G107" i="16"/>
  <c r="H107" i="16" s="1"/>
  <c r="J106" i="16"/>
  <c r="G106" i="16"/>
  <c r="H106" i="16" s="1"/>
  <c r="J105" i="16"/>
  <c r="G105" i="16"/>
  <c r="H105" i="16" s="1"/>
  <c r="J104" i="16"/>
  <c r="G104" i="16"/>
  <c r="H104" i="16" s="1"/>
  <c r="J103" i="16"/>
  <c r="G103" i="16"/>
  <c r="H103" i="16" s="1"/>
  <c r="J102" i="16"/>
  <c r="G102" i="16"/>
  <c r="H102" i="16" s="1"/>
  <c r="J101" i="16"/>
  <c r="G101" i="16"/>
  <c r="H101" i="16" s="1"/>
  <c r="J100" i="16"/>
  <c r="G100" i="16"/>
  <c r="H100" i="16" s="1"/>
  <c r="J99" i="16"/>
  <c r="G99" i="16"/>
  <c r="H99" i="16" s="1"/>
  <c r="J98" i="16"/>
  <c r="G98" i="16"/>
  <c r="H98" i="16" s="1"/>
  <c r="J97" i="16"/>
  <c r="G97" i="16"/>
  <c r="H97" i="16" s="1"/>
  <c r="J96" i="16"/>
  <c r="G96" i="16"/>
  <c r="H96" i="16" s="1"/>
  <c r="J95" i="16"/>
  <c r="G95" i="16"/>
  <c r="H95" i="16" s="1"/>
  <c r="J94" i="16"/>
  <c r="G94" i="16"/>
  <c r="H94" i="16" s="1"/>
  <c r="J93" i="16"/>
  <c r="G93" i="16"/>
  <c r="H93" i="16" s="1"/>
  <c r="J92" i="16"/>
  <c r="G92" i="16"/>
  <c r="H92" i="16" s="1"/>
  <c r="J91" i="16"/>
  <c r="G91" i="16"/>
  <c r="H91" i="16" s="1"/>
  <c r="J90" i="16"/>
  <c r="G90" i="16"/>
  <c r="H90" i="16" s="1"/>
  <c r="J89" i="16"/>
  <c r="G89" i="16"/>
  <c r="H89" i="16" s="1"/>
  <c r="J88" i="16"/>
  <c r="G88" i="16"/>
  <c r="H88" i="16" s="1"/>
  <c r="J87" i="16"/>
  <c r="G87" i="16"/>
  <c r="H87" i="16" s="1"/>
  <c r="J86" i="16"/>
  <c r="G86" i="16"/>
  <c r="H86" i="16" s="1"/>
  <c r="J85" i="16"/>
  <c r="G85" i="16"/>
  <c r="H85" i="16" s="1"/>
  <c r="J84" i="16"/>
  <c r="G84" i="16"/>
  <c r="H84" i="16" s="1"/>
  <c r="J83" i="16"/>
  <c r="G83" i="16"/>
  <c r="H83" i="16" s="1"/>
  <c r="J82" i="16"/>
  <c r="G82" i="16"/>
  <c r="H82" i="16" s="1"/>
  <c r="J81" i="16"/>
  <c r="G81" i="16"/>
  <c r="H81" i="16" s="1"/>
  <c r="J80" i="16"/>
  <c r="G80" i="16"/>
  <c r="H80" i="16" s="1"/>
  <c r="J79" i="16"/>
  <c r="G79" i="16"/>
  <c r="H79" i="16" s="1"/>
  <c r="J78" i="16"/>
  <c r="G78" i="16"/>
  <c r="H78" i="16" s="1"/>
  <c r="J77" i="16"/>
  <c r="G77" i="16"/>
  <c r="H77" i="16" s="1"/>
  <c r="J76" i="16"/>
  <c r="G76" i="16"/>
  <c r="H76" i="16" s="1"/>
  <c r="J75" i="16"/>
  <c r="G75" i="16"/>
  <c r="H75" i="16" s="1"/>
  <c r="J74" i="16"/>
  <c r="G74" i="16"/>
  <c r="H74" i="16" s="1"/>
  <c r="J73" i="16"/>
  <c r="G73" i="16"/>
  <c r="H73" i="16" s="1"/>
  <c r="J72" i="16"/>
  <c r="G72" i="16"/>
  <c r="H72" i="16" s="1"/>
  <c r="J71" i="16"/>
  <c r="G71" i="16"/>
  <c r="H71" i="16" s="1"/>
  <c r="J70" i="16"/>
  <c r="G70" i="16"/>
  <c r="H70" i="16" s="1"/>
  <c r="J69" i="16"/>
  <c r="G69" i="16"/>
  <c r="H69" i="16" s="1"/>
  <c r="J68" i="16"/>
  <c r="G68" i="16"/>
  <c r="H68" i="16" s="1"/>
  <c r="J67" i="16"/>
  <c r="G67" i="16"/>
  <c r="H67" i="16" s="1"/>
  <c r="J66" i="16"/>
  <c r="G66" i="16"/>
  <c r="H66" i="16" s="1"/>
  <c r="J65" i="16"/>
  <c r="G65" i="16"/>
  <c r="H65" i="16" s="1"/>
  <c r="J64" i="16"/>
  <c r="G64" i="16"/>
  <c r="H64" i="16" s="1"/>
  <c r="J63" i="16"/>
  <c r="G63" i="16"/>
  <c r="H63" i="16" s="1"/>
  <c r="J62" i="16"/>
  <c r="G62" i="16"/>
  <c r="H62" i="16" s="1"/>
  <c r="J61" i="16"/>
  <c r="G61" i="16"/>
  <c r="H61" i="16" s="1"/>
  <c r="J60" i="16"/>
  <c r="G60" i="16"/>
  <c r="H60" i="16" s="1"/>
  <c r="J59" i="16"/>
  <c r="G59" i="16"/>
  <c r="H59" i="16" s="1"/>
  <c r="J58" i="16"/>
  <c r="G58" i="16"/>
  <c r="H58" i="16" s="1"/>
  <c r="J57" i="16"/>
  <c r="G57" i="16"/>
  <c r="H57" i="16" s="1"/>
  <c r="J56" i="16"/>
  <c r="G56" i="16"/>
  <c r="H56" i="16" s="1"/>
  <c r="J55" i="16"/>
  <c r="G55" i="16"/>
  <c r="H55" i="16" s="1"/>
  <c r="J54" i="16"/>
  <c r="G54" i="16"/>
  <c r="H54" i="16" s="1"/>
  <c r="J53" i="16"/>
  <c r="G53" i="16"/>
  <c r="H53" i="16" s="1"/>
  <c r="J52" i="16"/>
  <c r="G52" i="16"/>
  <c r="H52" i="16" s="1"/>
  <c r="J51" i="16"/>
  <c r="G51" i="16"/>
  <c r="H51" i="16" s="1"/>
  <c r="J50" i="16"/>
  <c r="G50" i="16"/>
  <c r="H50" i="16" s="1"/>
  <c r="J49" i="16"/>
  <c r="G49" i="16"/>
  <c r="H49" i="16" s="1"/>
  <c r="J48" i="16"/>
  <c r="G48" i="16"/>
  <c r="H48" i="16" s="1"/>
  <c r="J47" i="16"/>
  <c r="G47" i="16"/>
  <c r="H47" i="16" s="1"/>
  <c r="J46" i="16"/>
  <c r="G46" i="16"/>
  <c r="H46" i="16" s="1"/>
  <c r="J45" i="16"/>
  <c r="G45" i="16"/>
  <c r="H45" i="16" s="1"/>
  <c r="J44" i="16"/>
  <c r="G44" i="16"/>
  <c r="H44" i="16" s="1"/>
  <c r="J43" i="16"/>
  <c r="G43" i="16"/>
  <c r="H43" i="16" s="1"/>
  <c r="J42" i="16"/>
  <c r="G42" i="16"/>
  <c r="H42" i="16" s="1"/>
  <c r="J41" i="16"/>
  <c r="G41" i="16"/>
  <c r="H41" i="16" s="1"/>
  <c r="J40" i="16"/>
  <c r="G40" i="16"/>
  <c r="H40" i="16" s="1"/>
  <c r="J39" i="16"/>
  <c r="G39" i="16"/>
  <c r="H39" i="16" s="1"/>
  <c r="J38" i="16"/>
  <c r="G38" i="16"/>
  <c r="H38" i="16" s="1"/>
  <c r="J37" i="16"/>
  <c r="G37" i="16"/>
  <c r="H37" i="16" s="1"/>
  <c r="J36" i="16"/>
  <c r="G36" i="16"/>
  <c r="H36" i="16" s="1"/>
  <c r="J35" i="16"/>
  <c r="G35" i="16"/>
  <c r="H35" i="16" s="1"/>
  <c r="J34" i="16"/>
  <c r="G34" i="16"/>
  <c r="H34" i="16" s="1"/>
  <c r="J33" i="16"/>
  <c r="G33" i="16"/>
  <c r="H33" i="16" s="1"/>
  <c r="J32" i="16"/>
  <c r="G32" i="16"/>
  <c r="H32" i="16" s="1"/>
  <c r="J31" i="16"/>
  <c r="G31" i="16"/>
  <c r="H31" i="16" s="1"/>
  <c r="J30" i="16"/>
  <c r="G30" i="16"/>
  <c r="H30" i="16" s="1"/>
  <c r="J29" i="16"/>
  <c r="G29" i="16"/>
  <c r="H29" i="16" s="1"/>
  <c r="J28" i="16"/>
  <c r="G28" i="16"/>
  <c r="H28" i="16" s="1"/>
  <c r="J27" i="16"/>
  <c r="G27" i="16"/>
  <c r="H27" i="16" s="1"/>
  <c r="J26" i="16"/>
  <c r="G26" i="16"/>
  <c r="H26" i="16" s="1"/>
  <c r="J25" i="16"/>
  <c r="G25" i="16"/>
  <c r="H25" i="16" s="1"/>
  <c r="J24" i="16"/>
  <c r="G24" i="16"/>
  <c r="H24" i="16" s="1"/>
  <c r="J23" i="16"/>
  <c r="G23" i="16"/>
  <c r="H23" i="16" s="1"/>
  <c r="J22" i="16"/>
  <c r="G22" i="16"/>
  <c r="H22" i="16" s="1"/>
  <c r="J21" i="16"/>
  <c r="G21" i="16"/>
  <c r="H21" i="16" s="1"/>
  <c r="J20" i="16"/>
  <c r="G20" i="16"/>
  <c r="H20" i="16" s="1"/>
  <c r="P17" i="16"/>
  <c r="J19" i="16"/>
  <c r="G19" i="16"/>
  <c r="H19" i="16" s="1"/>
  <c r="P16" i="16"/>
  <c r="J18" i="16"/>
  <c r="G18" i="16"/>
  <c r="H18" i="16" s="1"/>
  <c r="P15" i="16"/>
  <c r="J17" i="16"/>
  <c r="G17" i="16"/>
  <c r="H17" i="16" s="1"/>
  <c r="J16" i="16"/>
  <c r="G16" i="16"/>
  <c r="H16" i="16" s="1"/>
  <c r="J15" i="16"/>
  <c r="G15" i="16"/>
  <c r="H15" i="16" s="1"/>
  <c r="J14" i="16"/>
  <c r="G14" i="16"/>
  <c r="H14" i="16" s="1"/>
  <c r="J13" i="16"/>
  <c r="G13" i="16"/>
  <c r="H13" i="16" s="1"/>
  <c r="J12" i="16"/>
  <c r="G12" i="16"/>
  <c r="H12" i="16" s="1"/>
  <c r="P10" i="16"/>
  <c r="J11" i="16"/>
  <c r="G11" i="16"/>
  <c r="H11" i="16" s="1"/>
  <c r="P9" i="16"/>
  <c r="J10" i="16"/>
  <c r="G10" i="16"/>
  <c r="H10" i="16" s="1"/>
  <c r="P8" i="16"/>
  <c r="J9" i="16"/>
  <c r="G9" i="16"/>
  <c r="H9" i="16" s="1"/>
  <c r="J8" i="16"/>
  <c r="G8" i="16"/>
  <c r="H8" i="16" s="1"/>
  <c r="P5" i="16"/>
  <c r="J7" i="16"/>
  <c r="G7" i="16"/>
  <c r="H7" i="16" s="1"/>
  <c r="P4" i="16"/>
  <c r="J6" i="16"/>
  <c r="G6" i="16"/>
  <c r="H6" i="16" s="1"/>
  <c r="P3" i="16"/>
  <c r="T5" i="16" s="1"/>
  <c r="V9" i="16" s="1"/>
  <c r="W9" i="16" s="1"/>
  <c r="J5" i="16"/>
  <c r="G5" i="16"/>
  <c r="J4" i="16"/>
  <c r="G4" i="16"/>
  <c r="H4" i="16" s="1"/>
  <c r="J226" i="15"/>
  <c r="G226" i="15"/>
  <c r="H226" i="15" s="1"/>
  <c r="J225" i="15"/>
  <c r="G225" i="15"/>
  <c r="H225" i="15" s="1"/>
  <c r="J224" i="15"/>
  <c r="G224" i="15"/>
  <c r="H224" i="15" s="1"/>
  <c r="J223" i="15"/>
  <c r="G223" i="15"/>
  <c r="H223" i="15" s="1"/>
  <c r="J222" i="15"/>
  <c r="G222" i="15"/>
  <c r="H222" i="15" s="1"/>
  <c r="J221" i="15"/>
  <c r="G221" i="15"/>
  <c r="H221" i="15" s="1"/>
  <c r="J220" i="15"/>
  <c r="G220" i="15"/>
  <c r="H220" i="15" s="1"/>
  <c r="J219" i="15"/>
  <c r="G219" i="15"/>
  <c r="H219" i="15" s="1"/>
  <c r="J218" i="15"/>
  <c r="G218" i="15"/>
  <c r="H218" i="15" s="1"/>
  <c r="J217" i="15"/>
  <c r="G217" i="15"/>
  <c r="H217" i="15" s="1"/>
  <c r="J216" i="15"/>
  <c r="G216" i="15"/>
  <c r="H216" i="15" s="1"/>
  <c r="J215" i="15"/>
  <c r="G215" i="15"/>
  <c r="H215" i="15" s="1"/>
  <c r="J214" i="15"/>
  <c r="G214" i="15"/>
  <c r="H214" i="15" s="1"/>
  <c r="J213" i="15"/>
  <c r="G213" i="15"/>
  <c r="H213" i="15" s="1"/>
  <c r="J212" i="15"/>
  <c r="G212" i="15"/>
  <c r="H212" i="15" s="1"/>
  <c r="J211" i="15"/>
  <c r="G211" i="15"/>
  <c r="H211" i="15" s="1"/>
  <c r="J210" i="15"/>
  <c r="G210" i="15"/>
  <c r="H210" i="15" s="1"/>
  <c r="J209" i="15"/>
  <c r="G209" i="15"/>
  <c r="H209" i="15" s="1"/>
  <c r="J208" i="15"/>
  <c r="G208" i="15"/>
  <c r="H208" i="15" s="1"/>
  <c r="J207" i="15"/>
  <c r="G207" i="15"/>
  <c r="H207" i="15" s="1"/>
  <c r="J206" i="15"/>
  <c r="G206" i="15"/>
  <c r="H206" i="15" s="1"/>
  <c r="J205" i="15"/>
  <c r="G205" i="15"/>
  <c r="H205" i="15" s="1"/>
  <c r="J204" i="15"/>
  <c r="G204" i="15"/>
  <c r="H204" i="15" s="1"/>
  <c r="J203" i="15"/>
  <c r="G203" i="15"/>
  <c r="H203" i="15" s="1"/>
  <c r="J202" i="15"/>
  <c r="G202" i="15"/>
  <c r="H202" i="15" s="1"/>
  <c r="J201" i="15"/>
  <c r="G201" i="15"/>
  <c r="H201" i="15" s="1"/>
  <c r="J200" i="15"/>
  <c r="G200" i="15"/>
  <c r="H200" i="15" s="1"/>
  <c r="J199" i="15"/>
  <c r="G199" i="15"/>
  <c r="H199" i="15" s="1"/>
  <c r="J198" i="15"/>
  <c r="G198" i="15"/>
  <c r="H198" i="15" s="1"/>
  <c r="J197" i="15"/>
  <c r="G197" i="15"/>
  <c r="H197" i="15" s="1"/>
  <c r="J196" i="15"/>
  <c r="G196" i="15"/>
  <c r="H196" i="15" s="1"/>
  <c r="J195" i="15"/>
  <c r="G195" i="15"/>
  <c r="H195" i="15" s="1"/>
  <c r="J194" i="15"/>
  <c r="G194" i="15"/>
  <c r="H194" i="15" s="1"/>
  <c r="J193" i="15"/>
  <c r="G193" i="15"/>
  <c r="H193" i="15" s="1"/>
  <c r="J192" i="15"/>
  <c r="G192" i="15"/>
  <c r="H192" i="15" s="1"/>
  <c r="J191" i="15"/>
  <c r="G191" i="15"/>
  <c r="H191" i="15" s="1"/>
  <c r="J190" i="15"/>
  <c r="G190" i="15"/>
  <c r="H190" i="15" s="1"/>
  <c r="J189" i="15"/>
  <c r="G189" i="15"/>
  <c r="H189" i="15" s="1"/>
  <c r="J188" i="15"/>
  <c r="G188" i="15"/>
  <c r="H188" i="15" s="1"/>
  <c r="J187" i="15"/>
  <c r="G187" i="15"/>
  <c r="H187" i="15" s="1"/>
  <c r="J186" i="15"/>
  <c r="G186" i="15"/>
  <c r="H186" i="15" s="1"/>
  <c r="J185" i="15"/>
  <c r="G185" i="15"/>
  <c r="H185" i="15" s="1"/>
  <c r="J184" i="15"/>
  <c r="G184" i="15"/>
  <c r="H184" i="15" s="1"/>
  <c r="J183" i="15"/>
  <c r="G183" i="15"/>
  <c r="H183" i="15" s="1"/>
  <c r="J182" i="15"/>
  <c r="G182" i="15"/>
  <c r="H182" i="15" s="1"/>
  <c r="J181" i="15"/>
  <c r="G181" i="15"/>
  <c r="H181" i="15" s="1"/>
  <c r="J180" i="15"/>
  <c r="G180" i="15"/>
  <c r="H180" i="15" s="1"/>
  <c r="J179" i="15"/>
  <c r="G179" i="15"/>
  <c r="H179" i="15" s="1"/>
  <c r="J178" i="15"/>
  <c r="G178" i="15"/>
  <c r="H178" i="15" s="1"/>
  <c r="J177" i="15"/>
  <c r="G177" i="15"/>
  <c r="H177" i="15" s="1"/>
  <c r="J176" i="15"/>
  <c r="G176" i="15"/>
  <c r="H176" i="15" s="1"/>
  <c r="J175" i="15"/>
  <c r="G175" i="15"/>
  <c r="H175" i="15" s="1"/>
  <c r="J174" i="15"/>
  <c r="G174" i="15"/>
  <c r="H174" i="15" s="1"/>
  <c r="J173" i="15"/>
  <c r="G173" i="15"/>
  <c r="H173" i="15" s="1"/>
  <c r="J172" i="15"/>
  <c r="G172" i="15"/>
  <c r="H172" i="15" s="1"/>
  <c r="J171" i="15"/>
  <c r="G171" i="15"/>
  <c r="H171" i="15" s="1"/>
  <c r="J170" i="15"/>
  <c r="G170" i="15"/>
  <c r="H170" i="15" s="1"/>
  <c r="J169" i="15"/>
  <c r="G169" i="15"/>
  <c r="H169" i="15" s="1"/>
  <c r="J168" i="15"/>
  <c r="G168" i="15"/>
  <c r="H168" i="15" s="1"/>
  <c r="J167" i="15"/>
  <c r="G167" i="15"/>
  <c r="H167" i="15" s="1"/>
  <c r="J166" i="15"/>
  <c r="G166" i="15"/>
  <c r="H166" i="15" s="1"/>
  <c r="J165" i="15"/>
  <c r="G165" i="15"/>
  <c r="H165" i="15" s="1"/>
  <c r="J164" i="15"/>
  <c r="G164" i="15"/>
  <c r="H164" i="15" s="1"/>
  <c r="J163" i="15"/>
  <c r="G163" i="15"/>
  <c r="H163" i="15" s="1"/>
  <c r="J162" i="15"/>
  <c r="G162" i="15"/>
  <c r="H162" i="15" s="1"/>
  <c r="J161" i="15"/>
  <c r="G161" i="15"/>
  <c r="H161" i="15" s="1"/>
  <c r="J160" i="15"/>
  <c r="G160" i="15"/>
  <c r="H160" i="15" s="1"/>
  <c r="J159" i="15"/>
  <c r="G159" i="15"/>
  <c r="H159" i="15" s="1"/>
  <c r="J158" i="15"/>
  <c r="G158" i="15"/>
  <c r="H158" i="15" s="1"/>
  <c r="J157" i="15"/>
  <c r="G157" i="15"/>
  <c r="H157" i="15" s="1"/>
  <c r="J156" i="15"/>
  <c r="G156" i="15"/>
  <c r="H156" i="15" s="1"/>
  <c r="J155" i="15"/>
  <c r="G155" i="15"/>
  <c r="H155" i="15" s="1"/>
  <c r="J154" i="15"/>
  <c r="G154" i="15"/>
  <c r="H154" i="15" s="1"/>
  <c r="J153" i="15"/>
  <c r="G153" i="15"/>
  <c r="H153" i="15" s="1"/>
  <c r="J152" i="15"/>
  <c r="G152" i="15"/>
  <c r="H152" i="15" s="1"/>
  <c r="J151" i="15"/>
  <c r="G151" i="15"/>
  <c r="H151" i="15" s="1"/>
  <c r="J150" i="15"/>
  <c r="G150" i="15"/>
  <c r="H150" i="15" s="1"/>
  <c r="J149" i="15"/>
  <c r="G149" i="15"/>
  <c r="H149" i="15" s="1"/>
  <c r="J148" i="15"/>
  <c r="G148" i="15"/>
  <c r="H148" i="15" s="1"/>
  <c r="J147" i="15"/>
  <c r="G147" i="15"/>
  <c r="H147" i="15" s="1"/>
  <c r="J146" i="15"/>
  <c r="G146" i="15"/>
  <c r="H146" i="15" s="1"/>
  <c r="J145" i="15"/>
  <c r="G145" i="15"/>
  <c r="H145" i="15" s="1"/>
  <c r="J144" i="15"/>
  <c r="G144" i="15"/>
  <c r="H144" i="15" s="1"/>
  <c r="J143" i="15"/>
  <c r="G143" i="15"/>
  <c r="H143" i="15" s="1"/>
  <c r="J142" i="15"/>
  <c r="G142" i="15"/>
  <c r="H142" i="15" s="1"/>
  <c r="J141" i="15"/>
  <c r="G141" i="15"/>
  <c r="H141" i="15" s="1"/>
  <c r="J140" i="15"/>
  <c r="G140" i="15"/>
  <c r="H140" i="15" s="1"/>
  <c r="J139" i="15"/>
  <c r="G139" i="15"/>
  <c r="H139" i="15" s="1"/>
  <c r="J138" i="15"/>
  <c r="G138" i="15"/>
  <c r="H138" i="15" s="1"/>
  <c r="J137" i="15"/>
  <c r="G137" i="15"/>
  <c r="H137" i="15" s="1"/>
  <c r="J136" i="15"/>
  <c r="G136" i="15"/>
  <c r="H136" i="15" s="1"/>
  <c r="J135" i="15"/>
  <c r="G135" i="15"/>
  <c r="H135" i="15" s="1"/>
  <c r="J134" i="15"/>
  <c r="G134" i="15"/>
  <c r="H134" i="15" s="1"/>
  <c r="J133" i="15"/>
  <c r="G133" i="15"/>
  <c r="H133" i="15" s="1"/>
  <c r="J132" i="15"/>
  <c r="G132" i="15"/>
  <c r="H132" i="15" s="1"/>
  <c r="J131" i="15"/>
  <c r="G131" i="15"/>
  <c r="H131" i="15" s="1"/>
  <c r="J130" i="15"/>
  <c r="G130" i="15"/>
  <c r="H130" i="15" s="1"/>
  <c r="J129" i="15"/>
  <c r="G129" i="15"/>
  <c r="H129" i="15" s="1"/>
  <c r="J128" i="15"/>
  <c r="G128" i="15"/>
  <c r="H128" i="15" s="1"/>
  <c r="J127" i="15"/>
  <c r="G127" i="15"/>
  <c r="H127" i="15" s="1"/>
  <c r="J126" i="15"/>
  <c r="G126" i="15"/>
  <c r="H126" i="15" s="1"/>
  <c r="J125" i="15"/>
  <c r="G125" i="15"/>
  <c r="H125" i="15" s="1"/>
  <c r="J124" i="15"/>
  <c r="G124" i="15"/>
  <c r="H124" i="15" s="1"/>
  <c r="J123" i="15"/>
  <c r="G123" i="15"/>
  <c r="H123" i="15" s="1"/>
  <c r="J122" i="15"/>
  <c r="G122" i="15"/>
  <c r="H122" i="15" s="1"/>
  <c r="J121" i="15"/>
  <c r="G121" i="15"/>
  <c r="H121" i="15" s="1"/>
  <c r="J120" i="15"/>
  <c r="G120" i="15"/>
  <c r="H120" i="15" s="1"/>
  <c r="J119" i="15"/>
  <c r="G119" i="15"/>
  <c r="H119" i="15" s="1"/>
  <c r="J118" i="15"/>
  <c r="G118" i="15"/>
  <c r="H118" i="15" s="1"/>
  <c r="J117" i="15"/>
  <c r="G117" i="15"/>
  <c r="H117" i="15" s="1"/>
  <c r="J116" i="15"/>
  <c r="G116" i="15"/>
  <c r="H116" i="15" s="1"/>
  <c r="J115" i="15"/>
  <c r="G115" i="15"/>
  <c r="H115" i="15" s="1"/>
  <c r="J114" i="15"/>
  <c r="G114" i="15"/>
  <c r="H114" i="15" s="1"/>
  <c r="J113" i="15"/>
  <c r="G113" i="15"/>
  <c r="H113" i="15" s="1"/>
  <c r="J112" i="15"/>
  <c r="G112" i="15"/>
  <c r="H112" i="15" s="1"/>
  <c r="J111" i="15"/>
  <c r="G111" i="15"/>
  <c r="H111" i="15" s="1"/>
  <c r="J110" i="15"/>
  <c r="G110" i="15"/>
  <c r="H110" i="15" s="1"/>
  <c r="J109" i="15"/>
  <c r="G109" i="15"/>
  <c r="H109" i="15" s="1"/>
  <c r="J108" i="15"/>
  <c r="G108" i="15"/>
  <c r="H108" i="15" s="1"/>
  <c r="J107" i="15"/>
  <c r="G107" i="15"/>
  <c r="H107" i="15" s="1"/>
  <c r="J106" i="15"/>
  <c r="G106" i="15"/>
  <c r="H106" i="15" s="1"/>
  <c r="J105" i="15"/>
  <c r="G105" i="15"/>
  <c r="H105" i="15" s="1"/>
  <c r="J104" i="15"/>
  <c r="G104" i="15"/>
  <c r="H104" i="15" s="1"/>
  <c r="J103" i="15"/>
  <c r="G103" i="15"/>
  <c r="H103" i="15" s="1"/>
  <c r="J102" i="15"/>
  <c r="G102" i="15"/>
  <c r="H102" i="15" s="1"/>
  <c r="J101" i="15"/>
  <c r="G101" i="15"/>
  <c r="H101" i="15" s="1"/>
  <c r="J100" i="15"/>
  <c r="G100" i="15"/>
  <c r="H100" i="15" s="1"/>
  <c r="J99" i="15"/>
  <c r="G99" i="15"/>
  <c r="H99" i="15" s="1"/>
  <c r="J98" i="15"/>
  <c r="G98" i="15"/>
  <c r="H98" i="15" s="1"/>
  <c r="J97" i="15"/>
  <c r="G97" i="15"/>
  <c r="H97" i="15" s="1"/>
  <c r="J96" i="15"/>
  <c r="G96" i="15"/>
  <c r="H96" i="15" s="1"/>
  <c r="J95" i="15"/>
  <c r="G95" i="15"/>
  <c r="H95" i="15" s="1"/>
  <c r="J94" i="15"/>
  <c r="G94" i="15"/>
  <c r="H94" i="15" s="1"/>
  <c r="J93" i="15"/>
  <c r="G93" i="15"/>
  <c r="H93" i="15" s="1"/>
  <c r="J92" i="15"/>
  <c r="G92" i="15"/>
  <c r="H92" i="15" s="1"/>
  <c r="J91" i="15"/>
  <c r="G91" i="15"/>
  <c r="H91" i="15" s="1"/>
  <c r="J90" i="15"/>
  <c r="G90" i="15"/>
  <c r="H90" i="15" s="1"/>
  <c r="J89" i="15"/>
  <c r="G89" i="15"/>
  <c r="H89" i="15" s="1"/>
  <c r="J88" i="15"/>
  <c r="G88" i="15"/>
  <c r="H88" i="15" s="1"/>
  <c r="J87" i="15"/>
  <c r="G87" i="15"/>
  <c r="H87" i="15" s="1"/>
  <c r="J86" i="15"/>
  <c r="G86" i="15"/>
  <c r="H86" i="15" s="1"/>
  <c r="J85" i="15"/>
  <c r="G85" i="15"/>
  <c r="H85" i="15" s="1"/>
  <c r="J84" i="15"/>
  <c r="G84" i="15"/>
  <c r="H84" i="15" s="1"/>
  <c r="J83" i="15"/>
  <c r="G83" i="15"/>
  <c r="H83" i="15" s="1"/>
  <c r="J82" i="15"/>
  <c r="G82" i="15"/>
  <c r="H82" i="15" s="1"/>
  <c r="J81" i="15"/>
  <c r="G81" i="15"/>
  <c r="H81" i="15" s="1"/>
  <c r="J80" i="15"/>
  <c r="G80" i="15"/>
  <c r="H80" i="15" s="1"/>
  <c r="J79" i="15"/>
  <c r="G79" i="15"/>
  <c r="H79" i="15" s="1"/>
  <c r="J78" i="15"/>
  <c r="G78" i="15"/>
  <c r="H78" i="15" s="1"/>
  <c r="J77" i="15"/>
  <c r="G77" i="15"/>
  <c r="H77" i="15" s="1"/>
  <c r="J76" i="15"/>
  <c r="G76" i="15"/>
  <c r="H76" i="15" s="1"/>
  <c r="J75" i="15"/>
  <c r="G75" i="15"/>
  <c r="H75" i="15" s="1"/>
  <c r="J74" i="15"/>
  <c r="G74" i="15"/>
  <c r="H74" i="15" s="1"/>
  <c r="J73" i="15"/>
  <c r="G73" i="15"/>
  <c r="H73" i="15" s="1"/>
  <c r="J72" i="15"/>
  <c r="G72" i="15"/>
  <c r="H72" i="15" s="1"/>
  <c r="J71" i="15"/>
  <c r="G71" i="15"/>
  <c r="H71" i="15" s="1"/>
  <c r="J70" i="15"/>
  <c r="G70" i="15"/>
  <c r="H70" i="15" s="1"/>
  <c r="J69" i="15"/>
  <c r="G69" i="15"/>
  <c r="H69" i="15" s="1"/>
  <c r="J68" i="15"/>
  <c r="G68" i="15"/>
  <c r="H68" i="15" s="1"/>
  <c r="J67" i="15"/>
  <c r="G67" i="15"/>
  <c r="H67" i="15" s="1"/>
  <c r="J66" i="15"/>
  <c r="G66" i="15"/>
  <c r="H66" i="15" s="1"/>
  <c r="J65" i="15"/>
  <c r="G65" i="15"/>
  <c r="H65" i="15" s="1"/>
  <c r="J64" i="15"/>
  <c r="G64" i="15"/>
  <c r="H64" i="15" s="1"/>
  <c r="J63" i="15"/>
  <c r="G63" i="15"/>
  <c r="H63" i="15" s="1"/>
  <c r="J62" i="15"/>
  <c r="G62" i="15"/>
  <c r="H62" i="15" s="1"/>
  <c r="J61" i="15"/>
  <c r="G61" i="15"/>
  <c r="H61" i="15" s="1"/>
  <c r="J60" i="15"/>
  <c r="G60" i="15"/>
  <c r="H60" i="15" s="1"/>
  <c r="J59" i="15"/>
  <c r="G59" i="15"/>
  <c r="H59" i="15" s="1"/>
  <c r="J58" i="15"/>
  <c r="G58" i="15"/>
  <c r="H58" i="15" s="1"/>
  <c r="J57" i="15"/>
  <c r="G57" i="15"/>
  <c r="H57" i="15" s="1"/>
  <c r="J56" i="15"/>
  <c r="G56" i="15"/>
  <c r="H56" i="15" s="1"/>
  <c r="J55" i="15"/>
  <c r="G55" i="15"/>
  <c r="H55" i="15" s="1"/>
  <c r="J54" i="15"/>
  <c r="G54" i="15"/>
  <c r="H54" i="15" s="1"/>
  <c r="J53" i="15"/>
  <c r="G53" i="15"/>
  <c r="H53" i="15" s="1"/>
  <c r="J52" i="15"/>
  <c r="G52" i="15"/>
  <c r="H52" i="15" s="1"/>
  <c r="J51" i="15"/>
  <c r="G51" i="15"/>
  <c r="H51" i="15" s="1"/>
  <c r="J50" i="15"/>
  <c r="G50" i="15"/>
  <c r="H50" i="15" s="1"/>
  <c r="J49" i="15"/>
  <c r="G49" i="15"/>
  <c r="H49" i="15" s="1"/>
  <c r="J48" i="15"/>
  <c r="G48" i="15"/>
  <c r="H48" i="15" s="1"/>
  <c r="J47" i="15"/>
  <c r="G47" i="15"/>
  <c r="H47" i="15" s="1"/>
  <c r="J46" i="15"/>
  <c r="G46" i="15"/>
  <c r="H46" i="15" s="1"/>
  <c r="J45" i="15"/>
  <c r="G45" i="15"/>
  <c r="H45" i="15" s="1"/>
  <c r="J44" i="15"/>
  <c r="G44" i="15"/>
  <c r="H44" i="15" s="1"/>
  <c r="J43" i="15"/>
  <c r="G43" i="15"/>
  <c r="H43" i="15" s="1"/>
  <c r="J42" i="15"/>
  <c r="G42" i="15"/>
  <c r="H42" i="15" s="1"/>
  <c r="J41" i="15"/>
  <c r="G41" i="15"/>
  <c r="H41" i="15" s="1"/>
  <c r="J40" i="15"/>
  <c r="G40" i="15"/>
  <c r="H40" i="15" s="1"/>
  <c r="J39" i="15"/>
  <c r="G39" i="15"/>
  <c r="H39" i="15" s="1"/>
  <c r="J38" i="15"/>
  <c r="G38" i="15"/>
  <c r="H38" i="15" s="1"/>
  <c r="J37" i="15"/>
  <c r="G37" i="15"/>
  <c r="H37" i="15" s="1"/>
  <c r="J36" i="15"/>
  <c r="G36" i="15"/>
  <c r="H36" i="15" s="1"/>
  <c r="J35" i="15"/>
  <c r="G35" i="15"/>
  <c r="H35" i="15" s="1"/>
  <c r="J34" i="15"/>
  <c r="G34" i="15"/>
  <c r="H34" i="15" s="1"/>
  <c r="J33" i="15"/>
  <c r="G33" i="15"/>
  <c r="H33" i="15" s="1"/>
  <c r="J32" i="15"/>
  <c r="G32" i="15"/>
  <c r="H32" i="15" s="1"/>
  <c r="J31" i="15"/>
  <c r="G31" i="15"/>
  <c r="H31" i="15" s="1"/>
  <c r="J30" i="15"/>
  <c r="G30" i="15"/>
  <c r="H30" i="15" s="1"/>
  <c r="J29" i="15"/>
  <c r="G29" i="15"/>
  <c r="H29" i="15" s="1"/>
  <c r="J28" i="15"/>
  <c r="G28" i="15"/>
  <c r="H28" i="15" s="1"/>
  <c r="J27" i="15"/>
  <c r="G27" i="15"/>
  <c r="H27" i="15" s="1"/>
  <c r="J26" i="15"/>
  <c r="G26" i="15"/>
  <c r="H26" i="15" s="1"/>
  <c r="J25" i="15"/>
  <c r="G25" i="15"/>
  <c r="H25" i="15" s="1"/>
  <c r="J24" i="15"/>
  <c r="G24" i="15"/>
  <c r="H24" i="15" s="1"/>
  <c r="J23" i="15"/>
  <c r="G23" i="15"/>
  <c r="H23" i="15" s="1"/>
  <c r="J22" i="15"/>
  <c r="G22" i="15"/>
  <c r="H22" i="15" s="1"/>
  <c r="J21" i="15"/>
  <c r="G21" i="15"/>
  <c r="H21" i="15" s="1"/>
  <c r="J20" i="15"/>
  <c r="G20" i="15"/>
  <c r="H20" i="15" s="1"/>
  <c r="P17" i="15"/>
  <c r="J19" i="15"/>
  <c r="G19" i="15"/>
  <c r="H19" i="15" s="1"/>
  <c r="P16" i="15"/>
  <c r="J18" i="15"/>
  <c r="G18" i="15"/>
  <c r="H18" i="15" s="1"/>
  <c r="P15" i="15"/>
  <c r="J17" i="15"/>
  <c r="G17" i="15"/>
  <c r="H17" i="15" s="1"/>
  <c r="J16" i="15"/>
  <c r="G16" i="15"/>
  <c r="H16" i="15" s="1"/>
  <c r="J15" i="15"/>
  <c r="G15" i="15"/>
  <c r="H15" i="15" s="1"/>
  <c r="J14" i="15"/>
  <c r="G14" i="15"/>
  <c r="H14" i="15" s="1"/>
  <c r="J13" i="15"/>
  <c r="G13" i="15"/>
  <c r="H13" i="15" s="1"/>
  <c r="J12" i="15"/>
  <c r="G12" i="15"/>
  <c r="H12" i="15" s="1"/>
  <c r="P10" i="15"/>
  <c r="J11" i="15"/>
  <c r="G11" i="15"/>
  <c r="H11" i="15" s="1"/>
  <c r="P9" i="15"/>
  <c r="J10" i="15"/>
  <c r="G10" i="15"/>
  <c r="H10" i="15" s="1"/>
  <c r="P8" i="15"/>
  <c r="J9" i="15"/>
  <c r="G9" i="15"/>
  <c r="H9" i="15" s="1"/>
  <c r="J8" i="15"/>
  <c r="G8" i="15"/>
  <c r="H8" i="15" s="1"/>
  <c r="P5" i="15"/>
  <c r="J7" i="15"/>
  <c r="G7" i="15"/>
  <c r="H7" i="15" s="1"/>
  <c r="P4" i="15"/>
  <c r="J6" i="15"/>
  <c r="G6" i="15"/>
  <c r="H6" i="15" s="1"/>
  <c r="P3" i="15"/>
  <c r="T5" i="15" s="1"/>
  <c r="V9" i="15" s="1"/>
  <c r="W9" i="15" s="1"/>
  <c r="J5" i="15"/>
  <c r="G5" i="15"/>
  <c r="J4" i="15"/>
  <c r="G4" i="15"/>
  <c r="H4" i="15" s="1"/>
  <c r="J226" i="14"/>
  <c r="G226" i="14"/>
  <c r="H226" i="14" s="1"/>
  <c r="J225" i="14"/>
  <c r="G225" i="14"/>
  <c r="H225" i="14" s="1"/>
  <c r="J224" i="14"/>
  <c r="G224" i="14"/>
  <c r="H224" i="14" s="1"/>
  <c r="J223" i="14"/>
  <c r="G223" i="14"/>
  <c r="H223" i="14" s="1"/>
  <c r="J222" i="14"/>
  <c r="G222" i="14"/>
  <c r="H222" i="14" s="1"/>
  <c r="J221" i="14"/>
  <c r="G221" i="14"/>
  <c r="H221" i="14" s="1"/>
  <c r="J220" i="14"/>
  <c r="G220" i="14"/>
  <c r="H220" i="14" s="1"/>
  <c r="J219" i="14"/>
  <c r="G219" i="14"/>
  <c r="H219" i="14" s="1"/>
  <c r="J218" i="14"/>
  <c r="G218" i="14"/>
  <c r="H218" i="14" s="1"/>
  <c r="J217" i="14"/>
  <c r="G217" i="14"/>
  <c r="H217" i="14" s="1"/>
  <c r="J216" i="14"/>
  <c r="G216" i="14"/>
  <c r="H216" i="14" s="1"/>
  <c r="J215" i="14"/>
  <c r="G215" i="14"/>
  <c r="H215" i="14" s="1"/>
  <c r="J214" i="14"/>
  <c r="G214" i="14"/>
  <c r="H214" i="14" s="1"/>
  <c r="J213" i="14"/>
  <c r="G213" i="14"/>
  <c r="H213" i="14" s="1"/>
  <c r="J212" i="14"/>
  <c r="G212" i="14"/>
  <c r="H212" i="14" s="1"/>
  <c r="J211" i="14"/>
  <c r="G211" i="14"/>
  <c r="H211" i="14" s="1"/>
  <c r="J210" i="14"/>
  <c r="G210" i="14"/>
  <c r="H210" i="14" s="1"/>
  <c r="J209" i="14"/>
  <c r="G209" i="14"/>
  <c r="H209" i="14" s="1"/>
  <c r="J208" i="14"/>
  <c r="G208" i="14"/>
  <c r="H208" i="14" s="1"/>
  <c r="J207" i="14"/>
  <c r="G207" i="14"/>
  <c r="H207" i="14" s="1"/>
  <c r="J206" i="14"/>
  <c r="G206" i="14"/>
  <c r="H206" i="14" s="1"/>
  <c r="J205" i="14"/>
  <c r="G205" i="14"/>
  <c r="H205" i="14" s="1"/>
  <c r="J204" i="14"/>
  <c r="G204" i="14"/>
  <c r="H204" i="14" s="1"/>
  <c r="J203" i="14"/>
  <c r="G203" i="14"/>
  <c r="H203" i="14" s="1"/>
  <c r="J202" i="14"/>
  <c r="G202" i="14"/>
  <c r="H202" i="14" s="1"/>
  <c r="J201" i="14"/>
  <c r="G201" i="14"/>
  <c r="H201" i="14" s="1"/>
  <c r="J200" i="14"/>
  <c r="G200" i="14"/>
  <c r="H200" i="14" s="1"/>
  <c r="J199" i="14"/>
  <c r="G199" i="14"/>
  <c r="H199" i="14" s="1"/>
  <c r="J198" i="14"/>
  <c r="G198" i="14"/>
  <c r="H198" i="14" s="1"/>
  <c r="J197" i="14"/>
  <c r="G197" i="14"/>
  <c r="H197" i="14" s="1"/>
  <c r="J196" i="14"/>
  <c r="G196" i="14"/>
  <c r="H196" i="14" s="1"/>
  <c r="J195" i="14"/>
  <c r="G195" i="14"/>
  <c r="H195" i="14" s="1"/>
  <c r="J194" i="14"/>
  <c r="G194" i="14"/>
  <c r="H194" i="14" s="1"/>
  <c r="J193" i="14"/>
  <c r="G193" i="14"/>
  <c r="H193" i="14" s="1"/>
  <c r="J192" i="14"/>
  <c r="G192" i="14"/>
  <c r="H192" i="14" s="1"/>
  <c r="J191" i="14"/>
  <c r="G191" i="14"/>
  <c r="H191" i="14" s="1"/>
  <c r="J190" i="14"/>
  <c r="G190" i="14"/>
  <c r="H190" i="14" s="1"/>
  <c r="J189" i="14"/>
  <c r="G189" i="14"/>
  <c r="H189" i="14" s="1"/>
  <c r="J188" i="14"/>
  <c r="G188" i="14"/>
  <c r="H188" i="14" s="1"/>
  <c r="J187" i="14"/>
  <c r="G187" i="14"/>
  <c r="H187" i="14" s="1"/>
  <c r="J186" i="14"/>
  <c r="G186" i="14"/>
  <c r="H186" i="14" s="1"/>
  <c r="J185" i="14"/>
  <c r="G185" i="14"/>
  <c r="H185" i="14" s="1"/>
  <c r="J184" i="14"/>
  <c r="G184" i="14"/>
  <c r="H184" i="14" s="1"/>
  <c r="J183" i="14"/>
  <c r="G183" i="14"/>
  <c r="H183" i="14" s="1"/>
  <c r="J182" i="14"/>
  <c r="G182" i="14"/>
  <c r="H182" i="14" s="1"/>
  <c r="J181" i="14"/>
  <c r="G181" i="14"/>
  <c r="H181" i="14" s="1"/>
  <c r="J180" i="14"/>
  <c r="G180" i="14"/>
  <c r="H180" i="14" s="1"/>
  <c r="J179" i="14"/>
  <c r="G179" i="14"/>
  <c r="H179" i="14" s="1"/>
  <c r="J178" i="14"/>
  <c r="G178" i="14"/>
  <c r="H178" i="14" s="1"/>
  <c r="J177" i="14"/>
  <c r="G177" i="14"/>
  <c r="H177" i="14" s="1"/>
  <c r="J176" i="14"/>
  <c r="G176" i="14"/>
  <c r="H176" i="14" s="1"/>
  <c r="J175" i="14"/>
  <c r="G175" i="14"/>
  <c r="H175" i="14" s="1"/>
  <c r="J174" i="14"/>
  <c r="G174" i="14"/>
  <c r="H174" i="14" s="1"/>
  <c r="J173" i="14"/>
  <c r="G173" i="14"/>
  <c r="H173" i="14" s="1"/>
  <c r="J172" i="14"/>
  <c r="G172" i="14"/>
  <c r="H172" i="14" s="1"/>
  <c r="J171" i="14"/>
  <c r="G171" i="14"/>
  <c r="H171" i="14" s="1"/>
  <c r="J170" i="14"/>
  <c r="G170" i="14"/>
  <c r="H170" i="14" s="1"/>
  <c r="J169" i="14"/>
  <c r="G169" i="14"/>
  <c r="H169" i="14" s="1"/>
  <c r="J168" i="14"/>
  <c r="G168" i="14"/>
  <c r="H168" i="14" s="1"/>
  <c r="J167" i="14"/>
  <c r="G167" i="14"/>
  <c r="H167" i="14" s="1"/>
  <c r="J166" i="14"/>
  <c r="G166" i="14"/>
  <c r="H166" i="14" s="1"/>
  <c r="J165" i="14"/>
  <c r="G165" i="14"/>
  <c r="H165" i="14" s="1"/>
  <c r="J164" i="14"/>
  <c r="G164" i="14"/>
  <c r="H164" i="14" s="1"/>
  <c r="J163" i="14"/>
  <c r="G163" i="14"/>
  <c r="H163" i="14" s="1"/>
  <c r="J162" i="14"/>
  <c r="G162" i="14"/>
  <c r="H162" i="14" s="1"/>
  <c r="J161" i="14"/>
  <c r="G161" i="14"/>
  <c r="H161" i="14" s="1"/>
  <c r="J160" i="14"/>
  <c r="G160" i="14"/>
  <c r="H160" i="14" s="1"/>
  <c r="J159" i="14"/>
  <c r="G159" i="14"/>
  <c r="H159" i="14" s="1"/>
  <c r="J158" i="14"/>
  <c r="G158" i="14"/>
  <c r="H158" i="14" s="1"/>
  <c r="J157" i="14"/>
  <c r="G157" i="14"/>
  <c r="H157" i="14" s="1"/>
  <c r="J156" i="14"/>
  <c r="G156" i="14"/>
  <c r="H156" i="14" s="1"/>
  <c r="J155" i="14"/>
  <c r="G155" i="14"/>
  <c r="H155" i="14" s="1"/>
  <c r="J154" i="14"/>
  <c r="G154" i="14"/>
  <c r="H154" i="14" s="1"/>
  <c r="J153" i="14"/>
  <c r="G153" i="14"/>
  <c r="H153" i="14" s="1"/>
  <c r="J152" i="14"/>
  <c r="G152" i="14"/>
  <c r="H152" i="14" s="1"/>
  <c r="J151" i="14"/>
  <c r="G151" i="14"/>
  <c r="H151" i="14" s="1"/>
  <c r="J150" i="14"/>
  <c r="G150" i="14"/>
  <c r="H150" i="14" s="1"/>
  <c r="J149" i="14"/>
  <c r="G149" i="14"/>
  <c r="H149" i="14" s="1"/>
  <c r="J148" i="14"/>
  <c r="G148" i="14"/>
  <c r="H148" i="14" s="1"/>
  <c r="J147" i="14"/>
  <c r="G147" i="14"/>
  <c r="H147" i="14" s="1"/>
  <c r="J146" i="14"/>
  <c r="G146" i="14"/>
  <c r="H146" i="14" s="1"/>
  <c r="J145" i="14"/>
  <c r="G145" i="14"/>
  <c r="H145" i="14" s="1"/>
  <c r="J144" i="14"/>
  <c r="G144" i="14"/>
  <c r="H144" i="14" s="1"/>
  <c r="J143" i="14"/>
  <c r="G143" i="14"/>
  <c r="H143" i="14" s="1"/>
  <c r="J142" i="14"/>
  <c r="G142" i="14"/>
  <c r="H142" i="14" s="1"/>
  <c r="J141" i="14"/>
  <c r="G141" i="14"/>
  <c r="H141" i="14" s="1"/>
  <c r="J140" i="14"/>
  <c r="G140" i="14"/>
  <c r="H140" i="14" s="1"/>
  <c r="J139" i="14"/>
  <c r="G139" i="14"/>
  <c r="H139" i="14" s="1"/>
  <c r="J138" i="14"/>
  <c r="G138" i="14"/>
  <c r="H138" i="14" s="1"/>
  <c r="J137" i="14"/>
  <c r="G137" i="14"/>
  <c r="H137" i="14" s="1"/>
  <c r="J136" i="14"/>
  <c r="G136" i="14"/>
  <c r="H136" i="14" s="1"/>
  <c r="J135" i="14"/>
  <c r="G135" i="14"/>
  <c r="H135" i="14" s="1"/>
  <c r="J134" i="14"/>
  <c r="G134" i="14"/>
  <c r="H134" i="14" s="1"/>
  <c r="J133" i="14"/>
  <c r="G133" i="14"/>
  <c r="H133" i="14" s="1"/>
  <c r="J132" i="14"/>
  <c r="G132" i="14"/>
  <c r="H132" i="14" s="1"/>
  <c r="J131" i="14"/>
  <c r="G131" i="14"/>
  <c r="H131" i="14" s="1"/>
  <c r="J130" i="14"/>
  <c r="G130" i="14"/>
  <c r="H130" i="14" s="1"/>
  <c r="J129" i="14"/>
  <c r="G129" i="14"/>
  <c r="H129" i="14" s="1"/>
  <c r="J128" i="14"/>
  <c r="G128" i="14"/>
  <c r="H128" i="14" s="1"/>
  <c r="J127" i="14"/>
  <c r="G127" i="14"/>
  <c r="H127" i="14" s="1"/>
  <c r="J126" i="14"/>
  <c r="G126" i="14"/>
  <c r="H126" i="14" s="1"/>
  <c r="J125" i="14"/>
  <c r="G125" i="14"/>
  <c r="H125" i="14" s="1"/>
  <c r="J124" i="14"/>
  <c r="G124" i="14"/>
  <c r="H124" i="14" s="1"/>
  <c r="J123" i="14"/>
  <c r="G123" i="14"/>
  <c r="H123" i="14" s="1"/>
  <c r="J122" i="14"/>
  <c r="G122" i="14"/>
  <c r="H122" i="14" s="1"/>
  <c r="J121" i="14"/>
  <c r="G121" i="14"/>
  <c r="H121" i="14" s="1"/>
  <c r="J120" i="14"/>
  <c r="G120" i="14"/>
  <c r="H120" i="14" s="1"/>
  <c r="J119" i="14"/>
  <c r="G119" i="14"/>
  <c r="H119" i="14" s="1"/>
  <c r="J118" i="14"/>
  <c r="G118" i="14"/>
  <c r="H118" i="14" s="1"/>
  <c r="J117" i="14"/>
  <c r="G117" i="14"/>
  <c r="H117" i="14" s="1"/>
  <c r="J116" i="14"/>
  <c r="G116" i="14"/>
  <c r="H116" i="14" s="1"/>
  <c r="J115" i="14"/>
  <c r="G115" i="14"/>
  <c r="H115" i="14" s="1"/>
  <c r="J114" i="14"/>
  <c r="G114" i="14"/>
  <c r="H114" i="14" s="1"/>
  <c r="J113" i="14"/>
  <c r="G113" i="14"/>
  <c r="H113" i="14" s="1"/>
  <c r="J112" i="14"/>
  <c r="G112" i="14"/>
  <c r="H112" i="14" s="1"/>
  <c r="J111" i="14"/>
  <c r="G111" i="14"/>
  <c r="H111" i="14" s="1"/>
  <c r="J110" i="14"/>
  <c r="G110" i="14"/>
  <c r="H110" i="14" s="1"/>
  <c r="J109" i="14"/>
  <c r="G109" i="14"/>
  <c r="H109" i="14" s="1"/>
  <c r="J108" i="14"/>
  <c r="G108" i="14"/>
  <c r="H108" i="14" s="1"/>
  <c r="J107" i="14"/>
  <c r="G107" i="14"/>
  <c r="H107" i="14" s="1"/>
  <c r="J106" i="14"/>
  <c r="G106" i="14"/>
  <c r="H106" i="14" s="1"/>
  <c r="J105" i="14"/>
  <c r="G105" i="14"/>
  <c r="H105" i="14" s="1"/>
  <c r="J104" i="14"/>
  <c r="G104" i="14"/>
  <c r="H104" i="14" s="1"/>
  <c r="J103" i="14"/>
  <c r="G103" i="14"/>
  <c r="H103" i="14" s="1"/>
  <c r="J102" i="14"/>
  <c r="G102" i="14"/>
  <c r="H102" i="14" s="1"/>
  <c r="J101" i="14"/>
  <c r="G101" i="14"/>
  <c r="H101" i="14" s="1"/>
  <c r="J100" i="14"/>
  <c r="G100" i="14"/>
  <c r="H100" i="14" s="1"/>
  <c r="J99" i="14"/>
  <c r="G99" i="14"/>
  <c r="H99" i="14" s="1"/>
  <c r="J98" i="14"/>
  <c r="G98" i="14"/>
  <c r="H98" i="14" s="1"/>
  <c r="J97" i="14"/>
  <c r="G97" i="14"/>
  <c r="H97" i="14" s="1"/>
  <c r="J96" i="14"/>
  <c r="G96" i="14"/>
  <c r="H96" i="14" s="1"/>
  <c r="J95" i="14"/>
  <c r="G95" i="14"/>
  <c r="H95" i="14" s="1"/>
  <c r="J94" i="14"/>
  <c r="G94" i="14"/>
  <c r="H94" i="14" s="1"/>
  <c r="J93" i="14"/>
  <c r="G93" i="14"/>
  <c r="H93" i="14" s="1"/>
  <c r="J92" i="14"/>
  <c r="G92" i="14"/>
  <c r="H92" i="14" s="1"/>
  <c r="J91" i="14"/>
  <c r="G91" i="14"/>
  <c r="H91" i="14" s="1"/>
  <c r="J90" i="14"/>
  <c r="G90" i="14"/>
  <c r="H90" i="14" s="1"/>
  <c r="J89" i="14"/>
  <c r="G89" i="14"/>
  <c r="H89" i="14" s="1"/>
  <c r="J88" i="14"/>
  <c r="G88" i="14"/>
  <c r="H88" i="14" s="1"/>
  <c r="J87" i="14"/>
  <c r="G87" i="14"/>
  <c r="H87" i="14" s="1"/>
  <c r="J86" i="14"/>
  <c r="G86" i="14"/>
  <c r="H86" i="14" s="1"/>
  <c r="J85" i="14"/>
  <c r="G85" i="14"/>
  <c r="H85" i="14" s="1"/>
  <c r="J84" i="14"/>
  <c r="G84" i="14"/>
  <c r="H84" i="14" s="1"/>
  <c r="J83" i="14"/>
  <c r="G83" i="14"/>
  <c r="H83" i="14" s="1"/>
  <c r="J82" i="14"/>
  <c r="G82" i="14"/>
  <c r="H82" i="14" s="1"/>
  <c r="J81" i="14"/>
  <c r="G81" i="14"/>
  <c r="H81" i="14" s="1"/>
  <c r="J80" i="14"/>
  <c r="G80" i="14"/>
  <c r="H80" i="14" s="1"/>
  <c r="J79" i="14"/>
  <c r="G79" i="14"/>
  <c r="H79" i="14" s="1"/>
  <c r="J78" i="14"/>
  <c r="G78" i="14"/>
  <c r="H78" i="14" s="1"/>
  <c r="J77" i="14"/>
  <c r="G77" i="14"/>
  <c r="H77" i="14" s="1"/>
  <c r="J76" i="14"/>
  <c r="G76" i="14"/>
  <c r="H76" i="14" s="1"/>
  <c r="J75" i="14"/>
  <c r="G75" i="14"/>
  <c r="H75" i="14" s="1"/>
  <c r="J74" i="14"/>
  <c r="G74" i="14"/>
  <c r="H74" i="14" s="1"/>
  <c r="J73" i="14"/>
  <c r="G73" i="14"/>
  <c r="H73" i="14" s="1"/>
  <c r="J72" i="14"/>
  <c r="G72" i="14"/>
  <c r="H72" i="14" s="1"/>
  <c r="J71" i="14"/>
  <c r="G71" i="14"/>
  <c r="H71" i="14" s="1"/>
  <c r="J70" i="14"/>
  <c r="G70" i="14"/>
  <c r="H70" i="14" s="1"/>
  <c r="J69" i="14"/>
  <c r="G69" i="14"/>
  <c r="H69" i="14" s="1"/>
  <c r="J68" i="14"/>
  <c r="G68" i="14"/>
  <c r="H68" i="14" s="1"/>
  <c r="J67" i="14"/>
  <c r="G67" i="14"/>
  <c r="H67" i="14" s="1"/>
  <c r="J66" i="14"/>
  <c r="G66" i="14"/>
  <c r="H66" i="14" s="1"/>
  <c r="J65" i="14"/>
  <c r="G65" i="14"/>
  <c r="H65" i="14" s="1"/>
  <c r="J64" i="14"/>
  <c r="G64" i="14"/>
  <c r="H64" i="14" s="1"/>
  <c r="J63" i="14"/>
  <c r="G63" i="14"/>
  <c r="H63" i="14" s="1"/>
  <c r="J62" i="14"/>
  <c r="G62" i="14"/>
  <c r="H62" i="14" s="1"/>
  <c r="J61" i="14"/>
  <c r="G61" i="14"/>
  <c r="H61" i="14" s="1"/>
  <c r="J60" i="14"/>
  <c r="G60" i="14"/>
  <c r="H60" i="14" s="1"/>
  <c r="J59" i="14"/>
  <c r="G59" i="14"/>
  <c r="H59" i="14" s="1"/>
  <c r="J58" i="14"/>
  <c r="G58" i="14"/>
  <c r="H58" i="14" s="1"/>
  <c r="J57" i="14"/>
  <c r="G57" i="14"/>
  <c r="H57" i="14" s="1"/>
  <c r="J56" i="14"/>
  <c r="G56" i="14"/>
  <c r="H56" i="14" s="1"/>
  <c r="J55" i="14"/>
  <c r="G55" i="14"/>
  <c r="H55" i="14" s="1"/>
  <c r="J54" i="14"/>
  <c r="G54" i="14"/>
  <c r="H54" i="14" s="1"/>
  <c r="J53" i="14"/>
  <c r="G53" i="14"/>
  <c r="H53" i="14" s="1"/>
  <c r="J52" i="14"/>
  <c r="G52" i="14"/>
  <c r="H52" i="14" s="1"/>
  <c r="J51" i="14"/>
  <c r="G51" i="14"/>
  <c r="H51" i="14" s="1"/>
  <c r="J50" i="14"/>
  <c r="G50" i="14"/>
  <c r="H50" i="14" s="1"/>
  <c r="J49" i="14"/>
  <c r="G49" i="14"/>
  <c r="H49" i="14" s="1"/>
  <c r="J48" i="14"/>
  <c r="G48" i="14"/>
  <c r="H48" i="14" s="1"/>
  <c r="J47" i="14"/>
  <c r="G47" i="14"/>
  <c r="H47" i="14" s="1"/>
  <c r="J46" i="14"/>
  <c r="G46" i="14"/>
  <c r="H46" i="14" s="1"/>
  <c r="J45" i="14"/>
  <c r="G45" i="14"/>
  <c r="H45" i="14" s="1"/>
  <c r="J44" i="14"/>
  <c r="G44" i="14"/>
  <c r="H44" i="14" s="1"/>
  <c r="J43" i="14"/>
  <c r="G43" i="14"/>
  <c r="H43" i="14" s="1"/>
  <c r="J42" i="14"/>
  <c r="G42" i="14"/>
  <c r="H42" i="14" s="1"/>
  <c r="J41" i="14"/>
  <c r="G41" i="14"/>
  <c r="H41" i="14" s="1"/>
  <c r="J40" i="14"/>
  <c r="G40" i="14"/>
  <c r="H40" i="14" s="1"/>
  <c r="J39" i="14"/>
  <c r="G39" i="14"/>
  <c r="H39" i="14" s="1"/>
  <c r="J38" i="14"/>
  <c r="G38" i="14"/>
  <c r="H38" i="14" s="1"/>
  <c r="J37" i="14"/>
  <c r="G37" i="14"/>
  <c r="H37" i="14" s="1"/>
  <c r="J36" i="14"/>
  <c r="G36" i="14"/>
  <c r="H36" i="14" s="1"/>
  <c r="J35" i="14"/>
  <c r="G35" i="14"/>
  <c r="H35" i="14" s="1"/>
  <c r="J34" i="14"/>
  <c r="G34" i="14"/>
  <c r="H34" i="14" s="1"/>
  <c r="J33" i="14"/>
  <c r="G33" i="14"/>
  <c r="H33" i="14" s="1"/>
  <c r="J32" i="14"/>
  <c r="G32" i="14"/>
  <c r="H32" i="14" s="1"/>
  <c r="J31" i="14"/>
  <c r="G31" i="14"/>
  <c r="H31" i="14" s="1"/>
  <c r="J30" i="14"/>
  <c r="G30" i="14"/>
  <c r="H30" i="14" s="1"/>
  <c r="J29" i="14"/>
  <c r="G29" i="14"/>
  <c r="H29" i="14" s="1"/>
  <c r="J28" i="14"/>
  <c r="G28" i="14"/>
  <c r="H28" i="14" s="1"/>
  <c r="J27" i="14"/>
  <c r="G27" i="14"/>
  <c r="H27" i="14" s="1"/>
  <c r="J26" i="14"/>
  <c r="G26" i="14"/>
  <c r="H26" i="14" s="1"/>
  <c r="J25" i="14"/>
  <c r="G25" i="14"/>
  <c r="H25" i="14" s="1"/>
  <c r="J24" i="14"/>
  <c r="G24" i="14"/>
  <c r="H24" i="14" s="1"/>
  <c r="J23" i="14"/>
  <c r="G23" i="14"/>
  <c r="H23" i="14" s="1"/>
  <c r="J22" i="14"/>
  <c r="G22" i="14"/>
  <c r="H22" i="14" s="1"/>
  <c r="J21" i="14"/>
  <c r="G21" i="14"/>
  <c r="H21" i="14" s="1"/>
  <c r="J20" i="14"/>
  <c r="G20" i="14"/>
  <c r="H20" i="14" s="1"/>
  <c r="P17" i="14"/>
  <c r="J19" i="14"/>
  <c r="G19" i="14"/>
  <c r="H19" i="14" s="1"/>
  <c r="P16" i="14"/>
  <c r="J18" i="14"/>
  <c r="G18" i="14"/>
  <c r="H18" i="14" s="1"/>
  <c r="P15" i="14"/>
  <c r="J17" i="14"/>
  <c r="G17" i="14"/>
  <c r="H17" i="14" s="1"/>
  <c r="J16" i="14"/>
  <c r="G16" i="14"/>
  <c r="H16" i="14" s="1"/>
  <c r="J15" i="14"/>
  <c r="G15" i="14"/>
  <c r="H15" i="14" s="1"/>
  <c r="J14" i="14"/>
  <c r="G14" i="14"/>
  <c r="H14" i="14" s="1"/>
  <c r="J13" i="14"/>
  <c r="G13" i="14"/>
  <c r="H13" i="14" s="1"/>
  <c r="J12" i="14"/>
  <c r="G12" i="14"/>
  <c r="H12" i="14" s="1"/>
  <c r="P10" i="14"/>
  <c r="J11" i="14"/>
  <c r="G11" i="14"/>
  <c r="H11" i="14" s="1"/>
  <c r="P9" i="14"/>
  <c r="J10" i="14"/>
  <c r="G10" i="14"/>
  <c r="H10" i="14" s="1"/>
  <c r="P8" i="14"/>
  <c r="J9" i="14"/>
  <c r="G9" i="14"/>
  <c r="H9" i="14" s="1"/>
  <c r="J8" i="14"/>
  <c r="G8" i="14"/>
  <c r="H8" i="14" s="1"/>
  <c r="P5" i="14"/>
  <c r="J7" i="14"/>
  <c r="G7" i="14"/>
  <c r="H7" i="14" s="1"/>
  <c r="P4" i="14"/>
  <c r="J6" i="14"/>
  <c r="G6" i="14"/>
  <c r="H6" i="14" s="1"/>
  <c r="P3" i="14"/>
  <c r="T5" i="14" s="1"/>
  <c r="V9" i="14" s="1"/>
  <c r="W9" i="14" s="1"/>
  <c r="J5" i="14"/>
  <c r="G5" i="14"/>
  <c r="H5" i="14" s="1"/>
  <c r="J4" i="14"/>
  <c r="G4" i="14"/>
  <c r="H4" i="14" s="1"/>
  <c r="J226" i="13"/>
  <c r="G226" i="13"/>
  <c r="H226" i="13" s="1"/>
  <c r="J225" i="13"/>
  <c r="G225" i="13"/>
  <c r="H225" i="13" s="1"/>
  <c r="J224" i="13"/>
  <c r="G224" i="13"/>
  <c r="H224" i="13" s="1"/>
  <c r="J223" i="13"/>
  <c r="G223" i="13"/>
  <c r="H223" i="13" s="1"/>
  <c r="J222" i="13"/>
  <c r="G222" i="13"/>
  <c r="H222" i="13" s="1"/>
  <c r="J221" i="13"/>
  <c r="G221" i="13"/>
  <c r="H221" i="13" s="1"/>
  <c r="J220" i="13"/>
  <c r="G220" i="13"/>
  <c r="H220" i="13" s="1"/>
  <c r="J219" i="13"/>
  <c r="G219" i="13"/>
  <c r="H219" i="13" s="1"/>
  <c r="J218" i="13"/>
  <c r="G218" i="13"/>
  <c r="H218" i="13" s="1"/>
  <c r="J217" i="13"/>
  <c r="G217" i="13"/>
  <c r="H217" i="13" s="1"/>
  <c r="J216" i="13"/>
  <c r="G216" i="13"/>
  <c r="H216" i="13" s="1"/>
  <c r="J215" i="13"/>
  <c r="G215" i="13"/>
  <c r="H215" i="13" s="1"/>
  <c r="J214" i="13"/>
  <c r="G214" i="13"/>
  <c r="H214" i="13" s="1"/>
  <c r="J213" i="13"/>
  <c r="G213" i="13"/>
  <c r="H213" i="13" s="1"/>
  <c r="J212" i="13"/>
  <c r="G212" i="13"/>
  <c r="H212" i="13" s="1"/>
  <c r="J211" i="13"/>
  <c r="G211" i="13"/>
  <c r="H211" i="13" s="1"/>
  <c r="J210" i="13"/>
  <c r="G210" i="13"/>
  <c r="H210" i="13" s="1"/>
  <c r="J209" i="13"/>
  <c r="G209" i="13"/>
  <c r="H209" i="13" s="1"/>
  <c r="J208" i="13"/>
  <c r="G208" i="13"/>
  <c r="H208" i="13" s="1"/>
  <c r="J207" i="13"/>
  <c r="G207" i="13"/>
  <c r="H207" i="13" s="1"/>
  <c r="J206" i="13"/>
  <c r="G206" i="13"/>
  <c r="H206" i="13" s="1"/>
  <c r="J205" i="13"/>
  <c r="G205" i="13"/>
  <c r="H205" i="13" s="1"/>
  <c r="J204" i="13"/>
  <c r="G204" i="13"/>
  <c r="H204" i="13" s="1"/>
  <c r="J203" i="13"/>
  <c r="G203" i="13"/>
  <c r="H203" i="13" s="1"/>
  <c r="J202" i="13"/>
  <c r="G202" i="13"/>
  <c r="H202" i="13" s="1"/>
  <c r="J201" i="13"/>
  <c r="G201" i="13"/>
  <c r="H201" i="13" s="1"/>
  <c r="J200" i="13"/>
  <c r="G200" i="13"/>
  <c r="H200" i="13" s="1"/>
  <c r="J199" i="13"/>
  <c r="G199" i="13"/>
  <c r="H199" i="13" s="1"/>
  <c r="J198" i="13"/>
  <c r="G198" i="13"/>
  <c r="H198" i="13" s="1"/>
  <c r="J197" i="13"/>
  <c r="G197" i="13"/>
  <c r="H197" i="13" s="1"/>
  <c r="J196" i="13"/>
  <c r="G196" i="13"/>
  <c r="H196" i="13" s="1"/>
  <c r="J195" i="13"/>
  <c r="G195" i="13"/>
  <c r="H195" i="13" s="1"/>
  <c r="J194" i="13"/>
  <c r="G194" i="13"/>
  <c r="H194" i="13" s="1"/>
  <c r="J193" i="13"/>
  <c r="G193" i="13"/>
  <c r="H193" i="13" s="1"/>
  <c r="J192" i="13"/>
  <c r="G192" i="13"/>
  <c r="H192" i="13" s="1"/>
  <c r="J191" i="13"/>
  <c r="G191" i="13"/>
  <c r="H191" i="13" s="1"/>
  <c r="J190" i="13"/>
  <c r="G190" i="13"/>
  <c r="H190" i="13" s="1"/>
  <c r="J189" i="13"/>
  <c r="G189" i="13"/>
  <c r="H189" i="13" s="1"/>
  <c r="J188" i="13"/>
  <c r="G188" i="13"/>
  <c r="H188" i="13" s="1"/>
  <c r="J187" i="13"/>
  <c r="G187" i="13"/>
  <c r="H187" i="13" s="1"/>
  <c r="J186" i="13"/>
  <c r="G186" i="13"/>
  <c r="H186" i="13" s="1"/>
  <c r="J185" i="13"/>
  <c r="G185" i="13"/>
  <c r="H185" i="13" s="1"/>
  <c r="J184" i="13"/>
  <c r="G184" i="13"/>
  <c r="H184" i="13" s="1"/>
  <c r="J183" i="13"/>
  <c r="G183" i="13"/>
  <c r="H183" i="13" s="1"/>
  <c r="J182" i="13"/>
  <c r="G182" i="13"/>
  <c r="H182" i="13" s="1"/>
  <c r="J181" i="13"/>
  <c r="G181" i="13"/>
  <c r="H181" i="13" s="1"/>
  <c r="J180" i="13"/>
  <c r="G180" i="13"/>
  <c r="H180" i="13" s="1"/>
  <c r="J179" i="13"/>
  <c r="G179" i="13"/>
  <c r="H179" i="13" s="1"/>
  <c r="J178" i="13"/>
  <c r="G178" i="13"/>
  <c r="H178" i="13" s="1"/>
  <c r="J177" i="13"/>
  <c r="G177" i="13"/>
  <c r="H177" i="13" s="1"/>
  <c r="J176" i="13"/>
  <c r="G176" i="13"/>
  <c r="H176" i="13" s="1"/>
  <c r="J175" i="13"/>
  <c r="G175" i="13"/>
  <c r="H175" i="13" s="1"/>
  <c r="J174" i="13"/>
  <c r="G174" i="13"/>
  <c r="H174" i="13" s="1"/>
  <c r="J173" i="13"/>
  <c r="G173" i="13"/>
  <c r="H173" i="13" s="1"/>
  <c r="J172" i="13"/>
  <c r="G172" i="13"/>
  <c r="H172" i="13" s="1"/>
  <c r="J171" i="13"/>
  <c r="G171" i="13"/>
  <c r="H171" i="13" s="1"/>
  <c r="J170" i="13"/>
  <c r="G170" i="13"/>
  <c r="H170" i="13" s="1"/>
  <c r="J169" i="13"/>
  <c r="G169" i="13"/>
  <c r="H169" i="13" s="1"/>
  <c r="J168" i="13"/>
  <c r="G168" i="13"/>
  <c r="H168" i="13" s="1"/>
  <c r="J167" i="13"/>
  <c r="G167" i="13"/>
  <c r="H167" i="13" s="1"/>
  <c r="J166" i="13"/>
  <c r="G166" i="13"/>
  <c r="H166" i="13" s="1"/>
  <c r="J165" i="13"/>
  <c r="G165" i="13"/>
  <c r="H165" i="13" s="1"/>
  <c r="J164" i="13"/>
  <c r="G164" i="13"/>
  <c r="H164" i="13" s="1"/>
  <c r="J163" i="13"/>
  <c r="G163" i="13"/>
  <c r="H163" i="13" s="1"/>
  <c r="J162" i="13"/>
  <c r="G162" i="13"/>
  <c r="H162" i="13" s="1"/>
  <c r="J161" i="13"/>
  <c r="G161" i="13"/>
  <c r="H161" i="13" s="1"/>
  <c r="J160" i="13"/>
  <c r="G160" i="13"/>
  <c r="H160" i="13" s="1"/>
  <c r="J159" i="13"/>
  <c r="G159" i="13"/>
  <c r="H159" i="13" s="1"/>
  <c r="J158" i="13"/>
  <c r="G158" i="13"/>
  <c r="H158" i="13" s="1"/>
  <c r="J157" i="13"/>
  <c r="G157" i="13"/>
  <c r="H157" i="13" s="1"/>
  <c r="J156" i="13"/>
  <c r="G156" i="13"/>
  <c r="H156" i="13" s="1"/>
  <c r="J155" i="13"/>
  <c r="G155" i="13"/>
  <c r="H155" i="13" s="1"/>
  <c r="J154" i="13"/>
  <c r="G154" i="13"/>
  <c r="H154" i="13" s="1"/>
  <c r="J153" i="13"/>
  <c r="G153" i="13"/>
  <c r="H153" i="13" s="1"/>
  <c r="J152" i="13"/>
  <c r="G152" i="13"/>
  <c r="H152" i="13" s="1"/>
  <c r="J151" i="13"/>
  <c r="G151" i="13"/>
  <c r="H151" i="13" s="1"/>
  <c r="J150" i="13"/>
  <c r="G150" i="13"/>
  <c r="H150" i="13" s="1"/>
  <c r="J149" i="13"/>
  <c r="G149" i="13"/>
  <c r="H149" i="13" s="1"/>
  <c r="J148" i="13"/>
  <c r="G148" i="13"/>
  <c r="H148" i="13" s="1"/>
  <c r="J147" i="13"/>
  <c r="G147" i="13"/>
  <c r="H147" i="13" s="1"/>
  <c r="J146" i="13"/>
  <c r="G146" i="13"/>
  <c r="H146" i="13" s="1"/>
  <c r="J145" i="13"/>
  <c r="G145" i="13"/>
  <c r="H145" i="13" s="1"/>
  <c r="J144" i="13"/>
  <c r="G144" i="13"/>
  <c r="H144" i="13" s="1"/>
  <c r="J143" i="13"/>
  <c r="G143" i="13"/>
  <c r="H143" i="13" s="1"/>
  <c r="J142" i="13"/>
  <c r="G142" i="13"/>
  <c r="H142" i="13" s="1"/>
  <c r="J141" i="13"/>
  <c r="G141" i="13"/>
  <c r="H141" i="13" s="1"/>
  <c r="J140" i="13"/>
  <c r="G140" i="13"/>
  <c r="H140" i="13" s="1"/>
  <c r="J139" i="13"/>
  <c r="G139" i="13"/>
  <c r="H139" i="13" s="1"/>
  <c r="J138" i="13"/>
  <c r="G138" i="13"/>
  <c r="H138" i="13" s="1"/>
  <c r="J137" i="13"/>
  <c r="G137" i="13"/>
  <c r="H137" i="13" s="1"/>
  <c r="J136" i="13"/>
  <c r="G136" i="13"/>
  <c r="H136" i="13" s="1"/>
  <c r="J135" i="13"/>
  <c r="G135" i="13"/>
  <c r="H135" i="13" s="1"/>
  <c r="J134" i="13"/>
  <c r="G134" i="13"/>
  <c r="H134" i="13" s="1"/>
  <c r="J133" i="13"/>
  <c r="G133" i="13"/>
  <c r="H133" i="13" s="1"/>
  <c r="J132" i="13"/>
  <c r="G132" i="13"/>
  <c r="H132" i="13" s="1"/>
  <c r="J131" i="13"/>
  <c r="G131" i="13"/>
  <c r="H131" i="13" s="1"/>
  <c r="J130" i="13"/>
  <c r="G130" i="13"/>
  <c r="H130" i="13" s="1"/>
  <c r="J129" i="13"/>
  <c r="G129" i="13"/>
  <c r="H129" i="13" s="1"/>
  <c r="J128" i="13"/>
  <c r="G128" i="13"/>
  <c r="H128" i="13" s="1"/>
  <c r="J127" i="13"/>
  <c r="G127" i="13"/>
  <c r="H127" i="13" s="1"/>
  <c r="J126" i="13"/>
  <c r="G126" i="13"/>
  <c r="H126" i="13" s="1"/>
  <c r="J125" i="13"/>
  <c r="G125" i="13"/>
  <c r="H125" i="13" s="1"/>
  <c r="J124" i="13"/>
  <c r="G124" i="13"/>
  <c r="H124" i="13" s="1"/>
  <c r="J123" i="13"/>
  <c r="G123" i="13"/>
  <c r="H123" i="13" s="1"/>
  <c r="J122" i="13"/>
  <c r="G122" i="13"/>
  <c r="H122" i="13" s="1"/>
  <c r="J121" i="13"/>
  <c r="G121" i="13"/>
  <c r="H121" i="13" s="1"/>
  <c r="J120" i="13"/>
  <c r="G120" i="13"/>
  <c r="H120" i="13" s="1"/>
  <c r="J119" i="13"/>
  <c r="G119" i="13"/>
  <c r="H119" i="13" s="1"/>
  <c r="J118" i="13"/>
  <c r="G118" i="13"/>
  <c r="H118" i="13" s="1"/>
  <c r="J117" i="13"/>
  <c r="G117" i="13"/>
  <c r="H117" i="13" s="1"/>
  <c r="J116" i="13"/>
  <c r="G116" i="13"/>
  <c r="H116" i="13" s="1"/>
  <c r="J115" i="13"/>
  <c r="G115" i="13"/>
  <c r="H115" i="13" s="1"/>
  <c r="J114" i="13"/>
  <c r="G114" i="13"/>
  <c r="H114" i="13" s="1"/>
  <c r="J113" i="13"/>
  <c r="G113" i="13"/>
  <c r="H113" i="13" s="1"/>
  <c r="J112" i="13"/>
  <c r="G112" i="13"/>
  <c r="H112" i="13" s="1"/>
  <c r="J111" i="13"/>
  <c r="G111" i="13"/>
  <c r="H111" i="13" s="1"/>
  <c r="J110" i="13"/>
  <c r="G110" i="13"/>
  <c r="H110" i="13" s="1"/>
  <c r="J109" i="13"/>
  <c r="G109" i="13"/>
  <c r="H109" i="13" s="1"/>
  <c r="J108" i="13"/>
  <c r="G108" i="13"/>
  <c r="H108" i="13" s="1"/>
  <c r="J107" i="13"/>
  <c r="G107" i="13"/>
  <c r="H107" i="13" s="1"/>
  <c r="J106" i="13"/>
  <c r="G106" i="13"/>
  <c r="H106" i="13" s="1"/>
  <c r="J105" i="13"/>
  <c r="G105" i="13"/>
  <c r="H105" i="13" s="1"/>
  <c r="J104" i="13"/>
  <c r="G104" i="13"/>
  <c r="H104" i="13" s="1"/>
  <c r="J103" i="13"/>
  <c r="G103" i="13"/>
  <c r="H103" i="13" s="1"/>
  <c r="J102" i="13"/>
  <c r="G102" i="13"/>
  <c r="H102" i="13" s="1"/>
  <c r="J101" i="13"/>
  <c r="G101" i="13"/>
  <c r="H101" i="13" s="1"/>
  <c r="J100" i="13"/>
  <c r="G100" i="13"/>
  <c r="H100" i="13" s="1"/>
  <c r="J99" i="13"/>
  <c r="G99" i="13"/>
  <c r="H99" i="13" s="1"/>
  <c r="J98" i="13"/>
  <c r="G98" i="13"/>
  <c r="H98" i="13" s="1"/>
  <c r="J97" i="13"/>
  <c r="G97" i="13"/>
  <c r="H97" i="13" s="1"/>
  <c r="J96" i="13"/>
  <c r="G96" i="13"/>
  <c r="H96" i="13" s="1"/>
  <c r="J95" i="13"/>
  <c r="G95" i="13"/>
  <c r="H95" i="13" s="1"/>
  <c r="J94" i="13"/>
  <c r="G94" i="13"/>
  <c r="H94" i="13" s="1"/>
  <c r="J93" i="13"/>
  <c r="G93" i="13"/>
  <c r="H93" i="13" s="1"/>
  <c r="J92" i="13"/>
  <c r="G92" i="13"/>
  <c r="H92" i="13" s="1"/>
  <c r="J91" i="13"/>
  <c r="G91" i="13"/>
  <c r="H91" i="13" s="1"/>
  <c r="J90" i="13"/>
  <c r="G90" i="13"/>
  <c r="H90" i="13" s="1"/>
  <c r="J89" i="13"/>
  <c r="G89" i="13"/>
  <c r="H89" i="13" s="1"/>
  <c r="J88" i="13"/>
  <c r="G88" i="13"/>
  <c r="H88" i="13" s="1"/>
  <c r="J87" i="13"/>
  <c r="G87" i="13"/>
  <c r="H87" i="13" s="1"/>
  <c r="J86" i="13"/>
  <c r="G86" i="13"/>
  <c r="H86" i="13" s="1"/>
  <c r="J85" i="13"/>
  <c r="G85" i="13"/>
  <c r="H85" i="13" s="1"/>
  <c r="J84" i="13"/>
  <c r="G84" i="13"/>
  <c r="H84" i="13" s="1"/>
  <c r="J83" i="13"/>
  <c r="G83" i="13"/>
  <c r="H83" i="13" s="1"/>
  <c r="J82" i="13"/>
  <c r="G82" i="13"/>
  <c r="H82" i="13" s="1"/>
  <c r="J81" i="13"/>
  <c r="G81" i="13"/>
  <c r="H81" i="13" s="1"/>
  <c r="J80" i="13"/>
  <c r="G80" i="13"/>
  <c r="H80" i="13" s="1"/>
  <c r="J79" i="13"/>
  <c r="G79" i="13"/>
  <c r="H79" i="13" s="1"/>
  <c r="J78" i="13"/>
  <c r="G78" i="13"/>
  <c r="H78" i="13" s="1"/>
  <c r="J77" i="13"/>
  <c r="G77" i="13"/>
  <c r="H77" i="13" s="1"/>
  <c r="J76" i="13"/>
  <c r="G76" i="13"/>
  <c r="H76" i="13" s="1"/>
  <c r="J75" i="13"/>
  <c r="G75" i="13"/>
  <c r="H75" i="13" s="1"/>
  <c r="J74" i="13"/>
  <c r="G74" i="13"/>
  <c r="H74" i="13" s="1"/>
  <c r="J73" i="13"/>
  <c r="G73" i="13"/>
  <c r="H73" i="13" s="1"/>
  <c r="J72" i="13"/>
  <c r="G72" i="13"/>
  <c r="H72" i="13" s="1"/>
  <c r="J71" i="13"/>
  <c r="G71" i="13"/>
  <c r="H71" i="13" s="1"/>
  <c r="J70" i="13"/>
  <c r="G70" i="13"/>
  <c r="H70" i="13" s="1"/>
  <c r="J69" i="13"/>
  <c r="G69" i="13"/>
  <c r="H69" i="13" s="1"/>
  <c r="J68" i="13"/>
  <c r="G68" i="13"/>
  <c r="H68" i="13" s="1"/>
  <c r="J67" i="13"/>
  <c r="G67" i="13"/>
  <c r="H67" i="13" s="1"/>
  <c r="J66" i="13"/>
  <c r="G66" i="13"/>
  <c r="H66" i="13" s="1"/>
  <c r="J65" i="13"/>
  <c r="G65" i="13"/>
  <c r="H65" i="13" s="1"/>
  <c r="J64" i="13"/>
  <c r="G64" i="13"/>
  <c r="H64" i="13" s="1"/>
  <c r="J63" i="13"/>
  <c r="G63" i="13"/>
  <c r="H63" i="13" s="1"/>
  <c r="J62" i="13"/>
  <c r="G62" i="13"/>
  <c r="H62" i="13" s="1"/>
  <c r="J61" i="13"/>
  <c r="G61" i="13"/>
  <c r="H61" i="13" s="1"/>
  <c r="J60" i="13"/>
  <c r="G60" i="13"/>
  <c r="H60" i="13" s="1"/>
  <c r="J59" i="13"/>
  <c r="G59" i="13"/>
  <c r="H59" i="13" s="1"/>
  <c r="J58" i="13"/>
  <c r="G58" i="13"/>
  <c r="H58" i="13" s="1"/>
  <c r="J57" i="13"/>
  <c r="G57" i="13"/>
  <c r="H57" i="13" s="1"/>
  <c r="J56" i="13"/>
  <c r="G56" i="13"/>
  <c r="H56" i="13" s="1"/>
  <c r="J55" i="13"/>
  <c r="G55" i="13"/>
  <c r="H55" i="13" s="1"/>
  <c r="J54" i="13"/>
  <c r="G54" i="13"/>
  <c r="H54" i="13" s="1"/>
  <c r="J53" i="13"/>
  <c r="G53" i="13"/>
  <c r="H53" i="13" s="1"/>
  <c r="J52" i="13"/>
  <c r="G52" i="13"/>
  <c r="H52" i="13" s="1"/>
  <c r="J51" i="13"/>
  <c r="G51" i="13"/>
  <c r="H51" i="13" s="1"/>
  <c r="J50" i="13"/>
  <c r="G50" i="13"/>
  <c r="H50" i="13" s="1"/>
  <c r="J49" i="13"/>
  <c r="G49" i="13"/>
  <c r="H49" i="13" s="1"/>
  <c r="J48" i="13"/>
  <c r="G48" i="13"/>
  <c r="H48" i="13" s="1"/>
  <c r="J47" i="13"/>
  <c r="G47" i="13"/>
  <c r="H47" i="13" s="1"/>
  <c r="J46" i="13"/>
  <c r="G46" i="13"/>
  <c r="H46" i="13" s="1"/>
  <c r="J45" i="13"/>
  <c r="G45" i="13"/>
  <c r="H45" i="13" s="1"/>
  <c r="J44" i="13"/>
  <c r="G44" i="13"/>
  <c r="H44" i="13" s="1"/>
  <c r="J43" i="13"/>
  <c r="G43" i="13"/>
  <c r="H43" i="13" s="1"/>
  <c r="J42" i="13"/>
  <c r="G42" i="13"/>
  <c r="H42" i="13" s="1"/>
  <c r="J41" i="13"/>
  <c r="G41" i="13"/>
  <c r="H41" i="13" s="1"/>
  <c r="J40" i="13"/>
  <c r="G40" i="13"/>
  <c r="H40" i="13" s="1"/>
  <c r="J39" i="13"/>
  <c r="G39" i="13"/>
  <c r="H39" i="13" s="1"/>
  <c r="J38" i="13"/>
  <c r="G38" i="13"/>
  <c r="H38" i="13" s="1"/>
  <c r="J37" i="13"/>
  <c r="G37" i="13"/>
  <c r="H37" i="13" s="1"/>
  <c r="J36" i="13"/>
  <c r="G36" i="13"/>
  <c r="H36" i="13" s="1"/>
  <c r="J35" i="13"/>
  <c r="G35" i="13"/>
  <c r="H35" i="13" s="1"/>
  <c r="J34" i="13"/>
  <c r="G34" i="13"/>
  <c r="H34" i="13" s="1"/>
  <c r="J33" i="13"/>
  <c r="G33" i="13"/>
  <c r="H33" i="13" s="1"/>
  <c r="J32" i="13"/>
  <c r="G32" i="13"/>
  <c r="H32" i="13" s="1"/>
  <c r="J31" i="13"/>
  <c r="G31" i="13"/>
  <c r="H31" i="13" s="1"/>
  <c r="J30" i="13"/>
  <c r="G30" i="13"/>
  <c r="H30" i="13" s="1"/>
  <c r="J29" i="13"/>
  <c r="G29" i="13"/>
  <c r="H29" i="13" s="1"/>
  <c r="J28" i="13"/>
  <c r="G28" i="13"/>
  <c r="H28" i="13" s="1"/>
  <c r="J27" i="13"/>
  <c r="G27" i="13"/>
  <c r="H27" i="13" s="1"/>
  <c r="J26" i="13"/>
  <c r="G26" i="13"/>
  <c r="H26" i="13" s="1"/>
  <c r="J25" i="13"/>
  <c r="G25" i="13"/>
  <c r="H25" i="13" s="1"/>
  <c r="J24" i="13"/>
  <c r="G24" i="13"/>
  <c r="H24" i="13" s="1"/>
  <c r="J23" i="13"/>
  <c r="G23" i="13"/>
  <c r="H23" i="13" s="1"/>
  <c r="J22" i="13"/>
  <c r="G22" i="13"/>
  <c r="H22" i="13" s="1"/>
  <c r="J21" i="13"/>
  <c r="G21" i="13"/>
  <c r="H21" i="13" s="1"/>
  <c r="J20" i="13"/>
  <c r="G20" i="13"/>
  <c r="H20" i="13" s="1"/>
  <c r="P17" i="13"/>
  <c r="J19" i="13"/>
  <c r="G19" i="13"/>
  <c r="H19" i="13" s="1"/>
  <c r="P16" i="13"/>
  <c r="P18" i="13" s="1"/>
  <c r="J18" i="13"/>
  <c r="G18" i="13"/>
  <c r="H18" i="13" s="1"/>
  <c r="P15" i="13"/>
  <c r="J17" i="13"/>
  <c r="G17" i="13"/>
  <c r="H17" i="13" s="1"/>
  <c r="J16" i="13"/>
  <c r="G16" i="13"/>
  <c r="H16" i="13" s="1"/>
  <c r="J15" i="13"/>
  <c r="G15" i="13"/>
  <c r="H15" i="13" s="1"/>
  <c r="J14" i="13"/>
  <c r="G14" i="13"/>
  <c r="H14" i="13" s="1"/>
  <c r="J13" i="13"/>
  <c r="G13" i="13"/>
  <c r="H13" i="13" s="1"/>
  <c r="J12" i="13"/>
  <c r="G12" i="13"/>
  <c r="H12" i="13" s="1"/>
  <c r="P10" i="13"/>
  <c r="J11" i="13"/>
  <c r="G11" i="13"/>
  <c r="H11" i="13" s="1"/>
  <c r="P9" i="13"/>
  <c r="J10" i="13"/>
  <c r="G10" i="13"/>
  <c r="H10" i="13" s="1"/>
  <c r="P8" i="13"/>
  <c r="J9" i="13"/>
  <c r="G9" i="13"/>
  <c r="H9" i="13" s="1"/>
  <c r="J8" i="13"/>
  <c r="G8" i="13"/>
  <c r="H8" i="13" s="1"/>
  <c r="P5" i="13"/>
  <c r="J7" i="13"/>
  <c r="G7" i="13"/>
  <c r="H7" i="13" s="1"/>
  <c r="P4" i="13"/>
  <c r="J6" i="13"/>
  <c r="G6" i="13"/>
  <c r="H6" i="13" s="1"/>
  <c r="P3" i="13"/>
  <c r="T5" i="13" s="1"/>
  <c r="V9" i="13" s="1"/>
  <c r="W9" i="13" s="1"/>
  <c r="J5" i="13"/>
  <c r="G5" i="13"/>
  <c r="H5" i="13" s="1"/>
  <c r="J4" i="13"/>
  <c r="G4" i="13"/>
  <c r="H4" i="13" s="1"/>
  <c r="J226" i="12"/>
  <c r="G226" i="12"/>
  <c r="H226" i="12" s="1"/>
  <c r="J225" i="12"/>
  <c r="G225" i="12"/>
  <c r="H225" i="12" s="1"/>
  <c r="J224" i="12"/>
  <c r="G224" i="12"/>
  <c r="H224" i="12" s="1"/>
  <c r="J223" i="12"/>
  <c r="G223" i="12"/>
  <c r="H223" i="12" s="1"/>
  <c r="J222" i="12"/>
  <c r="G222" i="12"/>
  <c r="H222" i="12" s="1"/>
  <c r="J221" i="12"/>
  <c r="G221" i="12"/>
  <c r="H221" i="12" s="1"/>
  <c r="J220" i="12"/>
  <c r="G220" i="12"/>
  <c r="H220" i="12" s="1"/>
  <c r="J219" i="12"/>
  <c r="G219" i="12"/>
  <c r="H219" i="12" s="1"/>
  <c r="J218" i="12"/>
  <c r="G218" i="12"/>
  <c r="H218" i="12" s="1"/>
  <c r="J217" i="12"/>
  <c r="G217" i="12"/>
  <c r="H217" i="12" s="1"/>
  <c r="J216" i="12"/>
  <c r="G216" i="12"/>
  <c r="H216" i="12" s="1"/>
  <c r="J215" i="12"/>
  <c r="G215" i="12"/>
  <c r="H215" i="12" s="1"/>
  <c r="J214" i="12"/>
  <c r="G214" i="12"/>
  <c r="H214" i="12" s="1"/>
  <c r="J213" i="12"/>
  <c r="G213" i="12"/>
  <c r="H213" i="12" s="1"/>
  <c r="J212" i="12"/>
  <c r="G212" i="12"/>
  <c r="H212" i="12" s="1"/>
  <c r="J211" i="12"/>
  <c r="G211" i="12"/>
  <c r="H211" i="12" s="1"/>
  <c r="J210" i="12"/>
  <c r="G210" i="12"/>
  <c r="H210" i="12" s="1"/>
  <c r="J209" i="12"/>
  <c r="G209" i="12"/>
  <c r="H209" i="12" s="1"/>
  <c r="J208" i="12"/>
  <c r="G208" i="12"/>
  <c r="H208" i="12" s="1"/>
  <c r="J207" i="12"/>
  <c r="G207" i="12"/>
  <c r="H207" i="12" s="1"/>
  <c r="J206" i="12"/>
  <c r="G206" i="12"/>
  <c r="H206" i="12" s="1"/>
  <c r="J205" i="12"/>
  <c r="G205" i="12"/>
  <c r="H205" i="12" s="1"/>
  <c r="J204" i="12"/>
  <c r="G204" i="12"/>
  <c r="H204" i="12" s="1"/>
  <c r="J203" i="12"/>
  <c r="G203" i="12"/>
  <c r="H203" i="12" s="1"/>
  <c r="J202" i="12"/>
  <c r="G202" i="12"/>
  <c r="H202" i="12" s="1"/>
  <c r="J201" i="12"/>
  <c r="G201" i="12"/>
  <c r="H201" i="12" s="1"/>
  <c r="J200" i="12"/>
  <c r="G200" i="12"/>
  <c r="H200" i="12" s="1"/>
  <c r="J199" i="12"/>
  <c r="G199" i="12"/>
  <c r="H199" i="12" s="1"/>
  <c r="J198" i="12"/>
  <c r="G198" i="12"/>
  <c r="H198" i="12" s="1"/>
  <c r="J197" i="12"/>
  <c r="G197" i="12"/>
  <c r="H197" i="12" s="1"/>
  <c r="J196" i="12"/>
  <c r="G196" i="12"/>
  <c r="H196" i="12" s="1"/>
  <c r="J195" i="12"/>
  <c r="G195" i="12"/>
  <c r="H195" i="12" s="1"/>
  <c r="J194" i="12"/>
  <c r="G194" i="12"/>
  <c r="H194" i="12" s="1"/>
  <c r="J193" i="12"/>
  <c r="G193" i="12"/>
  <c r="H193" i="12" s="1"/>
  <c r="J192" i="12"/>
  <c r="G192" i="12"/>
  <c r="H192" i="12" s="1"/>
  <c r="J191" i="12"/>
  <c r="G191" i="12"/>
  <c r="H191" i="12" s="1"/>
  <c r="J190" i="12"/>
  <c r="G190" i="12"/>
  <c r="H190" i="12" s="1"/>
  <c r="J189" i="12"/>
  <c r="G189" i="12"/>
  <c r="H189" i="12" s="1"/>
  <c r="J188" i="12"/>
  <c r="G188" i="12"/>
  <c r="H188" i="12" s="1"/>
  <c r="J187" i="12"/>
  <c r="G187" i="12"/>
  <c r="H187" i="12" s="1"/>
  <c r="J186" i="12"/>
  <c r="G186" i="12"/>
  <c r="H186" i="12" s="1"/>
  <c r="J185" i="12"/>
  <c r="G185" i="12"/>
  <c r="H185" i="12" s="1"/>
  <c r="J184" i="12"/>
  <c r="G184" i="12"/>
  <c r="H184" i="12" s="1"/>
  <c r="J183" i="12"/>
  <c r="G183" i="12"/>
  <c r="H183" i="12" s="1"/>
  <c r="J182" i="12"/>
  <c r="G182" i="12"/>
  <c r="H182" i="12" s="1"/>
  <c r="J181" i="12"/>
  <c r="G181" i="12"/>
  <c r="H181" i="12" s="1"/>
  <c r="J180" i="12"/>
  <c r="G180" i="12"/>
  <c r="H180" i="12" s="1"/>
  <c r="J179" i="12"/>
  <c r="G179" i="12"/>
  <c r="H179" i="12" s="1"/>
  <c r="J178" i="12"/>
  <c r="G178" i="12"/>
  <c r="H178" i="12" s="1"/>
  <c r="J177" i="12"/>
  <c r="G177" i="12"/>
  <c r="H177" i="12" s="1"/>
  <c r="J176" i="12"/>
  <c r="G176" i="12"/>
  <c r="H176" i="12" s="1"/>
  <c r="J175" i="12"/>
  <c r="G175" i="12"/>
  <c r="H175" i="12" s="1"/>
  <c r="J174" i="12"/>
  <c r="G174" i="12"/>
  <c r="H174" i="12" s="1"/>
  <c r="J173" i="12"/>
  <c r="G173" i="12"/>
  <c r="H173" i="12" s="1"/>
  <c r="J172" i="12"/>
  <c r="G172" i="12"/>
  <c r="H172" i="12" s="1"/>
  <c r="J171" i="12"/>
  <c r="G171" i="12"/>
  <c r="H171" i="12" s="1"/>
  <c r="J170" i="12"/>
  <c r="G170" i="12"/>
  <c r="H170" i="12" s="1"/>
  <c r="J169" i="12"/>
  <c r="G169" i="12"/>
  <c r="H169" i="12" s="1"/>
  <c r="J168" i="12"/>
  <c r="G168" i="12"/>
  <c r="H168" i="12" s="1"/>
  <c r="J167" i="12"/>
  <c r="G167" i="12"/>
  <c r="H167" i="12" s="1"/>
  <c r="J166" i="12"/>
  <c r="G166" i="12"/>
  <c r="H166" i="12" s="1"/>
  <c r="J165" i="12"/>
  <c r="G165" i="12"/>
  <c r="H165" i="12" s="1"/>
  <c r="J164" i="12"/>
  <c r="G164" i="12"/>
  <c r="H164" i="12" s="1"/>
  <c r="J163" i="12"/>
  <c r="G163" i="12"/>
  <c r="H163" i="12" s="1"/>
  <c r="J162" i="12"/>
  <c r="G162" i="12"/>
  <c r="H162" i="12" s="1"/>
  <c r="J161" i="12"/>
  <c r="G161" i="12"/>
  <c r="H161" i="12" s="1"/>
  <c r="J160" i="12"/>
  <c r="G160" i="12"/>
  <c r="H160" i="12" s="1"/>
  <c r="J159" i="12"/>
  <c r="G159" i="12"/>
  <c r="H159" i="12" s="1"/>
  <c r="J158" i="12"/>
  <c r="G158" i="12"/>
  <c r="H158" i="12" s="1"/>
  <c r="J157" i="12"/>
  <c r="G157" i="12"/>
  <c r="H157" i="12" s="1"/>
  <c r="J156" i="12"/>
  <c r="G156" i="12"/>
  <c r="H156" i="12" s="1"/>
  <c r="J155" i="12"/>
  <c r="G155" i="12"/>
  <c r="H155" i="12" s="1"/>
  <c r="J154" i="12"/>
  <c r="G154" i="12"/>
  <c r="H154" i="12" s="1"/>
  <c r="J153" i="12"/>
  <c r="G153" i="12"/>
  <c r="H153" i="12" s="1"/>
  <c r="J152" i="12"/>
  <c r="G152" i="12"/>
  <c r="H152" i="12" s="1"/>
  <c r="J151" i="12"/>
  <c r="G151" i="12"/>
  <c r="H151" i="12" s="1"/>
  <c r="J150" i="12"/>
  <c r="G150" i="12"/>
  <c r="H150" i="12" s="1"/>
  <c r="J149" i="12"/>
  <c r="G149" i="12"/>
  <c r="H149" i="12" s="1"/>
  <c r="J148" i="12"/>
  <c r="G148" i="12"/>
  <c r="H148" i="12" s="1"/>
  <c r="J147" i="12"/>
  <c r="G147" i="12"/>
  <c r="H147" i="12" s="1"/>
  <c r="J146" i="12"/>
  <c r="G146" i="12"/>
  <c r="H146" i="12" s="1"/>
  <c r="J145" i="12"/>
  <c r="G145" i="12"/>
  <c r="H145" i="12" s="1"/>
  <c r="J144" i="12"/>
  <c r="G144" i="12"/>
  <c r="H144" i="12" s="1"/>
  <c r="J143" i="12"/>
  <c r="G143" i="12"/>
  <c r="H143" i="12" s="1"/>
  <c r="J142" i="12"/>
  <c r="G142" i="12"/>
  <c r="H142" i="12" s="1"/>
  <c r="J141" i="12"/>
  <c r="G141" i="12"/>
  <c r="H141" i="12" s="1"/>
  <c r="J140" i="12"/>
  <c r="G140" i="12"/>
  <c r="H140" i="12" s="1"/>
  <c r="J139" i="12"/>
  <c r="G139" i="12"/>
  <c r="H139" i="12" s="1"/>
  <c r="J138" i="12"/>
  <c r="G138" i="12"/>
  <c r="H138" i="12" s="1"/>
  <c r="J137" i="12"/>
  <c r="G137" i="12"/>
  <c r="H137" i="12" s="1"/>
  <c r="J136" i="12"/>
  <c r="G136" i="12"/>
  <c r="H136" i="12" s="1"/>
  <c r="J135" i="12"/>
  <c r="G135" i="12"/>
  <c r="H135" i="12" s="1"/>
  <c r="J134" i="12"/>
  <c r="G134" i="12"/>
  <c r="H134" i="12" s="1"/>
  <c r="J133" i="12"/>
  <c r="G133" i="12"/>
  <c r="H133" i="12" s="1"/>
  <c r="J132" i="12"/>
  <c r="G132" i="12"/>
  <c r="H132" i="12" s="1"/>
  <c r="J131" i="12"/>
  <c r="G131" i="12"/>
  <c r="H131" i="12" s="1"/>
  <c r="J130" i="12"/>
  <c r="G130" i="12"/>
  <c r="H130" i="12" s="1"/>
  <c r="J129" i="12"/>
  <c r="G129" i="12"/>
  <c r="H129" i="12" s="1"/>
  <c r="J128" i="12"/>
  <c r="G128" i="12"/>
  <c r="H128" i="12" s="1"/>
  <c r="J127" i="12"/>
  <c r="G127" i="12"/>
  <c r="H127" i="12" s="1"/>
  <c r="J126" i="12"/>
  <c r="G126" i="12"/>
  <c r="H126" i="12" s="1"/>
  <c r="J125" i="12"/>
  <c r="G125" i="12"/>
  <c r="H125" i="12" s="1"/>
  <c r="J124" i="12"/>
  <c r="G124" i="12"/>
  <c r="H124" i="12" s="1"/>
  <c r="J123" i="12"/>
  <c r="G123" i="12"/>
  <c r="H123" i="12" s="1"/>
  <c r="J122" i="12"/>
  <c r="G122" i="12"/>
  <c r="H122" i="12" s="1"/>
  <c r="J121" i="12"/>
  <c r="G121" i="12"/>
  <c r="H121" i="12" s="1"/>
  <c r="J120" i="12"/>
  <c r="G120" i="12"/>
  <c r="H120" i="12" s="1"/>
  <c r="J119" i="12"/>
  <c r="G119" i="12"/>
  <c r="H119" i="12" s="1"/>
  <c r="J118" i="12"/>
  <c r="G118" i="12"/>
  <c r="H118" i="12" s="1"/>
  <c r="J117" i="12"/>
  <c r="G117" i="12"/>
  <c r="H117" i="12" s="1"/>
  <c r="J116" i="12"/>
  <c r="G116" i="12"/>
  <c r="H116" i="12" s="1"/>
  <c r="J115" i="12"/>
  <c r="G115" i="12"/>
  <c r="H115" i="12" s="1"/>
  <c r="J114" i="12"/>
  <c r="G114" i="12"/>
  <c r="H114" i="12" s="1"/>
  <c r="J113" i="12"/>
  <c r="G113" i="12"/>
  <c r="H113" i="12" s="1"/>
  <c r="J112" i="12"/>
  <c r="G112" i="12"/>
  <c r="H112" i="12" s="1"/>
  <c r="J111" i="12"/>
  <c r="G111" i="12"/>
  <c r="H111" i="12" s="1"/>
  <c r="J110" i="12"/>
  <c r="G110" i="12"/>
  <c r="H110" i="12" s="1"/>
  <c r="J109" i="12"/>
  <c r="G109" i="12"/>
  <c r="H109" i="12" s="1"/>
  <c r="J108" i="12"/>
  <c r="G108" i="12"/>
  <c r="H108" i="12" s="1"/>
  <c r="J107" i="12"/>
  <c r="G107" i="12"/>
  <c r="H107" i="12" s="1"/>
  <c r="J106" i="12"/>
  <c r="G106" i="12"/>
  <c r="H106" i="12" s="1"/>
  <c r="J105" i="12"/>
  <c r="G105" i="12"/>
  <c r="H105" i="12" s="1"/>
  <c r="J104" i="12"/>
  <c r="G104" i="12"/>
  <c r="H104" i="12" s="1"/>
  <c r="J103" i="12"/>
  <c r="G103" i="12"/>
  <c r="H103" i="12" s="1"/>
  <c r="J102" i="12"/>
  <c r="G102" i="12"/>
  <c r="H102" i="12" s="1"/>
  <c r="J101" i="12"/>
  <c r="G101" i="12"/>
  <c r="H101" i="12" s="1"/>
  <c r="J100" i="12"/>
  <c r="G100" i="12"/>
  <c r="H100" i="12" s="1"/>
  <c r="J99" i="12"/>
  <c r="G99" i="12"/>
  <c r="H99" i="12" s="1"/>
  <c r="J98" i="12"/>
  <c r="G98" i="12"/>
  <c r="H98" i="12" s="1"/>
  <c r="J97" i="12"/>
  <c r="G97" i="12"/>
  <c r="H97" i="12" s="1"/>
  <c r="J96" i="12"/>
  <c r="G96" i="12"/>
  <c r="H96" i="12" s="1"/>
  <c r="J95" i="12"/>
  <c r="G95" i="12"/>
  <c r="H95" i="12" s="1"/>
  <c r="J94" i="12"/>
  <c r="G94" i="12"/>
  <c r="H94" i="12" s="1"/>
  <c r="J93" i="12"/>
  <c r="G93" i="12"/>
  <c r="H93" i="12" s="1"/>
  <c r="J92" i="12"/>
  <c r="G92" i="12"/>
  <c r="H92" i="12" s="1"/>
  <c r="J91" i="12"/>
  <c r="G91" i="12"/>
  <c r="H91" i="12" s="1"/>
  <c r="J90" i="12"/>
  <c r="G90" i="12"/>
  <c r="H90" i="12" s="1"/>
  <c r="J89" i="12"/>
  <c r="G89" i="12"/>
  <c r="H89" i="12" s="1"/>
  <c r="J88" i="12"/>
  <c r="G88" i="12"/>
  <c r="H88" i="12" s="1"/>
  <c r="J87" i="12"/>
  <c r="G87" i="12"/>
  <c r="H87" i="12" s="1"/>
  <c r="J86" i="12"/>
  <c r="G86" i="12"/>
  <c r="H86" i="12" s="1"/>
  <c r="J85" i="12"/>
  <c r="G85" i="12"/>
  <c r="H85" i="12" s="1"/>
  <c r="J84" i="12"/>
  <c r="G84" i="12"/>
  <c r="H84" i="12" s="1"/>
  <c r="J83" i="12"/>
  <c r="G83" i="12"/>
  <c r="H83" i="12" s="1"/>
  <c r="J82" i="12"/>
  <c r="G82" i="12"/>
  <c r="H82" i="12" s="1"/>
  <c r="J81" i="12"/>
  <c r="G81" i="12"/>
  <c r="H81" i="12" s="1"/>
  <c r="J80" i="12"/>
  <c r="G80" i="12"/>
  <c r="H80" i="12" s="1"/>
  <c r="J79" i="12"/>
  <c r="G79" i="12"/>
  <c r="H79" i="12" s="1"/>
  <c r="J78" i="12"/>
  <c r="G78" i="12"/>
  <c r="H78" i="12" s="1"/>
  <c r="J77" i="12"/>
  <c r="G77" i="12"/>
  <c r="H77" i="12" s="1"/>
  <c r="J76" i="12"/>
  <c r="G76" i="12"/>
  <c r="H76" i="12" s="1"/>
  <c r="J75" i="12"/>
  <c r="G75" i="12"/>
  <c r="H75" i="12" s="1"/>
  <c r="J74" i="12"/>
  <c r="G74" i="12"/>
  <c r="H74" i="12" s="1"/>
  <c r="J73" i="12"/>
  <c r="G73" i="12"/>
  <c r="H73" i="12" s="1"/>
  <c r="J72" i="12"/>
  <c r="G72" i="12"/>
  <c r="H72" i="12" s="1"/>
  <c r="J71" i="12"/>
  <c r="G71" i="12"/>
  <c r="H71" i="12" s="1"/>
  <c r="J70" i="12"/>
  <c r="G70" i="12"/>
  <c r="H70" i="12" s="1"/>
  <c r="J69" i="12"/>
  <c r="G69" i="12"/>
  <c r="H69" i="12" s="1"/>
  <c r="J68" i="12"/>
  <c r="G68" i="12"/>
  <c r="H68" i="12" s="1"/>
  <c r="J67" i="12"/>
  <c r="G67" i="12"/>
  <c r="H67" i="12" s="1"/>
  <c r="J66" i="12"/>
  <c r="G66" i="12"/>
  <c r="H66" i="12" s="1"/>
  <c r="J65" i="12"/>
  <c r="G65" i="12"/>
  <c r="H65" i="12" s="1"/>
  <c r="J64" i="12"/>
  <c r="G64" i="12"/>
  <c r="H64" i="12" s="1"/>
  <c r="J63" i="12"/>
  <c r="G63" i="12"/>
  <c r="H63" i="12" s="1"/>
  <c r="J62" i="12"/>
  <c r="G62" i="12"/>
  <c r="H62" i="12" s="1"/>
  <c r="J61" i="12"/>
  <c r="G61" i="12"/>
  <c r="H61" i="12" s="1"/>
  <c r="J60" i="12"/>
  <c r="G60" i="12"/>
  <c r="H60" i="12" s="1"/>
  <c r="J59" i="12"/>
  <c r="G59" i="12"/>
  <c r="H59" i="12" s="1"/>
  <c r="J58" i="12"/>
  <c r="G58" i="12"/>
  <c r="H58" i="12" s="1"/>
  <c r="J57" i="12"/>
  <c r="G57" i="12"/>
  <c r="H57" i="12" s="1"/>
  <c r="J56" i="12"/>
  <c r="G56" i="12"/>
  <c r="H56" i="12" s="1"/>
  <c r="J55" i="12"/>
  <c r="G55" i="12"/>
  <c r="H55" i="12" s="1"/>
  <c r="J54" i="12"/>
  <c r="G54" i="12"/>
  <c r="H54" i="12" s="1"/>
  <c r="J53" i="12"/>
  <c r="G53" i="12"/>
  <c r="H53" i="12" s="1"/>
  <c r="J52" i="12"/>
  <c r="G52" i="12"/>
  <c r="H52" i="12" s="1"/>
  <c r="J51" i="12"/>
  <c r="G51" i="12"/>
  <c r="H51" i="12" s="1"/>
  <c r="J50" i="12"/>
  <c r="G50" i="12"/>
  <c r="H50" i="12" s="1"/>
  <c r="J49" i="12"/>
  <c r="G49" i="12"/>
  <c r="H49" i="12" s="1"/>
  <c r="J48" i="12"/>
  <c r="G48" i="12"/>
  <c r="H48" i="12" s="1"/>
  <c r="J47" i="12"/>
  <c r="G47" i="12"/>
  <c r="H47" i="12" s="1"/>
  <c r="J46" i="12"/>
  <c r="G46" i="12"/>
  <c r="H46" i="12" s="1"/>
  <c r="J45" i="12"/>
  <c r="G45" i="12"/>
  <c r="H45" i="12" s="1"/>
  <c r="J44" i="12"/>
  <c r="G44" i="12"/>
  <c r="H44" i="12" s="1"/>
  <c r="J43" i="12"/>
  <c r="G43" i="12"/>
  <c r="H43" i="12" s="1"/>
  <c r="J42" i="12"/>
  <c r="G42" i="12"/>
  <c r="H42" i="12" s="1"/>
  <c r="J41" i="12"/>
  <c r="G41" i="12"/>
  <c r="H41" i="12" s="1"/>
  <c r="J40" i="12"/>
  <c r="G40" i="12"/>
  <c r="H40" i="12" s="1"/>
  <c r="J39" i="12"/>
  <c r="G39" i="12"/>
  <c r="H39" i="12" s="1"/>
  <c r="J38" i="12"/>
  <c r="G38" i="12"/>
  <c r="H38" i="12" s="1"/>
  <c r="J37" i="12"/>
  <c r="G37" i="12"/>
  <c r="H37" i="12" s="1"/>
  <c r="J36" i="12"/>
  <c r="G36" i="12"/>
  <c r="H36" i="12" s="1"/>
  <c r="J35" i="12"/>
  <c r="G35" i="12"/>
  <c r="H35" i="12" s="1"/>
  <c r="J34" i="12"/>
  <c r="G34" i="12"/>
  <c r="H34" i="12" s="1"/>
  <c r="J33" i="12"/>
  <c r="G33" i="12"/>
  <c r="H33" i="12" s="1"/>
  <c r="J32" i="12"/>
  <c r="G32" i="12"/>
  <c r="H32" i="12" s="1"/>
  <c r="J31" i="12"/>
  <c r="G31" i="12"/>
  <c r="H31" i="12" s="1"/>
  <c r="J30" i="12"/>
  <c r="G30" i="12"/>
  <c r="H30" i="12" s="1"/>
  <c r="J29" i="12"/>
  <c r="G29" i="12"/>
  <c r="H29" i="12" s="1"/>
  <c r="J28" i="12"/>
  <c r="G28" i="12"/>
  <c r="H28" i="12" s="1"/>
  <c r="J27" i="12"/>
  <c r="G27" i="12"/>
  <c r="H27" i="12" s="1"/>
  <c r="J26" i="12"/>
  <c r="G26" i="12"/>
  <c r="H26" i="12" s="1"/>
  <c r="J25" i="12"/>
  <c r="G25" i="12"/>
  <c r="H25" i="12" s="1"/>
  <c r="J24" i="12"/>
  <c r="G24" i="12"/>
  <c r="H24" i="12" s="1"/>
  <c r="J23" i="12"/>
  <c r="G23" i="12"/>
  <c r="H23" i="12" s="1"/>
  <c r="J22" i="12"/>
  <c r="G22" i="12"/>
  <c r="H22" i="12" s="1"/>
  <c r="J21" i="12"/>
  <c r="G21" i="12"/>
  <c r="H21" i="12" s="1"/>
  <c r="J20" i="12"/>
  <c r="G20" i="12"/>
  <c r="H20" i="12" s="1"/>
  <c r="P17" i="12"/>
  <c r="J19" i="12"/>
  <c r="G19" i="12"/>
  <c r="H19" i="12" s="1"/>
  <c r="P16" i="12"/>
  <c r="J18" i="12"/>
  <c r="G18" i="12"/>
  <c r="H18" i="12" s="1"/>
  <c r="P15" i="12"/>
  <c r="J17" i="12"/>
  <c r="G17" i="12"/>
  <c r="H17" i="12" s="1"/>
  <c r="J16" i="12"/>
  <c r="G16" i="12"/>
  <c r="H16" i="12" s="1"/>
  <c r="J15" i="12"/>
  <c r="G15" i="12"/>
  <c r="H15" i="12" s="1"/>
  <c r="J14" i="12"/>
  <c r="G14" i="12"/>
  <c r="H14" i="12" s="1"/>
  <c r="J13" i="12"/>
  <c r="G13" i="12"/>
  <c r="H13" i="12" s="1"/>
  <c r="J12" i="12"/>
  <c r="G12" i="12"/>
  <c r="H12" i="12" s="1"/>
  <c r="P10" i="12"/>
  <c r="J11" i="12"/>
  <c r="G11" i="12"/>
  <c r="H11" i="12" s="1"/>
  <c r="P9" i="12"/>
  <c r="J10" i="12"/>
  <c r="G10" i="12"/>
  <c r="H10" i="12" s="1"/>
  <c r="P8" i="12"/>
  <c r="J9" i="12"/>
  <c r="G9" i="12"/>
  <c r="H9" i="12" s="1"/>
  <c r="J8" i="12"/>
  <c r="G8" i="12"/>
  <c r="H8" i="12" s="1"/>
  <c r="P5" i="12"/>
  <c r="J7" i="12"/>
  <c r="G7" i="12"/>
  <c r="H7" i="12" s="1"/>
  <c r="P4" i="12"/>
  <c r="J6" i="12"/>
  <c r="G6" i="12"/>
  <c r="H6" i="12" s="1"/>
  <c r="P3" i="12"/>
  <c r="T5" i="12" s="1"/>
  <c r="V9" i="12" s="1"/>
  <c r="W9" i="12" s="1"/>
  <c r="J5" i="12"/>
  <c r="G5" i="12"/>
  <c r="H5" i="12" s="1"/>
  <c r="J4" i="12"/>
  <c r="G4" i="12"/>
  <c r="H4" i="12" s="1"/>
  <c r="J226" i="11"/>
  <c r="G226" i="11"/>
  <c r="H226" i="11" s="1"/>
  <c r="J225" i="11"/>
  <c r="G225" i="11"/>
  <c r="H225" i="11" s="1"/>
  <c r="J224" i="11"/>
  <c r="G224" i="11"/>
  <c r="H224" i="11" s="1"/>
  <c r="J223" i="11"/>
  <c r="G223" i="11"/>
  <c r="H223" i="11" s="1"/>
  <c r="J222" i="11"/>
  <c r="G222" i="11"/>
  <c r="H222" i="11" s="1"/>
  <c r="J221" i="11"/>
  <c r="G221" i="11"/>
  <c r="H221" i="11" s="1"/>
  <c r="J220" i="11"/>
  <c r="G220" i="11"/>
  <c r="H220" i="11" s="1"/>
  <c r="J219" i="11"/>
  <c r="G219" i="11"/>
  <c r="H219" i="11" s="1"/>
  <c r="J218" i="11"/>
  <c r="G218" i="11"/>
  <c r="H218" i="11" s="1"/>
  <c r="J217" i="11"/>
  <c r="G217" i="11"/>
  <c r="H217" i="11" s="1"/>
  <c r="J216" i="11"/>
  <c r="G216" i="11"/>
  <c r="H216" i="11" s="1"/>
  <c r="J215" i="11"/>
  <c r="G215" i="11"/>
  <c r="H215" i="11" s="1"/>
  <c r="J214" i="11"/>
  <c r="G214" i="11"/>
  <c r="H214" i="11" s="1"/>
  <c r="J213" i="11"/>
  <c r="G213" i="11"/>
  <c r="H213" i="11" s="1"/>
  <c r="J212" i="11"/>
  <c r="G212" i="11"/>
  <c r="H212" i="11" s="1"/>
  <c r="J211" i="11"/>
  <c r="G211" i="11"/>
  <c r="H211" i="11" s="1"/>
  <c r="J210" i="11"/>
  <c r="G210" i="11"/>
  <c r="H210" i="11" s="1"/>
  <c r="J209" i="11"/>
  <c r="G209" i="11"/>
  <c r="H209" i="11" s="1"/>
  <c r="J208" i="11"/>
  <c r="G208" i="11"/>
  <c r="H208" i="11" s="1"/>
  <c r="J207" i="11"/>
  <c r="G207" i="11"/>
  <c r="H207" i="11" s="1"/>
  <c r="J206" i="11"/>
  <c r="G206" i="11"/>
  <c r="H206" i="11" s="1"/>
  <c r="J205" i="11"/>
  <c r="G205" i="11"/>
  <c r="H205" i="11" s="1"/>
  <c r="J204" i="11"/>
  <c r="G204" i="11"/>
  <c r="H204" i="11" s="1"/>
  <c r="J203" i="11"/>
  <c r="G203" i="11"/>
  <c r="H203" i="11" s="1"/>
  <c r="J202" i="11"/>
  <c r="G202" i="11"/>
  <c r="H202" i="11" s="1"/>
  <c r="J201" i="11"/>
  <c r="G201" i="11"/>
  <c r="H201" i="11" s="1"/>
  <c r="J200" i="11"/>
  <c r="G200" i="11"/>
  <c r="H200" i="11" s="1"/>
  <c r="J199" i="11"/>
  <c r="G199" i="11"/>
  <c r="H199" i="11" s="1"/>
  <c r="J198" i="11"/>
  <c r="G198" i="11"/>
  <c r="H198" i="11" s="1"/>
  <c r="J197" i="11"/>
  <c r="G197" i="11"/>
  <c r="H197" i="11" s="1"/>
  <c r="J196" i="11"/>
  <c r="G196" i="11"/>
  <c r="H196" i="11" s="1"/>
  <c r="J195" i="11"/>
  <c r="G195" i="11"/>
  <c r="H195" i="11" s="1"/>
  <c r="J194" i="11"/>
  <c r="G194" i="11"/>
  <c r="H194" i="11" s="1"/>
  <c r="J193" i="11"/>
  <c r="G193" i="11"/>
  <c r="H193" i="11" s="1"/>
  <c r="J192" i="11"/>
  <c r="G192" i="11"/>
  <c r="H192" i="11" s="1"/>
  <c r="J191" i="11"/>
  <c r="G191" i="11"/>
  <c r="H191" i="11" s="1"/>
  <c r="J190" i="11"/>
  <c r="G190" i="11"/>
  <c r="H190" i="11" s="1"/>
  <c r="J189" i="11"/>
  <c r="G189" i="11"/>
  <c r="H189" i="11" s="1"/>
  <c r="J188" i="11"/>
  <c r="G188" i="11"/>
  <c r="H188" i="11" s="1"/>
  <c r="J187" i="11"/>
  <c r="G187" i="11"/>
  <c r="H187" i="11" s="1"/>
  <c r="J186" i="11"/>
  <c r="G186" i="11"/>
  <c r="H186" i="11" s="1"/>
  <c r="J185" i="11"/>
  <c r="G185" i="11"/>
  <c r="H185" i="11" s="1"/>
  <c r="J184" i="11"/>
  <c r="G184" i="11"/>
  <c r="H184" i="11" s="1"/>
  <c r="J183" i="11"/>
  <c r="G183" i="11"/>
  <c r="H183" i="11" s="1"/>
  <c r="J182" i="11"/>
  <c r="G182" i="11"/>
  <c r="H182" i="11" s="1"/>
  <c r="J181" i="11"/>
  <c r="G181" i="11"/>
  <c r="H181" i="11" s="1"/>
  <c r="J180" i="11"/>
  <c r="G180" i="11"/>
  <c r="H180" i="11" s="1"/>
  <c r="J179" i="11"/>
  <c r="G179" i="11"/>
  <c r="H179" i="11" s="1"/>
  <c r="J178" i="11"/>
  <c r="G178" i="11"/>
  <c r="H178" i="11" s="1"/>
  <c r="J177" i="11"/>
  <c r="G177" i="11"/>
  <c r="H177" i="11" s="1"/>
  <c r="J176" i="11"/>
  <c r="G176" i="11"/>
  <c r="H176" i="11" s="1"/>
  <c r="J175" i="11"/>
  <c r="G175" i="11"/>
  <c r="H175" i="11" s="1"/>
  <c r="J174" i="11"/>
  <c r="G174" i="11"/>
  <c r="H174" i="11" s="1"/>
  <c r="J173" i="11"/>
  <c r="G173" i="11"/>
  <c r="H173" i="11" s="1"/>
  <c r="J172" i="11"/>
  <c r="G172" i="11"/>
  <c r="H172" i="11" s="1"/>
  <c r="J171" i="11"/>
  <c r="G171" i="11"/>
  <c r="H171" i="11" s="1"/>
  <c r="J170" i="11"/>
  <c r="G170" i="11"/>
  <c r="H170" i="11" s="1"/>
  <c r="J169" i="11"/>
  <c r="G169" i="11"/>
  <c r="H169" i="11" s="1"/>
  <c r="J168" i="11"/>
  <c r="G168" i="11"/>
  <c r="H168" i="11" s="1"/>
  <c r="J167" i="11"/>
  <c r="G167" i="11"/>
  <c r="H167" i="11" s="1"/>
  <c r="J166" i="11"/>
  <c r="G166" i="11"/>
  <c r="H166" i="11" s="1"/>
  <c r="J165" i="11"/>
  <c r="G165" i="11"/>
  <c r="H165" i="11" s="1"/>
  <c r="J164" i="11"/>
  <c r="G164" i="11"/>
  <c r="H164" i="11" s="1"/>
  <c r="J163" i="11"/>
  <c r="G163" i="11"/>
  <c r="H163" i="11" s="1"/>
  <c r="J162" i="11"/>
  <c r="G162" i="11"/>
  <c r="H162" i="11" s="1"/>
  <c r="J161" i="11"/>
  <c r="G161" i="11"/>
  <c r="H161" i="11" s="1"/>
  <c r="J160" i="11"/>
  <c r="G160" i="11"/>
  <c r="H160" i="11" s="1"/>
  <c r="J159" i="11"/>
  <c r="G159" i="11"/>
  <c r="H159" i="11" s="1"/>
  <c r="J158" i="11"/>
  <c r="G158" i="11"/>
  <c r="H158" i="11" s="1"/>
  <c r="J157" i="11"/>
  <c r="G157" i="11"/>
  <c r="H157" i="11" s="1"/>
  <c r="J156" i="11"/>
  <c r="G156" i="11"/>
  <c r="H156" i="11" s="1"/>
  <c r="J155" i="11"/>
  <c r="G155" i="11"/>
  <c r="H155" i="11" s="1"/>
  <c r="J154" i="11"/>
  <c r="G154" i="11"/>
  <c r="H154" i="11" s="1"/>
  <c r="J153" i="11"/>
  <c r="G153" i="11"/>
  <c r="H153" i="11" s="1"/>
  <c r="J152" i="11"/>
  <c r="G152" i="11"/>
  <c r="H152" i="11" s="1"/>
  <c r="J151" i="11"/>
  <c r="G151" i="11"/>
  <c r="H151" i="11" s="1"/>
  <c r="J150" i="11"/>
  <c r="G150" i="11"/>
  <c r="H150" i="11" s="1"/>
  <c r="J149" i="11"/>
  <c r="G149" i="11"/>
  <c r="H149" i="11" s="1"/>
  <c r="J148" i="11"/>
  <c r="G148" i="11"/>
  <c r="H148" i="11" s="1"/>
  <c r="J147" i="11"/>
  <c r="G147" i="11"/>
  <c r="H147" i="11" s="1"/>
  <c r="J146" i="11"/>
  <c r="G146" i="11"/>
  <c r="H146" i="11" s="1"/>
  <c r="J145" i="11"/>
  <c r="G145" i="11"/>
  <c r="H145" i="11" s="1"/>
  <c r="J144" i="11"/>
  <c r="G144" i="11"/>
  <c r="H144" i="11" s="1"/>
  <c r="J143" i="11"/>
  <c r="G143" i="11"/>
  <c r="H143" i="11" s="1"/>
  <c r="J142" i="11"/>
  <c r="G142" i="11"/>
  <c r="H142" i="11" s="1"/>
  <c r="J141" i="11"/>
  <c r="G141" i="11"/>
  <c r="H141" i="11" s="1"/>
  <c r="J140" i="11"/>
  <c r="G140" i="11"/>
  <c r="H140" i="11" s="1"/>
  <c r="J139" i="11"/>
  <c r="G139" i="11"/>
  <c r="H139" i="11" s="1"/>
  <c r="J138" i="11"/>
  <c r="G138" i="11"/>
  <c r="H138" i="11" s="1"/>
  <c r="J137" i="11"/>
  <c r="G137" i="11"/>
  <c r="H137" i="11" s="1"/>
  <c r="J136" i="11"/>
  <c r="G136" i="11"/>
  <c r="H136" i="11" s="1"/>
  <c r="J135" i="11"/>
  <c r="G135" i="11"/>
  <c r="H135" i="11" s="1"/>
  <c r="J134" i="11"/>
  <c r="G134" i="11"/>
  <c r="H134" i="11" s="1"/>
  <c r="J133" i="11"/>
  <c r="G133" i="11"/>
  <c r="H133" i="11" s="1"/>
  <c r="J132" i="11"/>
  <c r="G132" i="11"/>
  <c r="H132" i="11" s="1"/>
  <c r="J131" i="11"/>
  <c r="G131" i="11"/>
  <c r="H131" i="11" s="1"/>
  <c r="J130" i="11"/>
  <c r="G130" i="11"/>
  <c r="H130" i="11" s="1"/>
  <c r="J129" i="11"/>
  <c r="G129" i="11"/>
  <c r="H129" i="11" s="1"/>
  <c r="J128" i="11"/>
  <c r="G128" i="11"/>
  <c r="H128" i="11" s="1"/>
  <c r="J127" i="11"/>
  <c r="G127" i="11"/>
  <c r="H127" i="11" s="1"/>
  <c r="J126" i="11"/>
  <c r="G126" i="11"/>
  <c r="H126" i="11" s="1"/>
  <c r="J125" i="11"/>
  <c r="G125" i="11"/>
  <c r="H125" i="11" s="1"/>
  <c r="J124" i="11"/>
  <c r="G124" i="11"/>
  <c r="H124" i="11" s="1"/>
  <c r="J123" i="11"/>
  <c r="G123" i="11"/>
  <c r="H123" i="11" s="1"/>
  <c r="J122" i="11"/>
  <c r="G122" i="11"/>
  <c r="H122" i="11" s="1"/>
  <c r="J121" i="11"/>
  <c r="G121" i="11"/>
  <c r="H121" i="11" s="1"/>
  <c r="J120" i="11"/>
  <c r="G120" i="11"/>
  <c r="H120" i="11" s="1"/>
  <c r="J119" i="11"/>
  <c r="G119" i="11"/>
  <c r="H119" i="11" s="1"/>
  <c r="J118" i="11"/>
  <c r="G118" i="11"/>
  <c r="H118" i="11" s="1"/>
  <c r="J117" i="11"/>
  <c r="G117" i="11"/>
  <c r="H117" i="11" s="1"/>
  <c r="J116" i="11"/>
  <c r="G116" i="11"/>
  <c r="H116" i="11" s="1"/>
  <c r="J115" i="11"/>
  <c r="G115" i="11"/>
  <c r="H115" i="11" s="1"/>
  <c r="J114" i="11"/>
  <c r="G114" i="11"/>
  <c r="H114" i="11" s="1"/>
  <c r="J113" i="11"/>
  <c r="G113" i="11"/>
  <c r="H113" i="11" s="1"/>
  <c r="J112" i="11"/>
  <c r="G112" i="11"/>
  <c r="H112" i="11" s="1"/>
  <c r="J111" i="11"/>
  <c r="G111" i="11"/>
  <c r="H111" i="11" s="1"/>
  <c r="J110" i="11"/>
  <c r="G110" i="11"/>
  <c r="H110" i="11" s="1"/>
  <c r="J109" i="11"/>
  <c r="G109" i="11"/>
  <c r="H109" i="11" s="1"/>
  <c r="J108" i="11"/>
  <c r="G108" i="11"/>
  <c r="H108" i="11" s="1"/>
  <c r="J107" i="11"/>
  <c r="G107" i="11"/>
  <c r="H107" i="11" s="1"/>
  <c r="J106" i="11"/>
  <c r="G106" i="11"/>
  <c r="H106" i="11" s="1"/>
  <c r="J105" i="11"/>
  <c r="G105" i="11"/>
  <c r="H105" i="11" s="1"/>
  <c r="J104" i="11"/>
  <c r="G104" i="11"/>
  <c r="H104" i="11" s="1"/>
  <c r="J103" i="11"/>
  <c r="G103" i="11"/>
  <c r="H103" i="11" s="1"/>
  <c r="J102" i="11"/>
  <c r="G102" i="11"/>
  <c r="H102" i="11" s="1"/>
  <c r="J101" i="11"/>
  <c r="G101" i="11"/>
  <c r="H101" i="11" s="1"/>
  <c r="J100" i="11"/>
  <c r="G100" i="11"/>
  <c r="H100" i="11" s="1"/>
  <c r="J99" i="11"/>
  <c r="G99" i="11"/>
  <c r="H99" i="11" s="1"/>
  <c r="J98" i="11"/>
  <c r="G98" i="11"/>
  <c r="H98" i="11" s="1"/>
  <c r="J97" i="11"/>
  <c r="G97" i="11"/>
  <c r="H97" i="11" s="1"/>
  <c r="J96" i="11"/>
  <c r="G96" i="11"/>
  <c r="H96" i="11" s="1"/>
  <c r="J95" i="11"/>
  <c r="G95" i="11"/>
  <c r="H95" i="11" s="1"/>
  <c r="J94" i="11"/>
  <c r="G94" i="11"/>
  <c r="H94" i="11" s="1"/>
  <c r="J93" i="11"/>
  <c r="G93" i="11"/>
  <c r="H93" i="11" s="1"/>
  <c r="J92" i="11"/>
  <c r="G92" i="11"/>
  <c r="H92" i="11" s="1"/>
  <c r="J91" i="11"/>
  <c r="G91" i="11"/>
  <c r="H91" i="11" s="1"/>
  <c r="J90" i="11"/>
  <c r="G90" i="11"/>
  <c r="H90" i="11" s="1"/>
  <c r="J89" i="11"/>
  <c r="G89" i="11"/>
  <c r="H89" i="11" s="1"/>
  <c r="J88" i="11"/>
  <c r="G88" i="11"/>
  <c r="H88" i="11" s="1"/>
  <c r="J87" i="11"/>
  <c r="G87" i="11"/>
  <c r="H87" i="11" s="1"/>
  <c r="J86" i="11"/>
  <c r="G86" i="11"/>
  <c r="H86" i="11" s="1"/>
  <c r="J85" i="11"/>
  <c r="G85" i="11"/>
  <c r="H85" i="11" s="1"/>
  <c r="J84" i="11"/>
  <c r="G84" i="11"/>
  <c r="H84" i="11" s="1"/>
  <c r="J83" i="11"/>
  <c r="G83" i="11"/>
  <c r="H83" i="11" s="1"/>
  <c r="J82" i="11"/>
  <c r="G82" i="11"/>
  <c r="H82" i="11" s="1"/>
  <c r="J81" i="11"/>
  <c r="G81" i="11"/>
  <c r="H81" i="11" s="1"/>
  <c r="J80" i="11"/>
  <c r="G80" i="11"/>
  <c r="H80" i="11" s="1"/>
  <c r="J79" i="11"/>
  <c r="G79" i="11"/>
  <c r="H79" i="11" s="1"/>
  <c r="J78" i="11"/>
  <c r="G78" i="11"/>
  <c r="H78" i="11" s="1"/>
  <c r="J77" i="11"/>
  <c r="G77" i="11"/>
  <c r="H77" i="11" s="1"/>
  <c r="J76" i="11"/>
  <c r="G76" i="11"/>
  <c r="H76" i="11" s="1"/>
  <c r="J75" i="11"/>
  <c r="G75" i="11"/>
  <c r="H75" i="11" s="1"/>
  <c r="J74" i="11"/>
  <c r="G74" i="11"/>
  <c r="H74" i="11" s="1"/>
  <c r="J73" i="11"/>
  <c r="G73" i="11"/>
  <c r="H73" i="11" s="1"/>
  <c r="J72" i="11"/>
  <c r="G72" i="11"/>
  <c r="H72" i="11" s="1"/>
  <c r="J71" i="11"/>
  <c r="G71" i="11"/>
  <c r="H71" i="11" s="1"/>
  <c r="J70" i="11"/>
  <c r="G70" i="11"/>
  <c r="H70" i="11" s="1"/>
  <c r="J69" i="11"/>
  <c r="G69" i="11"/>
  <c r="H69" i="11" s="1"/>
  <c r="J68" i="11"/>
  <c r="G68" i="11"/>
  <c r="H68" i="11" s="1"/>
  <c r="J67" i="11"/>
  <c r="G67" i="11"/>
  <c r="H67" i="11" s="1"/>
  <c r="J66" i="11"/>
  <c r="G66" i="11"/>
  <c r="H66" i="11" s="1"/>
  <c r="J65" i="11"/>
  <c r="G65" i="11"/>
  <c r="H65" i="11" s="1"/>
  <c r="J64" i="11"/>
  <c r="G64" i="11"/>
  <c r="H64" i="11" s="1"/>
  <c r="J63" i="11"/>
  <c r="G63" i="11"/>
  <c r="H63" i="11" s="1"/>
  <c r="J62" i="11"/>
  <c r="G62" i="11"/>
  <c r="H62" i="11" s="1"/>
  <c r="J61" i="11"/>
  <c r="G61" i="11"/>
  <c r="H61" i="11" s="1"/>
  <c r="J60" i="11"/>
  <c r="G60" i="11"/>
  <c r="H60" i="11" s="1"/>
  <c r="J59" i="11"/>
  <c r="G59" i="11"/>
  <c r="H59" i="11" s="1"/>
  <c r="J58" i="11"/>
  <c r="G58" i="11"/>
  <c r="H58" i="11" s="1"/>
  <c r="J57" i="11"/>
  <c r="G57" i="11"/>
  <c r="H57" i="11" s="1"/>
  <c r="J56" i="11"/>
  <c r="G56" i="11"/>
  <c r="H56" i="11" s="1"/>
  <c r="J55" i="11"/>
  <c r="G55" i="11"/>
  <c r="H55" i="11" s="1"/>
  <c r="J54" i="11"/>
  <c r="G54" i="11"/>
  <c r="H54" i="11" s="1"/>
  <c r="J53" i="11"/>
  <c r="G53" i="11"/>
  <c r="H53" i="11" s="1"/>
  <c r="J52" i="11"/>
  <c r="G52" i="11"/>
  <c r="H52" i="11" s="1"/>
  <c r="J51" i="11"/>
  <c r="G51" i="11"/>
  <c r="H51" i="11" s="1"/>
  <c r="J50" i="11"/>
  <c r="G50" i="11"/>
  <c r="H50" i="11" s="1"/>
  <c r="J49" i="11"/>
  <c r="G49" i="11"/>
  <c r="H49" i="11" s="1"/>
  <c r="J48" i="11"/>
  <c r="G48" i="11"/>
  <c r="H48" i="11" s="1"/>
  <c r="J47" i="11"/>
  <c r="G47" i="11"/>
  <c r="H47" i="11" s="1"/>
  <c r="J46" i="11"/>
  <c r="G46" i="11"/>
  <c r="H46" i="11" s="1"/>
  <c r="J45" i="11"/>
  <c r="G45" i="11"/>
  <c r="H45" i="11" s="1"/>
  <c r="J44" i="11"/>
  <c r="G44" i="11"/>
  <c r="H44" i="11" s="1"/>
  <c r="J43" i="11"/>
  <c r="G43" i="11"/>
  <c r="H43" i="11" s="1"/>
  <c r="J42" i="11"/>
  <c r="G42" i="11"/>
  <c r="H42" i="11" s="1"/>
  <c r="J41" i="11"/>
  <c r="G41" i="11"/>
  <c r="H41" i="11" s="1"/>
  <c r="J40" i="11"/>
  <c r="G40" i="11"/>
  <c r="H40" i="11" s="1"/>
  <c r="J39" i="11"/>
  <c r="G39" i="11"/>
  <c r="H39" i="11" s="1"/>
  <c r="J38" i="11"/>
  <c r="G38" i="11"/>
  <c r="H38" i="11" s="1"/>
  <c r="J37" i="11"/>
  <c r="G37" i="11"/>
  <c r="H37" i="11" s="1"/>
  <c r="J36" i="11"/>
  <c r="G36" i="11"/>
  <c r="H36" i="11" s="1"/>
  <c r="J35" i="11"/>
  <c r="G35" i="11"/>
  <c r="H35" i="11" s="1"/>
  <c r="J34" i="11"/>
  <c r="G34" i="11"/>
  <c r="H34" i="11" s="1"/>
  <c r="J33" i="11"/>
  <c r="G33" i="11"/>
  <c r="H33" i="11" s="1"/>
  <c r="J32" i="11"/>
  <c r="G32" i="11"/>
  <c r="H32" i="11" s="1"/>
  <c r="J31" i="11"/>
  <c r="G31" i="11"/>
  <c r="H31" i="11" s="1"/>
  <c r="J30" i="11"/>
  <c r="G30" i="11"/>
  <c r="H30" i="11" s="1"/>
  <c r="J29" i="11"/>
  <c r="G29" i="11"/>
  <c r="H29" i="11" s="1"/>
  <c r="J28" i="11"/>
  <c r="G28" i="11"/>
  <c r="H28" i="11" s="1"/>
  <c r="J27" i="11"/>
  <c r="G27" i="11"/>
  <c r="H27" i="11" s="1"/>
  <c r="J26" i="11"/>
  <c r="G26" i="11"/>
  <c r="H26" i="11" s="1"/>
  <c r="J25" i="11"/>
  <c r="G25" i="11"/>
  <c r="H25" i="11" s="1"/>
  <c r="J24" i="11"/>
  <c r="G24" i="11"/>
  <c r="H24" i="11" s="1"/>
  <c r="J23" i="11"/>
  <c r="G23" i="11"/>
  <c r="H23" i="11" s="1"/>
  <c r="J22" i="11"/>
  <c r="G22" i="11"/>
  <c r="H22" i="11" s="1"/>
  <c r="J21" i="11"/>
  <c r="G21" i="11"/>
  <c r="H21" i="11" s="1"/>
  <c r="J20" i="11"/>
  <c r="G20" i="11"/>
  <c r="H20" i="11" s="1"/>
  <c r="P17" i="11"/>
  <c r="J19" i="11"/>
  <c r="G19" i="11"/>
  <c r="H19" i="11" s="1"/>
  <c r="P16" i="11"/>
  <c r="J18" i="11"/>
  <c r="G18" i="11"/>
  <c r="H18" i="11" s="1"/>
  <c r="P15" i="11"/>
  <c r="J17" i="11"/>
  <c r="G17" i="11"/>
  <c r="H17" i="11" s="1"/>
  <c r="J16" i="11"/>
  <c r="G16" i="11"/>
  <c r="H16" i="11" s="1"/>
  <c r="J15" i="11"/>
  <c r="G15" i="11"/>
  <c r="H15" i="11" s="1"/>
  <c r="J14" i="11"/>
  <c r="G14" i="11"/>
  <c r="H14" i="11" s="1"/>
  <c r="J13" i="11"/>
  <c r="G13" i="11"/>
  <c r="H13" i="11" s="1"/>
  <c r="J12" i="11"/>
  <c r="G12" i="11"/>
  <c r="H12" i="11" s="1"/>
  <c r="P10" i="11"/>
  <c r="J11" i="11"/>
  <c r="G11" i="11"/>
  <c r="H11" i="11" s="1"/>
  <c r="J10" i="11"/>
  <c r="G10" i="11"/>
  <c r="H10" i="11" s="1"/>
  <c r="P8" i="11"/>
  <c r="J9" i="11"/>
  <c r="G9" i="11"/>
  <c r="H9" i="11" s="1"/>
  <c r="J8" i="11"/>
  <c r="G8" i="11"/>
  <c r="H8" i="11" s="1"/>
  <c r="P5" i="11"/>
  <c r="J7" i="11"/>
  <c r="G7" i="11"/>
  <c r="H7" i="11" s="1"/>
  <c r="P4" i="11"/>
  <c r="J6" i="11"/>
  <c r="G6" i="11"/>
  <c r="H6" i="11" s="1"/>
  <c r="P3" i="11"/>
  <c r="T5" i="11" s="1"/>
  <c r="V9" i="11" s="1"/>
  <c r="W9" i="11" s="1"/>
  <c r="J5" i="11"/>
  <c r="G5" i="11"/>
  <c r="H5" i="11" s="1"/>
  <c r="J4" i="11"/>
  <c r="G4" i="11"/>
  <c r="J226" i="10"/>
  <c r="G226" i="10"/>
  <c r="H226" i="10" s="1"/>
  <c r="J225" i="10"/>
  <c r="G225" i="10"/>
  <c r="H225" i="10" s="1"/>
  <c r="J224" i="10"/>
  <c r="G224" i="10"/>
  <c r="H224" i="10" s="1"/>
  <c r="J223" i="10"/>
  <c r="G223" i="10"/>
  <c r="H223" i="10" s="1"/>
  <c r="J222" i="10"/>
  <c r="G222" i="10"/>
  <c r="H222" i="10" s="1"/>
  <c r="J221" i="10"/>
  <c r="G221" i="10"/>
  <c r="H221" i="10" s="1"/>
  <c r="J220" i="10"/>
  <c r="G220" i="10"/>
  <c r="H220" i="10" s="1"/>
  <c r="J219" i="10"/>
  <c r="G219" i="10"/>
  <c r="H219" i="10" s="1"/>
  <c r="J218" i="10"/>
  <c r="G218" i="10"/>
  <c r="H218" i="10" s="1"/>
  <c r="J217" i="10"/>
  <c r="G217" i="10"/>
  <c r="H217" i="10" s="1"/>
  <c r="J216" i="10"/>
  <c r="G216" i="10"/>
  <c r="H216" i="10" s="1"/>
  <c r="J215" i="10"/>
  <c r="G215" i="10"/>
  <c r="H215" i="10" s="1"/>
  <c r="J214" i="10"/>
  <c r="G214" i="10"/>
  <c r="H214" i="10" s="1"/>
  <c r="J213" i="10"/>
  <c r="G213" i="10"/>
  <c r="H213" i="10" s="1"/>
  <c r="J212" i="10"/>
  <c r="G212" i="10"/>
  <c r="H212" i="10" s="1"/>
  <c r="J211" i="10"/>
  <c r="G211" i="10"/>
  <c r="H211" i="10" s="1"/>
  <c r="J210" i="10"/>
  <c r="G210" i="10"/>
  <c r="H210" i="10" s="1"/>
  <c r="J209" i="10"/>
  <c r="G209" i="10"/>
  <c r="H209" i="10" s="1"/>
  <c r="J208" i="10"/>
  <c r="G208" i="10"/>
  <c r="H208" i="10" s="1"/>
  <c r="J207" i="10"/>
  <c r="G207" i="10"/>
  <c r="H207" i="10" s="1"/>
  <c r="J206" i="10"/>
  <c r="G206" i="10"/>
  <c r="H206" i="10" s="1"/>
  <c r="J205" i="10"/>
  <c r="G205" i="10"/>
  <c r="H205" i="10" s="1"/>
  <c r="J204" i="10"/>
  <c r="G204" i="10"/>
  <c r="H204" i="10" s="1"/>
  <c r="J203" i="10"/>
  <c r="G203" i="10"/>
  <c r="H203" i="10" s="1"/>
  <c r="J202" i="10"/>
  <c r="G202" i="10"/>
  <c r="H202" i="10" s="1"/>
  <c r="J201" i="10"/>
  <c r="G201" i="10"/>
  <c r="H201" i="10" s="1"/>
  <c r="J200" i="10"/>
  <c r="G200" i="10"/>
  <c r="H200" i="10" s="1"/>
  <c r="J199" i="10"/>
  <c r="G199" i="10"/>
  <c r="H199" i="10" s="1"/>
  <c r="J198" i="10"/>
  <c r="G198" i="10"/>
  <c r="H198" i="10" s="1"/>
  <c r="J197" i="10"/>
  <c r="G197" i="10"/>
  <c r="H197" i="10" s="1"/>
  <c r="J196" i="10"/>
  <c r="G196" i="10"/>
  <c r="H196" i="10" s="1"/>
  <c r="J195" i="10"/>
  <c r="G195" i="10"/>
  <c r="H195" i="10" s="1"/>
  <c r="J194" i="10"/>
  <c r="G194" i="10"/>
  <c r="H194" i="10" s="1"/>
  <c r="J193" i="10"/>
  <c r="G193" i="10"/>
  <c r="H193" i="10" s="1"/>
  <c r="J192" i="10"/>
  <c r="G192" i="10"/>
  <c r="H192" i="10" s="1"/>
  <c r="J191" i="10"/>
  <c r="G191" i="10"/>
  <c r="H191" i="10" s="1"/>
  <c r="J190" i="10"/>
  <c r="G190" i="10"/>
  <c r="H190" i="10" s="1"/>
  <c r="J189" i="10"/>
  <c r="G189" i="10"/>
  <c r="H189" i="10" s="1"/>
  <c r="J188" i="10"/>
  <c r="G188" i="10"/>
  <c r="H188" i="10" s="1"/>
  <c r="J187" i="10"/>
  <c r="G187" i="10"/>
  <c r="H187" i="10" s="1"/>
  <c r="J186" i="10"/>
  <c r="G186" i="10"/>
  <c r="H186" i="10" s="1"/>
  <c r="J185" i="10"/>
  <c r="G185" i="10"/>
  <c r="H185" i="10" s="1"/>
  <c r="J184" i="10"/>
  <c r="G184" i="10"/>
  <c r="H184" i="10" s="1"/>
  <c r="J183" i="10"/>
  <c r="G183" i="10"/>
  <c r="H183" i="10" s="1"/>
  <c r="J182" i="10"/>
  <c r="G182" i="10"/>
  <c r="H182" i="10" s="1"/>
  <c r="J181" i="10"/>
  <c r="G181" i="10"/>
  <c r="H181" i="10" s="1"/>
  <c r="J180" i="10"/>
  <c r="G180" i="10"/>
  <c r="H180" i="10" s="1"/>
  <c r="J179" i="10"/>
  <c r="G179" i="10"/>
  <c r="H179" i="10" s="1"/>
  <c r="J178" i="10"/>
  <c r="G178" i="10"/>
  <c r="H178" i="10" s="1"/>
  <c r="J177" i="10"/>
  <c r="G177" i="10"/>
  <c r="H177" i="10" s="1"/>
  <c r="J176" i="10"/>
  <c r="G176" i="10"/>
  <c r="H176" i="10" s="1"/>
  <c r="J175" i="10"/>
  <c r="G175" i="10"/>
  <c r="H175" i="10" s="1"/>
  <c r="J174" i="10"/>
  <c r="G174" i="10"/>
  <c r="H174" i="10" s="1"/>
  <c r="J173" i="10"/>
  <c r="G173" i="10"/>
  <c r="H173" i="10" s="1"/>
  <c r="J172" i="10"/>
  <c r="G172" i="10"/>
  <c r="H172" i="10" s="1"/>
  <c r="J171" i="10"/>
  <c r="G171" i="10"/>
  <c r="H171" i="10" s="1"/>
  <c r="J170" i="10"/>
  <c r="G170" i="10"/>
  <c r="H170" i="10" s="1"/>
  <c r="J169" i="10"/>
  <c r="G169" i="10"/>
  <c r="H169" i="10" s="1"/>
  <c r="J168" i="10"/>
  <c r="G168" i="10"/>
  <c r="H168" i="10" s="1"/>
  <c r="J167" i="10"/>
  <c r="G167" i="10"/>
  <c r="H167" i="10" s="1"/>
  <c r="J166" i="10"/>
  <c r="G166" i="10"/>
  <c r="H166" i="10" s="1"/>
  <c r="J165" i="10"/>
  <c r="G165" i="10"/>
  <c r="H165" i="10" s="1"/>
  <c r="J164" i="10"/>
  <c r="G164" i="10"/>
  <c r="H164" i="10" s="1"/>
  <c r="J163" i="10"/>
  <c r="G163" i="10"/>
  <c r="H163" i="10" s="1"/>
  <c r="J162" i="10"/>
  <c r="G162" i="10"/>
  <c r="H162" i="10" s="1"/>
  <c r="J161" i="10"/>
  <c r="G161" i="10"/>
  <c r="H161" i="10" s="1"/>
  <c r="J160" i="10"/>
  <c r="G160" i="10"/>
  <c r="H160" i="10" s="1"/>
  <c r="J159" i="10"/>
  <c r="G159" i="10"/>
  <c r="H159" i="10" s="1"/>
  <c r="J158" i="10"/>
  <c r="G158" i="10"/>
  <c r="H158" i="10" s="1"/>
  <c r="J157" i="10"/>
  <c r="G157" i="10"/>
  <c r="H157" i="10" s="1"/>
  <c r="J156" i="10"/>
  <c r="G156" i="10"/>
  <c r="H156" i="10" s="1"/>
  <c r="J155" i="10"/>
  <c r="G155" i="10"/>
  <c r="H155" i="10" s="1"/>
  <c r="J154" i="10"/>
  <c r="G154" i="10"/>
  <c r="H154" i="10" s="1"/>
  <c r="J153" i="10"/>
  <c r="G153" i="10"/>
  <c r="H153" i="10" s="1"/>
  <c r="J152" i="10"/>
  <c r="G152" i="10"/>
  <c r="H152" i="10" s="1"/>
  <c r="J151" i="10"/>
  <c r="G151" i="10"/>
  <c r="H151" i="10" s="1"/>
  <c r="J150" i="10"/>
  <c r="G150" i="10"/>
  <c r="H150" i="10" s="1"/>
  <c r="J149" i="10"/>
  <c r="G149" i="10"/>
  <c r="H149" i="10" s="1"/>
  <c r="J148" i="10"/>
  <c r="G148" i="10"/>
  <c r="H148" i="10" s="1"/>
  <c r="J147" i="10"/>
  <c r="G147" i="10"/>
  <c r="H147" i="10" s="1"/>
  <c r="J146" i="10"/>
  <c r="G146" i="10"/>
  <c r="H146" i="10" s="1"/>
  <c r="J145" i="10"/>
  <c r="G145" i="10"/>
  <c r="H145" i="10" s="1"/>
  <c r="J144" i="10"/>
  <c r="G144" i="10"/>
  <c r="H144" i="10" s="1"/>
  <c r="J143" i="10"/>
  <c r="G143" i="10"/>
  <c r="H143" i="10" s="1"/>
  <c r="J142" i="10"/>
  <c r="G142" i="10"/>
  <c r="H142" i="10" s="1"/>
  <c r="J141" i="10"/>
  <c r="G141" i="10"/>
  <c r="H141" i="10" s="1"/>
  <c r="J140" i="10"/>
  <c r="G140" i="10"/>
  <c r="H140" i="10" s="1"/>
  <c r="J139" i="10"/>
  <c r="G139" i="10"/>
  <c r="H139" i="10" s="1"/>
  <c r="J138" i="10"/>
  <c r="G138" i="10"/>
  <c r="H138" i="10" s="1"/>
  <c r="J137" i="10"/>
  <c r="G137" i="10"/>
  <c r="H137" i="10" s="1"/>
  <c r="J136" i="10"/>
  <c r="G136" i="10"/>
  <c r="H136" i="10" s="1"/>
  <c r="J135" i="10"/>
  <c r="G135" i="10"/>
  <c r="H135" i="10" s="1"/>
  <c r="J134" i="10"/>
  <c r="G134" i="10"/>
  <c r="H134" i="10" s="1"/>
  <c r="J133" i="10"/>
  <c r="G133" i="10"/>
  <c r="H133" i="10" s="1"/>
  <c r="J132" i="10"/>
  <c r="G132" i="10"/>
  <c r="H132" i="10" s="1"/>
  <c r="J131" i="10"/>
  <c r="G131" i="10"/>
  <c r="H131" i="10" s="1"/>
  <c r="J130" i="10"/>
  <c r="G130" i="10"/>
  <c r="H130" i="10" s="1"/>
  <c r="J129" i="10"/>
  <c r="G129" i="10"/>
  <c r="H129" i="10" s="1"/>
  <c r="J128" i="10"/>
  <c r="G128" i="10"/>
  <c r="H128" i="10" s="1"/>
  <c r="J127" i="10"/>
  <c r="G127" i="10"/>
  <c r="H127" i="10" s="1"/>
  <c r="J126" i="10"/>
  <c r="G126" i="10"/>
  <c r="H126" i="10" s="1"/>
  <c r="J125" i="10"/>
  <c r="G125" i="10"/>
  <c r="H125" i="10" s="1"/>
  <c r="J124" i="10"/>
  <c r="G124" i="10"/>
  <c r="H124" i="10" s="1"/>
  <c r="J123" i="10"/>
  <c r="G123" i="10"/>
  <c r="H123" i="10" s="1"/>
  <c r="J122" i="10"/>
  <c r="G122" i="10"/>
  <c r="H122" i="10" s="1"/>
  <c r="J121" i="10"/>
  <c r="G121" i="10"/>
  <c r="H121" i="10" s="1"/>
  <c r="J120" i="10"/>
  <c r="G120" i="10"/>
  <c r="H120" i="10" s="1"/>
  <c r="J119" i="10"/>
  <c r="G119" i="10"/>
  <c r="H119" i="10" s="1"/>
  <c r="J118" i="10"/>
  <c r="G118" i="10"/>
  <c r="H118" i="10" s="1"/>
  <c r="J117" i="10"/>
  <c r="G117" i="10"/>
  <c r="H117" i="10" s="1"/>
  <c r="J116" i="10"/>
  <c r="G116" i="10"/>
  <c r="H116" i="10" s="1"/>
  <c r="J115" i="10"/>
  <c r="G115" i="10"/>
  <c r="H115" i="10" s="1"/>
  <c r="J114" i="10"/>
  <c r="G114" i="10"/>
  <c r="H114" i="10" s="1"/>
  <c r="J113" i="10"/>
  <c r="G113" i="10"/>
  <c r="H113" i="10" s="1"/>
  <c r="J112" i="10"/>
  <c r="G112" i="10"/>
  <c r="H112" i="10" s="1"/>
  <c r="J111" i="10"/>
  <c r="G111" i="10"/>
  <c r="H111" i="10" s="1"/>
  <c r="J110" i="10"/>
  <c r="G110" i="10"/>
  <c r="H110" i="10" s="1"/>
  <c r="J109" i="10"/>
  <c r="G109" i="10"/>
  <c r="H109" i="10" s="1"/>
  <c r="J108" i="10"/>
  <c r="G108" i="10"/>
  <c r="H108" i="10" s="1"/>
  <c r="J107" i="10"/>
  <c r="G107" i="10"/>
  <c r="H107" i="10" s="1"/>
  <c r="J106" i="10"/>
  <c r="G106" i="10"/>
  <c r="H106" i="10" s="1"/>
  <c r="J105" i="10"/>
  <c r="G105" i="10"/>
  <c r="H105" i="10" s="1"/>
  <c r="J104" i="10"/>
  <c r="G104" i="10"/>
  <c r="H104" i="10" s="1"/>
  <c r="J103" i="10"/>
  <c r="G103" i="10"/>
  <c r="H103" i="10" s="1"/>
  <c r="J102" i="10"/>
  <c r="G102" i="10"/>
  <c r="H102" i="10" s="1"/>
  <c r="J101" i="10"/>
  <c r="G101" i="10"/>
  <c r="H101" i="10" s="1"/>
  <c r="J100" i="10"/>
  <c r="G100" i="10"/>
  <c r="H100" i="10" s="1"/>
  <c r="J99" i="10"/>
  <c r="G99" i="10"/>
  <c r="H99" i="10" s="1"/>
  <c r="J98" i="10"/>
  <c r="G98" i="10"/>
  <c r="H98" i="10" s="1"/>
  <c r="J97" i="10"/>
  <c r="G97" i="10"/>
  <c r="H97" i="10" s="1"/>
  <c r="J96" i="10"/>
  <c r="G96" i="10"/>
  <c r="H96" i="10" s="1"/>
  <c r="J95" i="10"/>
  <c r="G95" i="10"/>
  <c r="H95" i="10" s="1"/>
  <c r="J94" i="10"/>
  <c r="G94" i="10"/>
  <c r="H94" i="10" s="1"/>
  <c r="J93" i="10"/>
  <c r="G93" i="10"/>
  <c r="H93" i="10" s="1"/>
  <c r="J92" i="10"/>
  <c r="G92" i="10"/>
  <c r="H92" i="10" s="1"/>
  <c r="J91" i="10"/>
  <c r="G91" i="10"/>
  <c r="H91" i="10" s="1"/>
  <c r="J90" i="10"/>
  <c r="G90" i="10"/>
  <c r="H90" i="10" s="1"/>
  <c r="J89" i="10"/>
  <c r="G89" i="10"/>
  <c r="H89" i="10" s="1"/>
  <c r="J88" i="10"/>
  <c r="G88" i="10"/>
  <c r="H88" i="10" s="1"/>
  <c r="J87" i="10"/>
  <c r="G87" i="10"/>
  <c r="H87" i="10" s="1"/>
  <c r="J86" i="10"/>
  <c r="G86" i="10"/>
  <c r="H86" i="10" s="1"/>
  <c r="J85" i="10"/>
  <c r="G85" i="10"/>
  <c r="H85" i="10" s="1"/>
  <c r="J84" i="10"/>
  <c r="G84" i="10"/>
  <c r="H84" i="10" s="1"/>
  <c r="J83" i="10"/>
  <c r="G83" i="10"/>
  <c r="H83" i="10" s="1"/>
  <c r="J82" i="10"/>
  <c r="G82" i="10"/>
  <c r="H82" i="10" s="1"/>
  <c r="J81" i="10"/>
  <c r="G81" i="10"/>
  <c r="H81" i="10" s="1"/>
  <c r="J80" i="10"/>
  <c r="G80" i="10"/>
  <c r="H80" i="10" s="1"/>
  <c r="J79" i="10"/>
  <c r="G79" i="10"/>
  <c r="H79" i="10" s="1"/>
  <c r="J78" i="10"/>
  <c r="G78" i="10"/>
  <c r="H78" i="10" s="1"/>
  <c r="J77" i="10"/>
  <c r="G77" i="10"/>
  <c r="H77" i="10" s="1"/>
  <c r="J76" i="10"/>
  <c r="G76" i="10"/>
  <c r="H76" i="10" s="1"/>
  <c r="J75" i="10"/>
  <c r="G75" i="10"/>
  <c r="H75" i="10" s="1"/>
  <c r="J74" i="10"/>
  <c r="G74" i="10"/>
  <c r="H74" i="10" s="1"/>
  <c r="J73" i="10"/>
  <c r="G73" i="10"/>
  <c r="H73" i="10" s="1"/>
  <c r="J72" i="10"/>
  <c r="G72" i="10"/>
  <c r="H72" i="10" s="1"/>
  <c r="J71" i="10"/>
  <c r="G71" i="10"/>
  <c r="H71" i="10" s="1"/>
  <c r="J70" i="10"/>
  <c r="G70" i="10"/>
  <c r="H70" i="10" s="1"/>
  <c r="J69" i="10"/>
  <c r="G69" i="10"/>
  <c r="H69" i="10" s="1"/>
  <c r="J68" i="10"/>
  <c r="G68" i="10"/>
  <c r="H68" i="10" s="1"/>
  <c r="J67" i="10"/>
  <c r="G67" i="10"/>
  <c r="H67" i="10" s="1"/>
  <c r="J66" i="10"/>
  <c r="G66" i="10"/>
  <c r="H66" i="10" s="1"/>
  <c r="J65" i="10"/>
  <c r="G65" i="10"/>
  <c r="H65" i="10" s="1"/>
  <c r="J64" i="10"/>
  <c r="G64" i="10"/>
  <c r="H64" i="10" s="1"/>
  <c r="J63" i="10"/>
  <c r="G63" i="10"/>
  <c r="H63" i="10" s="1"/>
  <c r="J62" i="10"/>
  <c r="G62" i="10"/>
  <c r="H62" i="10" s="1"/>
  <c r="J61" i="10"/>
  <c r="G61" i="10"/>
  <c r="H61" i="10" s="1"/>
  <c r="J60" i="10"/>
  <c r="G60" i="10"/>
  <c r="H60" i="10" s="1"/>
  <c r="J59" i="10"/>
  <c r="G59" i="10"/>
  <c r="H59" i="10" s="1"/>
  <c r="J58" i="10"/>
  <c r="G58" i="10"/>
  <c r="H58" i="10" s="1"/>
  <c r="J57" i="10"/>
  <c r="G57" i="10"/>
  <c r="H57" i="10" s="1"/>
  <c r="J56" i="10"/>
  <c r="G56" i="10"/>
  <c r="H56" i="10" s="1"/>
  <c r="J55" i="10"/>
  <c r="G55" i="10"/>
  <c r="H55" i="10" s="1"/>
  <c r="J54" i="10"/>
  <c r="G54" i="10"/>
  <c r="H54" i="10" s="1"/>
  <c r="J53" i="10"/>
  <c r="G53" i="10"/>
  <c r="H53" i="10" s="1"/>
  <c r="J52" i="10"/>
  <c r="G52" i="10"/>
  <c r="H52" i="10" s="1"/>
  <c r="J51" i="10"/>
  <c r="G51" i="10"/>
  <c r="H51" i="10" s="1"/>
  <c r="J50" i="10"/>
  <c r="G50" i="10"/>
  <c r="H50" i="10" s="1"/>
  <c r="J49" i="10"/>
  <c r="G49" i="10"/>
  <c r="H49" i="10" s="1"/>
  <c r="J48" i="10"/>
  <c r="G48" i="10"/>
  <c r="H48" i="10" s="1"/>
  <c r="J47" i="10"/>
  <c r="G47" i="10"/>
  <c r="H47" i="10" s="1"/>
  <c r="J46" i="10"/>
  <c r="G46" i="10"/>
  <c r="H46" i="10" s="1"/>
  <c r="J45" i="10"/>
  <c r="G45" i="10"/>
  <c r="H45" i="10" s="1"/>
  <c r="J44" i="10"/>
  <c r="G44" i="10"/>
  <c r="H44" i="10" s="1"/>
  <c r="J43" i="10"/>
  <c r="G43" i="10"/>
  <c r="H43" i="10" s="1"/>
  <c r="J42" i="10"/>
  <c r="G42" i="10"/>
  <c r="H42" i="10" s="1"/>
  <c r="J41" i="10"/>
  <c r="G41" i="10"/>
  <c r="H41" i="10" s="1"/>
  <c r="J40" i="10"/>
  <c r="G40" i="10"/>
  <c r="H40" i="10" s="1"/>
  <c r="J39" i="10"/>
  <c r="G39" i="10"/>
  <c r="H39" i="10" s="1"/>
  <c r="J38" i="10"/>
  <c r="G38" i="10"/>
  <c r="H38" i="10" s="1"/>
  <c r="J37" i="10"/>
  <c r="G37" i="10"/>
  <c r="H37" i="10" s="1"/>
  <c r="J36" i="10"/>
  <c r="G36" i="10"/>
  <c r="H36" i="10" s="1"/>
  <c r="J35" i="10"/>
  <c r="G35" i="10"/>
  <c r="H35" i="10" s="1"/>
  <c r="J34" i="10"/>
  <c r="G34" i="10"/>
  <c r="H34" i="10" s="1"/>
  <c r="J33" i="10"/>
  <c r="G33" i="10"/>
  <c r="H33" i="10" s="1"/>
  <c r="J32" i="10"/>
  <c r="G32" i="10"/>
  <c r="H32" i="10" s="1"/>
  <c r="J31" i="10"/>
  <c r="G31" i="10"/>
  <c r="H31" i="10" s="1"/>
  <c r="J30" i="10"/>
  <c r="G30" i="10"/>
  <c r="H30" i="10" s="1"/>
  <c r="J29" i="10"/>
  <c r="G29" i="10"/>
  <c r="H29" i="10" s="1"/>
  <c r="J28" i="10"/>
  <c r="G28" i="10"/>
  <c r="H28" i="10" s="1"/>
  <c r="J27" i="10"/>
  <c r="G27" i="10"/>
  <c r="H27" i="10" s="1"/>
  <c r="J26" i="10"/>
  <c r="G26" i="10"/>
  <c r="H26" i="10" s="1"/>
  <c r="J25" i="10"/>
  <c r="G25" i="10"/>
  <c r="H25" i="10" s="1"/>
  <c r="J24" i="10"/>
  <c r="G24" i="10"/>
  <c r="H24" i="10" s="1"/>
  <c r="J23" i="10"/>
  <c r="G23" i="10"/>
  <c r="H23" i="10" s="1"/>
  <c r="J22" i="10"/>
  <c r="G22" i="10"/>
  <c r="H22" i="10" s="1"/>
  <c r="J21" i="10"/>
  <c r="G21" i="10"/>
  <c r="H21" i="10" s="1"/>
  <c r="J20" i="10"/>
  <c r="G20" i="10"/>
  <c r="H20" i="10" s="1"/>
  <c r="P17" i="10"/>
  <c r="J19" i="10"/>
  <c r="G19" i="10"/>
  <c r="H19" i="10" s="1"/>
  <c r="P16" i="10"/>
  <c r="P18" i="10" s="1"/>
  <c r="J18" i="10"/>
  <c r="G18" i="10"/>
  <c r="H18" i="10" s="1"/>
  <c r="P15" i="10"/>
  <c r="J17" i="10"/>
  <c r="G17" i="10"/>
  <c r="H17" i="10" s="1"/>
  <c r="J16" i="10"/>
  <c r="G16" i="10"/>
  <c r="H16" i="10" s="1"/>
  <c r="J15" i="10"/>
  <c r="G15" i="10"/>
  <c r="H15" i="10" s="1"/>
  <c r="J14" i="10"/>
  <c r="G14" i="10"/>
  <c r="H14" i="10" s="1"/>
  <c r="J13" i="10"/>
  <c r="G13" i="10"/>
  <c r="H13" i="10" s="1"/>
  <c r="J12" i="10"/>
  <c r="G12" i="10"/>
  <c r="H12" i="10" s="1"/>
  <c r="P10" i="10"/>
  <c r="J11" i="10"/>
  <c r="G11" i="10"/>
  <c r="H11" i="10" s="1"/>
  <c r="P9" i="10"/>
  <c r="J10" i="10"/>
  <c r="G10" i="10"/>
  <c r="H10" i="10" s="1"/>
  <c r="P8" i="10"/>
  <c r="J9" i="10"/>
  <c r="G9" i="10"/>
  <c r="H9" i="10" s="1"/>
  <c r="J8" i="10"/>
  <c r="G8" i="10"/>
  <c r="H8" i="10" s="1"/>
  <c r="P5" i="10"/>
  <c r="J7" i="10"/>
  <c r="G7" i="10"/>
  <c r="H7" i="10" s="1"/>
  <c r="P4" i="10"/>
  <c r="J6" i="10"/>
  <c r="G6" i="10"/>
  <c r="H6" i="10" s="1"/>
  <c r="P3" i="10"/>
  <c r="P6" i="10" s="1"/>
  <c r="J5" i="10"/>
  <c r="G5" i="10"/>
  <c r="J4" i="10"/>
  <c r="G4" i="10"/>
  <c r="H4" i="10" s="1"/>
  <c r="J226" i="9"/>
  <c r="G226" i="9"/>
  <c r="H226" i="9" s="1"/>
  <c r="J225" i="9"/>
  <c r="G225" i="9"/>
  <c r="H225" i="9" s="1"/>
  <c r="J224" i="9"/>
  <c r="G224" i="9"/>
  <c r="H224" i="9" s="1"/>
  <c r="J223" i="9"/>
  <c r="G223" i="9"/>
  <c r="H223" i="9" s="1"/>
  <c r="J222" i="9"/>
  <c r="G222" i="9"/>
  <c r="H222" i="9" s="1"/>
  <c r="J221" i="9"/>
  <c r="G221" i="9"/>
  <c r="H221" i="9" s="1"/>
  <c r="J220" i="9"/>
  <c r="G220" i="9"/>
  <c r="H220" i="9" s="1"/>
  <c r="J219" i="9"/>
  <c r="G219" i="9"/>
  <c r="H219" i="9" s="1"/>
  <c r="J218" i="9"/>
  <c r="G218" i="9"/>
  <c r="H218" i="9" s="1"/>
  <c r="J217" i="9"/>
  <c r="G217" i="9"/>
  <c r="H217" i="9" s="1"/>
  <c r="J216" i="9"/>
  <c r="G216" i="9"/>
  <c r="H216" i="9" s="1"/>
  <c r="J215" i="9"/>
  <c r="G215" i="9"/>
  <c r="H215" i="9" s="1"/>
  <c r="J214" i="9"/>
  <c r="G214" i="9"/>
  <c r="H214" i="9" s="1"/>
  <c r="J213" i="9"/>
  <c r="G213" i="9"/>
  <c r="H213" i="9" s="1"/>
  <c r="J212" i="9"/>
  <c r="G212" i="9"/>
  <c r="H212" i="9" s="1"/>
  <c r="J211" i="9"/>
  <c r="G211" i="9"/>
  <c r="H211" i="9" s="1"/>
  <c r="J210" i="9"/>
  <c r="G210" i="9"/>
  <c r="H210" i="9" s="1"/>
  <c r="J209" i="9"/>
  <c r="G209" i="9"/>
  <c r="H209" i="9" s="1"/>
  <c r="J208" i="9"/>
  <c r="G208" i="9"/>
  <c r="H208" i="9" s="1"/>
  <c r="J207" i="9"/>
  <c r="G207" i="9"/>
  <c r="H207" i="9" s="1"/>
  <c r="J206" i="9"/>
  <c r="G206" i="9"/>
  <c r="H206" i="9" s="1"/>
  <c r="J205" i="9"/>
  <c r="G205" i="9"/>
  <c r="H205" i="9" s="1"/>
  <c r="J204" i="9"/>
  <c r="G204" i="9"/>
  <c r="H204" i="9" s="1"/>
  <c r="J203" i="9"/>
  <c r="G203" i="9"/>
  <c r="H203" i="9" s="1"/>
  <c r="J202" i="9"/>
  <c r="G202" i="9"/>
  <c r="H202" i="9" s="1"/>
  <c r="J201" i="9"/>
  <c r="G201" i="9"/>
  <c r="H201" i="9" s="1"/>
  <c r="J200" i="9"/>
  <c r="G200" i="9"/>
  <c r="H200" i="9" s="1"/>
  <c r="J199" i="9"/>
  <c r="G199" i="9"/>
  <c r="H199" i="9" s="1"/>
  <c r="J198" i="9"/>
  <c r="G198" i="9"/>
  <c r="H198" i="9" s="1"/>
  <c r="J197" i="9"/>
  <c r="G197" i="9"/>
  <c r="H197" i="9" s="1"/>
  <c r="J196" i="9"/>
  <c r="G196" i="9"/>
  <c r="H196" i="9" s="1"/>
  <c r="J195" i="9"/>
  <c r="G195" i="9"/>
  <c r="H195" i="9" s="1"/>
  <c r="J194" i="9"/>
  <c r="G194" i="9"/>
  <c r="H194" i="9" s="1"/>
  <c r="J193" i="9"/>
  <c r="G193" i="9"/>
  <c r="H193" i="9" s="1"/>
  <c r="J192" i="9"/>
  <c r="G192" i="9"/>
  <c r="H192" i="9" s="1"/>
  <c r="J191" i="9"/>
  <c r="G191" i="9"/>
  <c r="H191" i="9" s="1"/>
  <c r="J190" i="9"/>
  <c r="G190" i="9"/>
  <c r="H190" i="9" s="1"/>
  <c r="J189" i="9"/>
  <c r="G189" i="9"/>
  <c r="H189" i="9" s="1"/>
  <c r="J188" i="9"/>
  <c r="G188" i="9"/>
  <c r="H188" i="9" s="1"/>
  <c r="J187" i="9"/>
  <c r="G187" i="9"/>
  <c r="H187" i="9" s="1"/>
  <c r="J186" i="9"/>
  <c r="G186" i="9"/>
  <c r="H186" i="9" s="1"/>
  <c r="J185" i="9"/>
  <c r="G185" i="9"/>
  <c r="H185" i="9" s="1"/>
  <c r="J184" i="9"/>
  <c r="G184" i="9"/>
  <c r="H184" i="9" s="1"/>
  <c r="J183" i="9"/>
  <c r="G183" i="9"/>
  <c r="H183" i="9" s="1"/>
  <c r="J182" i="9"/>
  <c r="G182" i="9"/>
  <c r="H182" i="9" s="1"/>
  <c r="J181" i="9"/>
  <c r="G181" i="9"/>
  <c r="H181" i="9" s="1"/>
  <c r="J180" i="9"/>
  <c r="G180" i="9"/>
  <c r="H180" i="9" s="1"/>
  <c r="J179" i="9"/>
  <c r="G179" i="9"/>
  <c r="H179" i="9" s="1"/>
  <c r="J178" i="9"/>
  <c r="G178" i="9"/>
  <c r="H178" i="9" s="1"/>
  <c r="J177" i="9"/>
  <c r="G177" i="9"/>
  <c r="H177" i="9" s="1"/>
  <c r="J176" i="9"/>
  <c r="G176" i="9"/>
  <c r="H176" i="9" s="1"/>
  <c r="J175" i="9"/>
  <c r="G175" i="9"/>
  <c r="H175" i="9" s="1"/>
  <c r="J174" i="9"/>
  <c r="G174" i="9"/>
  <c r="H174" i="9" s="1"/>
  <c r="J173" i="9"/>
  <c r="G173" i="9"/>
  <c r="H173" i="9" s="1"/>
  <c r="J172" i="9"/>
  <c r="G172" i="9"/>
  <c r="H172" i="9" s="1"/>
  <c r="J171" i="9"/>
  <c r="G171" i="9"/>
  <c r="H171" i="9" s="1"/>
  <c r="J170" i="9"/>
  <c r="G170" i="9"/>
  <c r="H170" i="9" s="1"/>
  <c r="J169" i="9"/>
  <c r="G169" i="9"/>
  <c r="H169" i="9" s="1"/>
  <c r="J168" i="9"/>
  <c r="G168" i="9"/>
  <c r="H168" i="9" s="1"/>
  <c r="J167" i="9"/>
  <c r="G167" i="9"/>
  <c r="H167" i="9" s="1"/>
  <c r="J166" i="9"/>
  <c r="G166" i="9"/>
  <c r="H166" i="9" s="1"/>
  <c r="J165" i="9"/>
  <c r="G165" i="9"/>
  <c r="H165" i="9" s="1"/>
  <c r="J164" i="9"/>
  <c r="G164" i="9"/>
  <c r="H164" i="9" s="1"/>
  <c r="J163" i="9"/>
  <c r="G163" i="9"/>
  <c r="H163" i="9" s="1"/>
  <c r="J162" i="9"/>
  <c r="G162" i="9"/>
  <c r="H162" i="9" s="1"/>
  <c r="J161" i="9"/>
  <c r="G161" i="9"/>
  <c r="H161" i="9" s="1"/>
  <c r="J160" i="9"/>
  <c r="G160" i="9"/>
  <c r="H160" i="9" s="1"/>
  <c r="J159" i="9"/>
  <c r="G159" i="9"/>
  <c r="H159" i="9" s="1"/>
  <c r="J158" i="9"/>
  <c r="G158" i="9"/>
  <c r="H158" i="9" s="1"/>
  <c r="J157" i="9"/>
  <c r="G157" i="9"/>
  <c r="H157" i="9" s="1"/>
  <c r="J156" i="9"/>
  <c r="G156" i="9"/>
  <c r="H156" i="9" s="1"/>
  <c r="J155" i="9"/>
  <c r="G155" i="9"/>
  <c r="H155" i="9" s="1"/>
  <c r="J154" i="9"/>
  <c r="G154" i="9"/>
  <c r="H154" i="9" s="1"/>
  <c r="J153" i="9"/>
  <c r="G153" i="9"/>
  <c r="H153" i="9" s="1"/>
  <c r="J152" i="9"/>
  <c r="G152" i="9"/>
  <c r="H152" i="9" s="1"/>
  <c r="J151" i="9"/>
  <c r="G151" i="9"/>
  <c r="H151" i="9" s="1"/>
  <c r="J150" i="9"/>
  <c r="G150" i="9"/>
  <c r="H150" i="9" s="1"/>
  <c r="J149" i="9"/>
  <c r="G149" i="9"/>
  <c r="H149" i="9" s="1"/>
  <c r="J148" i="9"/>
  <c r="G148" i="9"/>
  <c r="H148" i="9" s="1"/>
  <c r="J147" i="9"/>
  <c r="G147" i="9"/>
  <c r="H147" i="9" s="1"/>
  <c r="J146" i="9"/>
  <c r="G146" i="9"/>
  <c r="H146" i="9" s="1"/>
  <c r="J145" i="9"/>
  <c r="G145" i="9"/>
  <c r="H145" i="9" s="1"/>
  <c r="J144" i="9"/>
  <c r="G144" i="9"/>
  <c r="H144" i="9" s="1"/>
  <c r="J143" i="9"/>
  <c r="G143" i="9"/>
  <c r="H143" i="9" s="1"/>
  <c r="J142" i="9"/>
  <c r="G142" i="9"/>
  <c r="H142" i="9" s="1"/>
  <c r="J141" i="9"/>
  <c r="G141" i="9"/>
  <c r="H141" i="9" s="1"/>
  <c r="J140" i="9"/>
  <c r="G140" i="9"/>
  <c r="H140" i="9" s="1"/>
  <c r="J139" i="9"/>
  <c r="G139" i="9"/>
  <c r="H139" i="9" s="1"/>
  <c r="J138" i="9"/>
  <c r="G138" i="9"/>
  <c r="H138" i="9" s="1"/>
  <c r="J137" i="9"/>
  <c r="G137" i="9"/>
  <c r="H137" i="9" s="1"/>
  <c r="J136" i="9"/>
  <c r="G136" i="9"/>
  <c r="H136" i="9" s="1"/>
  <c r="J135" i="9"/>
  <c r="G135" i="9"/>
  <c r="H135" i="9" s="1"/>
  <c r="J134" i="9"/>
  <c r="G134" i="9"/>
  <c r="H134" i="9" s="1"/>
  <c r="J133" i="9"/>
  <c r="G133" i="9"/>
  <c r="H133" i="9" s="1"/>
  <c r="J132" i="9"/>
  <c r="G132" i="9"/>
  <c r="H132" i="9" s="1"/>
  <c r="J131" i="9"/>
  <c r="G131" i="9"/>
  <c r="H131" i="9" s="1"/>
  <c r="J130" i="9"/>
  <c r="G130" i="9"/>
  <c r="H130" i="9" s="1"/>
  <c r="J129" i="9"/>
  <c r="G129" i="9"/>
  <c r="H129" i="9" s="1"/>
  <c r="J128" i="9"/>
  <c r="G128" i="9"/>
  <c r="H128" i="9" s="1"/>
  <c r="J127" i="9"/>
  <c r="G127" i="9"/>
  <c r="H127" i="9" s="1"/>
  <c r="J126" i="9"/>
  <c r="G126" i="9"/>
  <c r="H126" i="9" s="1"/>
  <c r="J125" i="9"/>
  <c r="G125" i="9"/>
  <c r="H125" i="9" s="1"/>
  <c r="J124" i="9"/>
  <c r="G124" i="9"/>
  <c r="H124" i="9" s="1"/>
  <c r="J123" i="9"/>
  <c r="G123" i="9"/>
  <c r="H123" i="9" s="1"/>
  <c r="J122" i="9"/>
  <c r="G122" i="9"/>
  <c r="H122" i="9" s="1"/>
  <c r="J121" i="9"/>
  <c r="G121" i="9"/>
  <c r="H121" i="9" s="1"/>
  <c r="J120" i="9"/>
  <c r="G120" i="9"/>
  <c r="H120" i="9" s="1"/>
  <c r="J119" i="9"/>
  <c r="G119" i="9"/>
  <c r="H119" i="9" s="1"/>
  <c r="J118" i="9"/>
  <c r="G118" i="9"/>
  <c r="H118" i="9" s="1"/>
  <c r="J117" i="9"/>
  <c r="G117" i="9"/>
  <c r="H117" i="9" s="1"/>
  <c r="J116" i="9"/>
  <c r="G116" i="9"/>
  <c r="H116" i="9" s="1"/>
  <c r="J115" i="9"/>
  <c r="G115" i="9"/>
  <c r="H115" i="9" s="1"/>
  <c r="J114" i="9"/>
  <c r="G114" i="9"/>
  <c r="H114" i="9" s="1"/>
  <c r="J113" i="9"/>
  <c r="G113" i="9"/>
  <c r="H113" i="9" s="1"/>
  <c r="J112" i="9"/>
  <c r="G112" i="9"/>
  <c r="H112" i="9" s="1"/>
  <c r="J111" i="9"/>
  <c r="G111" i="9"/>
  <c r="H111" i="9" s="1"/>
  <c r="J110" i="9"/>
  <c r="G110" i="9"/>
  <c r="H110" i="9" s="1"/>
  <c r="J109" i="9"/>
  <c r="G109" i="9"/>
  <c r="H109" i="9" s="1"/>
  <c r="J108" i="9"/>
  <c r="G108" i="9"/>
  <c r="H108" i="9" s="1"/>
  <c r="J107" i="9"/>
  <c r="G107" i="9"/>
  <c r="H107" i="9" s="1"/>
  <c r="J106" i="9"/>
  <c r="G106" i="9"/>
  <c r="H106" i="9" s="1"/>
  <c r="J105" i="9"/>
  <c r="G105" i="9"/>
  <c r="H105" i="9" s="1"/>
  <c r="J104" i="9"/>
  <c r="G104" i="9"/>
  <c r="H104" i="9" s="1"/>
  <c r="J103" i="9"/>
  <c r="G103" i="9"/>
  <c r="H103" i="9" s="1"/>
  <c r="J102" i="9"/>
  <c r="G102" i="9"/>
  <c r="H102" i="9" s="1"/>
  <c r="J101" i="9"/>
  <c r="G101" i="9"/>
  <c r="H101" i="9" s="1"/>
  <c r="J100" i="9"/>
  <c r="G100" i="9"/>
  <c r="H100" i="9" s="1"/>
  <c r="J99" i="9"/>
  <c r="G99" i="9"/>
  <c r="H99" i="9" s="1"/>
  <c r="J98" i="9"/>
  <c r="G98" i="9"/>
  <c r="H98" i="9" s="1"/>
  <c r="J97" i="9"/>
  <c r="G97" i="9"/>
  <c r="H97" i="9" s="1"/>
  <c r="J96" i="9"/>
  <c r="G96" i="9"/>
  <c r="H96" i="9" s="1"/>
  <c r="J95" i="9"/>
  <c r="G95" i="9"/>
  <c r="H95" i="9" s="1"/>
  <c r="J94" i="9"/>
  <c r="G94" i="9"/>
  <c r="H94" i="9" s="1"/>
  <c r="J93" i="9"/>
  <c r="G93" i="9"/>
  <c r="H93" i="9" s="1"/>
  <c r="J92" i="9"/>
  <c r="G92" i="9"/>
  <c r="H92" i="9" s="1"/>
  <c r="J91" i="9"/>
  <c r="G91" i="9"/>
  <c r="H91" i="9" s="1"/>
  <c r="J90" i="9"/>
  <c r="G90" i="9"/>
  <c r="H90" i="9" s="1"/>
  <c r="J89" i="9"/>
  <c r="G89" i="9"/>
  <c r="H89" i="9" s="1"/>
  <c r="J88" i="9"/>
  <c r="G88" i="9"/>
  <c r="H88" i="9" s="1"/>
  <c r="J87" i="9"/>
  <c r="G87" i="9"/>
  <c r="H87" i="9" s="1"/>
  <c r="J86" i="9"/>
  <c r="G86" i="9"/>
  <c r="H86" i="9" s="1"/>
  <c r="J85" i="9"/>
  <c r="G85" i="9"/>
  <c r="H85" i="9" s="1"/>
  <c r="J84" i="9"/>
  <c r="G84" i="9"/>
  <c r="H84" i="9" s="1"/>
  <c r="J83" i="9"/>
  <c r="G83" i="9"/>
  <c r="H83" i="9" s="1"/>
  <c r="J82" i="9"/>
  <c r="G82" i="9"/>
  <c r="H82" i="9" s="1"/>
  <c r="J81" i="9"/>
  <c r="G81" i="9"/>
  <c r="H81" i="9" s="1"/>
  <c r="J80" i="9"/>
  <c r="G80" i="9"/>
  <c r="H80" i="9" s="1"/>
  <c r="J79" i="9"/>
  <c r="G79" i="9"/>
  <c r="H79" i="9" s="1"/>
  <c r="J78" i="9"/>
  <c r="G78" i="9"/>
  <c r="H78" i="9" s="1"/>
  <c r="J77" i="9"/>
  <c r="G77" i="9"/>
  <c r="H77" i="9" s="1"/>
  <c r="J76" i="9"/>
  <c r="G76" i="9"/>
  <c r="H76" i="9" s="1"/>
  <c r="J75" i="9"/>
  <c r="G75" i="9"/>
  <c r="H75" i="9" s="1"/>
  <c r="J74" i="9"/>
  <c r="G74" i="9"/>
  <c r="H74" i="9" s="1"/>
  <c r="J73" i="9"/>
  <c r="G73" i="9"/>
  <c r="H73" i="9" s="1"/>
  <c r="J72" i="9"/>
  <c r="G72" i="9"/>
  <c r="H72" i="9" s="1"/>
  <c r="J71" i="9"/>
  <c r="G71" i="9"/>
  <c r="H71" i="9" s="1"/>
  <c r="J70" i="9"/>
  <c r="G70" i="9"/>
  <c r="H70" i="9" s="1"/>
  <c r="J69" i="9"/>
  <c r="G69" i="9"/>
  <c r="H69" i="9" s="1"/>
  <c r="J68" i="9"/>
  <c r="G68" i="9"/>
  <c r="H68" i="9" s="1"/>
  <c r="J67" i="9"/>
  <c r="G67" i="9"/>
  <c r="H67" i="9" s="1"/>
  <c r="J66" i="9"/>
  <c r="G66" i="9"/>
  <c r="H66" i="9" s="1"/>
  <c r="J65" i="9"/>
  <c r="G65" i="9"/>
  <c r="H65" i="9" s="1"/>
  <c r="J64" i="9"/>
  <c r="G64" i="9"/>
  <c r="H64" i="9" s="1"/>
  <c r="J63" i="9"/>
  <c r="G63" i="9"/>
  <c r="H63" i="9" s="1"/>
  <c r="J62" i="9"/>
  <c r="G62" i="9"/>
  <c r="H62" i="9" s="1"/>
  <c r="J61" i="9"/>
  <c r="G61" i="9"/>
  <c r="H61" i="9" s="1"/>
  <c r="J60" i="9"/>
  <c r="G60" i="9"/>
  <c r="H60" i="9" s="1"/>
  <c r="J59" i="9"/>
  <c r="G59" i="9"/>
  <c r="H59" i="9" s="1"/>
  <c r="J58" i="9"/>
  <c r="G58" i="9"/>
  <c r="H58" i="9" s="1"/>
  <c r="J57" i="9"/>
  <c r="G57" i="9"/>
  <c r="H57" i="9" s="1"/>
  <c r="J56" i="9"/>
  <c r="G56" i="9"/>
  <c r="H56" i="9" s="1"/>
  <c r="J55" i="9"/>
  <c r="G55" i="9"/>
  <c r="H55" i="9" s="1"/>
  <c r="J54" i="9"/>
  <c r="G54" i="9"/>
  <c r="H54" i="9" s="1"/>
  <c r="J53" i="9"/>
  <c r="G53" i="9"/>
  <c r="H53" i="9" s="1"/>
  <c r="J52" i="9"/>
  <c r="G52" i="9"/>
  <c r="H52" i="9" s="1"/>
  <c r="J51" i="9"/>
  <c r="G51" i="9"/>
  <c r="H51" i="9" s="1"/>
  <c r="J50" i="9"/>
  <c r="G50" i="9"/>
  <c r="H50" i="9" s="1"/>
  <c r="J49" i="9"/>
  <c r="G49" i="9"/>
  <c r="H49" i="9" s="1"/>
  <c r="J48" i="9"/>
  <c r="G48" i="9"/>
  <c r="H48" i="9" s="1"/>
  <c r="J47" i="9"/>
  <c r="G47" i="9"/>
  <c r="H47" i="9" s="1"/>
  <c r="J46" i="9"/>
  <c r="G46" i="9"/>
  <c r="H46" i="9" s="1"/>
  <c r="J45" i="9"/>
  <c r="G45" i="9"/>
  <c r="H45" i="9" s="1"/>
  <c r="J44" i="9"/>
  <c r="G44" i="9"/>
  <c r="H44" i="9" s="1"/>
  <c r="J43" i="9"/>
  <c r="G43" i="9"/>
  <c r="H43" i="9" s="1"/>
  <c r="J42" i="9"/>
  <c r="G42" i="9"/>
  <c r="H42" i="9" s="1"/>
  <c r="J41" i="9"/>
  <c r="G41" i="9"/>
  <c r="H41" i="9" s="1"/>
  <c r="J40" i="9"/>
  <c r="G40" i="9"/>
  <c r="H40" i="9" s="1"/>
  <c r="J39" i="9"/>
  <c r="G39" i="9"/>
  <c r="H39" i="9" s="1"/>
  <c r="J38" i="9"/>
  <c r="G38" i="9"/>
  <c r="H38" i="9" s="1"/>
  <c r="J37" i="9"/>
  <c r="G37" i="9"/>
  <c r="H37" i="9" s="1"/>
  <c r="J36" i="9"/>
  <c r="G36" i="9"/>
  <c r="H36" i="9" s="1"/>
  <c r="J35" i="9"/>
  <c r="G35" i="9"/>
  <c r="H35" i="9" s="1"/>
  <c r="J34" i="9"/>
  <c r="G34" i="9"/>
  <c r="H34" i="9" s="1"/>
  <c r="J33" i="9"/>
  <c r="G33" i="9"/>
  <c r="H33" i="9" s="1"/>
  <c r="J32" i="9"/>
  <c r="G32" i="9"/>
  <c r="H32" i="9" s="1"/>
  <c r="J31" i="9"/>
  <c r="G31" i="9"/>
  <c r="H31" i="9" s="1"/>
  <c r="J30" i="9"/>
  <c r="G30" i="9"/>
  <c r="H30" i="9" s="1"/>
  <c r="J29" i="9"/>
  <c r="G29" i="9"/>
  <c r="H29" i="9" s="1"/>
  <c r="J28" i="9"/>
  <c r="G28" i="9"/>
  <c r="H28" i="9" s="1"/>
  <c r="J27" i="9"/>
  <c r="G27" i="9"/>
  <c r="H27" i="9" s="1"/>
  <c r="J26" i="9"/>
  <c r="G26" i="9"/>
  <c r="H26" i="9" s="1"/>
  <c r="J25" i="9"/>
  <c r="G25" i="9"/>
  <c r="H25" i="9" s="1"/>
  <c r="J24" i="9"/>
  <c r="G24" i="9"/>
  <c r="H24" i="9" s="1"/>
  <c r="J23" i="9"/>
  <c r="G23" i="9"/>
  <c r="H23" i="9" s="1"/>
  <c r="J22" i="9"/>
  <c r="G22" i="9"/>
  <c r="H22" i="9" s="1"/>
  <c r="J21" i="9"/>
  <c r="G21" i="9"/>
  <c r="H21" i="9" s="1"/>
  <c r="J20" i="9"/>
  <c r="G20" i="9"/>
  <c r="H20" i="9" s="1"/>
  <c r="P17" i="9"/>
  <c r="J19" i="9"/>
  <c r="G19" i="9"/>
  <c r="H19" i="9" s="1"/>
  <c r="P16" i="9"/>
  <c r="J18" i="9"/>
  <c r="G18" i="9"/>
  <c r="H18" i="9" s="1"/>
  <c r="P15" i="9"/>
  <c r="J17" i="9"/>
  <c r="G17" i="9"/>
  <c r="H17" i="9" s="1"/>
  <c r="J16" i="9"/>
  <c r="G16" i="9"/>
  <c r="H16" i="9" s="1"/>
  <c r="J15" i="9"/>
  <c r="G15" i="9"/>
  <c r="H15" i="9" s="1"/>
  <c r="J14" i="9"/>
  <c r="G14" i="9"/>
  <c r="H14" i="9" s="1"/>
  <c r="J13" i="9"/>
  <c r="G13" i="9"/>
  <c r="H13" i="9" s="1"/>
  <c r="J12" i="9"/>
  <c r="G12" i="9"/>
  <c r="H12" i="9" s="1"/>
  <c r="P10" i="9"/>
  <c r="J11" i="9"/>
  <c r="G11" i="9"/>
  <c r="H11" i="9" s="1"/>
  <c r="P9" i="9"/>
  <c r="J10" i="9"/>
  <c r="G10" i="9"/>
  <c r="H10" i="9" s="1"/>
  <c r="P8" i="9"/>
  <c r="J9" i="9"/>
  <c r="G9" i="9"/>
  <c r="H9" i="9" s="1"/>
  <c r="J8" i="9"/>
  <c r="P5" i="9"/>
  <c r="J7" i="9"/>
  <c r="G7" i="9"/>
  <c r="H7" i="9" s="1"/>
  <c r="P4" i="9"/>
  <c r="J6" i="9"/>
  <c r="G6" i="9"/>
  <c r="H6" i="9" s="1"/>
  <c r="P3" i="9"/>
  <c r="T5" i="9" s="1"/>
  <c r="V9" i="9" s="1"/>
  <c r="W9" i="9" s="1"/>
  <c r="J5" i="9"/>
  <c r="G5" i="9"/>
  <c r="H5" i="9" s="1"/>
  <c r="J4" i="9"/>
  <c r="G4" i="9"/>
  <c r="H4" i="9" s="1"/>
  <c r="J226" i="8"/>
  <c r="G226" i="8"/>
  <c r="H226" i="8" s="1"/>
  <c r="J225" i="8"/>
  <c r="G225" i="8"/>
  <c r="H225" i="8" s="1"/>
  <c r="J224" i="8"/>
  <c r="G224" i="8"/>
  <c r="H224" i="8" s="1"/>
  <c r="J223" i="8"/>
  <c r="G223" i="8"/>
  <c r="H223" i="8" s="1"/>
  <c r="J222" i="8"/>
  <c r="G222" i="8"/>
  <c r="H222" i="8" s="1"/>
  <c r="J221" i="8"/>
  <c r="G221" i="8"/>
  <c r="H221" i="8" s="1"/>
  <c r="J220" i="8"/>
  <c r="G220" i="8"/>
  <c r="H220" i="8" s="1"/>
  <c r="J219" i="8"/>
  <c r="G219" i="8"/>
  <c r="H219" i="8" s="1"/>
  <c r="J218" i="8"/>
  <c r="G218" i="8"/>
  <c r="H218" i="8" s="1"/>
  <c r="J217" i="8"/>
  <c r="G217" i="8"/>
  <c r="H217" i="8" s="1"/>
  <c r="J216" i="8"/>
  <c r="G216" i="8"/>
  <c r="H216" i="8" s="1"/>
  <c r="J215" i="8"/>
  <c r="G215" i="8"/>
  <c r="H215" i="8" s="1"/>
  <c r="J214" i="8"/>
  <c r="G214" i="8"/>
  <c r="H214" i="8" s="1"/>
  <c r="J213" i="8"/>
  <c r="G213" i="8"/>
  <c r="H213" i="8" s="1"/>
  <c r="J212" i="8"/>
  <c r="G212" i="8"/>
  <c r="H212" i="8" s="1"/>
  <c r="J211" i="8"/>
  <c r="G211" i="8"/>
  <c r="H211" i="8" s="1"/>
  <c r="J210" i="8"/>
  <c r="G210" i="8"/>
  <c r="H210" i="8" s="1"/>
  <c r="J209" i="8"/>
  <c r="G209" i="8"/>
  <c r="H209" i="8" s="1"/>
  <c r="J208" i="8"/>
  <c r="G208" i="8"/>
  <c r="H208" i="8" s="1"/>
  <c r="J207" i="8"/>
  <c r="G207" i="8"/>
  <c r="H207" i="8" s="1"/>
  <c r="J206" i="8"/>
  <c r="G206" i="8"/>
  <c r="H206" i="8" s="1"/>
  <c r="J205" i="8"/>
  <c r="G205" i="8"/>
  <c r="H205" i="8" s="1"/>
  <c r="J204" i="8"/>
  <c r="G204" i="8"/>
  <c r="H204" i="8" s="1"/>
  <c r="J203" i="8"/>
  <c r="G203" i="8"/>
  <c r="H203" i="8" s="1"/>
  <c r="J202" i="8"/>
  <c r="G202" i="8"/>
  <c r="H202" i="8" s="1"/>
  <c r="J201" i="8"/>
  <c r="G201" i="8"/>
  <c r="H201" i="8" s="1"/>
  <c r="J200" i="8"/>
  <c r="G200" i="8"/>
  <c r="H200" i="8" s="1"/>
  <c r="J199" i="8"/>
  <c r="G199" i="8"/>
  <c r="H199" i="8" s="1"/>
  <c r="J198" i="8"/>
  <c r="G198" i="8"/>
  <c r="H198" i="8" s="1"/>
  <c r="J197" i="8"/>
  <c r="G197" i="8"/>
  <c r="H197" i="8" s="1"/>
  <c r="J196" i="8"/>
  <c r="G196" i="8"/>
  <c r="H196" i="8" s="1"/>
  <c r="J195" i="8"/>
  <c r="G195" i="8"/>
  <c r="H195" i="8" s="1"/>
  <c r="J194" i="8"/>
  <c r="G194" i="8"/>
  <c r="H194" i="8" s="1"/>
  <c r="J193" i="8"/>
  <c r="G193" i="8"/>
  <c r="H193" i="8" s="1"/>
  <c r="J192" i="8"/>
  <c r="G192" i="8"/>
  <c r="H192" i="8" s="1"/>
  <c r="J191" i="8"/>
  <c r="G191" i="8"/>
  <c r="H191" i="8" s="1"/>
  <c r="J190" i="8"/>
  <c r="G190" i="8"/>
  <c r="H190" i="8" s="1"/>
  <c r="J189" i="8"/>
  <c r="G189" i="8"/>
  <c r="H189" i="8" s="1"/>
  <c r="J188" i="8"/>
  <c r="G188" i="8"/>
  <c r="H188" i="8" s="1"/>
  <c r="J187" i="8"/>
  <c r="G187" i="8"/>
  <c r="H187" i="8" s="1"/>
  <c r="J186" i="8"/>
  <c r="G186" i="8"/>
  <c r="H186" i="8" s="1"/>
  <c r="J185" i="8"/>
  <c r="G185" i="8"/>
  <c r="H185" i="8" s="1"/>
  <c r="J184" i="8"/>
  <c r="G184" i="8"/>
  <c r="H184" i="8" s="1"/>
  <c r="J183" i="8"/>
  <c r="G183" i="8"/>
  <c r="H183" i="8" s="1"/>
  <c r="J182" i="8"/>
  <c r="G182" i="8"/>
  <c r="H182" i="8" s="1"/>
  <c r="J181" i="8"/>
  <c r="G181" i="8"/>
  <c r="H181" i="8" s="1"/>
  <c r="J180" i="8"/>
  <c r="G180" i="8"/>
  <c r="H180" i="8" s="1"/>
  <c r="J179" i="8"/>
  <c r="G179" i="8"/>
  <c r="H179" i="8" s="1"/>
  <c r="J178" i="8"/>
  <c r="G178" i="8"/>
  <c r="H178" i="8" s="1"/>
  <c r="J177" i="8"/>
  <c r="G177" i="8"/>
  <c r="H177" i="8" s="1"/>
  <c r="J176" i="8"/>
  <c r="G176" i="8"/>
  <c r="H176" i="8" s="1"/>
  <c r="J175" i="8"/>
  <c r="G175" i="8"/>
  <c r="H175" i="8" s="1"/>
  <c r="J174" i="8"/>
  <c r="G174" i="8"/>
  <c r="H174" i="8" s="1"/>
  <c r="J173" i="8"/>
  <c r="G173" i="8"/>
  <c r="H173" i="8" s="1"/>
  <c r="J172" i="8"/>
  <c r="G172" i="8"/>
  <c r="H172" i="8" s="1"/>
  <c r="J171" i="8"/>
  <c r="G171" i="8"/>
  <c r="H171" i="8" s="1"/>
  <c r="J170" i="8"/>
  <c r="G170" i="8"/>
  <c r="H170" i="8" s="1"/>
  <c r="J169" i="8"/>
  <c r="G169" i="8"/>
  <c r="H169" i="8" s="1"/>
  <c r="J168" i="8"/>
  <c r="G168" i="8"/>
  <c r="H168" i="8" s="1"/>
  <c r="J167" i="8"/>
  <c r="G167" i="8"/>
  <c r="H167" i="8" s="1"/>
  <c r="J166" i="8"/>
  <c r="G166" i="8"/>
  <c r="H166" i="8" s="1"/>
  <c r="J165" i="8"/>
  <c r="G165" i="8"/>
  <c r="H165" i="8" s="1"/>
  <c r="J164" i="8"/>
  <c r="G164" i="8"/>
  <c r="H164" i="8" s="1"/>
  <c r="J163" i="8"/>
  <c r="G163" i="8"/>
  <c r="H163" i="8" s="1"/>
  <c r="J162" i="8"/>
  <c r="G162" i="8"/>
  <c r="H162" i="8" s="1"/>
  <c r="J161" i="8"/>
  <c r="G161" i="8"/>
  <c r="H161" i="8" s="1"/>
  <c r="J160" i="8"/>
  <c r="G160" i="8"/>
  <c r="H160" i="8" s="1"/>
  <c r="J159" i="8"/>
  <c r="G159" i="8"/>
  <c r="H159" i="8" s="1"/>
  <c r="J158" i="8"/>
  <c r="G158" i="8"/>
  <c r="H158" i="8" s="1"/>
  <c r="J157" i="8"/>
  <c r="G157" i="8"/>
  <c r="H157" i="8" s="1"/>
  <c r="J156" i="8"/>
  <c r="G156" i="8"/>
  <c r="H156" i="8" s="1"/>
  <c r="J155" i="8"/>
  <c r="G155" i="8"/>
  <c r="H155" i="8" s="1"/>
  <c r="J154" i="8"/>
  <c r="G154" i="8"/>
  <c r="H154" i="8" s="1"/>
  <c r="J153" i="8"/>
  <c r="G153" i="8"/>
  <c r="H153" i="8" s="1"/>
  <c r="J152" i="8"/>
  <c r="G152" i="8"/>
  <c r="H152" i="8" s="1"/>
  <c r="J151" i="8"/>
  <c r="G151" i="8"/>
  <c r="H151" i="8" s="1"/>
  <c r="J150" i="8"/>
  <c r="G150" i="8"/>
  <c r="H150" i="8" s="1"/>
  <c r="J149" i="8"/>
  <c r="G149" i="8"/>
  <c r="H149" i="8" s="1"/>
  <c r="J148" i="8"/>
  <c r="G148" i="8"/>
  <c r="H148" i="8" s="1"/>
  <c r="J147" i="8"/>
  <c r="G147" i="8"/>
  <c r="H147" i="8" s="1"/>
  <c r="J146" i="8"/>
  <c r="G146" i="8"/>
  <c r="H146" i="8" s="1"/>
  <c r="J145" i="8"/>
  <c r="G145" i="8"/>
  <c r="H145" i="8" s="1"/>
  <c r="J144" i="8"/>
  <c r="G144" i="8"/>
  <c r="H144" i="8" s="1"/>
  <c r="J143" i="8"/>
  <c r="G143" i="8"/>
  <c r="H143" i="8" s="1"/>
  <c r="J142" i="8"/>
  <c r="G142" i="8"/>
  <c r="H142" i="8" s="1"/>
  <c r="J141" i="8"/>
  <c r="G141" i="8"/>
  <c r="H141" i="8" s="1"/>
  <c r="J140" i="8"/>
  <c r="G140" i="8"/>
  <c r="H140" i="8" s="1"/>
  <c r="J139" i="8"/>
  <c r="G139" i="8"/>
  <c r="H139" i="8" s="1"/>
  <c r="J138" i="8"/>
  <c r="G138" i="8"/>
  <c r="H138" i="8" s="1"/>
  <c r="J137" i="8"/>
  <c r="G137" i="8"/>
  <c r="H137" i="8" s="1"/>
  <c r="J136" i="8"/>
  <c r="G136" i="8"/>
  <c r="H136" i="8" s="1"/>
  <c r="J135" i="8"/>
  <c r="G135" i="8"/>
  <c r="H135" i="8" s="1"/>
  <c r="J134" i="8"/>
  <c r="G134" i="8"/>
  <c r="H134" i="8" s="1"/>
  <c r="J133" i="8"/>
  <c r="G133" i="8"/>
  <c r="H133" i="8" s="1"/>
  <c r="J132" i="8"/>
  <c r="G132" i="8"/>
  <c r="H132" i="8" s="1"/>
  <c r="J131" i="8"/>
  <c r="G131" i="8"/>
  <c r="H131" i="8" s="1"/>
  <c r="J130" i="8"/>
  <c r="G130" i="8"/>
  <c r="H130" i="8" s="1"/>
  <c r="J129" i="8"/>
  <c r="G129" i="8"/>
  <c r="H129" i="8" s="1"/>
  <c r="J128" i="8"/>
  <c r="G128" i="8"/>
  <c r="H128" i="8" s="1"/>
  <c r="J127" i="8"/>
  <c r="G127" i="8"/>
  <c r="H127" i="8" s="1"/>
  <c r="J126" i="8"/>
  <c r="G126" i="8"/>
  <c r="H126" i="8" s="1"/>
  <c r="J125" i="8"/>
  <c r="G125" i="8"/>
  <c r="H125" i="8" s="1"/>
  <c r="J124" i="8"/>
  <c r="G124" i="8"/>
  <c r="H124" i="8" s="1"/>
  <c r="J123" i="8"/>
  <c r="G123" i="8"/>
  <c r="H123" i="8" s="1"/>
  <c r="J122" i="8"/>
  <c r="G122" i="8"/>
  <c r="H122" i="8" s="1"/>
  <c r="J121" i="8"/>
  <c r="G121" i="8"/>
  <c r="H121" i="8" s="1"/>
  <c r="J120" i="8"/>
  <c r="G120" i="8"/>
  <c r="H120" i="8" s="1"/>
  <c r="J119" i="8"/>
  <c r="G119" i="8"/>
  <c r="H119" i="8" s="1"/>
  <c r="J118" i="8"/>
  <c r="G118" i="8"/>
  <c r="H118" i="8" s="1"/>
  <c r="J117" i="8"/>
  <c r="G117" i="8"/>
  <c r="H117" i="8" s="1"/>
  <c r="J116" i="8"/>
  <c r="G116" i="8"/>
  <c r="H116" i="8" s="1"/>
  <c r="J115" i="8"/>
  <c r="G115" i="8"/>
  <c r="H115" i="8" s="1"/>
  <c r="J114" i="8"/>
  <c r="G114" i="8"/>
  <c r="H114" i="8" s="1"/>
  <c r="J113" i="8"/>
  <c r="G113" i="8"/>
  <c r="H113" i="8" s="1"/>
  <c r="J112" i="8"/>
  <c r="G112" i="8"/>
  <c r="H112" i="8" s="1"/>
  <c r="J111" i="8"/>
  <c r="G111" i="8"/>
  <c r="H111" i="8" s="1"/>
  <c r="J110" i="8"/>
  <c r="G110" i="8"/>
  <c r="H110" i="8" s="1"/>
  <c r="J109" i="8"/>
  <c r="G109" i="8"/>
  <c r="H109" i="8" s="1"/>
  <c r="J108" i="8"/>
  <c r="G108" i="8"/>
  <c r="H108" i="8" s="1"/>
  <c r="J107" i="8"/>
  <c r="G107" i="8"/>
  <c r="H107" i="8" s="1"/>
  <c r="J106" i="8"/>
  <c r="G106" i="8"/>
  <c r="H106" i="8" s="1"/>
  <c r="J105" i="8"/>
  <c r="G105" i="8"/>
  <c r="H105" i="8" s="1"/>
  <c r="J104" i="8"/>
  <c r="G104" i="8"/>
  <c r="H104" i="8" s="1"/>
  <c r="J103" i="8"/>
  <c r="G103" i="8"/>
  <c r="H103" i="8" s="1"/>
  <c r="J102" i="8"/>
  <c r="G102" i="8"/>
  <c r="H102" i="8" s="1"/>
  <c r="J101" i="8"/>
  <c r="G101" i="8"/>
  <c r="H101" i="8" s="1"/>
  <c r="J100" i="8"/>
  <c r="G100" i="8"/>
  <c r="H100" i="8" s="1"/>
  <c r="J99" i="8"/>
  <c r="G99" i="8"/>
  <c r="H99" i="8" s="1"/>
  <c r="J98" i="8"/>
  <c r="G98" i="8"/>
  <c r="H98" i="8" s="1"/>
  <c r="J97" i="8"/>
  <c r="G97" i="8"/>
  <c r="H97" i="8" s="1"/>
  <c r="J96" i="8"/>
  <c r="G96" i="8"/>
  <c r="H96" i="8" s="1"/>
  <c r="J95" i="8"/>
  <c r="G95" i="8"/>
  <c r="H95" i="8" s="1"/>
  <c r="J94" i="8"/>
  <c r="G94" i="8"/>
  <c r="H94" i="8" s="1"/>
  <c r="J93" i="8"/>
  <c r="G93" i="8"/>
  <c r="H93" i="8" s="1"/>
  <c r="J92" i="8"/>
  <c r="G92" i="8"/>
  <c r="H92" i="8" s="1"/>
  <c r="J91" i="8"/>
  <c r="G91" i="8"/>
  <c r="H91" i="8" s="1"/>
  <c r="J90" i="8"/>
  <c r="G90" i="8"/>
  <c r="H90" i="8" s="1"/>
  <c r="J89" i="8"/>
  <c r="G89" i="8"/>
  <c r="H89" i="8" s="1"/>
  <c r="J88" i="8"/>
  <c r="G88" i="8"/>
  <c r="H88" i="8" s="1"/>
  <c r="J87" i="8"/>
  <c r="G87" i="8"/>
  <c r="H87" i="8" s="1"/>
  <c r="J86" i="8"/>
  <c r="G86" i="8"/>
  <c r="H86" i="8" s="1"/>
  <c r="J85" i="8"/>
  <c r="G85" i="8"/>
  <c r="H85" i="8" s="1"/>
  <c r="J84" i="8"/>
  <c r="G84" i="8"/>
  <c r="H84" i="8" s="1"/>
  <c r="J83" i="8"/>
  <c r="G83" i="8"/>
  <c r="H83" i="8" s="1"/>
  <c r="J82" i="8"/>
  <c r="G82" i="8"/>
  <c r="H82" i="8" s="1"/>
  <c r="J81" i="8"/>
  <c r="G81" i="8"/>
  <c r="H81" i="8" s="1"/>
  <c r="J80" i="8"/>
  <c r="G80" i="8"/>
  <c r="H80" i="8" s="1"/>
  <c r="J79" i="8"/>
  <c r="G79" i="8"/>
  <c r="H79" i="8" s="1"/>
  <c r="J78" i="8"/>
  <c r="G78" i="8"/>
  <c r="H78" i="8" s="1"/>
  <c r="J77" i="8"/>
  <c r="G77" i="8"/>
  <c r="H77" i="8" s="1"/>
  <c r="J76" i="8"/>
  <c r="G76" i="8"/>
  <c r="H76" i="8" s="1"/>
  <c r="J75" i="8"/>
  <c r="G75" i="8"/>
  <c r="H75" i="8" s="1"/>
  <c r="J74" i="8"/>
  <c r="G74" i="8"/>
  <c r="H74" i="8" s="1"/>
  <c r="J73" i="8"/>
  <c r="G73" i="8"/>
  <c r="H73" i="8" s="1"/>
  <c r="J72" i="8"/>
  <c r="G72" i="8"/>
  <c r="H72" i="8" s="1"/>
  <c r="J71" i="8"/>
  <c r="G71" i="8"/>
  <c r="H71" i="8" s="1"/>
  <c r="J70" i="8"/>
  <c r="G70" i="8"/>
  <c r="H70" i="8" s="1"/>
  <c r="J69" i="8"/>
  <c r="G69" i="8"/>
  <c r="H69" i="8" s="1"/>
  <c r="J68" i="8"/>
  <c r="G68" i="8"/>
  <c r="H68" i="8" s="1"/>
  <c r="J67" i="8"/>
  <c r="G67" i="8"/>
  <c r="H67" i="8" s="1"/>
  <c r="J66" i="8"/>
  <c r="G66" i="8"/>
  <c r="H66" i="8" s="1"/>
  <c r="J65" i="8"/>
  <c r="G65" i="8"/>
  <c r="H65" i="8" s="1"/>
  <c r="J64" i="8"/>
  <c r="G64" i="8"/>
  <c r="H64" i="8" s="1"/>
  <c r="J63" i="8"/>
  <c r="G63" i="8"/>
  <c r="H63" i="8" s="1"/>
  <c r="J62" i="8"/>
  <c r="G62" i="8"/>
  <c r="H62" i="8" s="1"/>
  <c r="J61" i="8"/>
  <c r="G61" i="8"/>
  <c r="H61" i="8" s="1"/>
  <c r="J60" i="8"/>
  <c r="G60" i="8"/>
  <c r="H60" i="8" s="1"/>
  <c r="J59" i="8"/>
  <c r="G59" i="8"/>
  <c r="H59" i="8" s="1"/>
  <c r="J58" i="8"/>
  <c r="G58" i="8"/>
  <c r="H58" i="8" s="1"/>
  <c r="J57" i="8"/>
  <c r="G57" i="8"/>
  <c r="H57" i="8" s="1"/>
  <c r="J56" i="8"/>
  <c r="G56" i="8"/>
  <c r="H56" i="8" s="1"/>
  <c r="J55" i="8"/>
  <c r="G55" i="8"/>
  <c r="H55" i="8" s="1"/>
  <c r="J54" i="8"/>
  <c r="G54" i="8"/>
  <c r="H54" i="8" s="1"/>
  <c r="J53" i="8"/>
  <c r="G53" i="8"/>
  <c r="H53" i="8" s="1"/>
  <c r="J52" i="8"/>
  <c r="G52" i="8"/>
  <c r="H52" i="8" s="1"/>
  <c r="J51" i="8"/>
  <c r="G51" i="8"/>
  <c r="H51" i="8" s="1"/>
  <c r="J50" i="8"/>
  <c r="G50" i="8"/>
  <c r="H50" i="8" s="1"/>
  <c r="J49" i="8"/>
  <c r="G49" i="8"/>
  <c r="H49" i="8" s="1"/>
  <c r="J48" i="8"/>
  <c r="G48" i="8"/>
  <c r="H48" i="8" s="1"/>
  <c r="J47" i="8"/>
  <c r="G47" i="8"/>
  <c r="H47" i="8" s="1"/>
  <c r="J46" i="8"/>
  <c r="G46" i="8"/>
  <c r="H46" i="8" s="1"/>
  <c r="J45" i="8"/>
  <c r="G45" i="8"/>
  <c r="H45" i="8" s="1"/>
  <c r="J44" i="8"/>
  <c r="G44" i="8"/>
  <c r="H44" i="8" s="1"/>
  <c r="J43" i="8"/>
  <c r="G43" i="8"/>
  <c r="H43" i="8" s="1"/>
  <c r="J42" i="8"/>
  <c r="G42" i="8"/>
  <c r="H42" i="8" s="1"/>
  <c r="J41" i="8"/>
  <c r="G41" i="8"/>
  <c r="H41" i="8" s="1"/>
  <c r="J40" i="8"/>
  <c r="G40" i="8"/>
  <c r="H40" i="8" s="1"/>
  <c r="J39" i="8"/>
  <c r="G39" i="8"/>
  <c r="H39" i="8" s="1"/>
  <c r="J38" i="8"/>
  <c r="G38" i="8"/>
  <c r="H38" i="8" s="1"/>
  <c r="J37" i="8"/>
  <c r="G37" i="8"/>
  <c r="H37" i="8" s="1"/>
  <c r="J36" i="8"/>
  <c r="G36" i="8"/>
  <c r="H36" i="8" s="1"/>
  <c r="J35" i="8"/>
  <c r="G35" i="8"/>
  <c r="H35" i="8" s="1"/>
  <c r="J34" i="8"/>
  <c r="G34" i="8"/>
  <c r="H34" i="8" s="1"/>
  <c r="J33" i="8"/>
  <c r="G33" i="8"/>
  <c r="H33" i="8" s="1"/>
  <c r="J32" i="8"/>
  <c r="G32" i="8"/>
  <c r="H32" i="8" s="1"/>
  <c r="J31" i="8"/>
  <c r="G31" i="8"/>
  <c r="H31" i="8" s="1"/>
  <c r="J30" i="8"/>
  <c r="G30" i="8"/>
  <c r="H30" i="8" s="1"/>
  <c r="J29" i="8"/>
  <c r="G29" i="8"/>
  <c r="H29" i="8" s="1"/>
  <c r="J28" i="8"/>
  <c r="G28" i="8"/>
  <c r="H28" i="8" s="1"/>
  <c r="J27" i="8"/>
  <c r="G27" i="8"/>
  <c r="H27" i="8" s="1"/>
  <c r="J26" i="8"/>
  <c r="G26" i="8"/>
  <c r="H26" i="8" s="1"/>
  <c r="J25" i="8"/>
  <c r="G25" i="8"/>
  <c r="H25" i="8" s="1"/>
  <c r="J24" i="8"/>
  <c r="G24" i="8"/>
  <c r="H24" i="8" s="1"/>
  <c r="J23" i="8"/>
  <c r="G23" i="8"/>
  <c r="H23" i="8" s="1"/>
  <c r="J22" i="8"/>
  <c r="G22" i="8"/>
  <c r="H22" i="8" s="1"/>
  <c r="J21" i="8"/>
  <c r="G21" i="8"/>
  <c r="H21" i="8" s="1"/>
  <c r="J20" i="8"/>
  <c r="G20" i="8"/>
  <c r="H20" i="8" s="1"/>
  <c r="P17" i="8"/>
  <c r="J19" i="8"/>
  <c r="G19" i="8"/>
  <c r="H19" i="8" s="1"/>
  <c r="P16" i="8"/>
  <c r="J18" i="8"/>
  <c r="G18" i="8"/>
  <c r="H18" i="8" s="1"/>
  <c r="P15" i="8"/>
  <c r="J17" i="8"/>
  <c r="G17" i="8"/>
  <c r="H17" i="8" s="1"/>
  <c r="J16" i="8"/>
  <c r="G16" i="8"/>
  <c r="H16" i="8" s="1"/>
  <c r="J15" i="8"/>
  <c r="G15" i="8"/>
  <c r="H15" i="8" s="1"/>
  <c r="J14" i="8"/>
  <c r="G14" i="8"/>
  <c r="H14" i="8" s="1"/>
  <c r="J13" i="8"/>
  <c r="G13" i="8"/>
  <c r="H13" i="8" s="1"/>
  <c r="J12" i="8"/>
  <c r="G12" i="8"/>
  <c r="H12" i="8" s="1"/>
  <c r="P10" i="8"/>
  <c r="J11" i="8"/>
  <c r="G11" i="8"/>
  <c r="H11" i="8" s="1"/>
  <c r="J10" i="8"/>
  <c r="G10" i="8"/>
  <c r="H10" i="8" s="1"/>
  <c r="P8" i="8"/>
  <c r="J9" i="8"/>
  <c r="G9" i="8"/>
  <c r="H9" i="8" s="1"/>
  <c r="J8" i="8"/>
  <c r="G8" i="8"/>
  <c r="H8" i="8" s="1"/>
  <c r="P5" i="8"/>
  <c r="J7" i="8"/>
  <c r="G7" i="8"/>
  <c r="H7" i="8" s="1"/>
  <c r="P4" i="8"/>
  <c r="J6" i="8"/>
  <c r="G6" i="8"/>
  <c r="P3" i="8"/>
  <c r="T5" i="8" s="1"/>
  <c r="V9" i="8" s="1"/>
  <c r="W9" i="8" s="1"/>
  <c r="J5" i="8"/>
  <c r="G5" i="8"/>
  <c r="J4" i="8"/>
  <c r="G4" i="8"/>
  <c r="H4" i="8" s="1"/>
  <c r="J226" i="7"/>
  <c r="G226" i="7"/>
  <c r="H226" i="7" s="1"/>
  <c r="J225" i="7"/>
  <c r="G225" i="7"/>
  <c r="H225" i="7" s="1"/>
  <c r="J224" i="7"/>
  <c r="G224" i="7"/>
  <c r="H224" i="7" s="1"/>
  <c r="J223" i="7"/>
  <c r="G223" i="7"/>
  <c r="H223" i="7" s="1"/>
  <c r="J222" i="7"/>
  <c r="G222" i="7"/>
  <c r="H222" i="7" s="1"/>
  <c r="J221" i="7"/>
  <c r="G221" i="7"/>
  <c r="H221" i="7" s="1"/>
  <c r="J220" i="7"/>
  <c r="G220" i="7"/>
  <c r="H220" i="7" s="1"/>
  <c r="J219" i="7"/>
  <c r="G219" i="7"/>
  <c r="H219" i="7" s="1"/>
  <c r="J218" i="7"/>
  <c r="G218" i="7"/>
  <c r="H218" i="7" s="1"/>
  <c r="J217" i="7"/>
  <c r="G217" i="7"/>
  <c r="H217" i="7" s="1"/>
  <c r="J216" i="7"/>
  <c r="G216" i="7"/>
  <c r="H216" i="7" s="1"/>
  <c r="J215" i="7"/>
  <c r="G215" i="7"/>
  <c r="H215" i="7" s="1"/>
  <c r="J214" i="7"/>
  <c r="G214" i="7"/>
  <c r="H214" i="7" s="1"/>
  <c r="J213" i="7"/>
  <c r="G213" i="7"/>
  <c r="H213" i="7" s="1"/>
  <c r="J212" i="7"/>
  <c r="G212" i="7"/>
  <c r="H212" i="7" s="1"/>
  <c r="J211" i="7"/>
  <c r="G211" i="7"/>
  <c r="H211" i="7" s="1"/>
  <c r="J210" i="7"/>
  <c r="G210" i="7"/>
  <c r="H210" i="7" s="1"/>
  <c r="J209" i="7"/>
  <c r="G209" i="7"/>
  <c r="H209" i="7" s="1"/>
  <c r="J208" i="7"/>
  <c r="G208" i="7"/>
  <c r="H208" i="7" s="1"/>
  <c r="J207" i="7"/>
  <c r="G207" i="7"/>
  <c r="H207" i="7" s="1"/>
  <c r="J206" i="7"/>
  <c r="G206" i="7"/>
  <c r="H206" i="7" s="1"/>
  <c r="J205" i="7"/>
  <c r="G205" i="7"/>
  <c r="H205" i="7" s="1"/>
  <c r="J204" i="7"/>
  <c r="G204" i="7"/>
  <c r="H204" i="7" s="1"/>
  <c r="J203" i="7"/>
  <c r="G203" i="7"/>
  <c r="H203" i="7" s="1"/>
  <c r="J202" i="7"/>
  <c r="G202" i="7"/>
  <c r="H202" i="7" s="1"/>
  <c r="J201" i="7"/>
  <c r="G201" i="7"/>
  <c r="H201" i="7" s="1"/>
  <c r="J200" i="7"/>
  <c r="G200" i="7"/>
  <c r="H200" i="7" s="1"/>
  <c r="J199" i="7"/>
  <c r="G199" i="7"/>
  <c r="H199" i="7" s="1"/>
  <c r="J198" i="7"/>
  <c r="G198" i="7"/>
  <c r="H198" i="7" s="1"/>
  <c r="J197" i="7"/>
  <c r="G197" i="7"/>
  <c r="H197" i="7" s="1"/>
  <c r="J196" i="7"/>
  <c r="G196" i="7"/>
  <c r="H196" i="7" s="1"/>
  <c r="J195" i="7"/>
  <c r="G195" i="7"/>
  <c r="H195" i="7" s="1"/>
  <c r="J194" i="7"/>
  <c r="G194" i="7"/>
  <c r="H194" i="7" s="1"/>
  <c r="J193" i="7"/>
  <c r="G193" i="7"/>
  <c r="H193" i="7" s="1"/>
  <c r="J192" i="7"/>
  <c r="G192" i="7"/>
  <c r="H192" i="7" s="1"/>
  <c r="J191" i="7"/>
  <c r="G191" i="7"/>
  <c r="H191" i="7" s="1"/>
  <c r="J190" i="7"/>
  <c r="G190" i="7"/>
  <c r="H190" i="7" s="1"/>
  <c r="J189" i="7"/>
  <c r="G189" i="7"/>
  <c r="H189" i="7" s="1"/>
  <c r="J188" i="7"/>
  <c r="G188" i="7"/>
  <c r="H188" i="7" s="1"/>
  <c r="J187" i="7"/>
  <c r="G187" i="7"/>
  <c r="H187" i="7" s="1"/>
  <c r="J186" i="7"/>
  <c r="G186" i="7"/>
  <c r="H186" i="7" s="1"/>
  <c r="J185" i="7"/>
  <c r="G185" i="7"/>
  <c r="H185" i="7" s="1"/>
  <c r="J184" i="7"/>
  <c r="G184" i="7"/>
  <c r="H184" i="7" s="1"/>
  <c r="J183" i="7"/>
  <c r="G183" i="7"/>
  <c r="H183" i="7" s="1"/>
  <c r="J182" i="7"/>
  <c r="G182" i="7"/>
  <c r="H182" i="7" s="1"/>
  <c r="J181" i="7"/>
  <c r="G181" i="7"/>
  <c r="H181" i="7" s="1"/>
  <c r="J180" i="7"/>
  <c r="G180" i="7"/>
  <c r="H180" i="7" s="1"/>
  <c r="J179" i="7"/>
  <c r="G179" i="7"/>
  <c r="H179" i="7" s="1"/>
  <c r="J178" i="7"/>
  <c r="G178" i="7"/>
  <c r="H178" i="7" s="1"/>
  <c r="J177" i="7"/>
  <c r="G177" i="7"/>
  <c r="H177" i="7" s="1"/>
  <c r="J176" i="7"/>
  <c r="G176" i="7"/>
  <c r="H176" i="7" s="1"/>
  <c r="J175" i="7"/>
  <c r="G175" i="7"/>
  <c r="H175" i="7" s="1"/>
  <c r="J174" i="7"/>
  <c r="G174" i="7"/>
  <c r="H174" i="7" s="1"/>
  <c r="J173" i="7"/>
  <c r="G173" i="7"/>
  <c r="H173" i="7" s="1"/>
  <c r="J172" i="7"/>
  <c r="G172" i="7"/>
  <c r="H172" i="7" s="1"/>
  <c r="J171" i="7"/>
  <c r="G171" i="7"/>
  <c r="H171" i="7" s="1"/>
  <c r="J170" i="7"/>
  <c r="G170" i="7"/>
  <c r="H170" i="7" s="1"/>
  <c r="J169" i="7"/>
  <c r="G169" i="7"/>
  <c r="H169" i="7" s="1"/>
  <c r="J168" i="7"/>
  <c r="G168" i="7"/>
  <c r="H168" i="7" s="1"/>
  <c r="J167" i="7"/>
  <c r="G167" i="7"/>
  <c r="H167" i="7" s="1"/>
  <c r="J166" i="7"/>
  <c r="G166" i="7"/>
  <c r="H166" i="7" s="1"/>
  <c r="J165" i="7"/>
  <c r="G165" i="7"/>
  <c r="H165" i="7" s="1"/>
  <c r="J164" i="7"/>
  <c r="G164" i="7"/>
  <c r="H164" i="7" s="1"/>
  <c r="J163" i="7"/>
  <c r="G163" i="7"/>
  <c r="H163" i="7" s="1"/>
  <c r="J162" i="7"/>
  <c r="G162" i="7"/>
  <c r="H162" i="7" s="1"/>
  <c r="J161" i="7"/>
  <c r="G161" i="7"/>
  <c r="H161" i="7" s="1"/>
  <c r="J160" i="7"/>
  <c r="G160" i="7"/>
  <c r="H160" i="7" s="1"/>
  <c r="J159" i="7"/>
  <c r="G159" i="7"/>
  <c r="H159" i="7" s="1"/>
  <c r="J158" i="7"/>
  <c r="G158" i="7"/>
  <c r="H158" i="7" s="1"/>
  <c r="J157" i="7"/>
  <c r="G157" i="7"/>
  <c r="H157" i="7" s="1"/>
  <c r="J156" i="7"/>
  <c r="G156" i="7"/>
  <c r="H156" i="7" s="1"/>
  <c r="J155" i="7"/>
  <c r="G155" i="7"/>
  <c r="H155" i="7" s="1"/>
  <c r="J154" i="7"/>
  <c r="G154" i="7"/>
  <c r="H154" i="7" s="1"/>
  <c r="J153" i="7"/>
  <c r="G153" i="7"/>
  <c r="H153" i="7" s="1"/>
  <c r="J152" i="7"/>
  <c r="G152" i="7"/>
  <c r="H152" i="7" s="1"/>
  <c r="J151" i="7"/>
  <c r="G151" i="7"/>
  <c r="H151" i="7" s="1"/>
  <c r="J150" i="7"/>
  <c r="G150" i="7"/>
  <c r="H150" i="7" s="1"/>
  <c r="J149" i="7"/>
  <c r="G149" i="7"/>
  <c r="H149" i="7" s="1"/>
  <c r="J148" i="7"/>
  <c r="G148" i="7"/>
  <c r="H148" i="7" s="1"/>
  <c r="J147" i="7"/>
  <c r="G147" i="7"/>
  <c r="H147" i="7" s="1"/>
  <c r="J146" i="7"/>
  <c r="G146" i="7"/>
  <c r="H146" i="7" s="1"/>
  <c r="J145" i="7"/>
  <c r="G145" i="7"/>
  <c r="H145" i="7" s="1"/>
  <c r="J144" i="7"/>
  <c r="G144" i="7"/>
  <c r="H144" i="7" s="1"/>
  <c r="J143" i="7"/>
  <c r="G143" i="7"/>
  <c r="H143" i="7" s="1"/>
  <c r="J142" i="7"/>
  <c r="G142" i="7"/>
  <c r="H142" i="7" s="1"/>
  <c r="J141" i="7"/>
  <c r="G141" i="7"/>
  <c r="H141" i="7" s="1"/>
  <c r="J140" i="7"/>
  <c r="G140" i="7"/>
  <c r="H140" i="7" s="1"/>
  <c r="J139" i="7"/>
  <c r="G139" i="7"/>
  <c r="H139" i="7" s="1"/>
  <c r="J138" i="7"/>
  <c r="G138" i="7"/>
  <c r="H138" i="7" s="1"/>
  <c r="J137" i="7"/>
  <c r="G137" i="7"/>
  <c r="H137" i="7" s="1"/>
  <c r="J136" i="7"/>
  <c r="G136" i="7"/>
  <c r="H136" i="7" s="1"/>
  <c r="J135" i="7"/>
  <c r="G135" i="7"/>
  <c r="H135" i="7" s="1"/>
  <c r="J134" i="7"/>
  <c r="G134" i="7"/>
  <c r="H134" i="7" s="1"/>
  <c r="J133" i="7"/>
  <c r="G133" i="7"/>
  <c r="H133" i="7" s="1"/>
  <c r="J132" i="7"/>
  <c r="G132" i="7"/>
  <c r="H132" i="7" s="1"/>
  <c r="J131" i="7"/>
  <c r="G131" i="7"/>
  <c r="H131" i="7" s="1"/>
  <c r="J130" i="7"/>
  <c r="G130" i="7"/>
  <c r="H130" i="7" s="1"/>
  <c r="J129" i="7"/>
  <c r="G129" i="7"/>
  <c r="H129" i="7" s="1"/>
  <c r="J128" i="7"/>
  <c r="G128" i="7"/>
  <c r="H128" i="7" s="1"/>
  <c r="J127" i="7"/>
  <c r="G127" i="7"/>
  <c r="H127" i="7" s="1"/>
  <c r="J126" i="7"/>
  <c r="G126" i="7"/>
  <c r="H126" i="7" s="1"/>
  <c r="J125" i="7"/>
  <c r="G125" i="7"/>
  <c r="H125" i="7" s="1"/>
  <c r="J124" i="7"/>
  <c r="G124" i="7"/>
  <c r="H124" i="7" s="1"/>
  <c r="J123" i="7"/>
  <c r="G123" i="7"/>
  <c r="H123" i="7" s="1"/>
  <c r="J122" i="7"/>
  <c r="G122" i="7"/>
  <c r="H122" i="7" s="1"/>
  <c r="J121" i="7"/>
  <c r="G121" i="7"/>
  <c r="H121" i="7" s="1"/>
  <c r="J120" i="7"/>
  <c r="G120" i="7"/>
  <c r="H120" i="7" s="1"/>
  <c r="J119" i="7"/>
  <c r="G119" i="7"/>
  <c r="H119" i="7" s="1"/>
  <c r="J118" i="7"/>
  <c r="G118" i="7"/>
  <c r="H118" i="7" s="1"/>
  <c r="J117" i="7"/>
  <c r="G117" i="7"/>
  <c r="H117" i="7" s="1"/>
  <c r="J116" i="7"/>
  <c r="G116" i="7"/>
  <c r="H116" i="7" s="1"/>
  <c r="J115" i="7"/>
  <c r="G115" i="7"/>
  <c r="H115" i="7" s="1"/>
  <c r="J114" i="7"/>
  <c r="G114" i="7"/>
  <c r="H114" i="7" s="1"/>
  <c r="J113" i="7"/>
  <c r="G113" i="7"/>
  <c r="H113" i="7" s="1"/>
  <c r="J112" i="7"/>
  <c r="G112" i="7"/>
  <c r="H112" i="7" s="1"/>
  <c r="J111" i="7"/>
  <c r="G111" i="7"/>
  <c r="H111" i="7" s="1"/>
  <c r="J110" i="7"/>
  <c r="G110" i="7"/>
  <c r="H110" i="7" s="1"/>
  <c r="J109" i="7"/>
  <c r="G109" i="7"/>
  <c r="H109" i="7" s="1"/>
  <c r="J108" i="7"/>
  <c r="G108" i="7"/>
  <c r="H108" i="7" s="1"/>
  <c r="J107" i="7"/>
  <c r="G107" i="7"/>
  <c r="H107" i="7" s="1"/>
  <c r="J106" i="7"/>
  <c r="G106" i="7"/>
  <c r="H106" i="7" s="1"/>
  <c r="J105" i="7"/>
  <c r="G105" i="7"/>
  <c r="H105" i="7" s="1"/>
  <c r="J104" i="7"/>
  <c r="G104" i="7"/>
  <c r="H104" i="7" s="1"/>
  <c r="J103" i="7"/>
  <c r="G103" i="7"/>
  <c r="H103" i="7" s="1"/>
  <c r="J102" i="7"/>
  <c r="G102" i="7"/>
  <c r="H102" i="7" s="1"/>
  <c r="J101" i="7"/>
  <c r="G101" i="7"/>
  <c r="H101" i="7" s="1"/>
  <c r="J100" i="7"/>
  <c r="G100" i="7"/>
  <c r="H100" i="7" s="1"/>
  <c r="J99" i="7"/>
  <c r="G99" i="7"/>
  <c r="H99" i="7" s="1"/>
  <c r="J98" i="7"/>
  <c r="G98" i="7"/>
  <c r="H98" i="7" s="1"/>
  <c r="J97" i="7"/>
  <c r="G97" i="7"/>
  <c r="H97" i="7" s="1"/>
  <c r="J96" i="7"/>
  <c r="G96" i="7"/>
  <c r="H96" i="7" s="1"/>
  <c r="J95" i="7"/>
  <c r="G95" i="7"/>
  <c r="H95" i="7" s="1"/>
  <c r="J94" i="7"/>
  <c r="G94" i="7"/>
  <c r="H94" i="7" s="1"/>
  <c r="J93" i="7"/>
  <c r="G93" i="7"/>
  <c r="H93" i="7" s="1"/>
  <c r="J92" i="7"/>
  <c r="G92" i="7"/>
  <c r="H92" i="7" s="1"/>
  <c r="J91" i="7"/>
  <c r="G91" i="7"/>
  <c r="H91" i="7" s="1"/>
  <c r="J90" i="7"/>
  <c r="G90" i="7"/>
  <c r="H90" i="7" s="1"/>
  <c r="J89" i="7"/>
  <c r="G89" i="7"/>
  <c r="H89" i="7" s="1"/>
  <c r="J88" i="7"/>
  <c r="G88" i="7"/>
  <c r="H88" i="7" s="1"/>
  <c r="J87" i="7"/>
  <c r="G87" i="7"/>
  <c r="H87" i="7" s="1"/>
  <c r="J86" i="7"/>
  <c r="G86" i="7"/>
  <c r="H86" i="7" s="1"/>
  <c r="J85" i="7"/>
  <c r="G85" i="7"/>
  <c r="H85" i="7" s="1"/>
  <c r="J84" i="7"/>
  <c r="G84" i="7"/>
  <c r="H84" i="7" s="1"/>
  <c r="J83" i="7"/>
  <c r="G83" i="7"/>
  <c r="H83" i="7" s="1"/>
  <c r="J82" i="7"/>
  <c r="G82" i="7"/>
  <c r="H82" i="7" s="1"/>
  <c r="J81" i="7"/>
  <c r="G81" i="7"/>
  <c r="H81" i="7" s="1"/>
  <c r="J80" i="7"/>
  <c r="G80" i="7"/>
  <c r="H80" i="7" s="1"/>
  <c r="J79" i="7"/>
  <c r="G79" i="7"/>
  <c r="H79" i="7" s="1"/>
  <c r="J78" i="7"/>
  <c r="G78" i="7"/>
  <c r="H78" i="7" s="1"/>
  <c r="J77" i="7"/>
  <c r="G77" i="7"/>
  <c r="H77" i="7" s="1"/>
  <c r="J76" i="7"/>
  <c r="G76" i="7"/>
  <c r="H76" i="7" s="1"/>
  <c r="J75" i="7"/>
  <c r="G75" i="7"/>
  <c r="H75" i="7" s="1"/>
  <c r="J74" i="7"/>
  <c r="G74" i="7"/>
  <c r="H74" i="7" s="1"/>
  <c r="J73" i="7"/>
  <c r="G73" i="7"/>
  <c r="H73" i="7" s="1"/>
  <c r="J72" i="7"/>
  <c r="G72" i="7"/>
  <c r="H72" i="7" s="1"/>
  <c r="J71" i="7"/>
  <c r="G71" i="7"/>
  <c r="H71" i="7" s="1"/>
  <c r="J70" i="7"/>
  <c r="G70" i="7"/>
  <c r="H70" i="7" s="1"/>
  <c r="J69" i="7"/>
  <c r="G69" i="7"/>
  <c r="H69" i="7" s="1"/>
  <c r="J68" i="7"/>
  <c r="G68" i="7"/>
  <c r="H68" i="7" s="1"/>
  <c r="J67" i="7"/>
  <c r="G67" i="7"/>
  <c r="H67" i="7" s="1"/>
  <c r="J66" i="7"/>
  <c r="G66" i="7"/>
  <c r="H66" i="7" s="1"/>
  <c r="J65" i="7"/>
  <c r="G65" i="7"/>
  <c r="H65" i="7" s="1"/>
  <c r="J64" i="7"/>
  <c r="G64" i="7"/>
  <c r="H64" i="7" s="1"/>
  <c r="J63" i="7"/>
  <c r="G63" i="7"/>
  <c r="H63" i="7" s="1"/>
  <c r="J62" i="7"/>
  <c r="G62" i="7"/>
  <c r="H62" i="7" s="1"/>
  <c r="J61" i="7"/>
  <c r="G61" i="7"/>
  <c r="H61" i="7" s="1"/>
  <c r="J60" i="7"/>
  <c r="G60" i="7"/>
  <c r="H60" i="7" s="1"/>
  <c r="J59" i="7"/>
  <c r="G59" i="7"/>
  <c r="H59" i="7" s="1"/>
  <c r="J58" i="7"/>
  <c r="G58" i="7"/>
  <c r="H58" i="7" s="1"/>
  <c r="J57" i="7"/>
  <c r="G57" i="7"/>
  <c r="H57" i="7" s="1"/>
  <c r="J56" i="7"/>
  <c r="G56" i="7"/>
  <c r="H56" i="7" s="1"/>
  <c r="J55" i="7"/>
  <c r="G55" i="7"/>
  <c r="H55" i="7" s="1"/>
  <c r="J54" i="7"/>
  <c r="G54" i="7"/>
  <c r="H54" i="7" s="1"/>
  <c r="J53" i="7"/>
  <c r="G53" i="7"/>
  <c r="H53" i="7" s="1"/>
  <c r="J52" i="7"/>
  <c r="G52" i="7"/>
  <c r="H52" i="7" s="1"/>
  <c r="J51" i="7"/>
  <c r="G51" i="7"/>
  <c r="H51" i="7" s="1"/>
  <c r="J50" i="7"/>
  <c r="G50" i="7"/>
  <c r="H50" i="7" s="1"/>
  <c r="J49" i="7"/>
  <c r="G49" i="7"/>
  <c r="H49" i="7" s="1"/>
  <c r="J48" i="7"/>
  <c r="G48" i="7"/>
  <c r="H48" i="7" s="1"/>
  <c r="J47" i="7"/>
  <c r="G47" i="7"/>
  <c r="H47" i="7" s="1"/>
  <c r="J46" i="7"/>
  <c r="G46" i="7"/>
  <c r="H46" i="7" s="1"/>
  <c r="J45" i="7"/>
  <c r="G45" i="7"/>
  <c r="H45" i="7" s="1"/>
  <c r="J44" i="7"/>
  <c r="G44" i="7"/>
  <c r="H44" i="7" s="1"/>
  <c r="J43" i="7"/>
  <c r="G43" i="7"/>
  <c r="H43" i="7" s="1"/>
  <c r="J42" i="7"/>
  <c r="G42" i="7"/>
  <c r="H42" i="7" s="1"/>
  <c r="J41" i="7"/>
  <c r="G41" i="7"/>
  <c r="H41" i="7" s="1"/>
  <c r="J40" i="7"/>
  <c r="G40" i="7"/>
  <c r="H40" i="7" s="1"/>
  <c r="J39" i="7"/>
  <c r="G39" i="7"/>
  <c r="H39" i="7" s="1"/>
  <c r="J38" i="7"/>
  <c r="G38" i="7"/>
  <c r="H38" i="7" s="1"/>
  <c r="J37" i="7"/>
  <c r="G37" i="7"/>
  <c r="H37" i="7" s="1"/>
  <c r="J36" i="7"/>
  <c r="G36" i="7"/>
  <c r="H36" i="7" s="1"/>
  <c r="J35" i="7"/>
  <c r="G35" i="7"/>
  <c r="H35" i="7" s="1"/>
  <c r="J34" i="7"/>
  <c r="G34" i="7"/>
  <c r="H34" i="7" s="1"/>
  <c r="J33" i="7"/>
  <c r="G33" i="7"/>
  <c r="H33" i="7" s="1"/>
  <c r="J32" i="7"/>
  <c r="G32" i="7"/>
  <c r="H32" i="7" s="1"/>
  <c r="J31" i="7"/>
  <c r="G31" i="7"/>
  <c r="H31" i="7" s="1"/>
  <c r="J30" i="7"/>
  <c r="G30" i="7"/>
  <c r="H30" i="7" s="1"/>
  <c r="J29" i="7"/>
  <c r="G29" i="7"/>
  <c r="H29" i="7" s="1"/>
  <c r="J28" i="7"/>
  <c r="G28" i="7"/>
  <c r="H28" i="7" s="1"/>
  <c r="J27" i="7"/>
  <c r="G27" i="7"/>
  <c r="H27" i="7" s="1"/>
  <c r="J26" i="7"/>
  <c r="G26" i="7"/>
  <c r="H26" i="7" s="1"/>
  <c r="J25" i="7"/>
  <c r="G25" i="7"/>
  <c r="H25" i="7" s="1"/>
  <c r="J24" i="7"/>
  <c r="G24" i="7"/>
  <c r="H24" i="7" s="1"/>
  <c r="J23" i="7"/>
  <c r="G23" i="7"/>
  <c r="H23" i="7" s="1"/>
  <c r="J22" i="7"/>
  <c r="G22" i="7"/>
  <c r="H22" i="7" s="1"/>
  <c r="J21" i="7"/>
  <c r="G21" i="7"/>
  <c r="H21" i="7" s="1"/>
  <c r="J20" i="7"/>
  <c r="G20" i="7"/>
  <c r="H20" i="7" s="1"/>
  <c r="P17" i="7"/>
  <c r="J19" i="7"/>
  <c r="G19" i="7"/>
  <c r="H19" i="7" s="1"/>
  <c r="P16" i="7"/>
  <c r="J18" i="7"/>
  <c r="G18" i="7"/>
  <c r="H18" i="7" s="1"/>
  <c r="P15" i="7"/>
  <c r="J17" i="7"/>
  <c r="G17" i="7"/>
  <c r="H17" i="7" s="1"/>
  <c r="J16" i="7"/>
  <c r="G16" i="7"/>
  <c r="H16" i="7" s="1"/>
  <c r="J15" i="7"/>
  <c r="G15" i="7"/>
  <c r="H15" i="7" s="1"/>
  <c r="J14" i="7"/>
  <c r="G14" i="7"/>
  <c r="H14" i="7" s="1"/>
  <c r="J13" i="7"/>
  <c r="G13" i="7"/>
  <c r="H13" i="7" s="1"/>
  <c r="J12" i="7"/>
  <c r="G12" i="7"/>
  <c r="H12" i="7" s="1"/>
  <c r="P10" i="7"/>
  <c r="J11" i="7"/>
  <c r="G11" i="7"/>
  <c r="H11" i="7" s="1"/>
  <c r="J10" i="7"/>
  <c r="G10" i="7"/>
  <c r="H10" i="7" s="1"/>
  <c r="P8" i="7"/>
  <c r="J9" i="7"/>
  <c r="G9" i="7"/>
  <c r="H9" i="7" s="1"/>
  <c r="J8" i="7"/>
  <c r="G8" i="7"/>
  <c r="H8" i="7" s="1"/>
  <c r="P5" i="7"/>
  <c r="J7" i="7"/>
  <c r="G7" i="7"/>
  <c r="H7" i="7" s="1"/>
  <c r="P4" i="7"/>
  <c r="J6" i="7"/>
  <c r="G6" i="7"/>
  <c r="P3" i="7"/>
  <c r="T5" i="7" s="1"/>
  <c r="V9" i="7" s="1"/>
  <c r="W9" i="7" s="1"/>
  <c r="J5" i="7"/>
  <c r="G5" i="7"/>
  <c r="H5" i="7" s="1"/>
  <c r="J4" i="7"/>
  <c r="G4" i="7"/>
  <c r="H4" i="7" s="1"/>
  <c r="J226" i="6"/>
  <c r="G226" i="6"/>
  <c r="H226" i="6" s="1"/>
  <c r="J225" i="6"/>
  <c r="G225" i="6"/>
  <c r="H225" i="6" s="1"/>
  <c r="J224" i="6"/>
  <c r="G224" i="6"/>
  <c r="H224" i="6" s="1"/>
  <c r="J223" i="6"/>
  <c r="G223" i="6"/>
  <c r="H223" i="6" s="1"/>
  <c r="J222" i="6"/>
  <c r="G222" i="6"/>
  <c r="H222" i="6" s="1"/>
  <c r="J221" i="6"/>
  <c r="G221" i="6"/>
  <c r="H221" i="6" s="1"/>
  <c r="J220" i="6"/>
  <c r="G220" i="6"/>
  <c r="H220" i="6" s="1"/>
  <c r="J219" i="6"/>
  <c r="G219" i="6"/>
  <c r="H219" i="6" s="1"/>
  <c r="J218" i="6"/>
  <c r="G218" i="6"/>
  <c r="H218" i="6" s="1"/>
  <c r="J217" i="6"/>
  <c r="G217" i="6"/>
  <c r="H217" i="6" s="1"/>
  <c r="J216" i="6"/>
  <c r="G216" i="6"/>
  <c r="H216" i="6" s="1"/>
  <c r="J215" i="6"/>
  <c r="G215" i="6"/>
  <c r="H215" i="6" s="1"/>
  <c r="J214" i="6"/>
  <c r="G214" i="6"/>
  <c r="H214" i="6" s="1"/>
  <c r="J213" i="6"/>
  <c r="G213" i="6"/>
  <c r="H213" i="6" s="1"/>
  <c r="J212" i="6"/>
  <c r="G212" i="6"/>
  <c r="H212" i="6" s="1"/>
  <c r="J211" i="6"/>
  <c r="G211" i="6"/>
  <c r="H211" i="6" s="1"/>
  <c r="J210" i="6"/>
  <c r="G210" i="6"/>
  <c r="H210" i="6" s="1"/>
  <c r="J209" i="6"/>
  <c r="G209" i="6"/>
  <c r="H209" i="6" s="1"/>
  <c r="J208" i="6"/>
  <c r="G208" i="6"/>
  <c r="H208" i="6" s="1"/>
  <c r="J207" i="6"/>
  <c r="G207" i="6"/>
  <c r="H207" i="6" s="1"/>
  <c r="J206" i="6"/>
  <c r="G206" i="6"/>
  <c r="H206" i="6" s="1"/>
  <c r="J205" i="6"/>
  <c r="G205" i="6"/>
  <c r="H205" i="6" s="1"/>
  <c r="J204" i="6"/>
  <c r="G204" i="6"/>
  <c r="H204" i="6" s="1"/>
  <c r="J203" i="6"/>
  <c r="G203" i="6"/>
  <c r="H203" i="6" s="1"/>
  <c r="J202" i="6"/>
  <c r="G202" i="6"/>
  <c r="H202" i="6" s="1"/>
  <c r="J201" i="6"/>
  <c r="G201" i="6"/>
  <c r="H201" i="6" s="1"/>
  <c r="J200" i="6"/>
  <c r="G200" i="6"/>
  <c r="H200" i="6" s="1"/>
  <c r="J199" i="6"/>
  <c r="G199" i="6"/>
  <c r="H199" i="6" s="1"/>
  <c r="J198" i="6"/>
  <c r="G198" i="6"/>
  <c r="H198" i="6" s="1"/>
  <c r="J197" i="6"/>
  <c r="G197" i="6"/>
  <c r="H197" i="6" s="1"/>
  <c r="J196" i="6"/>
  <c r="G196" i="6"/>
  <c r="H196" i="6" s="1"/>
  <c r="J195" i="6"/>
  <c r="G195" i="6"/>
  <c r="H195" i="6" s="1"/>
  <c r="J194" i="6"/>
  <c r="G194" i="6"/>
  <c r="H194" i="6" s="1"/>
  <c r="J193" i="6"/>
  <c r="G193" i="6"/>
  <c r="H193" i="6" s="1"/>
  <c r="J192" i="6"/>
  <c r="G192" i="6"/>
  <c r="H192" i="6" s="1"/>
  <c r="J191" i="6"/>
  <c r="G191" i="6"/>
  <c r="H191" i="6" s="1"/>
  <c r="J190" i="6"/>
  <c r="G190" i="6"/>
  <c r="H190" i="6" s="1"/>
  <c r="J189" i="6"/>
  <c r="G189" i="6"/>
  <c r="H189" i="6" s="1"/>
  <c r="J188" i="6"/>
  <c r="G188" i="6"/>
  <c r="H188" i="6" s="1"/>
  <c r="J187" i="6"/>
  <c r="G187" i="6"/>
  <c r="H187" i="6" s="1"/>
  <c r="J186" i="6"/>
  <c r="G186" i="6"/>
  <c r="H186" i="6" s="1"/>
  <c r="J185" i="6"/>
  <c r="G185" i="6"/>
  <c r="H185" i="6" s="1"/>
  <c r="J184" i="6"/>
  <c r="G184" i="6"/>
  <c r="H184" i="6" s="1"/>
  <c r="J183" i="6"/>
  <c r="G183" i="6"/>
  <c r="H183" i="6" s="1"/>
  <c r="J182" i="6"/>
  <c r="G182" i="6"/>
  <c r="H182" i="6" s="1"/>
  <c r="J181" i="6"/>
  <c r="G181" i="6"/>
  <c r="H181" i="6" s="1"/>
  <c r="J180" i="6"/>
  <c r="G180" i="6"/>
  <c r="H180" i="6" s="1"/>
  <c r="J179" i="6"/>
  <c r="G179" i="6"/>
  <c r="H179" i="6" s="1"/>
  <c r="J178" i="6"/>
  <c r="G178" i="6"/>
  <c r="H178" i="6" s="1"/>
  <c r="J177" i="6"/>
  <c r="G177" i="6"/>
  <c r="H177" i="6" s="1"/>
  <c r="J176" i="6"/>
  <c r="G176" i="6"/>
  <c r="H176" i="6" s="1"/>
  <c r="J175" i="6"/>
  <c r="G175" i="6"/>
  <c r="H175" i="6" s="1"/>
  <c r="J174" i="6"/>
  <c r="G174" i="6"/>
  <c r="H174" i="6" s="1"/>
  <c r="J173" i="6"/>
  <c r="G173" i="6"/>
  <c r="H173" i="6" s="1"/>
  <c r="J172" i="6"/>
  <c r="G172" i="6"/>
  <c r="H172" i="6" s="1"/>
  <c r="J171" i="6"/>
  <c r="G171" i="6"/>
  <c r="H171" i="6" s="1"/>
  <c r="J170" i="6"/>
  <c r="G170" i="6"/>
  <c r="H170" i="6" s="1"/>
  <c r="J169" i="6"/>
  <c r="G169" i="6"/>
  <c r="H169" i="6" s="1"/>
  <c r="J168" i="6"/>
  <c r="G168" i="6"/>
  <c r="H168" i="6" s="1"/>
  <c r="J167" i="6"/>
  <c r="G167" i="6"/>
  <c r="H167" i="6" s="1"/>
  <c r="J166" i="6"/>
  <c r="G166" i="6"/>
  <c r="H166" i="6" s="1"/>
  <c r="J165" i="6"/>
  <c r="G165" i="6"/>
  <c r="H165" i="6" s="1"/>
  <c r="J164" i="6"/>
  <c r="G164" i="6"/>
  <c r="H164" i="6" s="1"/>
  <c r="J163" i="6"/>
  <c r="G163" i="6"/>
  <c r="H163" i="6" s="1"/>
  <c r="J162" i="6"/>
  <c r="G162" i="6"/>
  <c r="H162" i="6" s="1"/>
  <c r="J161" i="6"/>
  <c r="G161" i="6"/>
  <c r="H161" i="6" s="1"/>
  <c r="J160" i="6"/>
  <c r="G160" i="6"/>
  <c r="H160" i="6" s="1"/>
  <c r="J159" i="6"/>
  <c r="G159" i="6"/>
  <c r="H159" i="6" s="1"/>
  <c r="J158" i="6"/>
  <c r="G158" i="6"/>
  <c r="H158" i="6" s="1"/>
  <c r="J157" i="6"/>
  <c r="G157" i="6"/>
  <c r="H157" i="6" s="1"/>
  <c r="J156" i="6"/>
  <c r="G156" i="6"/>
  <c r="H156" i="6" s="1"/>
  <c r="J155" i="6"/>
  <c r="G155" i="6"/>
  <c r="H155" i="6" s="1"/>
  <c r="J154" i="6"/>
  <c r="G154" i="6"/>
  <c r="H154" i="6" s="1"/>
  <c r="J153" i="6"/>
  <c r="G153" i="6"/>
  <c r="H153" i="6" s="1"/>
  <c r="J152" i="6"/>
  <c r="G152" i="6"/>
  <c r="H152" i="6" s="1"/>
  <c r="J151" i="6"/>
  <c r="G151" i="6"/>
  <c r="H151" i="6" s="1"/>
  <c r="J150" i="6"/>
  <c r="G150" i="6"/>
  <c r="H150" i="6" s="1"/>
  <c r="J149" i="6"/>
  <c r="G149" i="6"/>
  <c r="H149" i="6" s="1"/>
  <c r="J148" i="6"/>
  <c r="G148" i="6"/>
  <c r="H148" i="6" s="1"/>
  <c r="J147" i="6"/>
  <c r="G147" i="6"/>
  <c r="H147" i="6" s="1"/>
  <c r="J146" i="6"/>
  <c r="G146" i="6"/>
  <c r="H146" i="6" s="1"/>
  <c r="J145" i="6"/>
  <c r="G145" i="6"/>
  <c r="H145" i="6" s="1"/>
  <c r="J144" i="6"/>
  <c r="G144" i="6"/>
  <c r="H144" i="6" s="1"/>
  <c r="J143" i="6"/>
  <c r="G143" i="6"/>
  <c r="H143" i="6" s="1"/>
  <c r="J142" i="6"/>
  <c r="G142" i="6"/>
  <c r="H142" i="6" s="1"/>
  <c r="J141" i="6"/>
  <c r="G141" i="6"/>
  <c r="H141" i="6" s="1"/>
  <c r="J140" i="6"/>
  <c r="G140" i="6"/>
  <c r="H140" i="6" s="1"/>
  <c r="J139" i="6"/>
  <c r="G139" i="6"/>
  <c r="H139" i="6" s="1"/>
  <c r="J138" i="6"/>
  <c r="G138" i="6"/>
  <c r="H138" i="6" s="1"/>
  <c r="J137" i="6"/>
  <c r="G137" i="6"/>
  <c r="H137" i="6" s="1"/>
  <c r="J136" i="6"/>
  <c r="G136" i="6"/>
  <c r="H136" i="6" s="1"/>
  <c r="J135" i="6"/>
  <c r="G135" i="6"/>
  <c r="H135" i="6" s="1"/>
  <c r="J134" i="6"/>
  <c r="G134" i="6"/>
  <c r="H134" i="6" s="1"/>
  <c r="J133" i="6"/>
  <c r="G133" i="6"/>
  <c r="H133" i="6" s="1"/>
  <c r="J132" i="6"/>
  <c r="G132" i="6"/>
  <c r="H132" i="6" s="1"/>
  <c r="J131" i="6"/>
  <c r="G131" i="6"/>
  <c r="H131" i="6" s="1"/>
  <c r="J130" i="6"/>
  <c r="G130" i="6"/>
  <c r="H130" i="6" s="1"/>
  <c r="J129" i="6"/>
  <c r="G129" i="6"/>
  <c r="H129" i="6" s="1"/>
  <c r="J128" i="6"/>
  <c r="G128" i="6"/>
  <c r="H128" i="6" s="1"/>
  <c r="J127" i="6"/>
  <c r="G127" i="6"/>
  <c r="H127" i="6" s="1"/>
  <c r="J126" i="6"/>
  <c r="G126" i="6"/>
  <c r="H126" i="6" s="1"/>
  <c r="J125" i="6"/>
  <c r="G125" i="6"/>
  <c r="H125" i="6" s="1"/>
  <c r="J124" i="6"/>
  <c r="G124" i="6"/>
  <c r="H124" i="6" s="1"/>
  <c r="J123" i="6"/>
  <c r="G123" i="6"/>
  <c r="H123" i="6" s="1"/>
  <c r="J122" i="6"/>
  <c r="G122" i="6"/>
  <c r="H122" i="6" s="1"/>
  <c r="J121" i="6"/>
  <c r="G121" i="6"/>
  <c r="H121" i="6" s="1"/>
  <c r="J120" i="6"/>
  <c r="G120" i="6"/>
  <c r="H120" i="6" s="1"/>
  <c r="J119" i="6"/>
  <c r="G119" i="6"/>
  <c r="H119" i="6" s="1"/>
  <c r="J118" i="6"/>
  <c r="G118" i="6"/>
  <c r="H118" i="6" s="1"/>
  <c r="J117" i="6"/>
  <c r="G117" i="6"/>
  <c r="H117" i="6" s="1"/>
  <c r="J116" i="6"/>
  <c r="G116" i="6"/>
  <c r="H116" i="6" s="1"/>
  <c r="J115" i="6"/>
  <c r="G115" i="6"/>
  <c r="H115" i="6" s="1"/>
  <c r="J114" i="6"/>
  <c r="G114" i="6"/>
  <c r="H114" i="6" s="1"/>
  <c r="J113" i="6"/>
  <c r="G113" i="6"/>
  <c r="H113" i="6" s="1"/>
  <c r="J112" i="6"/>
  <c r="G112" i="6"/>
  <c r="H112" i="6" s="1"/>
  <c r="J111" i="6"/>
  <c r="G111" i="6"/>
  <c r="H111" i="6" s="1"/>
  <c r="J110" i="6"/>
  <c r="G110" i="6"/>
  <c r="H110" i="6" s="1"/>
  <c r="J109" i="6"/>
  <c r="G109" i="6"/>
  <c r="H109" i="6" s="1"/>
  <c r="J108" i="6"/>
  <c r="G108" i="6"/>
  <c r="H108" i="6" s="1"/>
  <c r="J107" i="6"/>
  <c r="G107" i="6"/>
  <c r="H107" i="6" s="1"/>
  <c r="J106" i="6"/>
  <c r="G106" i="6"/>
  <c r="H106" i="6" s="1"/>
  <c r="J105" i="6"/>
  <c r="G105" i="6"/>
  <c r="H105" i="6" s="1"/>
  <c r="J104" i="6"/>
  <c r="G104" i="6"/>
  <c r="H104" i="6" s="1"/>
  <c r="J103" i="6"/>
  <c r="G103" i="6"/>
  <c r="H103" i="6" s="1"/>
  <c r="J102" i="6"/>
  <c r="G102" i="6"/>
  <c r="H102" i="6" s="1"/>
  <c r="J101" i="6"/>
  <c r="G101" i="6"/>
  <c r="H101" i="6" s="1"/>
  <c r="J100" i="6"/>
  <c r="G100" i="6"/>
  <c r="H100" i="6" s="1"/>
  <c r="J99" i="6"/>
  <c r="G99" i="6"/>
  <c r="H99" i="6" s="1"/>
  <c r="J98" i="6"/>
  <c r="G98" i="6"/>
  <c r="H98" i="6" s="1"/>
  <c r="J97" i="6"/>
  <c r="G97" i="6"/>
  <c r="H97" i="6" s="1"/>
  <c r="J96" i="6"/>
  <c r="G96" i="6"/>
  <c r="H96" i="6" s="1"/>
  <c r="J95" i="6"/>
  <c r="G95" i="6"/>
  <c r="H95" i="6" s="1"/>
  <c r="J94" i="6"/>
  <c r="G94" i="6"/>
  <c r="H94" i="6" s="1"/>
  <c r="J93" i="6"/>
  <c r="G93" i="6"/>
  <c r="H93" i="6" s="1"/>
  <c r="J92" i="6"/>
  <c r="G92" i="6"/>
  <c r="H92" i="6" s="1"/>
  <c r="J91" i="6"/>
  <c r="G91" i="6"/>
  <c r="H91" i="6" s="1"/>
  <c r="J90" i="6"/>
  <c r="G90" i="6"/>
  <c r="H90" i="6" s="1"/>
  <c r="J89" i="6"/>
  <c r="G89" i="6"/>
  <c r="H89" i="6" s="1"/>
  <c r="J88" i="6"/>
  <c r="G88" i="6"/>
  <c r="H88" i="6" s="1"/>
  <c r="J87" i="6"/>
  <c r="G87" i="6"/>
  <c r="H87" i="6" s="1"/>
  <c r="J86" i="6"/>
  <c r="G86" i="6"/>
  <c r="H86" i="6" s="1"/>
  <c r="J85" i="6"/>
  <c r="G85" i="6"/>
  <c r="H85" i="6" s="1"/>
  <c r="J84" i="6"/>
  <c r="G84" i="6"/>
  <c r="H84" i="6" s="1"/>
  <c r="J83" i="6"/>
  <c r="G83" i="6"/>
  <c r="H83" i="6" s="1"/>
  <c r="J82" i="6"/>
  <c r="G82" i="6"/>
  <c r="H82" i="6" s="1"/>
  <c r="J81" i="6"/>
  <c r="G81" i="6"/>
  <c r="H81" i="6" s="1"/>
  <c r="J80" i="6"/>
  <c r="G80" i="6"/>
  <c r="H80" i="6" s="1"/>
  <c r="J79" i="6"/>
  <c r="G79" i="6"/>
  <c r="H79" i="6" s="1"/>
  <c r="J78" i="6"/>
  <c r="G78" i="6"/>
  <c r="H78" i="6" s="1"/>
  <c r="J77" i="6"/>
  <c r="G77" i="6"/>
  <c r="H77" i="6" s="1"/>
  <c r="J76" i="6"/>
  <c r="G76" i="6"/>
  <c r="H76" i="6" s="1"/>
  <c r="J75" i="6"/>
  <c r="G75" i="6"/>
  <c r="H75" i="6" s="1"/>
  <c r="J74" i="6"/>
  <c r="G74" i="6"/>
  <c r="H74" i="6" s="1"/>
  <c r="J73" i="6"/>
  <c r="G73" i="6"/>
  <c r="H73" i="6" s="1"/>
  <c r="J72" i="6"/>
  <c r="G72" i="6"/>
  <c r="H72" i="6" s="1"/>
  <c r="J71" i="6"/>
  <c r="G71" i="6"/>
  <c r="H71" i="6" s="1"/>
  <c r="J70" i="6"/>
  <c r="G70" i="6"/>
  <c r="H70" i="6" s="1"/>
  <c r="J69" i="6"/>
  <c r="G69" i="6"/>
  <c r="H69" i="6" s="1"/>
  <c r="J68" i="6"/>
  <c r="G68" i="6"/>
  <c r="H68" i="6" s="1"/>
  <c r="J67" i="6"/>
  <c r="G67" i="6"/>
  <c r="H67" i="6" s="1"/>
  <c r="J66" i="6"/>
  <c r="G66" i="6"/>
  <c r="H66" i="6" s="1"/>
  <c r="J65" i="6"/>
  <c r="G65" i="6"/>
  <c r="H65" i="6" s="1"/>
  <c r="J64" i="6"/>
  <c r="G64" i="6"/>
  <c r="H64" i="6" s="1"/>
  <c r="J63" i="6"/>
  <c r="G63" i="6"/>
  <c r="H63" i="6" s="1"/>
  <c r="J62" i="6"/>
  <c r="G62" i="6"/>
  <c r="H62" i="6" s="1"/>
  <c r="J61" i="6"/>
  <c r="G61" i="6"/>
  <c r="H61" i="6" s="1"/>
  <c r="J60" i="6"/>
  <c r="G60" i="6"/>
  <c r="H60" i="6" s="1"/>
  <c r="J59" i="6"/>
  <c r="G59" i="6"/>
  <c r="H59" i="6" s="1"/>
  <c r="J58" i="6"/>
  <c r="G58" i="6"/>
  <c r="H58" i="6" s="1"/>
  <c r="J57" i="6"/>
  <c r="G57" i="6"/>
  <c r="H57" i="6" s="1"/>
  <c r="J56" i="6"/>
  <c r="G56" i="6"/>
  <c r="H56" i="6" s="1"/>
  <c r="J55" i="6"/>
  <c r="G55" i="6"/>
  <c r="H55" i="6" s="1"/>
  <c r="J54" i="6"/>
  <c r="G54" i="6"/>
  <c r="H54" i="6" s="1"/>
  <c r="J53" i="6"/>
  <c r="G53" i="6"/>
  <c r="H53" i="6" s="1"/>
  <c r="J52" i="6"/>
  <c r="G52" i="6"/>
  <c r="H52" i="6" s="1"/>
  <c r="J51" i="6"/>
  <c r="G51" i="6"/>
  <c r="H51" i="6" s="1"/>
  <c r="J50" i="6"/>
  <c r="G50" i="6"/>
  <c r="H50" i="6" s="1"/>
  <c r="J49" i="6"/>
  <c r="G49" i="6"/>
  <c r="H49" i="6" s="1"/>
  <c r="J48" i="6"/>
  <c r="G48" i="6"/>
  <c r="H48" i="6" s="1"/>
  <c r="J47" i="6"/>
  <c r="G47" i="6"/>
  <c r="H47" i="6" s="1"/>
  <c r="J46" i="6"/>
  <c r="G46" i="6"/>
  <c r="H46" i="6" s="1"/>
  <c r="J45" i="6"/>
  <c r="G45" i="6"/>
  <c r="H45" i="6" s="1"/>
  <c r="J44" i="6"/>
  <c r="G44" i="6"/>
  <c r="H44" i="6" s="1"/>
  <c r="J43" i="6"/>
  <c r="G43" i="6"/>
  <c r="H43" i="6" s="1"/>
  <c r="J42" i="6"/>
  <c r="G42" i="6"/>
  <c r="H42" i="6" s="1"/>
  <c r="J41" i="6"/>
  <c r="G41" i="6"/>
  <c r="H41" i="6" s="1"/>
  <c r="J40" i="6"/>
  <c r="G40" i="6"/>
  <c r="H40" i="6" s="1"/>
  <c r="J39" i="6"/>
  <c r="G39" i="6"/>
  <c r="H39" i="6" s="1"/>
  <c r="J38" i="6"/>
  <c r="G38" i="6"/>
  <c r="H38" i="6" s="1"/>
  <c r="J37" i="6"/>
  <c r="G37" i="6"/>
  <c r="H37" i="6" s="1"/>
  <c r="J36" i="6"/>
  <c r="G36" i="6"/>
  <c r="H36" i="6" s="1"/>
  <c r="J35" i="6"/>
  <c r="G35" i="6"/>
  <c r="H35" i="6" s="1"/>
  <c r="J34" i="6"/>
  <c r="G34" i="6"/>
  <c r="H34" i="6" s="1"/>
  <c r="J33" i="6"/>
  <c r="G33" i="6"/>
  <c r="H33" i="6" s="1"/>
  <c r="J32" i="6"/>
  <c r="G32" i="6"/>
  <c r="H32" i="6" s="1"/>
  <c r="J31" i="6"/>
  <c r="G31" i="6"/>
  <c r="H31" i="6" s="1"/>
  <c r="J30" i="6"/>
  <c r="G30" i="6"/>
  <c r="H30" i="6" s="1"/>
  <c r="J29" i="6"/>
  <c r="G29" i="6"/>
  <c r="H29" i="6" s="1"/>
  <c r="J28" i="6"/>
  <c r="G28" i="6"/>
  <c r="H28" i="6" s="1"/>
  <c r="J27" i="6"/>
  <c r="G27" i="6"/>
  <c r="H27" i="6" s="1"/>
  <c r="J26" i="6"/>
  <c r="G26" i="6"/>
  <c r="H26" i="6" s="1"/>
  <c r="J25" i="6"/>
  <c r="G25" i="6"/>
  <c r="H25" i="6" s="1"/>
  <c r="J24" i="6"/>
  <c r="G24" i="6"/>
  <c r="H24" i="6" s="1"/>
  <c r="J23" i="6"/>
  <c r="G23" i="6"/>
  <c r="H23" i="6" s="1"/>
  <c r="J22" i="6"/>
  <c r="G22" i="6"/>
  <c r="H22" i="6" s="1"/>
  <c r="J21" i="6"/>
  <c r="G21" i="6"/>
  <c r="H21" i="6" s="1"/>
  <c r="J20" i="6"/>
  <c r="G20" i="6"/>
  <c r="H20" i="6" s="1"/>
  <c r="P17" i="6"/>
  <c r="J19" i="6"/>
  <c r="G19" i="6"/>
  <c r="H19" i="6" s="1"/>
  <c r="P16" i="6"/>
  <c r="J18" i="6"/>
  <c r="G18" i="6"/>
  <c r="H18" i="6" s="1"/>
  <c r="P15" i="6"/>
  <c r="J17" i="6"/>
  <c r="G17" i="6"/>
  <c r="H17" i="6" s="1"/>
  <c r="J16" i="6"/>
  <c r="G16" i="6"/>
  <c r="H16" i="6" s="1"/>
  <c r="J15" i="6"/>
  <c r="G15" i="6"/>
  <c r="H15" i="6" s="1"/>
  <c r="J14" i="6"/>
  <c r="G14" i="6"/>
  <c r="H14" i="6" s="1"/>
  <c r="J13" i="6"/>
  <c r="G13" i="6"/>
  <c r="H13" i="6" s="1"/>
  <c r="J12" i="6"/>
  <c r="G12" i="6"/>
  <c r="H12" i="6" s="1"/>
  <c r="P10" i="6"/>
  <c r="J11" i="6"/>
  <c r="G11" i="6"/>
  <c r="H11" i="6" s="1"/>
  <c r="J10" i="6"/>
  <c r="G10" i="6"/>
  <c r="P8" i="6"/>
  <c r="J9" i="6"/>
  <c r="G9" i="6"/>
  <c r="H9" i="6" s="1"/>
  <c r="J8" i="6"/>
  <c r="G8" i="6"/>
  <c r="H8" i="6" s="1"/>
  <c r="P5" i="6"/>
  <c r="J7" i="6"/>
  <c r="G7" i="6"/>
  <c r="H7" i="6" s="1"/>
  <c r="P4" i="6"/>
  <c r="J6" i="6"/>
  <c r="G6" i="6"/>
  <c r="H6" i="6" s="1"/>
  <c r="P3" i="6"/>
  <c r="T5" i="6" s="1"/>
  <c r="V9" i="6" s="1"/>
  <c r="W9" i="6" s="1"/>
  <c r="J5" i="6"/>
  <c r="G5" i="6"/>
  <c r="J4" i="6"/>
  <c r="G4" i="6"/>
  <c r="H4" i="6" s="1"/>
  <c r="J226" i="5"/>
  <c r="G226" i="5"/>
  <c r="H226" i="5" s="1"/>
  <c r="J225" i="5"/>
  <c r="G225" i="5"/>
  <c r="H225" i="5" s="1"/>
  <c r="J224" i="5"/>
  <c r="G224" i="5"/>
  <c r="H224" i="5" s="1"/>
  <c r="J223" i="5"/>
  <c r="G223" i="5"/>
  <c r="H223" i="5" s="1"/>
  <c r="J222" i="5"/>
  <c r="G222" i="5"/>
  <c r="H222" i="5" s="1"/>
  <c r="J221" i="5"/>
  <c r="G221" i="5"/>
  <c r="H221" i="5" s="1"/>
  <c r="J220" i="5"/>
  <c r="G220" i="5"/>
  <c r="H220" i="5" s="1"/>
  <c r="J219" i="5"/>
  <c r="G219" i="5"/>
  <c r="H219" i="5" s="1"/>
  <c r="J218" i="5"/>
  <c r="G218" i="5"/>
  <c r="H218" i="5" s="1"/>
  <c r="J217" i="5"/>
  <c r="G217" i="5"/>
  <c r="H217" i="5" s="1"/>
  <c r="J216" i="5"/>
  <c r="G216" i="5"/>
  <c r="H216" i="5" s="1"/>
  <c r="J215" i="5"/>
  <c r="G215" i="5"/>
  <c r="H215" i="5" s="1"/>
  <c r="J214" i="5"/>
  <c r="G214" i="5"/>
  <c r="H214" i="5" s="1"/>
  <c r="J213" i="5"/>
  <c r="G213" i="5"/>
  <c r="H213" i="5" s="1"/>
  <c r="J212" i="5"/>
  <c r="G212" i="5"/>
  <c r="H212" i="5" s="1"/>
  <c r="J211" i="5"/>
  <c r="G211" i="5"/>
  <c r="H211" i="5" s="1"/>
  <c r="J210" i="5"/>
  <c r="G210" i="5"/>
  <c r="H210" i="5" s="1"/>
  <c r="J209" i="5"/>
  <c r="G209" i="5"/>
  <c r="H209" i="5" s="1"/>
  <c r="J208" i="5"/>
  <c r="G208" i="5"/>
  <c r="H208" i="5" s="1"/>
  <c r="J207" i="5"/>
  <c r="G207" i="5"/>
  <c r="H207" i="5" s="1"/>
  <c r="J206" i="5"/>
  <c r="G206" i="5"/>
  <c r="H206" i="5" s="1"/>
  <c r="J205" i="5"/>
  <c r="G205" i="5"/>
  <c r="H205" i="5" s="1"/>
  <c r="J204" i="5"/>
  <c r="G204" i="5"/>
  <c r="H204" i="5" s="1"/>
  <c r="J203" i="5"/>
  <c r="G203" i="5"/>
  <c r="H203" i="5" s="1"/>
  <c r="J202" i="5"/>
  <c r="G202" i="5"/>
  <c r="H202" i="5" s="1"/>
  <c r="J201" i="5"/>
  <c r="G201" i="5"/>
  <c r="H201" i="5" s="1"/>
  <c r="J200" i="5"/>
  <c r="G200" i="5"/>
  <c r="H200" i="5" s="1"/>
  <c r="J199" i="5"/>
  <c r="G199" i="5"/>
  <c r="H199" i="5" s="1"/>
  <c r="J198" i="5"/>
  <c r="G198" i="5"/>
  <c r="H198" i="5" s="1"/>
  <c r="J197" i="5"/>
  <c r="G197" i="5"/>
  <c r="H197" i="5" s="1"/>
  <c r="J196" i="5"/>
  <c r="G196" i="5"/>
  <c r="H196" i="5" s="1"/>
  <c r="J195" i="5"/>
  <c r="G195" i="5"/>
  <c r="H195" i="5" s="1"/>
  <c r="J194" i="5"/>
  <c r="G194" i="5"/>
  <c r="H194" i="5" s="1"/>
  <c r="J193" i="5"/>
  <c r="G193" i="5"/>
  <c r="H193" i="5" s="1"/>
  <c r="J192" i="5"/>
  <c r="G192" i="5"/>
  <c r="H192" i="5" s="1"/>
  <c r="J191" i="5"/>
  <c r="G191" i="5"/>
  <c r="H191" i="5" s="1"/>
  <c r="J190" i="5"/>
  <c r="G190" i="5"/>
  <c r="H190" i="5" s="1"/>
  <c r="J189" i="5"/>
  <c r="G189" i="5"/>
  <c r="H189" i="5" s="1"/>
  <c r="J188" i="5"/>
  <c r="G188" i="5"/>
  <c r="H188" i="5" s="1"/>
  <c r="J187" i="5"/>
  <c r="G187" i="5"/>
  <c r="H187" i="5" s="1"/>
  <c r="J186" i="5"/>
  <c r="G186" i="5"/>
  <c r="H186" i="5" s="1"/>
  <c r="J185" i="5"/>
  <c r="G185" i="5"/>
  <c r="H185" i="5" s="1"/>
  <c r="J184" i="5"/>
  <c r="G184" i="5"/>
  <c r="H184" i="5" s="1"/>
  <c r="J183" i="5"/>
  <c r="G183" i="5"/>
  <c r="H183" i="5" s="1"/>
  <c r="J182" i="5"/>
  <c r="G182" i="5"/>
  <c r="H182" i="5" s="1"/>
  <c r="J181" i="5"/>
  <c r="G181" i="5"/>
  <c r="H181" i="5" s="1"/>
  <c r="J180" i="5"/>
  <c r="G180" i="5"/>
  <c r="H180" i="5" s="1"/>
  <c r="J179" i="5"/>
  <c r="G179" i="5"/>
  <c r="H179" i="5" s="1"/>
  <c r="J178" i="5"/>
  <c r="G178" i="5"/>
  <c r="H178" i="5" s="1"/>
  <c r="J177" i="5"/>
  <c r="G177" i="5"/>
  <c r="H177" i="5" s="1"/>
  <c r="J176" i="5"/>
  <c r="G176" i="5"/>
  <c r="H176" i="5" s="1"/>
  <c r="J175" i="5"/>
  <c r="G175" i="5"/>
  <c r="H175" i="5" s="1"/>
  <c r="J174" i="5"/>
  <c r="G174" i="5"/>
  <c r="H174" i="5" s="1"/>
  <c r="J173" i="5"/>
  <c r="G173" i="5"/>
  <c r="H173" i="5" s="1"/>
  <c r="J172" i="5"/>
  <c r="G172" i="5"/>
  <c r="H172" i="5" s="1"/>
  <c r="J171" i="5"/>
  <c r="G171" i="5"/>
  <c r="H171" i="5" s="1"/>
  <c r="J170" i="5"/>
  <c r="G170" i="5"/>
  <c r="H170" i="5" s="1"/>
  <c r="J169" i="5"/>
  <c r="G169" i="5"/>
  <c r="H169" i="5" s="1"/>
  <c r="J168" i="5"/>
  <c r="G168" i="5"/>
  <c r="H168" i="5" s="1"/>
  <c r="J167" i="5"/>
  <c r="G167" i="5"/>
  <c r="H167" i="5" s="1"/>
  <c r="J166" i="5"/>
  <c r="G166" i="5"/>
  <c r="H166" i="5" s="1"/>
  <c r="J165" i="5"/>
  <c r="G165" i="5"/>
  <c r="H165" i="5" s="1"/>
  <c r="J164" i="5"/>
  <c r="G164" i="5"/>
  <c r="H164" i="5" s="1"/>
  <c r="J163" i="5"/>
  <c r="G163" i="5"/>
  <c r="H163" i="5" s="1"/>
  <c r="J162" i="5"/>
  <c r="G162" i="5"/>
  <c r="H162" i="5" s="1"/>
  <c r="J161" i="5"/>
  <c r="G161" i="5"/>
  <c r="H161" i="5" s="1"/>
  <c r="J160" i="5"/>
  <c r="G160" i="5"/>
  <c r="H160" i="5" s="1"/>
  <c r="J159" i="5"/>
  <c r="G159" i="5"/>
  <c r="H159" i="5" s="1"/>
  <c r="J158" i="5"/>
  <c r="G158" i="5"/>
  <c r="H158" i="5" s="1"/>
  <c r="J157" i="5"/>
  <c r="G157" i="5"/>
  <c r="H157" i="5" s="1"/>
  <c r="J156" i="5"/>
  <c r="G156" i="5"/>
  <c r="H156" i="5" s="1"/>
  <c r="J155" i="5"/>
  <c r="G155" i="5"/>
  <c r="H155" i="5" s="1"/>
  <c r="J154" i="5"/>
  <c r="G154" i="5"/>
  <c r="H154" i="5" s="1"/>
  <c r="J153" i="5"/>
  <c r="G153" i="5"/>
  <c r="H153" i="5" s="1"/>
  <c r="J152" i="5"/>
  <c r="G152" i="5"/>
  <c r="H152" i="5" s="1"/>
  <c r="J151" i="5"/>
  <c r="G151" i="5"/>
  <c r="H151" i="5" s="1"/>
  <c r="J150" i="5"/>
  <c r="G150" i="5"/>
  <c r="H150" i="5" s="1"/>
  <c r="J149" i="5"/>
  <c r="G149" i="5"/>
  <c r="H149" i="5" s="1"/>
  <c r="J148" i="5"/>
  <c r="G148" i="5"/>
  <c r="H148" i="5" s="1"/>
  <c r="J147" i="5"/>
  <c r="G147" i="5"/>
  <c r="H147" i="5" s="1"/>
  <c r="J146" i="5"/>
  <c r="G146" i="5"/>
  <c r="H146" i="5" s="1"/>
  <c r="J145" i="5"/>
  <c r="G145" i="5"/>
  <c r="H145" i="5" s="1"/>
  <c r="J144" i="5"/>
  <c r="G144" i="5"/>
  <c r="H144" i="5" s="1"/>
  <c r="J143" i="5"/>
  <c r="G143" i="5"/>
  <c r="H143" i="5" s="1"/>
  <c r="J142" i="5"/>
  <c r="G142" i="5"/>
  <c r="H142" i="5" s="1"/>
  <c r="J141" i="5"/>
  <c r="G141" i="5"/>
  <c r="H141" i="5" s="1"/>
  <c r="J140" i="5"/>
  <c r="G140" i="5"/>
  <c r="H140" i="5" s="1"/>
  <c r="J139" i="5"/>
  <c r="G139" i="5"/>
  <c r="H139" i="5" s="1"/>
  <c r="J138" i="5"/>
  <c r="G138" i="5"/>
  <c r="H138" i="5" s="1"/>
  <c r="J137" i="5"/>
  <c r="G137" i="5"/>
  <c r="H137" i="5" s="1"/>
  <c r="J136" i="5"/>
  <c r="G136" i="5"/>
  <c r="H136" i="5" s="1"/>
  <c r="J135" i="5"/>
  <c r="G135" i="5"/>
  <c r="H135" i="5" s="1"/>
  <c r="J134" i="5"/>
  <c r="G134" i="5"/>
  <c r="H134" i="5" s="1"/>
  <c r="J133" i="5"/>
  <c r="G133" i="5"/>
  <c r="H133" i="5" s="1"/>
  <c r="J132" i="5"/>
  <c r="G132" i="5"/>
  <c r="H132" i="5" s="1"/>
  <c r="J131" i="5"/>
  <c r="G131" i="5"/>
  <c r="H131" i="5" s="1"/>
  <c r="J130" i="5"/>
  <c r="G130" i="5"/>
  <c r="H130" i="5" s="1"/>
  <c r="J129" i="5"/>
  <c r="G129" i="5"/>
  <c r="H129" i="5" s="1"/>
  <c r="J128" i="5"/>
  <c r="G128" i="5"/>
  <c r="H128" i="5" s="1"/>
  <c r="J127" i="5"/>
  <c r="G127" i="5"/>
  <c r="H127" i="5" s="1"/>
  <c r="J126" i="5"/>
  <c r="G126" i="5"/>
  <c r="H126" i="5" s="1"/>
  <c r="J125" i="5"/>
  <c r="G125" i="5"/>
  <c r="H125" i="5" s="1"/>
  <c r="J124" i="5"/>
  <c r="G124" i="5"/>
  <c r="H124" i="5" s="1"/>
  <c r="J123" i="5"/>
  <c r="G123" i="5"/>
  <c r="H123" i="5" s="1"/>
  <c r="J122" i="5"/>
  <c r="G122" i="5"/>
  <c r="H122" i="5" s="1"/>
  <c r="J121" i="5"/>
  <c r="G121" i="5"/>
  <c r="H121" i="5" s="1"/>
  <c r="J120" i="5"/>
  <c r="G120" i="5"/>
  <c r="H120" i="5" s="1"/>
  <c r="J119" i="5"/>
  <c r="G119" i="5"/>
  <c r="H119" i="5" s="1"/>
  <c r="J118" i="5"/>
  <c r="G118" i="5"/>
  <c r="H118" i="5" s="1"/>
  <c r="J117" i="5"/>
  <c r="G117" i="5"/>
  <c r="H117" i="5" s="1"/>
  <c r="J116" i="5"/>
  <c r="G116" i="5"/>
  <c r="H116" i="5" s="1"/>
  <c r="J115" i="5"/>
  <c r="G115" i="5"/>
  <c r="H115" i="5" s="1"/>
  <c r="J114" i="5"/>
  <c r="G114" i="5"/>
  <c r="H114" i="5" s="1"/>
  <c r="J113" i="5"/>
  <c r="G113" i="5"/>
  <c r="H113" i="5" s="1"/>
  <c r="J112" i="5"/>
  <c r="G112" i="5"/>
  <c r="H112" i="5" s="1"/>
  <c r="J111" i="5"/>
  <c r="G111" i="5"/>
  <c r="H111" i="5" s="1"/>
  <c r="J110" i="5"/>
  <c r="G110" i="5"/>
  <c r="H110" i="5" s="1"/>
  <c r="J109" i="5"/>
  <c r="G109" i="5"/>
  <c r="H109" i="5" s="1"/>
  <c r="J108" i="5"/>
  <c r="G108" i="5"/>
  <c r="H108" i="5" s="1"/>
  <c r="J107" i="5"/>
  <c r="G107" i="5"/>
  <c r="H107" i="5" s="1"/>
  <c r="J106" i="5"/>
  <c r="G106" i="5"/>
  <c r="H106" i="5" s="1"/>
  <c r="J105" i="5"/>
  <c r="G105" i="5"/>
  <c r="H105" i="5" s="1"/>
  <c r="J104" i="5"/>
  <c r="G104" i="5"/>
  <c r="H104" i="5" s="1"/>
  <c r="J103" i="5"/>
  <c r="G103" i="5"/>
  <c r="H103" i="5" s="1"/>
  <c r="J102" i="5"/>
  <c r="G102" i="5"/>
  <c r="H102" i="5" s="1"/>
  <c r="J101" i="5"/>
  <c r="G101" i="5"/>
  <c r="H101" i="5" s="1"/>
  <c r="J100" i="5"/>
  <c r="G100" i="5"/>
  <c r="H100" i="5" s="1"/>
  <c r="J99" i="5"/>
  <c r="G99" i="5"/>
  <c r="H99" i="5" s="1"/>
  <c r="J98" i="5"/>
  <c r="G98" i="5"/>
  <c r="H98" i="5" s="1"/>
  <c r="J97" i="5"/>
  <c r="G97" i="5"/>
  <c r="H97" i="5" s="1"/>
  <c r="J96" i="5"/>
  <c r="G96" i="5"/>
  <c r="H96" i="5" s="1"/>
  <c r="J95" i="5"/>
  <c r="G95" i="5"/>
  <c r="H95" i="5" s="1"/>
  <c r="J94" i="5"/>
  <c r="G94" i="5"/>
  <c r="H94" i="5" s="1"/>
  <c r="J93" i="5"/>
  <c r="G93" i="5"/>
  <c r="H93" i="5" s="1"/>
  <c r="J92" i="5"/>
  <c r="G92" i="5"/>
  <c r="H92" i="5" s="1"/>
  <c r="J91" i="5"/>
  <c r="G91" i="5"/>
  <c r="H91" i="5" s="1"/>
  <c r="J90" i="5"/>
  <c r="G90" i="5"/>
  <c r="H90" i="5" s="1"/>
  <c r="J89" i="5"/>
  <c r="G89" i="5"/>
  <c r="H89" i="5" s="1"/>
  <c r="J88" i="5"/>
  <c r="G88" i="5"/>
  <c r="H88" i="5" s="1"/>
  <c r="J87" i="5"/>
  <c r="G87" i="5"/>
  <c r="H87" i="5" s="1"/>
  <c r="J86" i="5"/>
  <c r="G86" i="5"/>
  <c r="H86" i="5" s="1"/>
  <c r="J85" i="5"/>
  <c r="G85" i="5"/>
  <c r="H85" i="5" s="1"/>
  <c r="J84" i="5"/>
  <c r="G84" i="5"/>
  <c r="H84" i="5" s="1"/>
  <c r="J83" i="5"/>
  <c r="G83" i="5"/>
  <c r="H83" i="5" s="1"/>
  <c r="J82" i="5"/>
  <c r="G82" i="5"/>
  <c r="H82" i="5" s="1"/>
  <c r="J81" i="5"/>
  <c r="G81" i="5"/>
  <c r="H81" i="5" s="1"/>
  <c r="J80" i="5"/>
  <c r="G80" i="5"/>
  <c r="H80" i="5" s="1"/>
  <c r="J79" i="5"/>
  <c r="G79" i="5"/>
  <c r="H79" i="5" s="1"/>
  <c r="J78" i="5"/>
  <c r="G78" i="5"/>
  <c r="H78" i="5" s="1"/>
  <c r="J77" i="5"/>
  <c r="G77" i="5"/>
  <c r="H77" i="5" s="1"/>
  <c r="J76" i="5"/>
  <c r="G76" i="5"/>
  <c r="H76" i="5" s="1"/>
  <c r="J75" i="5"/>
  <c r="G75" i="5"/>
  <c r="H75" i="5" s="1"/>
  <c r="J74" i="5"/>
  <c r="G74" i="5"/>
  <c r="H74" i="5" s="1"/>
  <c r="J73" i="5"/>
  <c r="G73" i="5"/>
  <c r="H73" i="5" s="1"/>
  <c r="J72" i="5"/>
  <c r="G72" i="5"/>
  <c r="H72" i="5" s="1"/>
  <c r="J71" i="5"/>
  <c r="G71" i="5"/>
  <c r="H71" i="5" s="1"/>
  <c r="J70" i="5"/>
  <c r="G70" i="5"/>
  <c r="H70" i="5" s="1"/>
  <c r="J69" i="5"/>
  <c r="G69" i="5"/>
  <c r="H69" i="5" s="1"/>
  <c r="J68" i="5"/>
  <c r="G68" i="5"/>
  <c r="H68" i="5" s="1"/>
  <c r="J67" i="5"/>
  <c r="G67" i="5"/>
  <c r="H67" i="5" s="1"/>
  <c r="J66" i="5"/>
  <c r="G66" i="5"/>
  <c r="H66" i="5" s="1"/>
  <c r="J65" i="5"/>
  <c r="G65" i="5"/>
  <c r="H65" i="5" s="1"/>
  <c r="J64" i="5"/>
  <c r="G64" i="5"/>
  <c r="H64" i="5" s="1"/>
  <c r="J63" i="5"/>
  <c r="G63" i="5"/>
  <c r="H63" i="5" s="1"/>
  <c r="J62" i="5"/>
  <c r="G62" i="5"/>
  <c r="H62" i="5" s="1"/>
  <c r="J61" i="5"/>
  <c r="G61" i="5"/>
  <c r="H61" i="5" s="1"/>
  <c r="J60" i="5"/>
  <c r="G60" i="5"/>
  <c r="H60" i="5" s="1"/>
  <c r="J59" i="5"/>
  <c r="G59" i="5"/>
  <c r="H59" i="5" s="1"/>
  <c r="J58" i="5"/>
  <c r="G58" i="5"/>
  <c r="H58" i="5" s="1"/>
  <c r="J57" i="5"/>
  <c r="G57" i="5"/>
  <c r="H57" i="5" s="1"/>
  <c r="J56" i="5"/>
  <c r="G56" i="5"/>
  <c r="H56" i="5" s="1"/>
  <c r="J55" i="5"/>
  <c r="G55" i="5"/>
  <c r="H55" i="5" s="1"/>
  <c r="J54" i="5"/>
  <c r="G54" i="5"/>
  <c r="H54" i="5" s="1"/>
  <c r="J53" i="5"/>
  <c r="G53" i="5"/>
  <c r="H53" i="5" s="1"/>
  <c r="J52" i="5"/>
  <c r="G52" i="5"/>
  <c r="H52" i="5" s="1"/>
  <c r="J51" i="5"/>
  <c r="G51" i="5"/>
  <c r="H51" i="5" s="1"/>
  <c r="J50" i="5"/>
  <c r="G50" i="5"/>
  <c r="H50" i="5" s="1"/>
  <c r="J49" i="5"/>
  <c r="G49" i="5"/>
  <c r="H49" i="5" s="1"/>
  <c r="J48" i="5"/>
  <c r="G48" i="5"/>
  <c r="H48" i="5" s="1"/>
  <c r="J47" i="5"/>
  <c r="G47" i="5"/>
  <c r="H47" i="5" s="1"/>
  <c r="J46" i="5"/>
  <c r="G46" i="5"/>
  <c r="H46" i="5" s="1"/>
  <c r="J45" i="5"/>
  <c r="G45" i="5"/>
  <c r="H45" i="5" s="1"/>
  <c r="J44" i="5"/>
  <c r="G44" i="5"/>
  <c r="H44" i="5" s="1"/>
  <c r="J43" i="5"/>
  <c r="G43" i="5"/>
  <c r="H43" i="5" s="1"/>
  <c r="J42" i="5"/>
  <c r="G42" i="5"/>
  <c r="H42" i="5" s="1"/>
  <c r="J41" i="5"/>
  <c r="G41" i="5"/>
  <c r="H41" i="5" s="1"/>
  <c r="J40" i="5"/>
  <c r="G40" i="5"/>
  <c r="H40" i="5" s="1"/>
  <c r="J39" i="5"/>
  <c r="G39" i="5"/>
  <c r="H39" i="5" s="1"/>
  <c r="J38" i="5"/>
  <c r="G38" i="5"/>
  <c r="H38" i="5" s="1"/>
  <c r="J37" i="5"/>
  <c r="G37" i="5"/>
  <c r="H37" i="5" s="1"/>
  <c r="J36" i="5"/>
  <c r="G36" i="5"/>
  <c r="H36" i="5" s="1"/>
  <c r="J35" i="5"/>
  <c r="G35" i="5"/>
  <c r="H35" i="5" s="1"/>
  <c r="J34" i="5"/>
  <c r="G34" i="5"/>
  <c r="H34" i="5" s="1"/>
  <c r="J33" i="5"/>
  <c r="G33" i="5"/>
  <c r="H33" i="5" s="1"/>
  <c r="J32" i="5"/>
  <c r="G32" i="5"/>
  <c r="H32" i="5" s="1"/>
  <c r="J31" i="5"/>
  <c r="G31" i="5"/>
  <c r="H31" i="5" s="1"/>
  <c r="J30" i="5"/>
  <c r="G30" i="5"/>
  <c r="H30" i="5" s="1"/>
  <c r="J29" i="5"/>
  <c r="G29" i="5"/>
  <c r="H29" i="5" s="1"/>
  <c r="J28" i="5"/>
  <c r="G28" i="5"/>
  <c r="H28" i="5" s="1"/>
  <c r="J27" i="5"/>
  <c r="G27" i="5"/>
  <c r="H27" i="5" s="1"/>
  <c r="J26" i="5"/>
  <c r="G26" i="5"/>
  <c r="H26" i="5" s="1"/>
  <c r="J25" i="5"/>
  <c r="G25" i="5"/>
  <c r="H25" i="5" s="1"/>
  <c r="J24" i="5"/>
  <c r="G24" i="5"/>
  <c r="H24" i="5" s="1"/>
  <c r="J23" i="5"/>
  <c r="G23" i="5"/>
  <c r="H23" i="5" s="1"/>
  <c r="J22" i="5"/>
  <c r="G22" i="5"/>
  <c r="H22" i="5" s="1"/>
  <c r="J21" i="5"/>
  <c r="G21" i="5"/>
  <c r="H21" i="5" s="1"/>
  <c r="J20" i="5"/>
  <c r="G20" i="5"/>
  <c r="H20" i="5" s="1"/>
  <c r="P17" i="5"/>
  <c r="J19" i="5"/>
  <c r="G19" i="5"/>
  <c r="H19" i="5" s="1"/>
  <c r="P16" i="5"/>
  <c r="J18" i="5"/>
  <c r="G18" i="5"/>
  <c r="H18" i="5" s="1"/>
  <c r="P15" i="5"/>
  <c r="J17" i="5"/>
  <c r="G17" i="5"/>
  <c r="H17" i="5" s="1"/>
  <c r="J16" i="5"/>
  <c r="G16" i="5"/>
  <c r="H16" i="5" s="1"/>
  <c r="J15" i="5"/>
  <c r="J14" i="5"/>
  <c r="G14" i="5"/>
  <c r="H14" i="5" s="1"/>
  <c r="J13" i="5"/>
  <c r="G13" i="5"/>
  <c r="H13" i="5" s="1"/>
  <c r="J12" i="5"/>
  <c r="G12" i="5"/>
  <c r="H12" i="5" s="1"/>
  <c r="P10" i="5"/>
  <c r="J11" i="5"/>
  <c r="G11" i="5"/>
  <c r="H11" i="5" s="1"/>
  <c r="P9" i="5"/>
  <c r="J10" i="5"/>
  <c r="G10" i="5"/>
  <c r="H10" i="5" s="1"/>
  <c r="P8" i="5"/>
  <c r="J9" i="5"/>
  <c r="G9" i="5"/>
  <c r="H9" i="5" s="1"/>
  <c r="J8" i="5"/>
  <c r="G8" i="5"/>
  <c r="H8" i="5" s="1"/>
  <c r="P5" i="5"/>
  <c r="J7" i="5"/>
  <c r="G7" i="5"/>
  <c r="H7" i="5" s="1"/>
  <c r="P4" i="5"/>
  <c r="J6" i="5"/>
  <c r="G6" i="5"/>
  <c r="H6" i="5" s="1"/>
  <c r="P3" i="5"/>
  <c r="T5" i="5" s="1"/>
  <c r="V9" i="5" s="1"/>
  <c r="W9" i="5" s="1"/>
  <c r="J5" i="5"/>
  <c r="G5" i="5"/>
  <c r="J4" i="5"/>
  <c r="G4" i="5"/>
  <c r="H4" i="5" s="1"/>
  <c r="J226" i="4"/>
  <c r="G226" i="4"/>
  <c r="H226" i="4" s="1"/>
  <c r="J225" i="4"/>
  <c r="G225" i="4"/>
  <c r="H225" i="4" s="1"/>
  <c r="J224" i="4"/>
  <c r="G224" i="4"/>
  <c r="H224" i="4" s="1"/>
  <c r="J223" i="4"/>
  <c r="G223" i="4"/>
  <c r="H223" i="4" s="1"/>
  <c r="J222" i="4"/>
  <c r="G222" i="4"/>
  <c r="H222" i="4" s="1"/>
  <c r="J221" i="4"/>
  <c r="G221" i="4"/>
  <c r="H221" i="4" s="1"/>
  <c r="J220" i="4"/>
  <c r="G220" i="4"/>
  <c r="H220" i="4" s="1"/>
  <c r="J219" i="4"/>
  <c r="G219" i="4"/>
  <c r="H219" i="4" s="1"/>
  <c r="J218" i="4"/>
  <c r="G218" i="4"/>
  <c r="H218" i="4" s="1"/>
  <c r="J217" i="4"/>
  <c r="G217" i="4"/>
  <c r="H217" i="4" s="1"/>
  <c r="J216" i="4"/>
  <c r="G216" i="4"/>
  <c r="H216" i="4" s="1"/>
  <c r="J215" i="4"/>
  <c r="G215" i="4"/>
  <c r="H215" i="4" s="1"/>
  <c r="J214" i="4"/>
  <c r="G214" i="4"/>
  <c r="H214" i="4" s="1"/>
  <c r="J213" i="4"/>
  <c r="G213" i="4"/>
  <c r="H213" i="4" s="1"/>
  <c r="J212" i="4"/>
  <c r="G212" i="4"/>
  <c r="H212" i="4" s="1"/>
  <c r="J211" i="4"/>
  <c r="G211" i="4"/>
  <c r="H211" i="4" s="1"/>
  <c r="J210" i="4"/>
  <c r="G210" i="4"/>
  <c r="H210" i="4" s="1"/>
  <c r="J209" i="4"/>
  <c r="G209" i="4"/>
  <c r="H209" i="4" s="1"/>
  <c r="J208" i="4"/>
  <c r="G208" i="4"/>
  <c r="H208" i="4" s="1"/>
  <c r="J207" i="4"/>
  <c r="G207" i="4"/>
  <c r="H207" i="4" s="1"/>
  <c r="J206" i="4"/>
  <c r="G206" i="4"/>
  <c r="H206" i="4" s="1"/>
  <c r="J205" i="4"/>
  <c r="G205" i="4"/>
  <c r="H205" i="4" s="1"/>
  <c r="J204" i="4"/>
  <c r="G204" i="4"/>
  <c r="H204" i="4" s="1"/>
  <c r="J203" i="4"/>
  <c r="G203" i="4"/>
  <c r="H203" i="4" s="1"/>
  <c r="J202" i="4"/>
  <c r="G202" i="4"/>
  <c r="H202" i="4" s="1"/>
  <c r="J201" i="4"/>
  <c r="G201" i="4"/>
  <c r="H201" i="4" s="1"/>
  <c r="J200" i="4"/>
  <c r="G200" i="4"/>
  <c r="H200" i="4" s="1"/>
  <c r="J199" i="4"/>
  <c r="G199" i="4"/>
  <c r="H199" i="4" s="1"/>
  <c r="J198" i="4"/>
  <c r="G198" i="4"/>
  <c r="H198" i="4" s="1"/>
  <c r="J197" i="4"/>
  <c r="G197" i="4"/>
  <c r="H197" i="4" s="1"/>
  <c r="J196" i="4"/>
  <c r="G196" i="4"/>
  <c r="H196" i="4" s="1"/>
  <c r="J195" i="4"/>
  <c r="G195" i="4"/>
  <c r="H195" i="4" s="1"/>
  <c r="J194" i="4"/>
  <c r="G194" i="4"/>
  <c r="H194" i="4" s="1"/>
  <c r="J193" i="4"/>
  <c r="G193" i="4"/>
  <c r="H193" i="4" s="1"/>
  <c r="J192" i="4"/>
  <c r="G192" i="4"/>
  <c r="H192" i="4" s="1"/>
  <c r="J191" i="4"/>
  <c r="G191" i="4"/>
  <c r="H191" i="4" s="1"/>
  <c r="J190" i="4"/>
  <c r="G190" i="4"/>
  <c r="H190" i="4" s="1"/>
  <c r="J189" i="4"/>
  <c r="G189" i="4"/>
  <c r="H189" i="4" s="1"/>
  <c r="J188" i="4"/>
  <c r="G188" i="4"/>
  <c r="H188" i="4" s="1"/>
  <c r="J187" i="4"/>
  <c r="G187" i="4"/>
  <c r="H187" i="4" s="1"/>
  <c r="J186" i="4"/>
  <c r="G186" i="4"/>
  <c r="H186" i="4" s="1"/>
  <c r="J185" i="4"/>
  <c r="G185" i="4"/>
  <c r="H185" i="4" s="1"/>
  <c r="J184" i="4"/>
  <c r="G184" i="4"/>
  <c r="H184" i="4" s="1"/>
  <c r="J183" i="4"/>
  <c r="G183" i="4"/>
  <c r="H183" i="4" s="1"/>
  <c r="J182" i="4"/>
  <c r="G182" i="4"/>
  <c r="H182" i="4" s="1"/>
  <c r="J181" i="4"/>
  <c r="G181" i="4"/>
  <c r="H181" i="4" s="1"/>
  <c r="J180" i="4"/>
  <c r="G180" i="4"/>
  <c r="H180" i="4" s="1"/>
  <c r="J179" i="4"/>
  <c r="G179" i="4"/>
  <c r="H179" i="4" s="1"/>
  <c r="J178" i="4"/>
  <c r="G178" i="4"/>
  <c r="H178" i="4" s="1"/>
  <c r="J177" i="4"/>
  <c r="G177" i="4"/>
  <c r="H177" i="4" s="1"/>
  <c r="J176" i="4"/>
  <c r="G176" i="4"/>
  <c r="H176" i="4" s="1"/>
  <c r="J175" i="4"/>
  <c r="G175" i="4"/>
  <c r="H175" i="4" s="1"/>
  <c r="J174" i="4"/>
  <c r="G174" i="4"/>
  <c r="H174" i="4" s="1"/>
  <c r="J173" i="4"/>
  <c r="G173" i="4"/>
  <c r="H173" i="4" s="1"/>
  <c r="J172" i="4"/>
  <c r="G172" i="4"/>
  <c r="H172" i="4" s="1"/>
  <c r="J171" i="4"/>
  <c r="G171" i="4"/>
  <c r="H171" i="4" s="1"/>
  <c r="J170" i="4"/>
  <c r="G170" i="4"/>
  <c r="H170" i="4" s="1"/>
  <c r="J169" i="4"/>
  <c r="G169" i="4"/>
  <c r="H169" i="4" s="1"/>
  <c r="J168" i="4"/>
  <c r="G168" i="4"/>
  <c r="H168" i="4" s="1"/>
  <c r="J167" i="4"/>
  <c r="G167" i="4"/>
  <c r="H167" i="4" s="1"/>
  <c r="J166" i="4"/>
  <c r="G166" i="4"/>
  <c r="H166" i="4" s="1"/>
  <c r="J165" i="4"/>
  <c r="G165" i="4"/>
  <c r="H165" i="4" s="1"/>
  <c r="J164" i="4"/>
  <c r="G164" i="4"/>
  <c r="H164" i="4" s="1"/>
  <c r="J163" i="4"/>
  <c r="G163" i="4"/>
  <c r="H163" i="4" s="1"/>
  <c r="J162" i="4"/>
  <c r="G162" i="4"/>
  <c r="H162" i="4" s="1"/>
  <c r="J161" i="4"/>
  <c r="G161" i="4"/>
  <c r="H161" i="4" s="1"/>
  <c r="J160" i="4"/>
  <c r="G160" i="4"/>
  <c r="H160" i="4" s="1"/>
  <c r="J159" i="4"/>
  <c r="G159" i="4"/>
  <c r="H159" i="4" s="1"/>
  <c r="J158" i="4"/>
  <c r="G158" i="4"/>
  <c r="H158" i="4" s="1"/>
  <c r="J157" i="4"/>
  <c r="G157" i="4"/>
  <c r="H157" i="4" s="1"/>
  <c r="J156" i="4"/>
  <c r="G156" i="4"/>
  <c r="H156" i="4" s="1"/>
  <c r="J155" i="4"/>
  <c r="G155" i="4"/>
  <c r="H155" i="4" s="1"/>
  <c r="J154" i="4"/>
  <c r="G154" i="4"/>
  <c r="H154" i="4" s="1"/>
  <c r="J153" i="4"/>
  <c r="G153" i="4"/>
  <c r="H153" i="4" s="1"/>
  <c r="J152" i="4"/>
  <c r="G152" i="4"/>
  <c r="H152" i="4" s="1"/>
  <c r="J151" i="4"/>
  <c r="G151" i="4"/>
  <c r="H151" i="4" s="1"/>
  <c r="J150" i="4"/>
  <c r="G150" i="4"/>
  <c r="H150" i="4" s="1"/>
  <c r="J149" i="4"/>
  <c r="G149" i="4"/>
  <c r="H149" i="4" s="1"/>
  <c r="J148" i="4"/>
  <c r="G148" i="4"/>
  <c r="H148" i="4" s="1"/>
  <c r="J147" i="4"/>
  <c r="G147" i="4"/>
  <c r="H147" i="4" s="1"/>
  <c r="J146" i="4"/>
  <c r="G146" i="4"/>
  <c r="H146" i="4" s="1"/>
  <c r="J145" i="4"/>
  <c r="G145" i="4"/>
  <c r="H145" i="4" s="1"/>
  <c r="J144" i="4"/>
  <c r="G144" i="4"/>
  <c r="H144" i="4" s="1"/>
  <c r="J143" i="4"/>
  <c r="G143" i="4"/>
  <c r="H143" i="4" s="1"/>
  <c r="J142" i="4"/>
  <c r="G142" i="4"/>
  <c r="H142" i="4" s="1"/>
  <c r="J141" i="4"/>
  <c r="G141" i="4"/>
  <c r="H141" i="4" s="1"/>
  <c r="J140" i="4"/>
  <c r="G140" i="4"/>
  <c r="H140" i="4" s="1"/>
  <c r="J139" i="4"/>
  <c r="G139" i="4"/>
  <c r="H139" i="4" s="1"/>
  <c r="J138" i="4"/>
  <c r="G138" i="4"/>
  <c r="H138" i="4" s="1"/>
  <c r="J137" i="4"/>
  <c r="G137" i="4"/>
  <c r="H137" i="4" s="1"/>
  <c r="J136" i="4"/>
  <c r="G136" i="4"/>
  <c r="H136" i="4" s="1"/>
  <c r="J135" i="4"/>
  <c r="G135" i="4"/>
  <c r="H135" i="4" s="1"/>
  <c r="J134" i="4"/>
  <c r="G134" i="4"/>
  <c r="H134" i="4" s="1"/>
  <c r="J133" i="4"/>
  <c r="G133" i="4"/>
  <c r="H133" i="4" s="1"/>
  <c r="J132" i="4"/>
  <c r="G132" i="4"/>
  <c r="H132" i="4" s="1"/>
  <c r="J131" i="4"/>
  <c r="G131" i="4"/>
  <c r="H131" i="4" s="1"/>
  <c r="J130" i="4"/>
  <c r="G130" i="4"/>
  <c r="H130" i="4" s="1"/>
  <c r="J129" i="4"/>
  <c r="G129" i="4"/>
  <c r="H129" i="4" s="1"/>
  <c r="J128" i="4"/>
  <c r="G128" i="4"/>
  <c r="H128" i="4" s="1"/>
  <c r="J127" i="4"/>
  <c r="G127" i="4"/>
  <c r="H127" i="4" s="1"/>
  <c r="J126" i="4"/>
  <c r="G126" i="4"/>
  <c r="H126" i="4" s="1"/>
  <c r="J125" i="4"/>
  <c r="G125" i="4"/>
  <c r="H125" i="4" s="1"/>
  <c r="J124" i="4"/>
  <c r="G124" i="4"/>
  <c r="H124" i="4" s="1"/>
  <c r="J123" i="4"/>
  <c r="G123" i="4"/>
  <c r="H123" i="4" s="1"/>
  <c r="J122" i="4"/>
  <c r="G122" i="4"/>
  <c r="H122" i="4" s="1"/>
  <c r="J121" i="4"/>
  <c r="G121" i="4"/>
  <c r="H121" i="4" s="1"/>
  <c r="J120" i="4"/>
  <c r="G120" i="4"/>
  <c r="H120" i="4" s="1"/>
  <c r="J119" i="4"/>
  <c r="G119" i="4"/>
  <c r="H119" i="4" s="1"/>
  <c r="J118" i="4"/>
  <c r="G118" i="4"/>
  <c r="H118" i="4" s="1"/>
  <c r="J117" i="4"/>
  <c r="G117" i="4"/>
  <c r="H117" i="4" s="1"/>
  <c r="J116" i="4"/>
  <c r="G116" i="4"/>
  <c r="H116" i="4" s="1"/>
  <c r="J115" i="4"/>
  <c r="G115" i="4"/>
  <c r="H115" i="4" s="1"/>
  <c r="J114" i="4"/>
  <c r="G114" i="4"/>
  <c r="H114" i="4" s="1"/>
  <c r="J113" i="4"/>
  <c r="G113" i="4"/>
  <c r="H113" i="4" s="1"/>
  <c r="J112" i="4"/>
  <c r="G112" i="4"/>
  <c r="H112" i="4" s="1"/>
  <c r="J111" i="4"/>
  <c r="G111" i="4"/>
  <c r="H111" i="4" s="1"/>
  <c r="J110" i="4"/>
  <c r="G110" i="4"/>
  <c r="H110" i="4" s="1"/>
  <c r="J109" i="4"/>
  <c r="G109" i="4"/>
  <c r="H109" i="4" s="1"/>
  <c r="J108" i="4"/>
  <c r="G108" i="4"/>
  <c r="H108" i="4" s="1"/>
  <c r="J107" i="4"/>
  <c r="G107" i="4"/>
  <c r="H107" i="4" s="1"/>
  <c r="J106" i="4"/>
  <c r="G106" i="4"/>
  <c r="H106" i="4" s="1"/>
  <c r="J105" i="4"/>
  <c r="G105" i="4"/>
  <c r="H105" i="4" s="1"/>
  <c r="J104" i="4"/>
  <c r="G104" i="4"/>
  <c r="H104" i="4" s="1"/>
  <c r="J103" i="4"/>
  <c r="G103" i="4"/>
  <c r="H103" i="4" s="1"/>
  <c r="J102" i="4"/>
  <c r="G102" i="4"/>
  <c r="H102" i="4" s="1"/>
  <c r="J101" i="4"/>
  <c r="G101" i="4"/>
  <c r="H101" i="4" s="1"/>
  <c r="J100" i="4"/>
  <c r="G100" i="4"/>
  <c r="H100" i="4" s="1"/>
  <c r="J99" i="4"/>
  <c r="G99" i="4"/>
  <c r="H99" i="4" s="1"/>
  <c r="J98" i="4"/>
  <c r="G98" i="4"/>
  <c r="H98" i="4" s="1"/>
  <c r="J97" i="4"/>
  <c r="G97" i="4"/>
  <c r="H97" i="4" s="1"/>
  <c r="J96" i="4"/>
  <c r="G96" i="4"/>
  <c r="H96" i="4" s="1"/>
  <c r="J95" i="4"/>
  <c r="G95" i="4"/>
  <c r="H95" i="4" s="1"/>
  <c r="J94" i="4"/>
  <c r="G94" i="4"/>
  <c r="H94" i="4" s="1"/>
  <c r="J93" i="4"/>
  <c r="G93" i="4"/>
  <c r="H93" i="4" s="1"/>
  <c r="J92" i="4"/>
  <c r="G92" i="4"/>
  <c r="H92" i="4" s="1"/>
  <c r="J91" i="4"/>
  <c r="G91" i="4"/>
  <c r="H91" i="4" s="1"/>
  <c r="J90" i="4"/>
  <c r="G90" i="4"/>
  <c r="H90" i="4" s="1"/>
  <c r="J89" i="4"/>
  <c r="G89" i="4"/>
  <c r="H89" i="4" s="1"/>
  <c r="J88" i="4"/>
  <c r="G88" i="4"/>
  <c r="H88" i="4" s="1"/>
  <c r="J87" i="4"/>
  <c r="G87" i="4"/>
  <c r="H87" i="4" s="1"/>
  <c r="J86" i="4"/>
  <c r="G86" i="4"/>
  <c r="H86" i="4" s="1"/>
  <c r="J85" i="4"/>
  <c r="G85" i="4"/>
  <c r="H85" i="4" s="1"/>
  <c r="J84" i="4"/>
  <c r="G84" i="4"/>
  <c r="H84" i="4" s="1"/>
  <c r="J83" i="4"/>
  <c r="G83" i="4"/>
  <c r="H83" i="4" s="1"/>
  <c r="J82" i="4"/>
  <c r="G82" i="4"/>
  <c r="H82" i="4" s="1"/>
  <c r="J81" i="4"/>
  <c r="G81" i="4"/>
  <c r="H81" i="4" s="1"/>
  <c r="J80" i="4"/>
  <c r="G80" i="4"/>
  <c r="H80" i="4" s="1"/>
  <c r="J79" i="4"/>
  <c r="G79" i="4"/>
  <c r="H79" i="4" s="1"/>
  <c r="J78" i="4"/>
  <c r="G78" i="4"/>
  <c r="H78" i="4" s="1"/>
  <c r="J77" i="4"/>
  <c r="G77" i="4"/>
  <c r="H77" i="4" s="1"/>
  <c r="J76" i="4"/>
  <c r="G76" i="4"/>
  <c r="H76" i="4" s="1"/>
  <c r="J75" i="4"/>
  <c r="G75" i="4"/>
  <c r="H75" i="4" s="1"/>
  <c r="J74" i="4"/>
  <c r="G74" i="4"/>
  <c r="H74" i="4" s="1"/>
  <c r="J73" i="4"/>
  <c r="G73" i="4"/>
  <c r="H73" i="4" s="1"/>
  <c r="J72" i="4"/>
  <c r="G72" i="4"/>
  <c r="H72" i="4" s="1"/>
  <c r="J71" i="4"/>
  <c r="G71" i="4"/>
  <c r="H71" i="4" s="1"/>
  <c r="J70" i="4"/>
  <c r="G70" i="4"/>
  <c r="H70" i="4" s="1"/>
  <c r="J69" i="4"/>
  <c r="G69" i="4"/>
  <c r="H69" i="4" s="1"/>
  <c r="J68" i="4"/>
  <c r="G68" i="4"/>
  <c r="H68" i="4" s="1"/>
  <c r="J67" i="4"/>
  <c r="G67" i="4"/>
  <c r="H67" i="4" s="1"/>
  <c r="J66" i="4"/>
  <c r="G66" i="4"/>
  <c r="H66" i="4" s="1"/>
  <c r="J65" i="4"/>
  <c r="G65" i="4"/>
  <c r="H65" i="4" s="1"/>
  <c r="J64" i="4"/>
  <c r="G64" i="4"/>
  <c r="H64" i="4" s="1"/>
  <c r="J63" i="4"/>
  <c r="G63" i="4"/>
  <c r="H63" i="4" s="1"/>
  <c r="J62" i="4"/>
  <c r="G62" i="4"/>
  <c r="H62" i="4" s="1"/>
  <c r="J61" i="4"/>
  <c r="G61" i="4"/>
  <c r="H61" i="4" s="1"/>
  <c r="J60" i="4"/>
  <c r="G60" i="4"/>
  <c r="H60" i="4" s="1"/>
  <c r="J59" i="4"/>
  <c r="G59" i="4"/>
  <c r="H59" i="4" s="1"/>
  <c r="J58" i="4"/>
  <c r="G58" i="4"/>
  <c r="H58" i="4" s="1"/>
  <c r="J57" i="4"/>
  <c r="G57" i="4"/>
  <c r="H57" i="4" s="1"/>
  <c r="J56" i="4"/>
  <c r="G56" i="4"/>
  <c r="H56" i="4" s="1"/>
  <c r="J55" i="4"/>
  <c r="G55" i="4"/>
  <c r="H55" i="4" s="1"/>
  <c r="J54" i="4"/>
  <c r="G54" i="4"/>
  <c r="H54" i="4" s="1"/>
  <c r="J53" i="4"/>
  <c r="G53" i="4"/>
  <c r="H53" i="4" s="1"/>
  <c r="J52" i="4"/>
  <c r="G52" i="4"/>
  <c r="H52" i="4" s="1"/>
  <c r="J51" i="4"/>
  <c r="G51" i="4"/>
  <c r="H51" i="4" s="1"/>
  <c r="J50" i="4"/>
  <c r="G50" i="4"/>
  <c r="H50" i="4" s="1"/>
  <c r="J49" i="4"/>
  <c r="G49" i="4"/>
  <c r="H49" i="4" s="1"/>
  <c r="J48" i="4"/>
  <c r="G48" i="4"/>
  <c r="H48" i="4" s="1"/>
  <c r="J47" i="4"/>
  <c r="G47" i="4"/>
  <c r="H47" i="4" s="1"/>
  <c r="J46" i="4"/>
  <c r="G46" i="4"/>
  <c r="H46" i="4" s="1"/>
  <c r="J45" i="4"/>
  <c r="G45" i="4"/>
  <c r="H45" i="4" s="1"/>
  <c r="J44" i="4"/>
  <c r="G44" i="4"/>
  <c r="H44" i="4" s="1"/>
  <c r="J43" i="4"/>
  <c r="G43" i="4"/>
  <c r="H43" i="4" s="1"/>
  <c r="J42" i="4"/>
  <c r="G42" i="4"/>
  <c r="H42" i="4" s="1"/>
  <c r="J41" i="4"/>
  <c r="G41" i="4"/>
  <c r="H41" i="4" s="1"/>
  <c r="J40" i="4"/>
  <c r="G40" i="4"/>
  <c r="H40" i="4" s="1"/>
  <c r="J39" i="4"/>
  <c r="G39" i="4"/>
  <c r="H39" i="4" s="1"/>
  <c r="J38" i="4"/>
  <c r="G38" i="4"/>
  <c r="H38" i="4" s="1"/>
  <c r="J37" i="4"/>
  <c r="G37" i="4"/>
  <c r="H37" i="4" s="1"/>
  <c r="J36" i="4"/>
  <c r="G36" i="4"/>
  <c r="H36" i="4" s="1"/>
  <c r="J35" i="4"/>
  <c r="G35" i="4"/>
  <c r="H35" i="4" s="1"/>
  <c r="J34" i="4"/>
  <c r="G34" i="4"/>
  <c r="H34" i="4" s="1"/>
  <c r="J33" i="4"/>
  <c r="G33" i="4"/>
  <c r="H33" i="4" s="1"/>
  <c r="J32" i="4"/>
  <c r="G32" i="4"/>
  <c r="H32" i="4" s="1"/>
  <c r="J31" i="4"/>
  <c r="G31" i="4"/>
  <c r="H31" i="4" s="1"/>
  <c r="J30" i="4"/>
  <c r="G30" i="4"/>
  <c r="H30" i="4" s="1"/>
  <c r="J29" i="4"/>
  <c r="G29" i="4"/>
  <c r="H29" i="4" s="1"/>
  <c r="J28" i="4"/>
  <c r="G28" i="4"/>
  <c r="H28" i="4" s="1"/>
  <c r="J27" i="4"/>
  <c r="G27" i="4"/>
  <c r="H27" i="4" s="1"/>
  <c r="J26" i="4"/>
  <c r="G26" i="4"/>
  <c r="H26" i="4" s="1"/>
  <c r="J25" i="4"/>
  <c r="G25" i="4"/>
  <c r="H25" i="4" s="1"/>
  <c r="J24" i="4"/>
  <c r="G24" i="4"/>
  <c r="H24" i="4" s="1"/>
  <c r="J23" i="4"/>
  <c r="G23" i="4"/>
  <c r="H23" i="4" s="1"/>
  <c r="J22" i="4"/>
  <c r="G22" i="4"/>
  <c r="H22" i="4" s="1"/>
  <c r="J21" i="4"/>
  <c r="G21" i="4"/>
  <c r="H21" i="4" s="1"/>
  <c r="J20" i="4"/>
  <c r="G20" i="4"/>
  <c r="H20" i="4" s="1"/>
  <c r="P17" i="4"/>
  <c r="J19" i="4"/>
  <c r="G19" i="4"/>
  <c r="H19" i="4" s="1"/>
  <c r="P16" i="4"/>
  <c r="P18" i="4" s="1"/>
  <c r="J18" i="4"/>
  <c r="G18" i="4"/>
  <c r="H18" i="4" s="1"/>
  <c r="P15" i="4"/>
  <c r="J17" i="4"/>
  <c r="G17" i="4"/>
  <c r="H17" i="4" s="1"/>
  <c r="J16" i="4"/>
  <c r="G16" i="4"/>
  <c r="H16" i="4" s="1"/>
  <c r="J15" i="4"/>
  <c r="G15" i="4"/>
  <c r="H15" i="4" s="1"/>
  <c r="J14" i="4"/>
  <c r="G14" i="4"/>
  <c r="H14" i="4" s="1"/>
  <c r="J13" i="4"/>
  <c r="G13" i="4"/>
  <c r="H13" i="4" s="1"/>
  <c r="J12" i="4"/>
  <c r="G12" i="4"/>
  <c r="H12" i="4" s="1"/>
  <c r="P10" i="4"/>
  <c r="J11" i="4"/>
  <c r="G11" i="4"/>
  <c r="H11" i="4" s="1"/>
  <c r="P9" i="4"/>
  <c r="J10" i="4"/>
  <c r="G10" i="4"/>
  <c r="H10" i="4" s="1"/>
  <c r="P8" i="4"/>
  <c r="J9" i="4"/>
  <c r="G9" i="4"/>
  <c r="H9" i="4" s="1"/>
  <c r="J8" i="4"/>
  <c r="G8" i="4"/>
  <c r="H8" i="4" s="1"/>
  <c r="P5" i="4"/>
  <c r="J7" i="4"/>
  <c r="G7" i="4"/>
  <c r="H7" i="4" s="1"/>
  <c r="P4" i="4"/>
  <c r="J6" i="4"/>
  <c r="P3" i="4"/>
  <c r="T5" i="4" s="1"/>
  <c r="V9" i="4" s="1"/>
  <c r="W9" i="4" s="1"/>
  <c r="J5" i="4"/>
  <c r="J4" i="4"/>
  <c r="G4" i="4"/>
  <c r="H4" i="4" s="1"/>
  <c r="G10" i="1"/>
  <c r="H10" i="1" s="1"/>
  <c r="G12" i="1"/>
  <c r="H12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61" i="1"/>
  <c r="H61" i="1" s="1"/>
  <c r="G62" i="1"/>
  <c r="H62" i="1" s="1"/>
  <c r="G63" i="1"/>
  <c r="H63" i="1" s="1"/>
  <c r="G64" i="1"/>
  <c r="H64" i="1" s="1"/>
  <c r="G65" i="1"/>
  <c r="H65" i="1" s="1"/>
  <c r="G66" i="1"/>
  <c r="H66" i="1" s="1"/>
  <c r="G67" i="1"/>
  <c r="H67" i="1" s="1"/>
  <c r="G68" i="1"/>
  <c r="H68" i="1" s="1"/>
  <c r="G69" i="1"/>
  <c r="H69" i="1" s="1"/>
  <c r="G70" i="1"/>
  <c r="H70" i="1" s="1"/>
  <c r="G71" i="1"/>
  <c r="H71" i="1" s="1"/>
  <c r="G72" i="1"/>
  <c r="H72" i="1" s="1"/>
  <c r="G73" i="1"/>
  <c r="H73" i="1" s="1"/>
  <c r="G74" i="1"/>
  <c r="H74" i="1" s="1"/>
  <c r="G75" i="1"/>
  <c r="H75" i="1" s="1"/>
  <c r="G76" i="1"/>
  <c r="H76" i="1" s="1"/>
  <c r="G77" i="1"/>
  <c r="H77" i="1" s="1"/>
  <c r="G78" i="1"/>
  <c r="H78" i="1" s="1"/>
  <c r="G79" i="1"/>
  <c r="H79" i="1" s="1"/>
  <c r="G80" i="1"/>
  <c r="H80" i="1" s="1"/>
  <c r="G81" i="1"/>
  <c r="H81" i="1" s="1"/>
  <c r="G82" i="1"/>
  <c r="H82" i="1" s="1"/>
  <c r="G83" i="1"/>
  <c r="H83" i="1" s="1"/>
  <c r="G84" i="1"/>
  <c r="H84" i="1" s="1"/>
  <c r="G85" i="1"/>
  <c r="H85" i="1" s="1"/>
  <c r="G86" i="1"/>
  <c r="H86" i="1" s="1"/>
  <c r="G87" i="1"/>
  <c r="H87" i="1" s="1"/>
  <c r="G88" i="1"/>
  <c r="H88" i="1" s="1"/>
  <c r="G89" i="1"/>
  <c r="H89" i="1" s="1"/>
  <c r="G90" i="1"/>
  <c r="H90" i="1" s="1"/>
  <c r="G91" i="1"/>
  <c r="H91" i="1" s="1"/>
  <c r="G92" i="1"/>
  <c r="H92" i="1" s="1"/>
  <c r="G93" i="1"/>
  <c r="H93" i="1" s="1"/>
  <c r="G94" i="1"/>
  <c r="H94" i="1" s="1"/>
  <c r="G95" i="1"/>
  <c r="H95" i="1" s="1"/>
  <c r="G96" i="1"/>
  <c r="H96" i="1" s="1"/>
  <c r="G97" i="1"/>
  <c r="H97" i="1" s="1"/>
  <c r="G98" i="1"/>
  <c r="H98" i="1" s="1"/>
  <c r="G99" i="1"/>
  <c r="H99" i="1" s="1"/>
  <c r="G100" i="1"/>
  <c r="H100" i="1" s="1"/>
  <c r="G101" i="1"/>
  <c r="H101" i="1" s="1"/>
  <c r="G102" i="1"/>
  <c r="H102" i="1" s="1"/>
  <c r="G103" i="1"/>
  <c r="H103" i="1" s="1"/>
  <c r="G104" i="1"/>
  <c r="H104" i="1" s="1"/>
  <c r="G105" i="1"/>
  <c r="H105" i="1" s="1"/>
  <c r="G106" i="1"/>
  <c r="H106" i="1" s="1"/>
  <c r="G107" i="1"/>
  <c r="H107" i="1" s="1"/>
  <c r="G108" i="1"/>
  <c r="H108" i="1" s="1"/>
  <c r="G109" i="1"/>
  <c r="H109" i="1" s="1"/>
  <c r="G110" i="1"/>
  <c r="H110" i="1" s="1"/>
  <c r="G111" i="1"/>
  <c r="H111" i="1" s="1"/>
  <c r="G112" i="1"/>
  <c r="H112" i="1" s="1"/>
  <c r="G113" i="1"/>
  <c r="H113" i="1" s="1"/>
  <c r="G114" i="1"/>
  <c r="H114" i="1" s="1"/>
  <c r="G115" i="1"/>
  <c r="H115" i="1" s="1"/>
  <c r="G116" i="1"/>
  <c r="H116" i="1" s="1"/>
  <c r="G117" i="1"/>
  <c r="H117" i="1" s="1"/>
  <c r="G118" i="1"/>
  <c r="H118" i="1" s="1"/>
  <c r="G119" i="1"/>
  <c r="H119" i="1" s="1"/>
  <c r="G120" i="1"/>
  <c r="H120" i="1" s="1"/>
  <c r="G121" i="1"/>
  <c r="H121" i="1" s="1"/>
  <c r="G122" i="1"/>
  <c r="H122" i="1" s="1"/>
  <c r="G123" i="1"/>
  <c r="H123" i="1" s="1"/>
  <c r="G124" i="1"/>
  <c r="H124" i="1" s="1"/>
  <c r="G125" i="1"/>
  <c r="H125" i="1" s="1"/>
  <c r="G126" i="1"/>
  <c r="H126" i="1" s="1"/>
  <c r="G127" i="1"/>
  <c r="H127" i="1" s="1"/>
  <c r="G128" i="1"/>
  <c r="H128" i="1" s="1"/>
  <c r="G129" i="1"/>
  <c r="H129" i="1" s="1"/>
  <c r="G130" i="1"/>
  <c r="H130" i="1" s="1"/>
  <c r="G131" i="1"/>
  <c r="H131" i="1" s="1"/>
  <c r="G132" i="1"/>
  <c r="H132" i="1" s="1"/>
  <c r="G133" i="1"/>
  <c r="H133" i="1" s="1"/>
  <c r="G134" i="1"/>
  <c r="H134" i="1" s="1"/>
  <c r="G135" i="1"/>
  <c r="H135" i="1" s="1"/>
  <c r="G136" i="1"/>
  <c r="H136" i="1" s="1"/>
  <c r="G137" i="1"/>
  <c r="H137" i="1" s="1"/>
  <c r="G138" i="1"/>
  <c r="H138" i="1" s="1"/>
  <c r="G139" i="1"/>
  <c r="H139" i="1" s="1"/>
  <c r="G140" i="1"/>
  <c r="H140" i="1" s="1"/>
  <c r="G141" i="1"/>
  <c r="H141" i="1" s="1"/>
  <c r="G142" i="1"/>
  <c r="H142" i="1" s="1"/>
  <c r="G143" i="1"/>
  <c r="H143" i="1" s="1"/>
  <c r="G144" i="1"/>
  <c r="H144" i="1" s="1"/>
  <c r="G145" i="1"/>
  <c r="H145" i="1" s="1"/>
  <c r="G146" i="1"/>
  <c r="H146" i="1" s="1"/>
  <c r="G147" i="1"/>
  <c r="H147" i="1" s="1"/>
  <c r="G148" i="1"/>
  <c r="H148" i="1" s="1"/>
  <c r="G149" i="1"/>
  <c r="H149" i="1" s="1"/>
  <c r="G150" i="1"/>
  <c r="H150" i="1" s="1"/>
  <c r="G151" i="1"/>
  <c r="H151" i="1" s="1"/>
  <c r="G152" i="1"/>
  <c r="H152" i="1" s="1"/>
  <c r="G153" i="1"/>
  <c r="H153" i="1" s="1"/>
  <c r="G154" i="1"/>
  <c r="H154" i="1" s="1"/>
  <c r="G155" i="1"/>
  <c r="H155" i="1" s="1"/>
  <c r="G156" i="1"/>
  <c r="H156" i="1" s="1"/>
  <c r="G157" i="1"/>
  <c r="H157" i="1" s="1"/>
  <c r="G158" i="1"/>
  <c r="H158" i="1" s="1"/>
  <c r="G159" i="1"/>
  <c r="H159" i="1" s="1"/>
  <c r="G160" i="1"/>
  <c r="H160" i="1" s="1"/>
  <c r="G161" i="1"/>
  <c r="H161" i="1" s="1"/>
  <c r="G162" i="1"/>
  <c r="H162" i="1" s="1"/>
  <c r="G163" i="1"/>
  <c r="H163" i="1" s="1"/>
  <c r="G164" i="1"/>
  <c r="H164" i="1" s="1"/>
  <c r="G165" i="1"/>
  <c r="H165" i="1" s="1"/>
  <c r="G166" i="1"/>
  <c r="H166" i="1" s="1"/>
  <c r="G167" i="1"/>
  <c r="H167" i="1" s="1"/>
  <c r="G168" i="1"/>
  <c r="H168" i="1" s="1"/>
  <c r="G169" i="1"/>
  <c r="H169" i="1" s="1"/>
  <c r="G170" i="1"/>
  <c r="H170" i="1" s="1"/>
  <c r="G171" i="1"/>
  <c r="H171" i="1" s="1"/>
  <c r="G172" i="1"/>
  <c r="H172" i="1" s="1"/>
  <c r="G173" i="1"/>
  <c r="H173" i="1" s="1"/>
  <c r="G174" i="1"/>
  <c r="H174" i="1" s="1"/>
  <c r="G175" i="1"/>
  <c r="H175" i="1" s="1"/>
  <c r="G176" i="1"/>
  <c r="H176" i="1" s="1"/>
  <c r="G177" i="1"/>
  <c r="H177" i="1" s="1"/>
  <c r="G178" i="1"/>
  <c r="H178" i="1" s="1"/>
  <c r="G179" i="1"/>
  <c r="H179" i="1" s="1"/>
  <c r="G180" i="1"/>
  <c r="H180" i="1" s="1"/>
  <c r="G181" i="1"/>
  <c r="H181" i="1" s="1"/>
  <c r="G182" i="1"/>
  <c r="H182" i="1" s="1"/>
  <c r="G183" i="1"/>
  <c r="H183" i="1" s="1"/>
  <c r="G184" i="1"/>
  <c r="H184" i="1" s="1"/>
  <c r="G185" i="1"/>
  <c r="H185" i="1" s="1"/>
  <c r="G186" i="1"/>
  <c r="H186" i="1" s="1"/>
  <c r="G187" i="1"/>
  <c r="H187" i="1" s="1"/>
  <c r="G188" i="1"/>
  <c r="H188" i="1" s="1"/>
  <c r="G189" i="1"/>
  <c r="H189" i="1" s="1"/>
  <c r="G190" i="1"/>
  <c r="H190" i="1" s="1"/>
  <c r="G191" i="1"/>
  <c r="H191" i="1" s="1"/>
  <c r="G192" i="1"/>
  <c r="H192" i="1" s="1"/>
  <c r="G193" i="1"/>
  <c r="H193" i="1" s="1"/>
  <c r="G194" i="1"/>
  <c r="H194" i="1" s="1"/>
  <c r="G195" i="1"/>
  <c r="H195" i="1" s="1"/>
  <c r="G196" i="1"/>
  <c r="H196" i="1" s="1"/>
  <c r="G197" i="1"/>
  <c r="H197" i="1" s="1"/>
  <c r="G198" i="1"/>
  <c r="H198" i="1" s="1"/>
  <c r="G199" i="1"/>
  <c r="H199" i="1" s="1"/>
  <c r="G200" i="1"/>
  <c r="H200" i="1" s="1"/>
  <c r="G201" i="1"/>
  <c r="H201" i="1" s="1"/>
  <c r="G202" i="1"/>
  <c r="H202" i="1" s="1"/>
  <c r="G203" i="1"/>
  <c r="H203" i="1" s="1"/>
  <c r="G204" i="1"/>
  <c r="H204" i="1" s="1"/>
  <c r="G205" i="1"/>
  <c r="H205" i="1" s="1"/>
  <c r="G206" i="1"/>
  <c r="H206" i="1" s="1"/>
  <c r="G207" i="1"/>
  <c r="H207" i="1" s="1"/>
  <c r="G208" i="1"/>
  <c r="H208" i="1" s="1"/>
  <c r="G209" i="1"/>
  <c r="H209" i="1" s="1"/>
  <c r="G210" i="1"/>
  <c r="H210" i="1" s="1"/>
  <c r="G211" i="1"/>
  <c r="H211" i="1" s="1"/>
  <c r="G212" i="1"/>
  <c r="H212" i="1" s="1"/>
  <c r="G213" i="1"/>
  <c r="H213" i="1" s="1"/>
  <c r="G214" i="1"/>
  <c r="H214" i="1" s="1"/>
  <c r="G215" i="1"/>
  <c r="H215" i="1" s="1"/>
  <c r="G216" i="1"/>
  <c r="H216" i="1" s="1"/>
  <c r="G217" i="1"/>
  <c r="H217" i="1" s="1"/>
  <c r="G218" i="1"/>
  <c r="H218" i="1" s="1"/>
  <c r="G219" i="1"/>
  <c r="H219" i="1" s="1"/>
  <c r="G220" i="1"/>
  <c r="H220" i="1" s="1"/>
  <c r="G221" i="1"/>
  <c r="H221" i="1" s="1"/>
  <c r="G222" i="1"/>
  <c r="H222" i="1" s="1"/>
  <c r="G223" i="1"/>
  <c r="H223" i="1" s="1"/>
  <c r="G224" i="1"/>
  <c r="H224" i="1" s="1"/>
  <c r="G225" i="1"/>
  <c r="H225" i="1" s="1"/>
  <c r="G226" i="1"/>
  <c r="H226" i="1" s="1"/>
  <c r="G4" i="1"/>
  <c r="H4" i="1" s="1"/>
  <c r="G5" i="1"/>
  <c r="H5" i="1" s="1"/>
  <c r="G7" i="1"/>
  <c r="H7" i="1" s="1"/>
  <c r="G9" i="1"/>
  <c r="H9" i="1" s="1"/>
  <c r="P12" i="27" l="1"/>
  <c r="H5" i="27"/>
  <c r="P9" i="28"/>
  <c r="H4" i="28"/>
  <c r="P18" i="5"/>
  <c r="P12" i="8"/>
  <c r="H5" i="8"/>
  <c r="P18" i="9"/>
  <c r="P12" i="10"/>
  <c r="S5" i="10" s="1"/>
  <c r="S9" i="10" s="1"/>
  <c r="T9" i="10" s="1"/>
  <c r="H5" i="10"/>
  <c r="P11" i="10"/>
  <c r="P18" i="12"/>
  <c r="P18" i="18"/>
  <c r="P12" i="19"/>
  <c r="S5" i="19" s="1"/>
  <c r="S9" i="19" s="1"/>
  <c r="T9" i="19" s="1"/>
  <c r="R10" i="19" s="1"/>
  <c r="H5" i="19"/>
  <c r="P12" i="22"/>
  <c r="S5" i="22" s="1"/>
  <c r="S9" i="22" s="1"/>
  <c r="T9" i="22" s="1"/>
  <c r="R10" i="22" s="1"/>
  <c r="H5" i="22"/>
  <c r="P18" i="24"/>
  <c r="P12" i="6"/>
  <c r="H5" i="6"/>
  <c r="P9" i="7"/>
  <c r="H6" i="7"/>
  <c r="P9" i="11"/>
  <c r="H4" i="11"/>
  <c r="P18" i="11"/>
  <c r="P18" i="15"/>
  <c r="P12" i="16"/>
  <c r="S5" i="16" s="1"/>
  <c r="S9" i="16" s="1"/>
  <c r="T9" i="16" s="1"/>
  <c r="R10" i="16" s="1"/>
  <c r="H5" i="16"/>
  <c r="P9" i="18"/>
  <c r="H6" i="18"/>
  <c r="P9" i="23"/>
  <c r="P11" i="23" s="1"/>
  <c r="H4" i="23"/>
  <c r="P12" i="28"/>
  <c r="H5" i="28"/>
  <c r="P9" i="8"/>
  <c r="S5" i="8" s="1"/>
  <c r="S9" i="8" s="1"/>
  <c r="T9" i="8" s="1"/>
  <c r="R10" i="8" s="1"/>
  <c r="H6" i="8"/>
  <c r="P12" i="5"/>
  <c r="S5" i="5" s="1"/>
  <c r="S9" i="5" s="1"/>
  <c r="T9" i="5" s="1"/>
  <c r="R10" i="5" s="1"/>
  <c r="H5" i="5"/>
  <c r="P7" i="6"/>
  <c r="H10" i="6"/>
  <c r="P18" i="14"/>
  <c r="P12" i="15"/>
  <c r="S5" i="15" s="1"/>
  <c r="S9" i="15" s="1"/>
  <c r="T9" i="15" s="1"/>
  <c r="R10" i="15" s="1"/>
  <c r="H5" i="15"/>
  <c r="P9" i="25"/>
  <c r="H6" i="25"/>
  <c r="P12" i="25"/>
  <c r="S5" i="25" s="1"/>
  <c r="S9" i="25" s="1"/>
  <c r="T9" i="25" s="1"/>
  <c r="R10" i="25" s="1"/>
  <c r="P18" i="25"/>
  <c r="P18" i="20"/>
  <c r="S5" i="21"/>
  <c r="S9" i="21" s="1"/>
  <c r="T9" i="21" s="1"/>
  <c r="R10" i="21" s="1"/>
  <c r="P18" i="8"/>
  <c r="S5" i="28"/>
  <c r="S9" i="28" s="1"/>
  <c r="T9" i="28" s="1"/>
  <c r="R10" i="28" s="1"/>
  <c r="P18" i="7"/>
  <c r="H8" i="33"/>
  <c r="P7" i="29"/>
  <c r="H4" i="29"/>
  <c r="P18" i="29"/>
  <c r="P7" i="17"/>
  <c r="H4" i="17"/>
  <c r="P9" i="27"/>
  <c r="S5" i="27" s="1"/>
  <c r="P18" i="27"/>
  <c r="P18" i="26"/>
  <c r="P7" i="30"/>
  <c r="H4" i="30"/>
  <c r="P18" i="30"/>
  <c r="P7" i="33"/>
  <c r="P18" i="6"/>
  <c r="P9" i="6"/>
  <c r="S5" i="6" s="1"/>
  <c r="S9" i="6" s="1"/>
  <c r="T9" i="6" s="1"/>
  <c r="R10" i="6" s="1"/>
  <c r="P9" i="26"/>
  <c r="P18" i="17"/>
  <c r="P9" i="17"/>
  <c r="S5" i="17" s="1"/>
  <c r="P17" i="33"/>
  <c r="P18" i="31"/>
  <c r="P12" i="31"/>
  <c r="P9" i="31"/>
  <c r="P12" i="29"/>
  <c r="P9" i="29"/>
  <c r="P18" i="28"/>
  <c r="T5" i="23"/>
  <c r="V9" i="23" s="1"/>
  <c r="W9" i="23" s="1"/>
  <c r="P18" i="21"/>
  <c r="P18" i="16"/>
  <c r="T5" i="10"/>
  <c r="V9" i="10" s="1"/>
  <c r="W9" i="10" s="1"/>
  <c r="P9" i="3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4" i="3"/>
  <c r="D13" i="3"/>
  <c r="D12" i="3"/>
  <c r="D11" i="3"/>
  <c r="D10" i="3"/>
  <c r="D9" i="3"/>
  <c r="D8" i="3"/>
  <c r="V9" i="31"/>
  <c r="W9" i="31" s="1"/>
  <c r="D7" i="3"/>
  <c r="D6" i="3"/>
  <c r="D5" i="3"/>
  <c r="P12" i="33"/>
  <c r="P12" i="30"/>
  <c r="P9" i="30"/>
  <c r="P6" i="33"/>
  <c r="P6" i="31"/>
  <c r="P6" i="30"/>
  <c r="P6" i="29"/>
  <c r="P6" i="28"/>
  <c r="P6" i="27"/>
  <c r="P12" i="26"/>
  <c r="P6" i="26"/>
  <c r="P11" i="26" s="1"/>
  <c r="P6" i="25"/>
  <c r="P11" i="25" s="1"/>
  <c r="P12" i="24"/>
  <c r="P6" i="24"/>
  <c r="P11" i="24" s="1"/>
  <c r="P12" i="23"/>
  <c r="P6" i="22"/>
  <c r="P11" i="22" s="1"/>
  <c r="P6" i="21"/>
  <c r="P11" i="21" s="1"/>
  <c r="P12" i="20"/>
  <c r="P6" i="20"/>
  <c r="P11" i="20" s="1"/>
  <c r="P6" i="19"/>
  <c r="P11" i="19" s="1"/>
  <c r="P12" i="18"/>
  <c r="S5" i="18" s="1"/>
  <c r="P6" i="18"/>
  <c r="P12" i="17"/>
  <c r="P6" i="17"/>
  <c r="P6" i="16"/>
  <c r="P11" i="16" s="1"/>
  <c r="P6" i="15"/>
  <c r="P11" i="15" s="1"/>
  <c r="P12" i="14"/>
  <c r="S5" i="14" s="1"/>
  <c r="P6" i="14"/>
  <c r="P11" i="14" s="1"/>
  <c r="P12" i="13"/>
  <c r="P6" i="13"/>
  <c r="P11" i="13" s="1"/>
  <c r="P12" i="12"/>
  <c r="P6" i="12"/>
  <c r="P11" i="12" s="1"/>
  <c r="P12" i="11"/>
  <c r="P6" i="11"/>
  <c r="P11" i="11" s="1"/>
  <c r="P12" i="9"/>
  <c r="P6" i="9"/>
  <c r="P11" i="9" s="1"/>
  <c r="P6" i="8"/>
  <c r="P11" i="8" s="1"/>
  <c r="P12" i="7"/>
  <c r="P6" i="7"/>
  <c r="P6" i="6"/>
  <c r="P6" i="5"/>
  <c r="P11" i="5" s="1"/>
  <c r="P12" i="4"/>
  <c r="P6" i="4"/>
  <c r="P11" i="4" s="1"/>
  <c r="P8" i="1"/>
  <c r="H18" i="3"/>
  <c r="N17" i="3"/>
  <c r="P17" i="3" s="1"/>
  <c r="K17" i="3"/>
  <c r="M17" i="3" s="1"/>
  <c r="H15" i="3"/>
  <c r="AD12" i="3"/>
  <c r="AA12" i="3"/>
  <c r="AE12" i="3" s="1"/>
  <c r="M12" i="3"/>
  <c r="H12" i="3"/>
  <c r="M11" i="3"/>
  <c r="J11" i="3"/>
  <c r="M10" i="3"/>
  <c r="J10" i="3"/>
  <c r="H10" i="3"/>
  <c r="AD9" i="3"/>
  <c r="AA9" i="3"/>
  <c r="G9" i="3"/>
  <c r="G8" i="3"/>
  <c r="AD6" i="3"/>
  <c r="AA6" i="3"/>
  <c r="W6" i="3"/>
  <c r="AC12" i="3" s="1"/>
  <c r="W4" i="3"/>
  <c r="S5" i="11" l="1"/>
  <c r="AE9" i="3"/>
  <c r="P11" i="33"/>
  <c r="S5" i="29"/>
  <c r="P11" i="17"/>
  <c r="P11" i="27"/>
  <c r="AE6" i="3"/>
  <c r="P11" i="7"/>
  <c r="P11" i="28"/>
  <c r="P11" i="6"/>
  <c r="P11" i="18"/>
  <c r="P11" i="29"/>
  <c r="S5" i="31"/>
  <c r="S9" i="31" s="1"/>
  <c r="T9" i="31" s="1"/>
  <c r="R10" i="31" s="1"/>
  <c r="P11" i="31"/>
  <c r="P11" i="30"/>
  <c r="R10" i="10"/>
  <c r="S9" i="11"/>
  <c r="T9" i="11" s="1"/>
  <c r="R10" i="11" s="1"/>
  <c r="S5" i="12"/>
  <c r="S9" i="12" s="1"/>
  <c r="T9" i="12" s="1"/>
  <c r="R10" i="12" s="1"/>
  <c r="S5" i="26"/>
  <c r="S5" i="4"/>
  <c r="S9" i="4" s="1"/>
  <c r="T9" i="4" s="1"/>
  <c r="R10" i="4" s="1"/>
  <c r="S5" i="13"/>
  <c r="S9" i="13" s="1"/>
  <c r="T9" i="13" s="1"/>
  <c r="R10" i="13" s="1"/>
  <c r="S9" i="14"/>
  <c r="T9" i="14" s="1"/>
  <c r="R10" i="14" s="1"/>
  <c r="S9" i="18"/>
  <c r="T9" i="18" s="1"/>
  <c r="R10" i="18" s="1"/>
  <c r="S5" i="30"/>
  <c r="S9" i="30" s="1"/>
  <c r="T9" i="30" s="1"/>
  <c r="R10" i="30" s="1"/>
  <c r="S9" i="27"/>
  <c r="T9" i="27" s="1"/>
  <c r="R10" i="27" s="1"/>
  <c r="S5" i="24"/>
  <c r="S9" i="24" s="1"/>
  <c r="T9" i="24" s="1"/>
  <c r="R10" i="24" s="1"/>
  <c r="S5" i="20"/>
  <c r="C18" i="3" s="1"/>
  <c r="S5" i="23"/>
  <c r="C15" i="3" s="1"/>
  <c r="S5" i="7"/>
  <c r="S9" i="7" s="1"/>
  <c r="T9" i="7" s="1"/>
  <c r="R10" i="7" s="1"/>
  <c r="S5" i="9"/>
  <c r="S9" i="9" s="1"/>
  <c r="T9" i="9" s="1"/>
  <c r="R10" i="9" s="1"/>
  <c r="S9" i="26"/>
  <c r="T9" i="26" s="1"/>
  <c r="R10" i="26" s="1"/>
  <c r="S5" i="33"/>
  <c r="S9" i="17"/>
  <c r="T9" i="17" s="1"/>
  <c r="R10" i="17" s="1"/>
  <c r="S9" i="29"/>
  <c r="T9" i="29" s="1"/>
  <c r="R10" i="29" s="1"/>
  <c r="D15" i="3"/>
  <c r="C33" i="3"/>
  <c r="C32" i="3"/>
  <c r="C31" i="3"/>
  <c r="C30" i="3"/>
  <c r="C28" i="3"/>
  <c r="C27" i="3"/>
  <c r="C26" i="3"/>
  <c r="C25" i="3"/>
  <c r="C24" i="3"/>
  <c r="C23" i="3"/>
  <c r="C22" i="3"/>
  <c r="C20" i="3"/>
  <c r="C19" i="3"/>
  <c r="C17" i="3"/>
  <c r="C16" i="3"/>
  <c r="C14" i="3"/>
  <c r="C13" i="3"/>
  <c r="C11" i="3"/>
  <c r="C10" i="3"/>
  <c r="AF12" i="3"/>
  <c r="AG12" i="3" s="1"/>
  <c r="Q17" i="3"/>
  <c r="AC6" i="3"/>
  <c r="W10" i="3"/>
  <c r="W12" i="3"/>
  <c r="H9" i="3" s="1"/>
  <c r="AC9" i="3"/>
  <c r="AF9" i="3" s="1"/>
  <c r="C34" i="3" l="1"/>
  <c r="AF6" i="3"/>
  <c r="C8" i="3"/>
  <c r="S9" i="20"/>
  <c r="T9" i="20" s="1"/>
  <c r="R10" i="20" s="1"/>
  <c r="S9" i="23"/>
  <c r="T9" i="23" s="1"/>
  <c r="R10" i="23" s="1"/>
  <c r="C29" i="3"/>
  <c r="S9" i="33"/>
  <c r="T9" i="33" s="1"/>
  <c r="R10" i="33" s="1"/>
  <c r="C12" i="3"/>
  <c r="C21" i="3"/>
  <c r="C9" i="3"/>
  <c r="C5" i="3"/>
  <c r="C7" i="3"/>
  <c r="C6" i="3"/>
  <c r="AB6" i="3"/>
  <c r="AB12" i="3"/>
  <c r="AH12" i="3" s="1"/>
  <c r="AB9" i="3"/>
  <c r="P15" i="1" l="1"/>
  <c r="P4" i="1"/>
  <c r="P3" i="1"/>
  <c r="J4" i="1"/>
  <c r="P17" i="1"/>
  <c r="P16" i="1"/>
  <c r="P10" i="1"/>
  <c r="P5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P18" i="1" l="1"/>
  <c r="T5" i="1"/>
  <c r="V9" i="1" s="1"/>
  <c r="W9" i="1" s="1"/>
  <c r="P9" i="1"/>
  <c r="D35" i="3" l="1"/>
  <c r="D36" i="3"/>
  <c r="P6" i="1"/>
  <c r="L5" i="3" l="1"/>
  <c r="H19" i="3"/>
  <c r="P7" i="1"/>
  <c r="P11" i="1" s="1"/>
  <c r="M5" i="3" l="1"/>
  <c r="H20" i="3" s="1"/>
  <c r="W19" i="3"/>
  <c r="K11" i="3" s="1"/>
  <c r="AG9" i="3"/>
  <c r="AA19" i="3" s="1"/>
  <c r="N11" i="3" s="1"/>
  <c r="AH9" i="3"/>
  <c r="P12" i="1"/>
  <c r="S5" i="1" s="1"/>
  <c r="S9" i="1" l="1"/>
  <c r="T9" i="1" s="1"/>
  <c r="R10" i="1" s="1"/>
  <c r="C35" i="3" l="1"/>
  <c r="C36" i="3" s="1"/>
  <c r="I5" i="3" s="1"/>
  <c r="H16" i="3" l="1"/>
  <c r="J5" i="3" l="1"/>
  <c r="AG6" i="3"/>
  <c r="AA16" i="3" s="1"/>
  <c r="W16" i="3"/>
  <c r="K10" i="3" s="1"/>
  <c r="AH6" i="3"/>
  <c r="AA25" i="3" l="1"/>
  <c r="N10" i="3"/>
  <c r="H17" i="3"/>
  <c r="N5" i="3"/>
  <c r="N12" i="3" l="1"/>
  <c r="H21" i="3" s="1"/>
  <c r="P23" i="31"/>
  <c r="P29" i="31" s="1"/>
  <c r="P23" i="30" s="1"/>
  <c r="P29" i="30" s="1"/>
  <c r="P23" i="29" s="1"/>
  <c r="P29" i="29" s="1"/>
  <c r="P23" i="28" s="1"/>
  <c r="P29" i="28" s="1"/>
  <c r="P23" i="27" s="1"/>
  <c r="P29" i="27" s="1"/>
  <c r="P23" i="26" s="1"/>
  <c r="P29" i="26" s="1"/>
  <c r="P23" i="25" s="1"/>
  <c r="P29" i="25" s="1"/>
  <c r="P23" i="24" s="1"/>
  <c r="P22" i="31"/>
  <c r="P28" i="31" s="1"/>
  <c r="P22" i="30" s="1"/>
  <c r="P28" i="30" s="1"/>
  <c r="P22" i="29" s="1"/>
  <c r="P28" i="29" s="1"/>
  <c r="P22" i="28" s="1"/>
  <c r="P28" i="28" s="1"/>
  <c r="P22" i="27" s="1"/>
  <c r="P28" i="27" s="1"/>
  <c r="P22" i="26" s="1"/>
  <c r="P28" i="26" s="1"/>
  <c r="P22" i="25" s="1"/>
  <c r="P28" i="25" s="1"/>
  <c r="P22" i="24" s="1"/>
  <c r="P29" i="24" l="1"/>
  <c r="P23" i="23" s="1"/>
  <c r="P28" i="24"/>
  <c r="P22" i="23" s="1"/>
  <c r="P29" i="23" l="1"/>
  <c r="P23" i="22" s="1"/>
  <c r="P28" i="23"/>
  <c r="P22" i="22" s="1"/>
  <c r="P28" i="22" l="1"/>
  <c r="P22" i="21" s="1"/>
  <c r="P29" i="22"/>
  <c r="P23" i="21" s="1"/>
  <c r="P29" i="21" l="1"/>
  <c r="P23" i="20" s="1"/>
  <c r="P28" i="21"/>
  <c r="P22" i="20" s="1"/>
  <c r="P28" i="20" l="1"/>
  <c r="P22" i="19" s="1"/>
  <c r="P29" i="20"/>
  <c r="P23" i="19" s="1"/>
  <c r="P29" i="19" l="1"/>
  <c r="P23" i="18" s="1"/>
  <c r="P28" i="19"/>
  <c r="P22" i="18" s="1"/>
  <c r="P28" i="18" l="1"/>
  <c r="P22" i="17" s="1"/>
  <c r="P29" i="18"/>
  <c r="P23" i="17" s="1"/>
  <c r="P29" i="17" l="1"/>
  <c r="P23" i="16" s="1"/>
  <c r="P28" i="17"/>
  <c r="P22" i="16" s="1"/>
  <c r="P28" i="16" l="1"/>
  <c r="P22" i="15" s="1"/>
  <c r="P29" i="16"/>
  <c r="P23" i="15" s="1"/>
  <c r="P29" i="15" l="1"/>
  <c r="P23" i="14" s="1"/>
  <c r="P28" i="15"/>
  <c r="P22" i="14" s="1"/>
  <c r="P28" i="14" l="1"/>
  <c r="P22" i="13" s="1"/>
  <c r="P29" i="14"/>
  <c r="P23" i="13" s="1"/>
  <c r="P29" i="13" l="1"/>
  <c r="P23" i="12" s="1"/>
  <c r="P28" i="13"/>
  <c r="P22" i="12" s="1"/>
  <c r="P28" i="12" l="1"/>
  <c r="P22" i="11" s="1"/>
  <c r="P29" i="12"/>
  <c r="P23" i="11" s="1"/>
  <c r="P29" i="11" l="1"/>
  <c r="P23" i="10" s="1"/>
  <c r="P28" i="11"/>
  <c r="P22" i="10" s="1"/>
  <c r="P28" i="10" l="1"/>
  <c r="P22" i="9" s="1"/>
  <c r="P29" i="10"/>
  <c r="P23" i="9" s="1"/>
  <c r="P29" i="9" l="1"/>
  <c r="P23" i="8" s="1"/>
  <c r="P28" i="9"/>
  <c r="P22" i="8" s="1"/>
  <c r="P28" i="8" l="1"/>
  <c r="P22" i="7" s="1"/>
  <c r="P29" i="8"/>
  <c r="P23" i="7" s="1"/>
  <c r="P29" i="7" l="1"/>
  <c r="P23" i="6" s="1"/>
  <c r="P28" i="7"/>
  <c r="P22" i="6" s="1"/>
  <c r="P28" i="6" l="1"/>
  <c r="P22" i="5" s="1"/>
  <c r="P29" i="6"/>
  <c r="P23" i="5" s="1"/>
  <c r="P29" i="5" l="1"/>
  <c r="P23" i="4" s="1"/>
  <c r="P28" i="5"/>
  <c r="P22" i="4" s="1"/>
  <c r="P28" i="4" l="1"/>
  <c r="P22" i="1" s="1"/>
  <c r="P28" i="1" s="1"/>
  <c r="P29" i="4"/>
  <c r="P23" i="1" s="1"/>
  <c r="P29" i="1" s="1"/>
</calcChain>
</file>

<file path=xl/sharedStrings.xml><?xml version="1.0" encoding="utf-8"?>
<sst xmlns="http://schemas.openxmlformats.org/spreadsheetml/2006/main" count="1914" uniqueCount="157">
  <si>
    <t>م</t>
  </si>
  <si>
    <t>IPN</t>
  </si>
  <si>
    <t>إسم العميل</t>
  </si>
  <si>
    <t>رقم التليفون</t>
  </si>
  <si>
    <t>قيمة الشحنه</t>
  </si>
  <si>
    <t>قيمة الرسوم / العموله</t>
  </si>
  <si>
    <t>نوع الخدمة</t>
  </si>
  <si>
    <t>التاريخ</t>
  </si>
  <si>
    <t>كاش ان</t>
  </si>
  <si>
    <t>كاش اوت</t>
  </si>
  <si>
    <t>مخالفات</t>
  </si>
  <si>
    <t>المردودات</t>
  </si>
  <si>
    <t xml:space="preserve">مبلغ الكروت اليومى </t>
  </si>
  <si>
    <t>عدد الحركات Cash In</t>
  </si>
  <si>
    <t>عدد الحركات Cash Out</t>
  </si>
  <si>
    <t xml:space="preserve">اجمالى عدد الحركات </t>
  </si>
  <si>
    <t>اجمالي كاش اوت(بدون الرسوم)</t>
  </si>
  <si>
    <t>مبيعــــــــــــــــــــــــــات الكارت</t>
  </si>
  <si>
    <t>رصيد العــــــــــــــــــــــــــــــهده اول اليوم</t>
  </si>
  <si>
    <t>مبلغ الشحن (العهده)</t>
  </si>
  <si>
    <t>مبلغ الرسوم</t>
  </si>
  <si>
    <t>التوريـــــــــــــــــــــــــــــــــــــــــد النقدي( الدرج)</t>
  </si>
  <si>
    <t>اجمالي الشحنات</t>
  </si>
  <si>
    <t>اجمالي الكروت</t>
  </si>
  <si>
    <t>%</t>
  </si>
  <si>
    <t>تحقيق اليوم</t>
  </si>
  <si>
    <t>العهده</t>
  </si>
  <si>
    <t>كارت مصر</t>
  </si>
  <si>
    <t>كارت اهلي</t>
  </si>
  <si>
    <t>اجمالي كاش اوت( بالرسوم)</t>
  </si>
  <si>
    <t>الجــــــــــــرد الفعلي للكروت</t>
  </si>
  <si>
    <t>المخـــــــــــــــــــــــــــــــــــــــــزون</t>
  </si>
  <si>
    <t xml:space="preserve">المبيــــــــــــــــــــــــــــــــــــــــــــــــعات </t>
  </si>
  <si>
    <t>المتبــــــــــــــــــــــــــــــــــــــــــــــــــــــقي</t>
  </si>
  <si>
    <t xml:space="preserve">التاريخ </t>
  </si>
  <si>
    <t xml:space="preserve">ايام الشهر </t>
  </si>
  <si>
    <t xml:space="preserve">شحنات </t>
  </si>
  <si>
    <t xml:space="preserve">كروت </t>
  </si>
  <si>
    <t>Code</t>
  </si>
  <si>
    <t xml:space="preserve">الفرع </t>
  </si>
  <si>
    <t xml:space="preserve">الشحنات </t>
  </si>
  <si>
    <t>Ach</t>
  </si>
  <si>
    <t>الكروت</t>
  </si>
  <si>
    <t>اجمالى %</t>
  </si>
  <si>
    <t xml:space="preserve">عدد الحركات </t>
  </si>
  <si>
    <t xml:space="preserve">الحركات المطلوبه يوميا </t>
  </si>
  <si>
    <t>تاريخ اليوم</t>
  </si>
  <si>
    <t>التارجت</t>
  </si>
  <si>
    <t>عدد الايام المتبقه من الشهر</t>
  </si>
  <si>
    <t xml:space="preserve">تاريخ اليوم </t>
  </si>
  <si>
    <t>عدد ايام الشهر</t>
  </si>
  <si>
    <t xml:space="preserve"> التارجت المطلوب يوميا = التارجت الرسمى/ عدد ايام الشهر </t>
  </si>
  <si>
    <t>التارجت المطلوب يوميا  * تاريخ اليوم</t>
  </si>
  <si>
    <t>projetions = الحقق / التارجت المطلوب يوميا</t>
  </si>
  <si>
    <t>الشحنات المطلوبه يوميا = التارجت- المحقق) / الايام المتبقيه</t>
  </si>
  <si>
    <t>الديلى اليومى بعد التحقيق</t>
  </si>
  <si>
    <t>المتوقع تحقيقه نهايه الشهر</t>
  </si>
  <si>
    <t xml:space="preserve">عدد الايام المتبقه من الشهر </t>
  </si>
  <si>
    <t xml:space="preserve">الديلى شحنات </t>
  </si>
  <si>
    <t>محقق</t>
  </si>
  <si>
    <t xml:space="preserve">النسبه المفترض تحقيقها </t>
  </si>
  <si>
    <t xml:space="preserve">الديلى كروت </t>
  </si>
  <si>
    <t xml:space="preserve">تارجت شحنات </t>
  </si>
  <si>
    <t>Test</t>
  </si>
  <si>
    <t>شحنات</t>
  </si>
  <si>
    <t>النسبه</t>
  </si>
  <si>
    <t xml:space="preserve">تارجت كروت </t>
  </si>
  <si>
    <t>كروت</t>
  </si>
  <si>
    <t xml:space="preserve">Projection </t>
  </si>
  <si>
    <t>حركات</t>
  </si>
  <si>
    <t>توتال</t>
  </si>
  <si>
    <t>الاجمالي</t>
  </si>
  <si>
    <t>الدايلي تـــــــــــــــــــــــــارجت</t>
  </si>
  <si>
    <t>الدايلي كروت</t>
  </si>
  <si>
    <t>مبلغ المخالفات اليومي</t>
  </si>
  <si>
    <t xml:space="preserve">مبلغ المخالفات اليومي </t>
  </si>
  <si>
    <t>الاجمــــــــــالي</t>
  </si>
  <si>
    <t>#</t>
  </si>
  <si>
    <t>التوكن</t>
  </si>
  <si>
    <t>وارد مصر</t>
  </si>
  <si>
    <t xml:space="preserve">وارد اهلى </t>
  </si>
  <si>
    <t>31.5.2026</t>
  </si>
  <si>
    <t>30.5.2026</t>
  </si>
  <si>
    <t>29.5.2026</t>
  </si>
  <si>
    <t>28.5.2026</t>
  </si>
  <si>
    <t>2.5.2026</t>
  </si>
  <si>
    <t>17.5.2026</t>
  </si>
  <si>
    <t>18.5.2026</t>
  </si>
  <si>
    <t>3.5.2026</t>
  </si>
  <si>
    <t>4.5.2026</t>
  </si>
  <si>
    <t>5.5.2026</t>
  </si>
  <si>
    <t>6.5.2026</t>
  </si>
  <si>
    <t>7.5.2026</t>
  </si>
  <si>
    <t>8.5.2026</t>
  </si>
  <si>
    <t>9.5.2026</t>
  </si>
  <si>
    <t>10.5.2026</t>
  </si>
  <si>
    <t>11.5.2026</t>
  </si>
  <si>
    <t>12.5.2026</t>
  </si>
  <si>
    <t>13.5.2026</t>
  </si>
  <si>
    <t>14.5.2026</t>
  </si>
  <si>
    <t>15.5.2026</t>
  </si>
  <si>
    <t>16.5.2026</t>
  </si>
  <si>
    <t>19.5.2026</t>
  </si>
  <si>
    <t>20.5.2026</t>
  </si>
  <si>
    <t>21.5.2026</t>
  </si>
  <si>
    <t>22.5.2026</t>
  </si>
  <si>
    <t>23.5.2026</t>
  </si>
  <si>
    <t>24.5.2026</t>
  </si>
  <si>
    <t>25.5.2026</t>
  </si>
  <si>
    <t>26.5.2026</t>
  </si>
  <si>
    <t>27.5.2026</t>
  </si>
  <si>
    <t>مبيعـــــــــــــــــــــــــــــــــــــــــــــــــات الشهــــــــــــــــــــر</t>
  </si>
  <si>
    <t>1.5.2026</t>
  </si>
  <si>
    <t>mohamed</t>
  </si>
  <si>
    <t>01003681006</t>
  </si>
  <si>
    <t>Vc53f47000000000c4</t>
  </si>
  <si>
    <t>Vc62f47000000000f1</t>
  </si>
  <si>
    <t>Vc63f47000000000cc</t>
  </si>
  <si>
    <t>Vc82f4700000000025</t>
  </si>
  <si>
    <t>Vc83f47000000000d8</t>
  </si>
  <si>
    <t>Vc93f4700000000021</t>
  </si>
  <si>
    <t>Vca2f4700000000057</t>
  </si>
  <si>
    <t>Vd72f4700000000081</t>
  </si>
  <si>
    <t>X6c9a470000000001e</t>
  </si>
  <si>
    <t>Vd62f47000000000cd</t>
  </si>
  <si>
    <t>Vd63f47000000000e7</t>
  </si>
  <si>
    <t>Vc43f470000000004d</t>
  </si>
  <si>
    <t>Wc1d647000000000b5</t>
  </si>
  <si>
    <t>Vc52f4700000000051</t>
  </si>
  <si>
    <t>yasser</t>
  </si>
  <si>
    <t>01069881174</t>
  </si>
  <si>
    <t>anas</t>
  </si>
  <si>
    <t>01013716660</t>
  </si>
  <si>
    <t>العبور</t>
  </si>
  <si>
    <t>01023234296</t>
  </si>
  <si>
    <t>noshy</t>
  </si>
  <si>
    <t>aya</t>
  </si>
  <si>
    <t>abdullah</t>
  </si>
  <si>
    <t>mohmahed</t>
  </si>
  <si>
    <t>essam</t>
  </si>
  <si>
    <t>adullah</t>
  </si>
  <si>
    <t>mahmoud taher</t>
  </si>
  <si>
    <t>Noshy</t>
  </si>
  <si>
    <t>Mohamed</t>
  </si>
  <si>
    <t>hamdy</t>
  </si>
  <si>
    <t>Moahmed</t>
  </si>
  <si>
    <t>X699a4700000000059</t>
  </si>
  <si>
    <t>Vc42f47000000000ab</t>
  </si>
  <si>
    <t>Vc72f470000000008f</t>
  </si>
  <si>
    <t>hesham</t>
  </si>
  <si>
    <t>mnoham</t>
  </si>
  <si>
    <t>hind</t>
  </si>
  <si>
    <t>omar</t>
  </si>
  <si>
    <t>hamada</t>
  </si>
  <si>
    <t>01066666177</t>
  </si>
  <si>
    <t>faress</t>
  </si>
  <si>
    <t>01094967753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</si>
</sst>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_-* #,##0\ _ج_._م_._‏_-;\-* #,##0\ _ج_._م_._‏_-;_-* &quot;-&quot;\ _ج_._م_._‏_-;_-@_-"/>
    <numFmt numFmtId="167" formatCode="_-* #,##0\ _ج_._م_._‏_-;\-* #,##0\ _ج_._م_._‏_-;_-* &quot;-&quot;??\ _ج_._م_._‏_-;_-@_-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theme="1"/>
      <name val="Sakkal Majalla"/>
    </font>
    <font>
      <b/>
      <sz val="12"/>
      <color theme="1"/>
      <name val="Calibri"/>
      <family val="2"/>
      <scheme val="minor"/>
    </font>
    <font>
      <b/>
      <sz val="14"/>
      <color theme="1"/>
      <name val="Sakkal Majalla"/>
    </font>
    <font>
      <b/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0"/>
      <name val="Sakkal Majalla"/>
    </font>
    <font>
      <b/>
      <sz val="9"/>
      <color theme="0"/>
      <name val="Tahoma"/>
      <family val="2"/>
    </font>
    <font>
      <b/>
      <sz val="11"/>
      <color theme="1"/>
      <name val="Sakkal Majalla"/>
    </font>
    <font>
      <b/>
      <sz val="9"/>
      <color theme="0"/>
      <name val="Calibri"/>
      <family val="2"/>
      <scheme val="minor"/>
    </font>
    <font>
      <sz val="11"/>
      <color rgb="FF000000"/>
      <name val="Segoe UI"/>
      <family val="2"/>
    </font>
    <font>
      <b/>
      <sz val="11"/>
      <color rgb="FF000000"/>
      <name val="Segoe UI"/>
      <family val="2"/>
    </font>
  </fonts>
  <fills count="1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4">
    <xf numFmtId="0" fontId="0" fillId="0" borderId="0" xfId="0"/>
    <xf numFmtId="0" fontId="6" fillId="3" borderId="3" xfId="0" applyFont="1" applyFill="1" applyBorder="1" applyAlignment="1" applyProtection="1">
      <alignment horizontal="center"/>
      <protection locked="0"/>
    </xf>
    <xf numFmtId="1" fontId="6" fillId="3" borderId="3" xfId="0" applyNumberFormat="1" applyFont="1" applyFill="1" applyBorder="1" applyAlignment="1" applyProtection="1">
      <alignment horizontal="center"/>
      <protection locked="0"/>
    </xf>
    <xf numFmtId="49" fontId="6" fillId="3" borderId="3" xfId="0" applyNumberFormat="1" applyFont="1" applyFill="1" applyBorder="1" applyAlignment="1" applyProtection="1">
      <alignment horizontal="center"/>
      <protection locked="0"/>
    </xf>
    <xf numFmtId="1" fontId="6" fillId="3" borderId="8" xfId="0" applyNumberFormat="1" applyFont="1" applyFill="1" applyBorder="1" applyAlignment="1" applyProtection="1">
      <alignment horizontal="center"/>
      <protection locked="0"/>
    </xf>
    <xf numFmtId="0" fontId="6" fillId="3" borderId="8" xfId="0" applyFont="1" applyFill="1" applyBorder="1" applyAlignment="1" applyProtection="1">
      <alignment horizontal="center"/>
      <protection locked="0"/>
    </xf>
    <xf numFmtId="49" fontId="6" fillId="3" borderId="8" xfId="0" applyNumberFormat="1" applyFont="1" applyFill="1" applyBorder="1" applyAlignment="1" applyProtection="1">
      <alignment horizontal="center"/>
      <protection locked="0"/>
    </xf>
    <xf numFmtId="49" fontId="3" fillId="6" borderId="3" xfId="0" applyNumberFormat="1" applyFont="1" applyFill="1" applyBorder="1" applyAlignment="1" applyProtection="1">
      <alignment horizontal="center" vertical="center"/>
      <protection locked="0"/>
    </xf>
    <xf numFmtId="1" fontId="3" fillId="4" borderId="3" xfId="0" applyNumberFormat="1" applyFont="1" applyFill="1" applyBorder="1" applyAlignment="1" applyProtection="1">
      <alignment horizontal="center"/>
      <protection locked="0"/>
    </xf>
    <xf numFmtId="0" fontId="3" fillId="4" borderId="3" xfId="0" applyFont="1" applyFill="1" applyBorder="1" applyAlignment="1" applyProtection="1">
      <alignment horizontal="center"/>
      <protection locked="0"/>
    </xf>
    <xf numFmtId="49" fontId="3" fillId="4" borderId="3" xfId="0" applyNumberFormat="1" applyFont="1" applyFill="1" applyBorder="1" applyAlignment="1" applyProtection="1">
      <alignment horizontal="center"/>
      <protection locked="0"/>
    </xf>
    <xf numFmtId="0" fontId="10" fillId="4" borderId="0" xfId="0" applyFont="1" applyFill="1" applyAlignment="1">
      <alignment vertical="center"/>
    </xf>
    <xf numFmtId="0" fontId="10" fillId="4" borderId="0" xfId="0" applyFont="1" applyFill="1" applyAlignment="1">
      <alignment horizontal="center" vertical="center"/>
    </xf>
    <xf numFmtId="0" fontId="10" fillId="4" borderId="0" xfId="0" applyFont="1" applyFill="1"/>
    <xf numFmtId="0" fontId="10" fillId="0" borderId="0" xfId="0" applyFont="1"/>
    <xf numFmtId="0" fontId="10" fillId="4" borderId="1" xfId="0" applyFont="1" applyFill="1" applyBorder="1"/>
    <xf numFmtId="0" fontId="11" fillId="8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 applyProtection="1">
      <alignment horizontal="center" vertical="center"/>
      <protection locked="0"/>
    </xf>
    <xf numFmtId="1" fontId="4" fillId="4" borderId="11" xfId="1" applyNumberFormat="1" applyFont="1" applyFill="1" applyBorder="1" applyAlignment="1"/>
    <xf numFmtId="1" fontId="4" fillId="4" borderId="4" xfId="1" applyNumberFormat="1" applyFont="1" applyFill="1" applyBorder="1" applyAlignment="1"/>
    <xf numFmtId="1" fontId="4" fillId="12" borderId="3" xfId="1" applyNumberFormat="1" applyFont="1" applyFill="1" applyBorder="1" applyAlignment="1">
      <alignment horizontal="center" vertical="center"/>
    </xf>
    <xf numFmtId="165" fontId="4" fillId="12" borderId="3" xfId="1" applyNumberFormat="1" applyFont="1" applyFill="1" applyBorder="1" applyAlignment="1">
      <alignment horizontal="center" vertical="center"/>
    </xf>
    <xf numFmtId="1" fontId="5" fillId="12" borderId="3" xfId="1" applyNumberFormat="1" applyFont="1" applyFill="1" applyBorder="1" applyAlignment="1">
      <alignment horizontal="center" vertical="center"/>
    </xf>
    <xf numFmtId="0" fontId="10" fillId="0" borderId="2" xfId="0" applyFont="1" applyBorder="1"/>
    <xf numFmtId="0" fontId="12" fillId="8" borderId="3" xfId="0" applyFont="1" applyFill="1" applyBorder="1" applyAlignment="1">
      <alignment horizontal="center" vertical="center"/>
    </xf>
    <xf numFmtId="1" fontId="12" fillId="8" borderId="8" xfId="1" applyNumberFormat="1" applyFont="1" applyFill="1" applyBorder="1" applyAlignment="1">
      <alignment horizontal="center" vertical="center"/>
    </xf>
    <xf numFmtId="0" fontId="12" fillId="8" borderId="8" xfId="0" applyFont="1" applyFill="1" applyBorder="1" applyAlignment="1">
      <alignment horizontal="center" vertical="center"/>
    </xf>
    <xf numFmtId="0" fontId="10" fillId="4" borderId="2" xfId="0" applyFont="1" applyFill="1" applyBorder="1"/>
    <xf numFmtId="0" fontId="5" fillId="4" borderId="3" xfId="0" applyFont="1" applyFill="1" applyBorder="1" applyAlignment="1" applyProtection="1">
      <alignment horizontal="center" vertical="center"/>
      <protection locked="0"/>
    </xf>
    <xf numFmtId="0" fontId="4" fillId="4" borderId="3" xfId="0" applyFont="1" applyFill="1" applyBorder="1" applyAlignment="1" applyProtection="1">
      <alignment horizontal="center" vertical="center" wrapText="1"/>
      <protection locked="0"/>
    </xf>
    <xf numFmtId="166" fontId="4" fillId="4" borderId="3" xfId="1" applyNumberFormat="1" applyFont="1" applyFill="1" applyBorder="1" applyAlignment="1" applyProtection="1">
      <alignment horizontal="center" vertical="center"/>
      <protection locked="0"/>
    </xf>
    <xf numFmtId="166" fontId="4" fillId="4" borderId="3" xfId="0" applyNumberFormat="1" applyFont="1" applyFill="1" applyBorder="1" applyAlignment="1">
      <alignment horizontal="center"/>
    </xf>
    <xf numFmtId="10" fontId="5" fillId="13" borderId="3" xfId="2" applyNumberFormat="1" applyFont="1" applyFill="1" applyBorder="1" applyAlignment="1">
      <alignment horizontal="center" vertical="center"/>
    </xf>
    <xf numFmtId="166" fontId="4" fillId="4" borderId="3" xfId="0" applyNumberFormat="1" applyFont="1" applyFill="1" applyBorder="1" applyAlignment="1" applyProtection="1">
      <alignment horizontal="center" vertical="center"/>
      <protection locked="0"/>
    </xf>
    <xf numFmtId="10" fontId="4" fillId="5" borderId="3" xfId="0" applyNumberFormat="1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167" fontId="4" fillId="4" borderId="3" xfId="1" applyNumberFormat="1" applyFont="1" applyFill="1" applyBorder="1" applyAlignment="1" applyProtection="1">
      <alignment horizontal="center" vertical="center"/>
    </xf>
    <xf numFmtId="0" fontId="13" fillId="4" borderId="3" xfId="0" applyFont="1" applyFill="1" applyBorder="1" applyAlignment="1">
      <alignment vertical="center"/>
    </xf>
    <xf numFmtId="0" fontId="10" fillId="4" borderId="12" xfId="0" applyFont="1" applyFill="1" applyBorder="1" applyAlignment="1">
      <alignment vertical="center"/>
    </xf>
    <xf numFmtId="0" fontId="4" fillId="4" borderId="3" xfId="0" applyFont="1" applyFill="1" applyBorder="1" applyAlignment="1" applyProtection="1">
      <alignment horizontal="center" vertical="center"/>
      <protection locked="0"/>
    </xf>
    <xf numFmtId="166" fontId="10" fillId="4" borderId="3" xfId="0" applyNumberFormat="1" applyFont="1" applyFill="1" applyBorder="1" applyAlignment="1">
      <alignment horizontal="center" vertical="center"/>
    </xf>
    <xf numFmtId="43" fontId="4" fillId="4" borderId="3" xfId="0" applyNumberFormat="1" applyFont="1" applyFill="1" applyBorder="1" applyAlignment="1">
      <alignment horizontal="center" vertical="center"/>
    </xf>
    <xf numFmtId="9" fontId="4" fillId="4" borderId="3" xfId="2" applyFont="1" applyFill="1" applyBorder="1" applyAlignment="1">
      <alignment horizontal="center" vertical="center"/>
    </xf>
    <xf numFmtId="167" fontId="4" fillId="4" borderId="3" xfId="1" applyNumberFormat="1" applyFont="1" applyFill="1" applyBorder="1" applyAlignment="1">
      <alignment horizontal="center" vertical="center"/>
    </xf>
    <xf numFmtId="1" fontId="4" fillId="4" borderId="2" xfId="1" applyNumberFormat="1" applyFont="1" applyFill="1" applyBorder="1" applyAlignment="1">
      <alignment vertical="center"/>
    </xf>
    <xf numFmtId="1" fontId="4" fillId="4" borderId="0" xfId="1" applyNumberFormat="1" applyFont="1" applyFill="1" applyAlignment="1">
      <alignment vertical="center"/>
    </xf>
    <xf numFmtId="1" fontId="4" fillId="13" borderId="3" xfId="1" applyNumberFormat="1" applyFont="1" applyFill="1" applyBorder="1" applyAlignment="1">
      <alignment horizontal="center" vertical="center"/>
    </xf>
    <xf numFmtId="9" fontId="4" fillId="13" borderId="3" xfId="0" applyNumberFormat="1" applyFont="1" applyFill="1" applyBorder="1" applyAlignment="1">
      <alignment horizontal="center" vertical="center"/>
    </xf>
    <xf numFmtId="0" fontId="4" fillId="4" borderId="0" xfId="0" applyFont="1" applyFill="1"/>
    <xf numFmtId="0" fontId="5" fillId="4" borderId="0" xfId="0" applyFont="1" applyFill="1"/>
    <xf numFmtId="0" fontId="5" fillId="14" borderId="3" xfId="0" applyFont="1" applyFill="1" applyBorder="1" applyAlignment="1">
      <alignment horizontal="right" vertical="center"/>
    </xf>
    <xf numFmtId="166" fontId="4" fillId="14" borderId="3" xfId="0" applyNumberFormat="1" applyFont="1" applyFill="1" applyBorder="1" applyAlignment="1">
      <alignment horizontal="center" vertical="center"/>
    </xf>
    <xf numFmtId="167" fontId="9" fillId="14" borderId="3" xfId="0" applyNumberFormat="1" applyFont="1" applyFill="1" applyBorder="1" applyAlignment="1">
      <alignment horizontal="center" vertical="center"/>
    </xf>
    <xf numFmtId="165" fontId="4" fillId="14" borderId="3" xfId="0" applyNumberFormat="1" applyFont="1" applyFill="1" applyBorder="1" applyAlignment="1">
      <alignment horizontal="center" vertical="center"/>
    </xf>
    <xf numFmtId="167" fontId="7" fillId="14" borderId="3" xfId="0" applyNumberFormat="1" applyFont="1" applyFill="1" applyBorder="1" applyAlignment="1">
      <alignment horizontal="center" vertical="center"/>
    </xf>
    <xf numFmtId="167" fontId="4" fillId="14" borderId="3" xfId="0" applyNumberFormat="1" applyFont="1" applyFill="1" applyBorder="1" applyAlignment="1">
      <alignment horizontal="center" vertical="center"/>
    </xf>
    <xf numFmtId="164" fontId="4" fillId="14" borderId="3" xfId="0" applyNumberFormat="1" applyFont="1" applyFill="1" applyBorder="1" applyAlignment="1">
      <alignment horizontal="center" vertical="center"/>
    </xf>
    <xf numFmtId="167" fontId="7" fillId="5" borderId="3" xfId="0" applyNumberFormat="1" applyFont="1" applyFill="1" applyBorder="1" applyAlignment="1">
      <alignment horizontal="center" vertical="center"/>
    </xf>
    <xf numFmtId="167" fontId="4" fillId="4" borderId="0" xfId="1" applyNumberFormat="1" applyFont="1" applyFill="1"/>
    <xf numFmtId="166" fontId="5" fillId="14" borderId="3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10" fontId="5" fillId="12" borderId="3" xfId="0" applyNumberFormat="1" applyFont="1" applyFill="1" applyBorder="1" applyAlignment="1">
      <alignment horizontal="center" vertical="center"/>
    </xf>
    <xf numFmtId="166" fontId="4" fillId="4" borderId="3" xfId="1" applyNumberFormat="1" applyFont="1" applyFill="1" applyBorder="1" applyAlignment="1" applyProtection="1">
      <alignment horizontal="center" vertical="center"/>
    </xf>
    <xf numFmtId="166" fontId="4" fillId="4" borderId="3" xfId="0" applyNumberFormat="1" applyFont="1" applyFill="1" applyBorder="1" applyAlignment="1" applyProtection="1">
      <alignment horizontal="center"/>
      <protection locked="0"/>
    </xf>
    <xf numFmtId="10" fontId="5" fillId="13" borderId="3" xfId="2" applyNumberFormat="1" applyFont="1" applyFill="1" applyBorder="1" applyAlignment="1" applyProtection="1">
      <alignment horizontal="center" vertical="center"/>
    </xf>
    <xf numFmtId="166" fontId="4" fillId="4" borderId="3" xfId="0" applyNumberFormat="1" applyFont="1" applyFill="1" applyBorder="1" applyAlignment="1">
      <alignment horizontal="center" vertical="center"/>
    </xf>
    <xf numFmtId="1" fontId="5" fillId="4" borderId="0" xfId="1" applyNumberFormat="1" applyFont="1" applyFill="1"/>
    <xf numFmtId="167" fontId="10" fillId="4" borderId="0" xfId="1" applyNumberFormat="1" applyFont="1" applyFill="1"/>
    <xf numFmtId="0" fontId="5" fillId="5" borderId="3" xfId="0" applyFont="1" applyFill="1" applyBorder="1" applyAlignment="1">
      <alignment horizontal="right" vertical="center"/>
    </xf>
    <xf numFmtId="1" fontId="4" fillId="10" borderId="3" xfId="1" applyNumberFormat="1" applyFont="1" applyFill="1" applyBorder="1"/>
    <xf numFmtId="165" fontId="4" fillId="10" borderId="3" xfId="1" applyNumberFormat="1" applyFont="1" applyFill="1" applyBorder="1" applyAlignment="1">
      <alignment horizontal="center" vertical="center"/>
    </xf>
    <xf numFmtId="1" fontId="4" fillId="10" borderId="3" xfId="1" applyNumberFormat="1" applyFont="1" applyFill="1" applyBorder="1" applyAlignment="1">
      <alignment horizontal="center" vertical="center"/>
    </xf>
    <xf numFmtId="165" fontId="10" fillId="4" borderId="0" xfId="1" applyNumberFormat="1" applyFont="1" applyFill="1"/>
    <xf numFmtId="1" fontId="4" fillId="4" borderId="0" xfId="1" applyNumberFormat="1" applyFont="1" applyFill="1"/>
    <xf numFmtId="1" fontId="4" fillId="4" borderId="0" xfId="1" applyNumberFormat="1" applyFont="1" applyFill="1" applyAlignment="1">
      <alignment horizontal="center" vertical="center"/>
    </xf>
    <xf numFmtId="0" fontId="14" fillId="4" borderId="0" xfId="0" applyFont="1" applyFill="1"/>
    <xf numFmtId="165" fontId="10" fillId="0" borderId="0" xfId="1" applyNumberFormat="1" applyFont="1"/>
    <xf numFmtId="0" fontId="14" fillId="0" borderId="0" xfId="0" applyFont="1"/>
    <xf numFmtId="0" fontId="10" fillId="0" borderId="0" xfId="0" applyFont="1" applyAlignment="1">
      <alignment horizontal="center" vertical="center"/>
    </xf>
    <xf numFmtId="1" fontId="4" fillId="0" borderId="0" xfId="1" applyNumberFormat="1" applyFont="1"/>
    <xf numFmtId="1" fontId="4" fillId="0" borderId="0" xfId="1" applyNumberFormat="1" applyFont="1" applyAlignment="1">
      <alignment horizontal="center" vertical="center"/>
    </xf>
    <xf numFmtId="1" fontId="5" fillId="0" borderId="0" xfId="1" applyNumberFormat="1" applyFont="1"/>
    <xf numFmtId="0" fontId="4" fillId="0" borderId="0" xfId="0" applyFont="1"/>
    <xf numFmtId="0" fontId="5" fillId="0" borderId="0" xfId="0" applyFont="1"/>
    <xf numFmtId="0" fontId="4" fillId="0" borderId="3" xfId="0" applyFont="1" applyBorder="1" applyAlignment="1">
      <alignment horizontal="center" vertical="center"/>
    </xf>
    <xf numFmtId="0" fontId="3" fillId="14" borderId="3" xfId="0" applyFont="1" applyFill="1" applyBorder="1" applyAlignment="1">
      <alignment horizontal="center" vertical="center"/>
    </xf>
    <xf numFmtId="0" fontId="7" fillId="14" borderId="3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10" fontId="4" fillId="14" borderId="3" xfId="0" applyNumberFormat="1" applyFont="1" applyFill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49" fontId="3" fillId="0" borderId="7" xfId="0" applyNumberFormat="1" applyFont="1" applyBorder="1" applyAlignment="1" applyProtection="1">
      <alignment horizontal="center" vertical="center" wrapText="1"/>
      <protection locked="0"/>
    </xf>
    <xf numFmtId="49" fontId="3" fillId="0" borderId="7" xfId="0" applyNumberFormat="1" applyFont="1" applyBorder="1" applyAlignment="1" applyProtection="1">
      <alignment horizontal="center" vertical="center"/>
      <protection locked="0"/>
    </xf>
    <xf numFmtId="49" fontId="3" fillId="0" borderId="9" xfId="0" applyNumberFormat="1" applyFont="1" applyBorder="1" applyAlignment="1" applyProtection="1">
      <alignment horizontal="center" vertical="center"/>
      <protection locked="0"/>
    </xf>
    <xf numFmtId="1" fontId="3" fillId="4" borderId="3" xfId="0" applyNumberFormat="1" applyFont="1" applyFill="1" applyBorder="1" applyAlignment="1" applyProtection="1">
      <alignment horizontal="center" vertical="center"/>
      <protection locked="0"/>
    </xf>
    <xf numFmtId="0" fontId="3" fillId="4" borderId="3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3" fillId="6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/>
    <xf numFmtId="0" fontId="16" fillId="2" borderId="5" xfId="0" applyFont="1" applyFill="1" applyBorder="1" applyAlignment="1">
      <alignment horizontal="center" vertical="center" wrapText="1"/>
    </xf>
    <xf numFmtId="1" fontId="17" fillId="2" borderId="10" xfId="0" applyNumberFormat="1" applyFont="1" applyFill="1" applyBorder="1" applyAlignment="1">
      <alignment horizontal="center" vertical="center" wrapText="1"/>
    </xf>
    <xf numFmtId="0" fontId="17" fillId="2" borderId="10" xfId="0" applyFont="1" applyFill="1" applyBorder="1" applyAlignment="1">
      <alignment horizontal="center" vertical="center" wrapText="1"/>
    </xf>
    <xf numFmtId="49" fontId="17" fillId="2" borderId="10" xfId="0" applyNumberFormat="1" applyFont="1" applyFill="1" applyBorder="1" applyAlignment="1">
      <alignment horizontal="center" vertical="center" wrapText="1"/>
    </xf>
    <xf numFmtId="14" fontId="17" fillId="2" borderId="11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12" borderId="3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/>
    </xf>
    <xf numFmtId="49" fontId="3" fillId="4" borderId="7" xfId="0" applyNumberFormat="1" applyFont="1" applyFill="1" applyBorder="1" applyAlignment="1">
      <alignment horizontal="center"/>
    </xf>
    <xf numFmtId="0" fontId="2" fillId="8" borderId="3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/>
    </xf>
    <xf numFmtId="165" fontId="7" fillId="0" borderId="3" xfId="1" applyNumberFormat="1" applyFont="1" applyBorder="1" applyAlignment="1" applyProtection="1">
      <alignment horizontal="center" vertical="center"/>
    </xf>
    <xf numFmtId="0" fontId="7" fillId="0" borderId="0" xfId="0" applyFont="1" applyAlignment="1">
      <alignment horizontal="center" vertical="center"/>
    </xf>
    <xf numFmtId="165" fontId="4" fillId="11" borderId="3" xfId="1" applyNumberFormat="1" applyFont="1" applyFill="1" applyBorder="1" applyAlignment="1" applyProtection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/>
    <xf numFmtId="0" fontId="3" fillId="0" borderId="13" xfId="0" applyFont="1" applyBorder="1" applyAlignment="1">
      <alignment horizontal="center" vertical="center"/>
    </xf>
    <xf numFmtId="49" fontId="3" fillId="0" borderId="0" xfId="0" applyNumberFormat="1" applyFont="1"/>
    <xf numFmtId="165" fontId="3" fillId="0" borderId="3" xfId="0" applyNumberFormat="1" applyFont="1" applyBorder="1" applyAlignment="1">
      <alignment horizontal="center" vertical="center"/>
    </xf>
    <xf numFmtId="9" fontId="3" fillId="0" borderId="3" xfId="2" applyFont="1" applyBorder="1" applyAlignment="1" applyProtection="1">
      <alignment horizontal="center" vertical="center"/>
    </xf>
    <xf numFmtId="165" fontId="4" fillId="4" borderId="3" xfId="1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protection hidden="1"/>
    </xf>
    <xf numFmtId="0" fontId="3" fillId="0" borderId="0" xfId="0" applyFont="1" applyAlignment="1" applyProtection="1">
      <alignment horizontal="center"/>
      <protection hidden="1"/>
    </xf>
    <xf numFmtId="1" fontId="3" fillId="0" borderId="0" xfId="0" applyNumberFormat="1" applyFont="1" applyProtection="1">
      <protection hidden="1"/>
    </xf>
    <xf numFmtId="0" fontId="3" fillId="6" borderId="3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14" fontId="3" fillId="0" borderId="0" xfId="0" applyNumberFormat="1" applyFont="1" applyProtection="1">
      <protection hidden="1"/>
    </xf>
    <xf numFmtId="0" fontId="16" fillId="2" borderId="5" xfId="0" applyFont="1" applyFill="1" applyBorder="1" applyAlignment="1" applyProtection="1">
      <alignment horizontal="center" vertical="center" wrapText="1"/>
      <protection hidden="1"/>
    </xf>
    <xf numFmtId="1" fontId="17" fillId="2" borderId="10" xfId="0" applyNumberFormat="1" applyFont="1" applyFill="1" applyBorder="1" applyAlignment="1" applyProtection="1">
      <alignment horizontal="center" vertical="center" wrapText="1"/>
      <protection hidden="1"/>
    </xf>
    <xf numFmtId="0" fontId="17" fillId="2" borderId="10" xfId="0" applyFont="1" applyFill="1" applyBorder="1" applyAlignment="1" applyProtection="1">
      <alignment horizontal="center" vertical="center" wrapText="1"/>
      <protection hidden="1"/>
    </xf>
    <xf numFmtId="49" fontId="17" fillId="2" borderId="10" xfId="0" applyNumberFormat="1" applyFont="1" applyFill="1" applyBorder="1" applyAlignment="1" applyProtection="1">
      <alignment horizontal="center" vertical="center" wrapText="1"/>
      <protection hidden="1"/>
    </xf>
    <xf numFmtId="14" fontId="17" fillId="2" borderId="11" xfId="0" applyNumberFormat="1" applyFont="1" applyFill="1" applyBorder="1" applyAlignment="1" applyProtection="1">
      <alignment horizontal="center" vertical="center" wrapText="1"/>
      <protection hidden="1"/>
    </xf>
    <xf numFmtId="0" fontId="3" fillId="0" borderId="3" xfId="0" applyFont="1" applyBorder="1" applyAlignment="1" applyProtection="1">
      <alignment horizontal="center" vertical="center"/>
      <protection hidden="1"/>
    </xf>
    <xf numFmtId="49" fontId="3" fillId="6" borderId="3" xfId="0" applyNumberFormat="1" applyFont="1" applyFill="1" applyBorder="1" applyAlignment="1" applyProtection="1">
      <alignment horizontal="center" vertical="center"/>
      <protection hidden="1"/>
    </xf>
    <xf numFmtId="0" fontId="3" fillId="12" borderId="3" xfId="0" applyFont="1" applyFill="1" applyBorder="1" applyAlignment="1" applyProtection="1">
      <alignment horizontal="center" vertical="center"/>
      <protection hidden="1"/>
    </xf>
    <xf numFmtId="0" fontId="7" fillId="4" borderId="3" xfId="0" applyFont="1" applyFill="1" applyBorder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0" fontId="8" fillId="3" borderId="6" xfId="0" applyFont="1" applyFill="1" applyBorder="1" applyAlignment="1" applyProtection="1">
      <alignment horizontal="center"/>
      <protection hidden="1"/>
    </xf>
    <xf numFmtId="0" fontId="3" fillId="4" borderId="3" xfId="0" applyFont="1" applyFill="1" applyBorder="1" applyAlignment="1" applyProtection="1">
      <alignment horizontal="center"/>
      <protection hidden="1"/>
    </xf>
    <xf numFmtId="49" fontId="3" fillId="4" borderId="7" xfId="0" applyNumberFormat="1" applyFont="1" applyFill="1" applyBorder="1" applyAlignment="1" applyProtection="1">
      <alignment horizontal="center"/>
      <protection hidden="1"/>
    </xf>
    <xf numFmtId="0" fontId="2" fillId="8" borderId="3" xfId="0" applyFont="1" applyFill="1" applyBorder="1" applyAlignment="1" applyProtection="1">
      <alignment horizontal="center" vertical="center"/>
      <protection hidden="1"/>
    </xf>
    <xf numFmtId="0" fontId="8" fillId="4" borderId="6" xfId="0" applyFont="1" applyFill="1" applyBorder="1" applyAlignment="1" applyProtection="1">
      <alignment horizontal="center"/>
      <protection hidden="1"/>
    </xf>
    <xf numFmtId="165" fontId="7" fillId="0" borderId="3" xfId="1" applyNumberFormat="1" applyFont="1" applyBorder="1" applyAlignment="1" applyProtection="1">
      <alignment horizontal="center" vertical="center"/>
      <protection hidden="1"/>
    </xf>
    <xf numFmtId="0" fontId="3" fillId="12" borderId="8" xfId="0" applyFont="1" applyFill="1" applyBorder="1" applyAlignment="1" applyProtection="1">
      <alignment horizontal="center" vertical="center"/>
      <protection hidden="1"/>
    </xf>
    <xf numFmtId="0" fontId="3" fillId="0" borderId="3" xfId="0" applyFont="1" applyBorder="1" applyProtection="1">
      <protection hidden="1"/>
    </xf>
    <xf numFmtId="0" fontId="7" fillId="0" borderId="0" xfId="0" applyFont="1" applyAlignment="1" applyProtection="1">
      <alignment horizontal="center" vertical="center"/>
      <protection hidden="1"/>
    </xf>
    <xf numFmtId="165" fontId="3" fillId="0" borderId="3" xfId="0" applyNumberFormat="1" applyFont="1" applyBorder="1" applyAlignment="1" applyProtection="1">
      <alignment horizontal="center" vertical="center"/>
      <protection hidden="1"/>
    </xf>
    <xf numFmtId="9" fontId="3" fillId="0" borderId="3" xfId="2" applyFont="1" applyBorder="1" applyAlignment="1" applyProtection="1">
      <alignment horizontal="center" vertical="center"/>
      <protection hidden="1"/>
    </xf>
    <xf numFmtId="0" fontId="3" fillId="11" borderId="7" xfId="0" applyFont="1" applyFill="1" applyBorder="1" applyAlignment="1" applyProtection="1">
      <alignment horizontal="center" vertical="center"/>
      <protection hidden="1"/>
    </xf>
    <xf numFmtId="165" fontId="4" fillId="11" borderId="3" xfId="1" applyNumberFormat="1" applyFont="1" applyFill="1" applyBorder="1" applyAlignment="1" applyProtection="1">
      <alignment horizontal="center" vertical="center"/>
      <protection hidden="1"/>
    </xf>
    <xf numFmtId="0" fontId="3" fillId="0" borderId="6" xfId="0" applyFont="1" applyBorder="1" applyAlignment="1" applyProtection="1">
      <alignment horizontal="center" vertical="center"/>
      <protection hidden="1"/>
    </xf>
    <xf numFmtId="0" fontId="3" fillId="14" borderId="3" xfId="0" applyFont="1" applyFill="1" applyBorder="1" applyAlignment="1" applyProtection="1">
      <alignment horizontal="center" vertical="center"/>
      <protection hidden="1"/>
    </xf>
    <xf numFmtId="0" fontId="7" fillId="14" borderId="3" xfId="0" applyFont="1" applyFill="1" applyBorder="1" applyAlignment="1" applyProtection="1">
      <alignment horizontal="center" vertical="center"/>
      <protection hidden="1"/>
    </xf>
    <xf numFmtId="0" fontId="3" fillId="0" borderId="13" xfId="0" applyFont="1" applyBorder="1" applyAlignment="1" applyProtection="1">
      <alignment horizontal="center" vertical="center"/>
      <protection hidden="1"/>
    </xf>
    <xf numFmtId="49" fontId="3" fillId="0" borderId="0" xfId="0" applyNumberFormat="1" applyFont="1" applyProtection="1">
      <protection hidden="1"/>
    </xf>
    <xf numFmtId="0" fontId="2" fillId="2" borderId="10" xfId="0" applyFont="1" applyFill="1" applyBorder="1" applyAlignment="1" applyProtection="1">
      <alignment horizontal="center" vertical="center" wrapText="1"/>
      <protection hidden="1"/>
    </xf>
    <xf numFmtId="0" fontId="3" fillId="3" borderId="3" xfId="0" applyFont="1" applyFill="1" applyBorder="1" applyAlignment="1" applyProtection="1">
      <alignment horizontal="center"/>
      <protection hidden="1"/>
    </xf>
    <xf numFmtId="0" fontId="3" fillId="3" borderId="8" xfId="0" applyFont="1" applyFill="1" applyBorder="1" applyAlignment="1" applyProtection="1">
      <alignment horizontal="center"/>
      <protection hidden="1"/>
    </xf>
    <xf numFmtId="0" fontId="19" fillId="2" borderId="10" xfId="0" applyFont="1" applyFill="1" applyBorder="1" applyAlignment="1" applyProtection="1">
      <alignment horizontal="center" vertical="center" wrapText="1"/>
      <protection hidden="1"/>
    </xf>
    <xf numFmtId="0" fontId="3" fillId="4" borderId="3" xfId="0" applyFont="1" applyFill="1" applyBorder="1" applyAlignment="1" applyProtection="1">
      <alignment horizontal="center" vertical="center"/>
      <protection hidden="1"/>
    </xf>
    <xf numFmtId="0" fontId="3" fillId="3" borderId="3" xfId="0" applyFont="1" applyFill="1" applyBorder="1" applyAlignment="1" applyProtection="1">
      <alignment horizontal="center" vertical="center"/>
      <protection hidden="1"/>
    </xf>
    <xf numFmtId="0" fontId="3" fillId="3" borderId="8" xfId="0" applyFont="1" applyFill="1" applyBorder="1" applyAlignment="1" applyProtection="1">
      <alignment horizontal="center" vertical="center"/>
      <protection hidden="1"/>
    </xf>
    <xf numFmtId="0" fontId="3" fillId="12" borderId="3" xfId="0" applyFont="1" applyFill="1" applyBorder="1" applyProtection="1">
      <protection locked="0"/>
    </xf>
    <xf numFmtId="0" fontId="15" fillId="12" borderId="3" xfId="0" applyFont="1" applyFill="1" applyBorder="1" applyAlignment="1" applyProtection="1">
      <alignment horizontal="center" vertical="center"/>
      <protection hidden="1"/>
    </xf>
    <xf numFmtId="0" fontId="3" fillId="12" borderId="3" xfId="0" applyFont="1" applyFill="1" applyBorder="1" applyAlignment="1" applyProtection="1">
      <alignment horizontal="center" vertical="center"/>
      <protection locked="0"/>
    </xf>
    <xf numFmtId="0" fontId="3" fillId="12" borderId="11" xfId="0" applyFont="1" applyFill="1" applyBorder="1" applyAlignment="1" applyProtection="1">
      <alignment horizontal="center" vertical="center"/>
      <protection hidden="1"/>
    </xf>
    <xf numFmtId="0" fontId="3" fillId="12" borderId="5" xfId="0" applyFont="1" applyFill="1" applyBorder="1" applyAlignment="1" applyProtection="1">
      <alignment horizontal="center" vertical="center"/>
      <protection hidden="1"/>
    </xf>
    <xf numFmtId="0" fontId="15" fillId="12" borderId="3" xfId="0" applyFont="1" applyFill="1" applyBorder="1" applyAlignment="1">
      <alignment horizontal="center" vertical="center"/>
    </xf>
    <xf numFmtId="0" fontId="3" fillId="12" borderId="5" xfId="0" applyFont="1" applyFill="1" applyBorder="1" applyAlignment="1">
      <alignment horizontal="center" vertical="center"/>
    </xf>
    <xf numFmtId="0" fontId="3" fillId="12" borderId="11" xfId="0" applyFon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hidden="1"/>
    </xf>
    <xf numFmtId="0" fontId="0" fillId="0" borderId="0" xfId="0" applyAlignment="1">
      <alignment horizontal="center" vertical="center"/>
    </xf>
    <xf numFmtId="0" fontId="3" fillId="11" borderId="3" xfId="0" applyFont="1" applyFill="1" applyBorder="1" applyAlignment="1" applyProtection="1">
      <alignment horizontal="center" vertical="center"/>
      <protection hidden="1"/>
    </xf>
    <xf numFmtId="0" fontId="7" fillId="3" borderId="3" xfId="0" applyFont="1" applyFill="1" applyBorder="1" applyAlignment="1" applyProtection="1">
      <alignment horizontal="center"/>
      <protection hidden="1"/>
    </xf>
    <xf numFmtId="0" fontId="7" fillId="3" borderId="8" xfId="0" applyFont="1" applyFill="1" applyBorder="1" applyAlignment="1" applyProtection="1">
      <alignment horizontal="center"/>
      <protection hidden="1"/>
    </xf>
    <xf numFmtId="0" fontId="18" fillId="3" borderId="3" xfId="0" applyFont="1" applyFill="1" applyBorder="1" applyAlignment="1" applyProtection="1">
      <alignment horizontal="center"/>
      <protection hidden="1"/>
    </xf>
    <xf numFmtId="0" fontId="18" fillId="3" borderId="8" xfId="0" applyFont="1" applyFill="1" applyBorder="1" applyAlignment="1" applyProtection="1">
      <alignment horizontal="center"/>
      <protection hidden="1"/>
    </xf>
    <xf numFmtId="0" fontId="2" fillId="8" borderId="0" xfId="0" applyFont="1" applyFill="1" applyAlignment="1" applyProtection="1">
      <alignment horizontal="center" vertical="center"/>
      <protection hidden="1"/>
    </xf>
    <xf numFmtId="165" fontId="7" fillId="0" borderId="0" xfId="1" applyNumberFormat="1" applyFont="1" applyBorder="1" applyAlignment="1" applyProtection="1">
      <alignment horizontal="center" vertical="center"/>
      <protection hidden="1"/>
    </xf>
    <xf numFmtId="165" fontId="3" fillId="0" borderId="3" xfId="0" applyNumberFormat="1" applyFont="1" applyBorder="1" applyProtection="1">
      <protection hidden="1"/>
    </xf>
    <xf numFmtId="9" fontId="3" fillId="0" borderId="3" xfId="2" applyFont="1" applyBorder="1" applyProtection="1">
      <protection hidden="1"/>
    </xf>
    <xf numFmtId="0" fontId="20" fillId="0" borderId="0" xfId="0" applyFont="1"/>
    <xf numFmtId="0" fontId="8" fillId="0" borderId="10" xfId="0" applyFont="1" applyBorder="1" applyAlignment="1" applyProtection="1">
      <alignment horizontal="center" vertical="center"/>
      <protection locked="0"/>
    </xf>
    <xf numFmtId="0" fontId="8" fillId="0" borderId="15" xfId="0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 applyProtection="1">
      <alignment horizontal="center" vertical="center"/>
      <protection locked="0"/>
    </xf>
    <xf numFmtId="1" fontId="8" fillId="0" borderId="3" xfId="0" applyNumberFormat="1" applyFont="1" applyBorder="1" applyAlignment="1" applyProtection="1">
      <alignment horizontal="center" vertical="center"/>
      <protection locked="0"/>
    </xf>
    <xf numFmtId="0" fontId="20" fillId="0" borderId="0" xfId="0" applyFont="1" applyProtection="1">
      <protection locked="0"/>
    </xf>
    <xf numFmtId="0" fontId="21" fillId="0" borderId="0" xfId="0" applyFont="1"/>
    <xf numFmtId="9" fontId="3" fillId="0" borderId="3" xfId="2" applyFont="1" applyBorder="1" applyAlignment="1" applyProtection="1">
      <alignment horizontal="center" vertical="center"/>
      <protection hidden="1"/>
    </xf>
    <xf numFmtId="0" fontId="3" fillId="6" borderId="3" xfId="0" applyFont="1" applyFill="1" applyBorder="1" applyAlignment="1" applyProtection="1">
      <alignment horizontal="center" vertical="center"/>
      <protection hidden="1"/>
    </xf>
    <xf numFmtId="0" fontId="4" fillId="15" borderId="7" xfId="0" applyFont="1" applyFill="1" applyBorder="1" applyAlignment="1" applyProtection="1">
      <alignment horizontal="center" vertical="center"/>
      <protection hidden="1"/>
    </xf>
    <xf numFmtId="0" fontId="4" fillId="15" borderId="6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/>
      <protection hidden="1"/>
    </xf>
    <xf numFmtId="0" fontId="3" fillId="14" borderId="7" xfId="0" applyFont="1" applyFill="1" applyBorder="1" applyAlignment="1" applyProtection="1">
      <alignment horizontal="center"/>
      <protection hidden="1"/>
    </xf>
    <xf numFmtId="0" fontId="3" fillId="14" borderId="6" xfId="0" applyFont="1" applyFill="1" applyBorder="1" applyAlignment="1" applyProtection="1">
      <alignment horizontal="center"/>
      <protection hidden="1"/>
    </xf>
    <xf numFmtId="0" fontId="3" fillId="6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9" fontId="3" fillId="0" borderId="3" xfId="2" applyFont="1" applyBorder="1" applyAlignment="1" applyProtection="1">
      <alignment horizontal="center" vertical="center"/>
    </xf>
    <xf numFmtId="0" fontId="3" fillId="14" borderId="7" xfId="0" applyFont="1" applyFill="1" applyBorder="1" applyAlignment="1">
      <alignment horizontal="center"/>
    </xf>
    <xf numFmtId="0" fontId="3" fillId="14" borderId="6" xfId="0" applyFont="1" applyFill="1" applyBorder="1" applyAlignment="1">
      <alignment horizontal="center"/>
    </xf>
    <xf numFmtId="0" fontId="4" fillId="15" borderId="7" xfId="0" applyFont="1" applyFill="1" applyBorder="1" applyAlignment="1">
      <alignment horizontal="center" vertical="center"/>
    </xf>
    <xf numFmtId="0" fontId="4" fillId="15" borderId="6" xfId="0" applyFont="1" applyFill="1" applyBorder="1" applyAlignment="1">
      <alignment horizontal="center" vertical="center"/>
    </xf>
    <xf numFmtId="9" fontId="3" fillId="0" borderId="7" xfId="2" applyFont="1" applyBorder="1" applyAlignment="1" applyProtection="1">
      <alignment horizontal="center" vertical="center"/>
      <protection hidden="1"/>
    </xf>
    <xf numFmtId="9" fontId="3" fillId="0" borderId="14" xfId="2" applyFont="1" applyBorder="1" applyAlignment="1" applyProtection="1">
      <alignment horizontal="center" vertical="center"/>
      <protection hidden="1"/>
    </xf>
    <xf numFmtId="9" fontId="3" fillId="0" borderId="6" xfId="2" applyFont="1" applyBorder="1" applyAlignment="1" applyProtection="1">
      <alignment horizontal="center" vertical="center"/>
      <protection hidden="1"/>
    </xf>
    <xf numFmtId="0" fontId="3" fillId="6" borderId="7" xfId="0" applyFont="1" applyFill="1" applyBorder="1" applyAlignment="1" applyProtection="1">
      <alignment horizontal="center" vertical="center"/>
      <protection hidden="1"/>
    </xf>
    <xf numFmtId="0" fontId="3" fillId="6" borderId="14" xfId="0" applyFont="1" applyFill="1" applyBorder="1" applyAlignment="1" applyProtection="1">
      <alignment horizontal="center" vertical="center"/>
      <protection hidden="1"/>
    </xf>
    <xf numFmtId="0" fontId="3" fillId="6" borderId="6" xfId="0" applyFont="1" applyFill="1" applyBorder="1" applyAlignment="1" applyProtection="1">
      <alignment horizontal="center" vertical="center"/>
      <protection hidden="1"/>
    </xf>
    <xf numFmtId="9" fontId="3" fillId="0" borderId="3" xfId="2" applyFont="1" applyBorder="1" applyAlignment="1" applyProtection="1">
      <alignment horizontal="center"/>
      <protection hidden="1"/>
    </xf>
    <xf numFmtId="0" fontId="4" fillId="14" borderId="7" xfId="0" applyFont="1" applyFill="1" applyBorder="1" applyAlignment="1">
      <alignment horizontal="center" vertical="center"/>
    </xf>
    <xf numFmtId="0" fontId="4" fillId="14" borderId="6" xfId="0" applyFont="1" applyFill="1" applyBorder="1" applyAlignment="1">
      <alignment horizontal="center" vertical="center"/>
    </xf>
    <xf numFmtId="0" fontId="4" fillId="11" borderId="3" xfId="0" applyFont="1" applyFill="1" applyBorder="1" applyAlignment="1" applyProtection="1">
      <alignment horizontal="center" vertical="center"/>
      <protection locked="0"/>
    </xf>
    <xf numFmtId="0" fontId="4" fillId="4" borderId="7" xfId="0" applyFont="1" applyFill="1" applyBorder="1" applyAlignment="1" applyProtection="1">
      <alignment horizontal="center" vertical="center"/>
      <protection locked="0"/>
    </xf>
    <xf numFmtId="0" fontId="4" fillId="4" borderId="6" xfId="0" applyFont="1" applyFill="1" applyBorder="1" applyAlignment="1" applyProtection="1">
      <alignment horizontal="center" vertical="center"/>
      <protection locked="0"/>
    </xf>
    <xf numFmtId="0" fontId="13" fillId="4" borderId="7" xfId="0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165" fontId="4" fillId="4" borderId="2" xfId="1" applyNumberFormat="1" applyFont="1" applyFill="1" applyBorder="1" applyAlignment="1">
      <alignment horizontal="center" vertical="top"/>
    </xf>
    <xf numFmtId="165" fontId="4" fillId="4" borderId="0" xfId="1" applyNumberFormat="1" applyFont="1" applyFill="1" applyBorder="1" applyAlignment="1">
      <alignment horizontal="center" vertical="top"/>
    </xf>
    <xf numFmtId="9" fontId="10" fillId="4" borderId="0" xfId="0" applyNumberFormat="1" applyFont="1" applyFill="1" applyAlignment="1">
      <alignment horizontal="center"/>
    </xf>
    <xf numFmtId="0" fontId="10" fillId="4" borderId="0" xfId="0" applyFont="1" applyFill="1" applyAlignment="1">
      <alignment horizontal="center"/>
    </xf>
    <xf numFmtId="167" fontId="9" fillId="13" borderId="7" xfId="1" applyNumberFormat="1" applyFont="1" applyFill="1" applyBorder="1" applyAlignment="1">
      <alignment horizontal="center" vertical="center"/>
    </xf>
    <xf numFmtId="167" fontId="9" fillId="13" borderId="6" xfId="1" applyNumberFormat="1" applyFont="1" applyFill="1" applyBorder="1" applyAlignment="1">
      <alignment horizontal="center" vertical="center"/>
    </xf>
    <xf numFmtId="0" fontId="7" fillId="13" borderId="7" xfId="0" applyFont="1" applyFill="1" applyBorder="1" applyAlignment="1">
      <alignment horizontal="center" vertical="center"/>
    </xf>
    <xf numFmtId="0" fontId="7" fillId="13" borderId="6" xfId="0" applyFont="1" applyFill="1" applyBorder="1" applyAlignment="1">
      <alignment horizontal="center" vertical="center"/>
    </xf>
    <xf numFmtId="9" fontId="4" fillId="4" borderId="7" xfId="2" applyFont="1" applyFill="1" applyBorder="1" applyAlignment="1">
      <alignment horizontal="center" vertical="center"/>
    </xf>
    <xf numFmtId="9" fontId="4" fillId="4" borderId="6" xfId="2" applyFont="1" applyFill="1" applyBorder="1" applyAlignment="1">
      <alignment horizontal="center" vertical="center"/>
    </xf>
    <xf numFmtId="167" fontId="5" fillId="4" borderId="7" xfId="1" applyNumberFormat="1" applyFont="1" applyFill="1" applyBorder="1" applyAlignment="1">
      <alignment horizontal="center" vertical="center"/>
    </xf>
    <xf numFmtId="167" fontId="5" fillId="4" borderId="6" xfId="1" applyNumberFormat="1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/>
    </xf>
    <xf numFmtId="0" fontId="4" fillId="9" borderId="3" xfId="0" applyFont="1" applyFill="1" applyBorder="1" applyAlignment="1">
      <alignment horizontal="center" vertical="center"/>
    </xf>
    <xf numFmtId="167" fontId="11" fillId="4" borderId="9" xfId="1" applyNumberFormat="1" applyFont="1" applyFill="1" applyBorder="1" applyAlignment="1">
      <alignment horizontal="center" vertical="center"/>
    </xf>
    <xf numFmtId="167" fontId="11" fillId="4" borderId="12" xfId="1" applyNumberFormat="1" applyFont="1" applyFill="1" applyBorder="1" applyAlignment="1">
      <alignment horizontal="center" vertical="center"/>
    </xf>
    <xf numFmtId="167" fontId="4" fillId="4" borderId="2" xfId="1" applyNumberFormat="1" applyFont="1" applyFill="1" applyBorder="1" applyAlignment="1">
      <alignment horizontal="center" vertical="center"/>
    </xf>
    <xf numFmtId="167" fontId="4" fillId="4" borderId="0" xfId="1" applyNumberFormat="1" applyFont="1" applyFill="1" applyBorder="1" applyAlignment="1">
      <alignment horizontal="center" vertical="center"/>
    </xf>
    <xf numFmtId="167" fontId="11" fillId="4" borderId="2" xfId="1" applyNumberFormat="1" applyFont="1" applyFill="1" applyBorder="1" applyAlignment="1">
      <alignment horizontal="center" vertical="center"/>
    </xf>
    <xf numFmtId="167" fontId="11" fillId="4" borderId="0" xfId="1" applyNumberFormat="1" applyFont="1" applyFill="1" applyBorder="1" applyAlignment="1">
      <alignment horizontal="center" vertical="center"/>
    </xf>
    <xf numFmtId="9" fontId="10" fillId="4" borderId="0" xfId="2" applyFont="1" applyFill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78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Sakkal Majall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image" Target="../media/image3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3.jpe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3.jpe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3.jpe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jpeg"/><Relationship Id="rId1" Type="http://schemas.openxmlformats.org/officeDocument/2006/relationships/image" Target="../media/image3.jpe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jpeg"/><Relationship Id="rId1" Type="http://schemas.openxmlformats.org/officeDocument/2006/relationships/image" Target="../media/image3.jpe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jpeg"/><Relationship Id="rId1" Type="http://schemas.openxmlformats.org/officeDocument/2006/relationships/image" Target="../media/image3.jpe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jpeg"/><Relationship Id="rId1" Type="http://schemas.openxmlformats.org/officeDocument/2006/relationships/image" Target="../media/image3.jpe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jpeg"/><Relationship Id="rId1" Type="http://schemas.openxmlformats.org/officeDocument/2006/relationships/image" Target="../media/image3.jpe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jpeg"/><Relationship Id="rId1" Type="http://schemas.openxmlformats.org/officeDocument/2006/relationships/image" Target="../media/image3.jpe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jpeg"/><Relationship Id="rId1" Type="http://schemas.openxmlformats.org/officeDocument/2006/relationships/image" Target="../media/image3.jpe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jpeg"/><Relationship Id="rId1" Type="http://schemas.openxmlformats.org/officeDocument/2006/relationships/image" Target="../media/image3.jpe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.jpeg"/><Relationship Id="rId1" Type="http://schemas.openxmlformats.org/officeDocument/2006/relationships/image" Target="../media/image3.jpe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jpeg"/><Relationship Id="rId1" Type="http://schemas.openxmlformats.org/officeDocument/2006/relationships/image" Target="../media/image3.jpe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jpeg"/><Relationship Id="rId1" Type="http://schemas.openxmlformats.org/officeDocument/2006/relationships/image" Target="../media/image3.jpe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3.jpeg"/><Relationship Id="rId1" Type="http://schemas.openxmlformats.org/officeDocument/2006/relationships/image" Target="../media/image2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240438</xdr:colOff>
      <xdr:row>0</xdr:row>
      <xdr:rowOff>1</xdr:rowOff>
    </xdr:from>
    <xdr:to>
      <xdr:col>2</xdr:col>
      <xdr:colOff>1229928</xdr:colOff>
      <xdr:row>1</xdr:row>
      <xdr:rowOff>147965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5753567" y="1"/>
          <a:ext cx="1239175" cy="3791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221944</xdr:colOff>
      <xdr:row>2</xdr:row>
      <xdr:rowOff>231192</xdr:rowOff>
    </xdr:from>
    <xdr:to>
      <xdr:col>22</xdr:col>
      <xdr:colOff>611817</xdr:colOff>
      <xdr:row>5</xdr:row>
      <xdr:rowOff>64733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248960" y="656580"/>
          <a:ext cx="1943465" cy="749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162127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8304006" y="0"/>
          <a:ext cx="1624957" cy="3546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385054</xdr:colOff>
      <xdr:row>3</xdr:row>
      <xdr:rowOff>40532</xdr:rowOff>
    </xdr:from>
    <xdr:to>
      <xdr:col>22</xdr:col>
      <xdr:colOff>553622</xdr:colOff>
      <xdr:row>5</xdr:row>
      <xdr:rowOff>107943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47609702" y="709309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184951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8059913" y="0"/>
          <a:ext cx="1623874" cy="37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443883</xdr:colOff>
      <xdr:row>2</xdr:row>
      <xdr:rowOff>194199</xdr:rowOff>
    </xdr:from>
    <xdr:to>
      <xdr:col>22</xdr:col>
      <xdr:colOff>315152</xdr:colOff>
      <xdr:row>4</xdr:row>
      <xdr:rowOff>244688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582615" y="582597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129466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4897243" y="0"/>
          <a:ext cx="1623874" cy="323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229250</xdr:colOff>
      <xdr:row>3</xdr:row>
      <xdr:rowOff>110973</xdr:rowOff>
    </xdr:from>
    <xdr:to>
      <xdr:col>22</xdr:col>
      <xdr:colOff>231928</xdr:colOff>
      <xdr:row>5</xdr:row>
      <xdr:rowOff>152214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101737" y="786046"/>
          <a:ext cx="1380567" cy="5960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120218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421830" y="0"/>
          <a:ext cx="1438923" cy="3144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416141</xdr:colOff>
      <xdr:row>2</xdr:row>
      <xdr:rowOff>203447</xdr:rowOff>
    </xdr:from>
    <xdr:to>
      <xdr:col>22</xdr:col>
      <xdr:colOff>287410</xdr:colOff>
      <xdr:row>4</xdr:row>
      <xdr:rowOff>253936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610357" y="591845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138714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421830" y="0"/>
          <a:ext cx="1438923" cy="332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314418</xdr:colOff>
      <xdr:row>2</xdr:row>
      <xdr:rowOff>221942</xdr:rowOff>
    </xdr:from>
    <xdr:to>
      <xdr:col>22</xdr:col>
      <xdr:colOff>185687</xdr:colOff>
      <xdr:row>4</xdr:row>
      <xdr:rowOff>272431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12080" y="610340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2</xdr:row>
      <xdr:rowOff>7401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89591617" y="0"/>
          <a:ext cx="1440772" cy="3773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240437</xdr:colOff>
      <xdr:row>3</xdr:row>
      <xdr:rowOff>0</xdr:rowOff>
    </xdr:from>
    <xdr:to>
      <xdr:col>22</xdr:col>
      <xdr:colOff>111706</xdr:colOff>
      <xdr:row>5</xdr:row>
      <xdr:rowOff>59737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86061" y="675073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175704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8106150" y="0"/>
          <a:ext cx="1623874" cy="3699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305170</xdr:colOff>
      <xdr:row>3</xdr:row>
      <xdr:rowOff>0</xdr:rowOff>
    </xdr:from>
    <xdr:to>
      <xdr:col>22</xdr:col>
      <xdr:colOff>176439</xdr:colOff>
      <xdr:row>5</xdr:row>
      <xdr:rowOff>59737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21328" y="675073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</xdr:rowOff>
    </xdr:from>
    <xdr:to>
      <xdr:col>2</xdr:col>
      <xdr:colOff>1189238</xdr:colOff>
      <xdr:row>1</xdr:row>
      <xdr:rowOff>157210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810228" y="1"/>
          <a:ext cx="1623874" cy="3514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434635</xdr:colOff>
      <xdr:row>2</xdr:row>
      <xdr:rowOff>231189</xdr:rowOff>
    </xdr:from>
    <xdr:to>
      <xdr:col>22</xdr:col>
      <xdr:colOff>305904</xdr:colOff>
      <xdr:row>5</xdr:row>
      <xdr:rowOff>4251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591863" y="619587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1191657</xdr:colOff>
      <xdr:row>1</xdr:row>
      <xdr:rowOff>155697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1714401" y="0"/>
          <a:ext cx="1631272" cy="348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329712</xdr:colOff>
      <xdr:row>3</xdr:row>
      <xdr:rowOff>0</xdr:rowOff>
    </xdr:from>
    <xdr:to>
      <xdr:col>22</xdr:col>
      <xdr:colOff>193512</xdr:colOff>
      <xdr:row>5</xdr:row>
      <xdr:rowOff>65072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40530286" y="668582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</xdr:rowOff>
    </xdr:from>
    <xdr:to>
      <xdr:col>2</xdr:col>
      <xdr:colOff>1189238</xdr:colOff>
      <xdr:row>1</xdr:row>
      <xdr:rowOff>147962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421830" y="1"/>
          <a:ext cx="1438923" cy="342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221941</xdr:colOff>
      <xdr:row>3</xdr:row>
      <xdr:rowOff>9247</xdr:rowOff>
    </xdr:from>
    <xdr:to>
      <xdr:col>22</xdr:col>
      <xdr:colOff>93210</xdr:colOff>
      <xdr:row>5</xdr:row>
      <xdr:rowOff>68984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804557" y="684320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</xdr:rowOff>
    </xdr:from>
    <xdr:to>
      <xdr:col>2</xdr:col>
      <xdr:colOff>1189238</xdr:colOff>
      <xdr:row>1</xdr:row>
      <xdr:rowOff>147962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4767777" y="1"/>
          <a:ext cx="1623874" cy="342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212694</xdr:colOff>
      <xdr:row>3</xdr:row>
      <xdr:rowOff>0</xdr:rowOff>
    </xdr:from>
    <xdr:to>
      <xdr:col>22</xdr:col>
      <xdr:colOff>83963</xdr:colOff>
      <xdr:row>5</xdr:row>
      <xdr:rowOff>59737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813804" y="675073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175704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421830" y="0"/>
          <a:ext cx="1438923" cy="3699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258932</xdr:colOff>
      <xdr:row>3</xdr:row>
      <xdr:rowOff>36990</xdr:rowOff>
    </xdr:from>
    <xdr:to>
      <xdr:col>22</xdr:col>
      <xdr:colOff>130201</xdr:colOff>
      <xdr:row>5</xdr:row>
      <xdr:rowOff>96727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67566" y="712063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175704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8022922" y="0"/>
          <a:ext cx="1623874" cy="3699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286674</xdr:colOff>
      <xdr:row>3</xdr:row>
      <xdr:rowOff>0</xdr:rowOff>
    </xdr:from>
    <xdr:to>
      <xdr:col>22</xdr:col>
      <xdr:colOff>157943</xdr:colOff>
      <xdr:row>5</xdr:row>
      <xdr:rowOff>59737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39824" y="675073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</xdr:rowOff>
    </xdr:from>
    <xdr:to>
      <xdr:col>2</xdr:col>
      <xdr:colOff>1189238</xdr:colOff>
      <xdr:row>1</xdr:row>
      <xdr:rowOff>147962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4943481" y="1"/>
          <a:ext cx="1623874" cy="342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351407</xdr:colOff>
      <xdr:row>3</xdr:row>
      <xdr:rowOff>27742</xdr:rowOff>
    </xdr:from>
    <xdr:to>
      <xdr:col>22</xdr:col>
      <xdr:colOff>222676</xdr:colOff>
      <xdr:row>5</xdr:row>
      <xdr:rowOff>87479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675091" y="702815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</xdr:rowOff>
    </xdr:from>
    <xdr:to>
      <xdr:col>2</xdr:col>
      <xdr:colOff>1189238</xdr:colOff>
      <xdr:row>1</xdr:row>
      <xdr:rowOff>157210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421830" y="1"/>
          <a:ext cx="1623874" cy="3514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268179</xdr:colOff>
      <xdr:row>3</xdr:row>
      <xdr:rowOff>27743</xdr:rowOff>
    </xdr:from>
    <xdr:to>
      <xdr:col>22</xdr:col>
      <xdr:colOff>139448</xdr:colOff>
      <xdr:row>5</xdr:row>
      <xdr:rowOff>87480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58319" y="702816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</xdr:rowOff>
    </xdr:from>
    <xdr:to>
      <xdr:col>2</xdr:col>
      <xdr:colOff>1189238</xdr:colOff>
      <xdr:row>1</xdr:row>
      <xdr:rowOff>147962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4869500" y="1"/>
          <a:ext cx="1623874" cy="342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295922</xdr:colOff>
      <xdr:row>3</xdr:row>
      <xdr:rowOff>27743</xdr:rowOff>
    </xdr:from>
    <xdr:to>
      <xdr:col>22</xdr:col>
      <xdr:colOff>167191</xdr:colOff>
      <xdr:row>5</xdr:row>
      <xdr:rowOff>87480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30576" y="702816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</xdr:rowOff>
    </xdr:from>
    <xdr:to>
      <xdr:col>2</xdr:col>
      <xdr:colOff>1189238</xdr:colOff>
      <xdr:row>1</xdr:row>
      <xdr:rowOff>147962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421830" y="1"/>
          <a:ext cx="1438923" cy="342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231189</xdr:colOff>
      <xdr:row>3</xdr:row>
      <xdr:rowOff>101723</xdr:rowOff>
    </xdr:from>
    <xdr:to>
      <xdr:col>22</xdr:col>
      <xdr:colOff>102458</xdr:colOff>
      <xdr:row>5</xdr:row>
      <xdr:rowOff>161460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95309" y="776796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138714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125907" y="0"/>
          <a:ext cx="1438923" cy="332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249684</xdr:colOff>
      <xdr:row>3</xdr:row>
      <xdr:rowOff>55485</xdr:rowOff>
    </xdr:from>
    <xdr:to>
      <xdr:col>22</xdr:col>
      <xdr:colOff>120953</xdr:colOff>
      <xdr:row>5</xdr:row>
      <xdr:rowOff>115222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76814" y="730558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</xdr:rowOff>
    </xdr:from>
    <xdr:to>
      <xdr:col>2</xdr:col>
      <xdr:colOff>1189238</xdr:colOff>
      <xdr:row>1</xdr:row>
      <xdr:rowOff>157210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421830" y="1"/>
          <a:ext cx="1438923" cy="3514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314417</xdr:colOff>
      <xdr:row>3</xdr:row>
      <xdr:rowOff>83228</xdr:rowOff>
    </xdr:from>
    <xdr:to>
      <xdr:col>22</xdr:col>
      <xdr:colOff>185686</xdr:colOff>
      <xdr:row>5</xdr:row>
      <xdr:rowOff>142965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12081" y="758301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92476</xdr:colOff>
      <xdr:row>0</xdr:row>
      <xdr:rowOff>1</xdr:rowOff>
    </xdr:from>
    <xdr:to>
      <xdr:col>2</xdr:col>
      <xdr:colOff>1137452</xdr:colOff>
      <xdr:row>1</xdr:row>
      <xdr:rowOff>157210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5309684" y="1"/>
          <a:ext cx="1479612" cy="3514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184952</xdr:colOff>
      <xdr:row>3</xdr:row>
      <xdr:rowOff>64733</xdr:rowOff>
    </xdr:from>
    <xdr:to>
      <xdr:col>22</xdr:col>
      <xdr:colOff>56221</xdr:colOff>
      <xdr:row>5</xdr:row>
      <xdr:rowOff>124470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841546" y="739806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55487</xdr:colOff>
      <xdr:row>0</xdr:row>
      <xdr:rowOff>0</xdr:rowOff>
    </xdr:from>
    <xdr:to>
      <xdr:col>2</xdr:col>
      <xdr:colOff>1244725</xdr:colOff>
      <xdr:row>1</xdr:row>
      <xdr:rowOff>138714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366343" y="0"/>
          <a:ext cx="1438923" cy="332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249684</xdr:colOff>
      <xdr:row>3</xdr:row>
      <xdr:rowOff>46238</xdr:rowOff>
    </xdr:from>
    <xdr:to>
      <xdr:col>22</xdr:col>
      <xdr:colOff>120953</xdr:colOff>
      <xdr:row>5</xdr:row>
      <xdr:rowOff>105975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76814" y="721311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175704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4897242" y="0"/>
          <a:ext cx="1438923" cy="3699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434636</xdr:colOff>
      <xdr:row>3</xdr:row>
      <xdr:rowOff>46238</xdr:rowOff>
    </xdr:from>
    <xdr:to>
      <xdr:col>22</xdr:col>
      <xdr:colOff>305905</xdr:colOff>
      <xdr:row>5</xdr:row>
      <xdr:rowOff>105975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591862" y="721311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175704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4804767" y="0"/>
          <a:ext cx="1438923" cy="3699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360656</xdr:colOff>
      <xdr:row>3</xdr:row>
      <xdr:rowOff>55486</xdr:rowOff>
    </xdr:from>
    <xdr:to>
      <xdr:col>22</xdr:col>
      <xdr:colOff>231925</xdr:colOff>
      <xdr:row>5</xdr:row>
      <xdr:rowOff>115223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665842" y="730559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138714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5267145" y="0"/>
          <a:ext cx="1438923" cy="332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203446</xdr:colOff>
      <xdr:row>3</xdr:row>
      <xdr:rowOff>73981</xdr:rowOff>
    </xdr:from>
    <xdr:to>
      <xdr:col>22</xdr:col>
      <xdr:colOff>74715</xdr:colOff>
      <xdr:row>5</xdr:row>
      <xdr:rowOff>133718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823052" y="749054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</xdr:rowOff>
    </xdr:from>
    <xdr:to>
      <xdr:col>2</xdr:col>
      <xdr:colOff>1189238</xdr:colOff>
      <xdr:row>1</xdr:row>
      <xdr:rowOff>147962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421830" y="1"/>
          <a:ext cx="1438923" cy="342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221941</xdr:colOff>
      <xdr:row>3</xdr:row>
      <xdr:rowOff>83228</xdr:rowOff>
    </xdr:from>
    <xdr:to>
      <xdr:col>22</xdr:col>
      <xdr:colOff>93210</xdr:colOff>
      <xdr:row>5</xdr:row>
      <xdr:rowOff>142965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804557" y="758301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92476</xdr:colOff>
      <xdr:row>0</xdr:row>
      <xdr:rowOff>0</xdr:rowOff>
    </xdr:from>
    <xdr:to>
      <xdr:col>2</xdr:col>
      <xdr:colOff>1281714</xdr:colOff>
      <xdr:row>1</xdr:row>
      <xdr:rowOff>129466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745494" y="0"/>
          <a:ext cx="1438923" cy="323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305170</xdr:colOff>
      <xdr:row>3</xdr:row>
      <xdr:rowOff>73981</xdr:rowOff>
    </xdr:from>
    <xdr:to>
      <xdr:col>22</xdr:col>
      <xdr:colOff>176439</xdr:colOff>
      <xdr:row>5</xdr:row>
      <xdr:rowOff>133718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21328" y="749054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46239</xdr:colOff>
      <xdr:row>0</xdr:row>
      <xdr:rowOff>0</xdr:rowOff>
    </xdr:from>
    <xdr:to>
      <xdr:col>2</xdr:col>
      <xdr:colOff>1091214</xdr:colOff>
      <xdr:row>1</xdr:row>
      <xdr:rowOff>166438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5540873" y="0"/>
          <a:ext cx="1479611" cy="360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416141</xdr:colOff>
      <xdr:row>3</xdr:row>
      <xdr:rowOff>73981</xdr:rowOff>
    </xdr:from>
    <xdr:to>
      <xdr:col>22</xdr:col>
      <xdr:colOff>176439</xdr:colOff>
      <xdr:row>5</xdr:row>
      <xdr:rowOff>133718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545624" y="749054"/>
          <a:ext cx="1452604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175704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421830" y="0"/>
          <a:ext cx="1623874" cy="3699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203446</xdr:colOff>
      <xdr:row>3</xdr:row>
      <xdr:rowOff>129466</xdr:rowOff>
    </xdr:from>
    <xdr:to>
      <xdr:col>22</xdr:col>
      <xdr:colOff>74715</xdr:colOff>
      <xdr:row>5</xdr:row>
      <xdr:rowOff>189203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823052" y="804539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2</xdr:row>
      <xdr:rowOff>7401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89591617" y="0"/>
          <a:ext cx="1440772" cy="3773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147962</xdr:colOff>
      <xdr:row>3</xdr:row>
      <xdr:rowOff>147961</xdr:rowOff>
    </xdr:from>
    <xdr:to>
      <xdr:col>22</xdr:col>
      <xdr:colOff>19231</xdr:colOff>
      <xdr:row>5</xdr:row>
      <xdr:rowOff>207698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878536" y="823034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46238</xdr:colOff>
      <xdr:row>0</xdr:row>
      <xdr:rowOff>27743</xdr:rowOff>
    </xdr:from>
    <xdr:to>
      <xdr:col>2</xdr:col>
      <xdr:colOff>1235476</xdr:colOff>
      <xdr:row>1</xdr:row>
      <xdr:rowOff>157209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5886732" y="27743"/>
          <a:ext cx="1623874" cy="323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416140</xdr:colOff>
      <xdr:row>3</xdr:row>
      <xdr:rowOff>55486</xdr:rowOff>
    </xdr:from>
    <xdr:to>
      <xdr:col>22</xdr:col>
      <xdr:colOff>287409</xdr:colOff>
      <xdr:row>5</xdr:row>
      <xdr:rowOff>115223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610358" y="730559"/>
          <a:ext cx="1702288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115844</xdr:colOff>
      <xdr:row>0</xdr:row>
      <xdr:rowOff>0</xdr:rowOff>
    </xdr:from>
    <xdr:to>
      <xdr:col>2</xdr:col>
      <xdr:colOff>695069</xdr:colOff>
      <xdr:row>2</xdr:row>
      <xdr:rowOff>167331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6212837" y="0"/>
          <a:ext cx="1660441" cy="6564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1007332</xdr:colOff>
      <xdr:row>19</xdr:row>
      <xdr:rowOff>218817</xdr:rowOff>
    </xdr:from>
    <xdr:to>
      <xdr:col>14</xdr:col>
      <xdr:colOff>0</xdr:colOff>
      <xdr:row>23</xdr:row>
      <xdr:rowOff>38614</xdr:rowOff>
    </xdr:to>
    <xdr:pic>
      <xdr:nvPicPr>
        <xdr:cNvPr id="4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F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92260000" y="4865472"/>
          <a:ext cx="2609594" cy="7980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caishny/Downloads/Caishni%20v3.1.xlsm" TargetMode="External"/><Relationship Id="rId1" Type="http://schemas.openxmlformats.org/officeDocument/2006/relationships/externalLinkPath" Target="/Users/caishny/Downloads/Caishni%20v3.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الأساسى"/>
      <sheetName val="كاش إن"/>
      <sheetName val="كاش أوت"/>
      <sheetName val="مخالفات"/>
    </sheetNames>
    <sheetDataSet>
      <sheetData sheetId="0"/>
      <sheetData sheetId="1"/>
      <sheetData sheetId="2"/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00000000}" name="Basic34567891011121314151617181920212223242526272829303132" displayName="Basic34567891011121314151617181920212223242526272829303132" ref="B3:J226" totalsRowShown="0" headerRowDxfId="760" dataDxfId="758" headerRowBorderDxfId="759" tableBorderDxfId="757" totalsRowBorderDxfId="756">
  <autoFilter ref="B3:J226" xr:uid="{00000000-0009-0000-0100-00001F000000}"/>
  <tableColumns count="9">
    <tableColumn id="1" xr3:uid="{00000000-0010-0000-0000-000001000000}" name="م" dataDxfId="755"/>
    <tableColumn id="2" xr3:uid="{00000000-0010-0000-0000-000002000000}" name="IPN" dataDxfId="754"/>
    <tableColumn id="3" xr3:uid="{00000000-0010-0000-0000-000003000000}" name="إسم العميل" dataDxfId="753"/>
    <tableColumn id="4" xr3:uid="{00000000-0010-0000-0000-000004000000}" name="رقم التليفون" dataDxfId="752"/>
    <tableColumn id="5" xr3:uid="{00000000-0010-0000-0000-000005000000}" name="قيمة الشحنه" dataDxfId="751"/>
    <tableColumn id="6" xr3:uid="{00000000-0010-0000-0000-000006000000}" name="قيمة الرسوم / العموله" dataDxfId="750">
      <calculatedColumnFormula>IF(Basic34567891011121314151617181920212223242526272829303132[[#This Row],[نوع الخدمة]]="مخالفات", 50,
IF(Basic34567891011121314151617181920212223242526272829303132[[#This Row],[نوع الخدمة]]="كاش ان",
    IF(F4&lt;=100, 18, IF(F4&lt;=250, 23, IF(F4&lt;=500, 35, IF(F4&lt;=1000, 40, F4*0.04)))),
IF(Basic34567891011121314151617181920212223242526272829303132[[#This Row],[نوع الخدمة]]="كاش اوت",
    IF(F4&lt;=100, 15, IF(F4&lt;=250, 20, IF(F4&lt;=500, 30, IF(F4&lt;=1000, 35, F4*0.035)))),
0)))</calculatedColumnFormula>
    </tableColumn>
    <tableColumn id="9" xr3:uid="{00000000-0010-0000-0000-000009000000}" name="الاجمــــــــــالي" dataDxfId="749">
      <calculatedColumnFormula>IF(I4="مخالفات",50,Basic34567891011121314151617181920212223242526272829303132[[#This Row],[قيمة الرسوم / العموله]]+Basic34567891011121314151617181920212223242526272829303132[[#This Row],[قيمة الشحنه]])</calculatedColumnFormula>
    </tableColumn>
    <tableColumn id="7" xr3:uid="{00000000-0010-0000-0000-000007000000}" name="نوع الخدمة" dataDxfId="748"/>
    <tableColumn id="8" xr3:uid="{00000000-0010-0000-0000-000008000000}" name="التاريخ" dataDxfId="747">
      <calculatedColumnFormula>M$3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1000000}" name="Table32" displayName="Table32" ref="L11:M226" totalsRowShown="0" headerRowDxfId="746" dataDxfId="744" headerRowBorderDxfId="745" tableBorderDxfId="743" totalsRowBorderDxfId="742">
  <tableColumns count="2">
    <tableColumn id="1" xr3:uid="{00000000-0010-0000-0100-000001000000}" name="#" dataDxfId="741"/>
    <tableColumn id="2" xr3:uid="{00000000-0010-0000-0100-000002000000}" name="التوكن" dataDxfId="74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02000000}" name="Basic345678910111213141516171819202122232425262728293031" displayName="Basic345678910111213141516171819202122232425262728293031" ref="B3:J226" totalsRowShown="0" headerRowDxfId="739" dataDxfId="737" headerRowBorderDxfId="738" tableBorderDxfId="736" totalsRowBorderDxfId="735">
  <autoFilter ref="B3:J226" xr:uid="{00000000-0009-0000-0100-00001E000000}"/>
  <tableColumns count="9">
    <tableColumn id="1" xr3:uid="{00000000-0010-0000-0200-000001000000}" name="م" dataDxfId="734"/>
    <tableColumn id="2" xr3:uid="{00000000-0010-0000-0200-000002000000}" name="IPN" dataDxfId="733"/>
    <tableColumn id="3" xr3:uid="{00000000-0010-0000-0200-000003000000}" name="إسم العميل" dataDxfId="732"/>
    <tableColumn id="4" xr3:uid="{00000000-0010-0000-0200-000004000000}" name="رقم التليفون" dataDxfId="731"/>
    <tableColumn id="5" xr3:uid="{00000000-0010-0000-0200-000005000000}" name="قيمة الشحنه" dataDxfId="730"/>
    <tableColumn id="6" xr3:uid="{00000000-0010-0000-0200-000006000000}" name="قيمة الرسوم / العموله" dataDxfId="729">
      <calculatedColumnFormula>IF(Basic345678910111213141516171819202122232425262728293031[[#This Row],[نوع الخدمة]]="مخالفات", 50,
IF(Basic345678910111213141516171819202122232425262728293031[[#This Row],[نوع الخدمة]]="كاش ان",
    IF(F4&lt;=100, 18, IF(F4&lt;=250, 23, IF(F4&lt;=500, 35, IF(F4&lt;=1000, 40, F4*0.04)))),
IF(Basic345678910111213141516171819202122232425262728293031[[#This Row],[نوع الخدمة]]="كاش اوت",
    IF(F4&lt;=100, 15, IF(F4&lt;=250, 20, IF(F4&lt;=500, 30, IF(F4&lt;=1000, 35, F4*0.035)))),
0)))</calculatedColumnFormula>
    </tableColumn>
    <tableColumn id="9" xr3:uid="{00000000-0010-0000-0200-000009000000}" name="الاجمــــــــــالي" dataDxfId="728">
      <calculatedColumnFormula>IF(I4="مخالفات",50,Basic345678910111213141516171819202122232425262728293031[[#This Row],[قيمة الرسوم / العموله]]+Basic345678910111213141516171819202122232425262728293031[[#This Row],[قيمة الشحنه]])</calculatedColumnFormula>
    </tableColumn>
    <tableColumn id="7" xr3:uid="{00000000-0010-0000-0200-000007000000}" name="نوع الخدمة" dataDxfId="727"/>
    <tableColumn id="8" xr3:uid="{00000000-0010-0000-0200-000008000000}" name="التاريخ" dataDxfId="726">
      <calculatedColumnFormula>M$3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03000000}" name="Table3234" displayName="Table3234" ref="L11:M226" totalsRowShown="0" headerRowDxfId="725" dataDxfId="723" headerRowBorderDxfId="724" tableBorderDxfId="722" totalsRowBorderDxfId="721">
  <tableColumns count="2">
    <tableColumn id="1" xr3:uid="{00000000-0010-0000-0300-000001000000}" name="#" dataDxfId="720"/>
    <tableColumn id="2" xr3:uid="{00000000-0010-0000-0300-000002000000}" name="التوكن" dataDxfId="719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04000000}" name="Basic3456789101112131415161718192021222324252627282930" displayName="Basic3456789101112131415161718192021222324252627282930" ref="B3:J226" totalsRowShown="0" headerRowDxfId="718" dataDxfId="716" headerRowBorderDxfId="717" tableBorderDxfId="715" totalsRowBorderDxfId="714">
  <autoFilter ref="B3:J226" xr:uid="{00000000-0009-0000-0100-00001D000000}"/>
  <tableColumns count="9">
    <tableColumn id="1" xr3:uid="{00000000-0010-0000-0400-000001000000}" name="م" dataDxfId="713"/>
    <tableColumn id="2" xr3:uid="{00000000-0010-0000-0400-000002000000}" name="IPN" dataDxfId="712"/>
    <tableColumn id="3" xr3:uid="{00000000-0010-0000-0400-000003000000}" name="إسم العميل" dataDxfId="711"/>
    <tableColumn id="4" xr3:uid="{00000000-0010-0000-0400-000004000000}" name="رقم التليفون" dataDxfId="710"/>
    <tableColumn id="5" xr3:uid="{00000000-0010-0000-0400-000005000000}" name="قيمة الشحنه" dataDxfId="709"/>
    <tableColumn id="6" xr3:uid="{00000000-0010-0000-0400-000006000000}" name="قيمة الرسوم / العموله" dataDxfId="708">
      <calculatedColumnFormula>IF(Basic3456789101112131415161718192021222324252627282930[[#This Row],[نوع الخدمة]]="مخالفات", 50,
IF(Basic3456789101112131415161718192021222324252627282930[[#This Row],[نوع الخدمة]]="كاش ان",
    IF(F4&lt;=100, 18, IF(F4&lt;=250, 23, IF(F4&lt;=500, 35, IF(F4&lt;=1000, 40, F4*0.04)))),
IF(Basic3456789101112131415161718192021222324252627282930[[#This Row],[نوع الخدمة]]="كاش اوت",
    IF(F4&lt;=100, 15, IF(F4&lt;=250, 20, IF(F4&lt;=500, 30, IF(F4&lt;=1000, 35, F4*0.035)))),
0)))</calculatedColumnFormula>
    </tableColumn>
    <tableColumn id="9" xr3:uid="{00000000-0010-0000-0400-000009000000}" name="الاجمــــــــــالي" dataDxfId="707">
      <calculatedColumnFormula>IF(I4="مخالفات",50,Basic3456789101112131415161718192021222324252627282930[[#This Row],[قيمة الرسوم / العموله]]+Basic3456789101112131415161718192021222324252627282930[[#This Row],[قيمة الشحنه]])</calculatedColumnFormula>
    </tableColumn>
    <tableColumn id="7" xr3:uid="{00000000-0010-0000-0400-000007000000}" name="نوع الخدمة" dataDxfId="706"/>
    <tableColumn id="8" xr3:uid="{00000000-0010-0000-0400-000008000000}" name="التاريخ" dataDxfId="705">
      <calculatedColumnFormula>M$3</calculatedColumnFormula>
    </tableColumn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5000000}" name="Table3235" displayName="Table3235" ref="L11:M226" totalsRowShown="0" headerRowDxfId="704" dataDxfId="702" headerRowBorderDxfId="703" tableBorderDxfId="701" totalsRowBorderDxfId="700">
  <tableColumns count="2">
    <tableColumn id="1" xr3:uid="{00000000-0010-0000-0500-000001000000}" name="#" dataDxfId="699"/>
    <tableColumn id="2" xr3:uid="{00000000-0010-0000-0500-000002000000}" name="التوكن" dataDxfId="698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06000000}" name="Basic34567891011121314151617181920212223242526272829" displayName="Basic34567891011121314151617181920212223242526272829" ref="B3:J226" totalsRowShown="0" headerRowDxfId="781" dataDxfId="779" headerRowBorderDxfId="780" tableBorderDxfId="778" totalsRowBorderDxfId="777">
  <autoFilter ref="B3:J226" xr:uid="{00000000-0009-0000-0100-00001C000000}"/>
  <tableColumns count="9">
    <tableColumn id="1" xr3:uid="{00000000-0010-0000-0600-000001000000}" name="م" dataDxfId="776"/>
    <tableColumn id="2" xr3:uid="{00000000-0010-0000-0600-000002000000}" name="IPN" dataDxfId="775"/>
    <tableColumn id="3" xr3:uid="{00000000-0010-0000-0600-000003000000}" name="إسم العميل" dataDxfId="774"/>
    <tableColumn id="4" xr3:uid="{00000000-0010-0000-0600-000004000000}" name="رقم التليفون" dataDxfId="773"/>
    <tableColumn id="5" xr3:uid="{00000000-0010-0000-0600-000005000000}" name="قيمة الشحنه" dataDxfId="772"/>
    <tableColumn id="6" xr3:uid="{00000000-0010-0000-0600-000006000000}" name="قيمة الرسوم / العموله" dataDxfId="771">
      <calculatedColumnFormula>IF(Basic34567891011121314151617181920212223242526272829[[#This Row],[نوع الخدمة]]="مخالفات", 50,
IF(Basic34567891011121314151617181920212223242526272829[[#This Row],[نوع الخدمة]]="كاش ان",
    IF(F4&lt;=100, 18, IF(F4&lt;=250, 23, IF(F4&lt;=500, 35, IF(F4&lt;=1000, 40, F4*0.04)))),
IF(Basic34567891011121314151617181920212223242526272829[[#This Row],[نوع الخدمة]]="كاش اوت",
    IF(F4&lt;=100, 15, IF(F4&lt;=250, 20, IF(F4&lt;=500, 30, IF(F4&lt;=1000, 35, F4*0.035)))),
0)))</calculatedColumnFormula>
    </tableColumn>
    <tableColumn id="9" xr3:uid="{00000000-0010-0000-0600-000009000000}" name="الاجمــــــــــالي" dataDxfId="770">
      <calculatedColumnFormula>IF(I4="مخالفات",50,Basic34567891011121314151617181920212223242526272829[[#This Row],[قيمة الرسوم / العموله]]+Basic34567891011121314151617181920212223242526272829[[#This Row],[قيمة الشحنه]])</calculatedColumnFormula>
    </tableColumn>
    <tableColumn id="7" xr3:uid="{00000000-0010-0000-0600-000007000000}" name="نوع الخدمة" dataDxfId="769"/>
    <tableColumn id="8" xr3:uid="{00000000-0010-0000-0600-000008000000}" name="التاريخ" dataDxfId="768">
      <calculatedColumnFormula>M$3</calculatedColumnFormula>
    </tableColumn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07000000}" name="Table3236" displayName="Table3236" ref="L11:M226" totalsRowShown="0" headerRowDxfId="767" dataDxfId="765" headerRowBorderDxfId="766" tableBorderDxfId="764" totalsRowBorderDxfId="763">
  <tableColumns count="2">
    <tableColumn id="1" xr3:uid="{00000000-0010-0000-0700-000001000000}" name="#" dataDxfId="762"/>
    <tableColumn id="2" xr3:uid="{00000000-0010-0000-0700-000002000000}" name="التوكن" dataDxfId="761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08000000}" name="Basic345678910111213141516171819202122232425262728" displayName="Basic345678910111213141516171819202122232425262728" ref="B3:J226" totalsRowShown="0" headerRowDxfId="697" dataDxfId="695" headerRowBorderDxfId="696" tableBorderDxfId="694" totalsRowBorderDxfId="693">
  <autoFilter ref="B3:J226" xr:uid="{00000000-0009-0000-0100-00001B000000}"/>
  <tableColumns count="9">
    <tableColumn id="1" xr3:uid="{00000000-0010-0000-0800-000001000000}" name="م" dataDxfId="692"/>
    <tableColumn id="2" xr3:uid="{00000000-0010-0000-0800-000002000000}" name="IPN" dataDxfId="691"/>
    <tableColumn id="3" xr3:uid="{00000000-0010-0000-0800-000003000000}" name="إسم العميل" dataDxfId="690"/>
    <tableColumn id="4" xr3:uid="{00000000-0010-0000-0800-000004000000}" name="رقم التليفون" dataDxfId="689"/>
    <tableColumn id="5" xr3:uid="{00000000-0010-0000-0800-000005000000}" name="قيمة الشحنه" dataDxfId="688"/>
    <tableColumn id="6" xr3:uid="{00000000-0010-0000-0800-000006000000}" name="قيمة الرسوم / العموله" dataDxfId="687">
      <calculatedColumnFormula>IF(Basic345678910111213141516171819202122232425262728[[#This Row],[نوع الخدمة]]="مخالفات", 50,
IF(Basic345678910111213141516171819202122232425262728[[#This Row],[نوع الخدمة]]="كاش ان",
    IF(F4&lt;=100, 18, IF(F4&lt;=250, 23, IF(F4&lt;=500, 35, IF(F4&lt;=1000, 40, F4*0.04)))),
IF(Basic345678910111213141516171819202122232425262728[[#This Row],[نوع الخدمة]]="كاش اوت",
    IF(F4&lt;=100, 15, IF(F4&lt;=250, 20, IF(F4&lt;=500, 30, IF(F4&lt;=1000, 35, F4*0.035)))),
0)))</calculatedColumnFormula>
    </tableColumn>
    <tableColumn id="9" xr3:uid="{00000000-0010-0000-0800-000009000000}" name="الاجمــــــــــالي" dataDxfId="686">
      <calculatedColumnFormula>IF(I4="مخالفات",50,Basic345678910111213141516171819202122232425262728[[#This Row],[قيمة الرسوم / العموله]]+Basic345678910111213141516171819202122232425262728[[#This Row],[قيمة الشحنه]])</calculatedColumnFormula>
    </tableColumn>
    <tableColumn id="7" xr3:uid="{00000000-0010-0000-0800-000007000000}" name="نوع الخدمة" dataDxfId="685"/>
    <tableColumn id="8" xr3:uid="{00000000-0010-0000-0800-000008000000}" name="التاريخ" dataDxfId="684">
      <calculatedColumnFormula>M$3</calculatedColumnFormula>
    </tableColumn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09000000}" name="Table3237" displayName="Table3237" ref="L11:M226" totalsRowShown="0" headerRowDxfId="683" dataDxfId="681" headerRowBorderDxfId="682" tableBorderDxfId="680" totalsRowBorderDxfId="679">
  <tableColumns count="2">
    <tableColumn id="1" xr3:uid="{00000000-0010-0000-0900-000001000000}" name="#" dataDxfId="678"/>
    <tableColumn id="2" xr3:uid="{00000000-0010-0000-0900-000002000000}" name="التوكن" dataDxfId="677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0A000000}" name="Basic3456789101112131415161718192021222324252627" displayName="Basic3456789101112131415161718192021222324252627" ref="B3:J226" totalsRowShown="0" headerRowDxfId="676" dataDxfId="674" headerRowBorderDxfId="675" tableBorderDxfId="673" totalsRowBorderDxfId="672">
  <autoFilter ref="B3:J226" xr:uid="{00000000-0009-0000-0100-00001A000000}"/>
  <tableColumns count="9">
    <tableColumn id="1" xr3:uid="{00000000-0010-0000-0A00-000001000000}" name="م" dataDxfId="671"/>
    <tableColumn id="2" xr3:uid="{00000000-0010-0000-0A00-000002000000}" name="IPN" dataDxfId="670"/>
    <tableColumn id="3" xr3:uid="{00000000-0010-0000-0A00-000003000000}" name="إسم العميل" dataDxfId="669"/>
    <tableColumn id="4" xr3:uid="{00000000-0010-0000-0A00-000004000000}" name="رقم التليفون" dataDxfId="668"/>
    <tableColumn id="5" xr3:uid="{00000000-0010-0000-0A00-000005000000}" name="قيمة الشحنه" dataDxfId="667"/>
    <tableColumn id="6" xr3:uid="{00000000-0010-0000-0A00-000006000000}" name="قيمة الرسوم / العموله" dataDxfId="666">
      <calculatedColumnFormula>IF(Basic3456789101112131415161718192021222324252627[[#This Row],[نوع الخدمة]]="مخالفات", 50,
IF(Basic3456789101112131415161718192021222324252627[[#This Row],[نوع الخدمة]]="كاش ان",
    IF(F4&lt;=100, 18, IF(F4&lt;=250, 23, IF(F4&lt;=500, 35, IF(F4&lt;=1000, 40, F4*0.04)))),
IF(Basic3456789101112131415161718192021222324252627[[#This Row],[نوع الخدمة]]="كاش اوت",
    IF(F4&lt;=100, 15, IF(F4&lt;=250, 20, IF(F4&lt;=500, 30, IF(F4&lt;=1000, 35, F4*0.035)))),
0)))</calculatedColumnFormula>
    </tableColumn>
    <tableColumn id="9" xr3:uid="{00000000-0010-0000-0A00-000009000000}" name="الاجمــــــــــالي" dataDxfId="665">
      <calculatedColumnFormula>IF(I4="مخالفات",50,Basic3456789101112131415161718192021222324252627[[#This Row],[قيمة الرسوم / العموله]]+Basic3456789101112131415161718192021222324252627[[#This Row],[قيمة الشحنه]])</calculatedColumnFormula>
    </tableColumn>
    <tableColumn id="7" xr3:uid="{00000000-0010-0000-0A00-000007000000}" name="نوع الخدمة" dataDxfId="664"/>
    <tableColumn id="8" xr3:uid="{00000000-0010-0000-0A00-000008000000}" name="التاريخ" dataDxfId="663">
      <calculatedColumnFormula>M$3</calculatedColumnFormula>
    </tableColumn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0B000000}" name="Table3238" displayName="Table3238" ref="L11:M226" totalsRowShown="0" headerRowDxfId="662" dataDxfId="660" headerRowBorderDxfId="661" tableBorderDxfId="659" totalsRowBorderDxfId="658">
  <tableColumns count="2">
    <tableColumn id="1" xr3:uid="{00000000-0010-0000-0B00-000001000000}" name="#" dataDxfId="657"/>
    <tableColumn id="2" xr3:uid="{00000000-0010-0000-0B00-000002000000}" name="التوكن" dataDxfId="656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0C000000}" name="Basic34567891011121314151617181920212223242526" displayName="Basic34567891011121314151617181920212223242526" ref="B3:J226" totalsRowShown="0" headerRowDxfId="655" dataDxfId="653" headerRowBorderDxfId="654" tableBorderDxfId="652" totalsRowBorderDxfId="651">
  <autoFilter ref="B3:J226" xr:uid="{00000000-0009-0000-0100-000019000000}"/>
  <tableColumns count="9">
    <tableColumn id="1" xr3:uid="{00000000-0010-0000-0C00-000001000000}" name="م" dataDxfId="650"/>
    <tableColumn id="2" xr3:uid="{00000000-0010-0000-0C00-000002000000}" name="IPN" dataDxfId="649"/>
    <tableColumn id="3" xr3:uid="{00000000-0010-0000-0C00-000003000000}" name="إسم العميل" dataDxfId="648"/>
    <tableColumn id="4" xr3:uid="{00000000-0010-0000-0C00-000004000000}" name="رقم التليفون" dataDxfId="647"/>
    <tableColumn id="5" xr3:uid="{00000000-0010-0000-0C00-000005000000}" name="قيمة الشحنه" dataDxfId="646"/>
    <tableColumn id="6" xr3:uid="{00000000-0010-0000-0C00-000006000000}" name="قيمة الرسوم / العموله" dataDxfId="645">
      <calculatedColumnFormula>IF(Basic34567891011121314151617181920212223242526[[#This Row],[نوع الخدمة]]="مخالفات", 50,
IF(Basic34567891011121314151617181920212223242526[[#This Row],[نوع الخدمة]]="كاش ان",
    IF(F4&lt;=100, 18, IF(F4&lt;=250, 23, IF(F4&lt;=500, 35, IF(F4&lt;=1000, 40, F4*0.04)))),
IF(Basic34567891011121314151617181920212223242526[[#This Row],[نوع الخدمة]]="كاش اوت",
    IF(F4&lt;=100, 15, IF(F4&lt;=250, 20, IF(F4&lt;=500, 30, IF(F4&lt;=1000, 35, F4*0.035)))),
0)))</calculatedColumnFormula>
    </tableColumn>
    <tableColumn id="9" xr3:uid="{00000000-0010-0000-0C00-000009000000}" name="الاجمــــــــــالي" dataDxfId="644">
      <calculatedColumnFormula>IF(I4="مخالفات",50,Basic34567891011121314151617181920212223242526[[#This Row],[قيمة الرسوم / العموله]]+Basic34567891011121314151617181920212223242526[[#This Row],[قيمة الشحنه]])</calculatedColumnFormula>
    </tableColumn>
    <tableColumn id="7" xr3:uid="{00000000-0010-0000-0C00-000007000000}" name="نوع الخدمة" dataDxfId="643"/>
    <tableColumn id="8" xr3:uid="{00000000-0010-0000-0C00-000008000000}" name="التاريخ" dataDxfId="642">
      <calculatedColumnFormula>M$3</calculatedColumnFormula>
    </tableColumn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0D000000}" name="Table3239" displayName="Table3239" ref="L11:M226" totalsRowShown="0" headerRowDxfId="641" dataDxfId="639" headerRowBorderDxfId="640" tableBorderDxfId="638" totalsRowBorderDxfId="637">
  <tableColumns count="2">
    <tableColumn id="1" xr3:uid="{00000000-0010-0000-0D00-000001000000}" name="#" dataDxfId="636"/>
    <tableColumn id="2" xr3:uid="{00000000-0010-0000-0D00-000002000000}" name="التوكن" dataDxfId="635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E000000}" name="Basic345678910111213141516171819202122232425" displayName="Basic345678910111213141516171819202122232425" ref="B3:J226" totalsRowShown="0" headerRowDxfId="634" dataDxfId="632" headerRowBorderDxfId="633" tableBorderDxfId="631" totalsRowBorderDxfId="630">
  <autoFilter ref="B3:J226" xr:uid="{00000000-0009-0000-0100-000018000000}"/>
  <tableColumns count="9">
    <tableColumn id="1" xr3:uid="{00000000-0010-0000-0E00-000001000000}" name="م" dataDxfId="629"/>
    <tableColumn id="2" xr3:uid="{00000000-0010-0000-0E00-000002000000}" name="IPN" dataDxfId="628"/>
    <tableColumn id="3" xr3:uid="{00000000-0010-0000-0E00-000003000000}" name="إسم العميل" dataDxfId="627"/>
    <tableColumn id="4" xr3:uid="{00000000-0010-0000-0E00-000004000000}" name="رقم التليفون" dataDxfId="626"/>
    <tableColumn id="5" xr3:uid="{00000000-0010-0000-0E00-000005000000}" name="قيمة الشحنه" dataDxfId="625"/>
    <tableColumn id="6" xr3:uid="{00000000-0010-0000-0E00-000006000000}" name="قيمة الرسوم / العموله" dataDxfId="624">
      <calculatedColumnFormula>IF(Basic345678910111213141516171819202122232425[[#This Row],[نوع الخدمة]]="مخالفات", 50,
IF(Basic345678910111213141516171819202122232425[[#This Row],[نوع الخدمة]]="كاش ان",
    IF(F4&lt;=100, 18, IF(F4&lt;=250, 23, IF(F4&lt;=500, 35, IF(F4&lt;=1000, 40, F4*0.04)))),
IF(Basic345678910111213141516171819202122232425[[#This Row],[نوع الخدمة]]="كاش اوت",
    IF(F4&lt;=100, 15, IF(F4&lt;=250, 20, IF(F4&lt;=500, 30, IF(F4&lt;=1000, 35, F4*0.035)))),
0)))</calculatedColumnFormula>
    </tableColumn>
    <tableColumn id="9" xr3:uid="{00000000-0010-0000-0E00-000009000000}" name="الاجمــــــــــالي" dataDxfId="623">
      <calculatedColumnFormula>IF(I4="مخالفات",50,Basic345678910111213141516171819202122232425[[#This Row],[قيمة الرسوم / العموله]]+Basic345678910111213141516171819202122232425[[#This Row],[قيمة الشحنه]])</calculatedColumnFormula>
    </tableColumn>
    <tableColumn id="7" xr3:uid="{00000000-0010-0000-0E00-000007000000}" name="نوع الخدمة" dataDxfId="622"/>
    <tableColumn id="8" xr3:uid="{00000000-0010-0000-0E00-000008000000}" name="التاريخ" dataDxfId="621">
      <calculatedColumnFormula>M$3</calculatedColumnFormula>
    </tableColumn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0F000000}" name="Table3240" displayName="Table3240" ref="L11:M226" totalsRowShown="0" headerRowDxfId="620" dataDxfId="618" headerRowBorderDxfId="619" tableBorderDxfId="617" totalsRowBorderDxfId="616">
  <tableColumns count="2">
    <tableColumn id="1" xr3:uid="{00000000-0010-0000-0F00-000001000000}" name="#" dataDxfId="615"/>
    <tableColumn id="2" xr3:uid="{00000000-0010-0000-0F00-000002000000}" name="التوكن" dataDxfId="614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0000000}" name="Basic3456789101112131415161718192021222324" displayName="Basic3456789101112131415161718192021222324" ref="B3:J226" totalsRowShown="0" headerRowDxfId="613" dataDxfId="611" headerRowBorderDxfId="612" tableBorderDxfId="610" totalsRowBorderDxfId="609">
  <autoFilter ref="B3:J226" xr:uid="{00000000-0009-0000-0100-000017000000}"/>
  <tableColumns count="9">
    <tableColumn id="1" xr3:uid="{00000000-0010-0000-1000-000001000000}" name="م" dataDxfId="608"/>
    <tableColumn id="2" xr3:uid="{00000000-0010-0000-1000-000002000000}" name="IPN" dataDxfId="607"/>
    <tableColumn id="3" xr3:uid="{00000000-0010-0000-1000-000003000000}" name="إسم العميل" dataDxfId="606"/>
    <tableColumn id="4" xr3:uid="{00000000-0010-0000-1000-000004000000}" name="رقم التليفون" dataDxfId="605"/>
    <tableColumn id="5" xr3:uid="{00000000-0010-0000-1000-000005000000}" name="قيمة الشحنه" dataDxfId="604"/>
    <tableColumn id="6" xr3:uid="{00000000-0010-0000-1000-000006000000}" name="قيمة الرسوم / العموله" dataDxfId="603">
      <calculatedColumnFormula>IF(Basic3456789101112131415161718192021222324[[#This Row],[نوع الخدمة]]="مخالفات", 50,
IF(Basic3456789101112131415161718192021222324[[#This Row],[نوع الخدمة]]="كاش ان",
    IF(F4&lt;=100, 18, IF(F4&lt;=250, 23, IF(F4&lt;=500, 35, IF(F4&lt;=1000, 40, F4*0.04)))),
IF(Basic3456789101112131415161718192021222324[[#This Row],[نوع الخدمة]]="كاش اوت",
    IF(F4&lt;=100, 15, IF(F4&lt;=250, 20, IF(F4&lt;=500, 30, IF(F4&lt;=1000, 35, F4*0.035)))),
0)))</calculatedColumnFormula>
    </tableColumn>
    <tableColumn id="9" xr3:uid="{00000000-0010-0000-1000-000009000000}" name="الاجمــــــــــالي" dataDxfId="602">
      <calculatedColumnFormula>IF(I4="مخالفات",50,Basic3456789101112131415161718192021222324[[#This Row],[قيمة الرسوم / العموله]]+Basic3456789101112131415161718192021222324[[#This Row],[قيمة الشحنه]])</calculatedColumnFormula>
    </tableColumn>
    <tableColumn id="7" xr3:uid="{00000000-0010-0000-1000-000007000000}" name="نوع الخدمة" dataDxfId="601"/>
    <tableColumn id="8" xr3:uid="{00000000-0010-0000-1000-000008000000}" name="التاريخ" dataDxfId="600">
      <calculatedColumnFormula>M$3</calculatedColumnFormula>
    </tableColumn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11000000}" name="Table3241" displayName="Table3241" ref="L11:M226" totalsRowShown="0" headerRowDxfId="599" dataDxfId="597" headerRowBorderDxfId="598" tableBorderDxfId="596" totalsRowBorderDxfId="595">
  <tableColumns count="2">
    <tableColumn id="1" xr3:uid="{00000000-0010-0000-1100-000001000000}" name="#" dataDxfId="594"/>
    <tableColumn id="2" xr3:uid="{00000000-0010-0000-1100-000002000000}" name="التوكن" dataDxfId="593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2000000}" name="Basic34567891011121314151617181920212223" displayName="Basic34567891011121314151617181920212223" ref="B3:J226" totalsRowShown="0" headerRowDxfId="592" dataDxfId="590" headerRowBorderDxfId="591" tableBorderDxfId="589" totalsRowBorderDxfId="588">
  <autoFilter ref="B3:J226" xr:uid="{00000000-0009-0000-0100-000016000000}"/>
  <tableColumns count="9">
    <tableColumn id="1" xr3:uid="{00000000-0010-0000-1200-000001000000}" name="م" dataDxfId="587"/>
    <tableColumn id="2" xr3:uid="{00000000-0010-0000-1200-000002000000}" name="IPN" dataDxfId="586"/>
    <tableColumn id="3" xr3:uid="{00000000-0010-0000-1200-000003000000}" name="إسم العميل" dataDxfId="585"/>
    <tableColumn id="4" xr3:uid="{00000000-0010-0000-1200-000004000000}" name="رقم التليفون" dataDxfId="584"/>
    <tableColumn id="5" xr3:uid="{00000000-0010-0000-1200-000005000000}" name="قيمة الشحنه" dataDxfId="583"/>
    <tableColumn id="6" xr3:uid="{00000000-0010-0000-1200-000006000000}" name="قيمة الرسوم / العموله" dataDxfId="582">
      <calculatedColumnFormula>IF(Basic34567891011121314151617181920212223[[#This Row],[نوع الخدمة]]="مخالفات", 50,
IF(Basic34567891011121314151617181920212223[[#This Row],[نوع الخدمة]]="كاش ان",
    IF(F4&lt;=100, 18, IF(F4&lt;=250, 23, IF(F4&lt;=500, 35, IF(F4&lt;=1000, 40, F4*0.04)))),
IF(Basic34567891011121314151617181920212223[[#This Row],[نوع الخدمة]]="كاش اوت",
    IF(F4&lt;=100, 15, IF(F4&lt;=250, 20, IF(F4&lt;=500, 30, IF(F4&lt;=1000, 35, F4*0.035)))),
0)))</calculatedColumnFormula>
    </tableColumn>
    <tableColumn id="9" xr3:uid="{00000000-0010-0000-1200-000009000000}" name="الاجمــــــــــالي" dataDxfId="581">
      <calculatedColumnFormula>IF(I4="مخالفات",50,Basic34567891011121314151617181920212223[[#This Row],[قيمة الرسوم / العموله]]+Basic34567891011121314151617181920212223[[#This Row],[قيمة الشحنه]])</calculatedColumnFormula>
    </tableColumn>
    <tableColumn id="7" xr3:uid="{00000000-0010-0000-1200-000007000000}" name="نوع الخدمة" dataDxfId="580"/>
    <tableColumn id="8" xr3:uid="{00000000-0010-0000-1200-000008000000}" name="التاريخ" dataDxfId="579">
      <calculatedColumnFormula>M$3</calculatedColumnFormula>
    </tableColumn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13000000}" name="Table3242" displayName="Table3242" ref="L11:M226" totalsRowShown="0" headerRowDxfId="578" dataDxfId="576" headerRowBorderDxfId="577" tableBorderDxfId="575" totalsRowBorderDxfId="574">
  <tableColumns count="2">
    <tableColumn id="1" xr3:uid="{00000000-0010-0000-1300-000001000000}" name="#" dataDxfId="573"/>
    <tableColumn id="2" xr3:uid="{00000000-0010-0000-1300-000002000000}" name="التوكن" dataDxfId="572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Basic345678910111213141516171819202122" displayName="Basic345678910111213141516171819202122" ref="B3:J226" totalsRowShown="0" headerRowDxfId="571" dataDxfId="569" headerRowBorderDxfId="570" tableBorderDxfId="568" totalsRowBorderDxfId="567">
  <autoFilter ref="B3:J226" xr:uid="{00000000-0009-0000-0100-000015000000}"/>
  <tableColumns count="9">
    <tableColumn id="1" xr3:uid="{00000000-0010-0000-1400-000001000000}" name="م" dataDxfId="566"/>
    <tableColumn id="2" xr3:uid="{00000000-0010-0000-1400-000002000000}" name="IPN" dataDxfId="565"/>
    <tableColumn id="3" xr3:uid="{00000000-0010-0000-1400-000003000000}" name="إسم العميل" dataDxfId="564"/>
    <tableColumn id="4" xr3:uid="{00000000-0010-0000-1400-000004000000}" name="رقم التليفون" dataDxfId="563"/>
    <tableColumn id="5" xr3:uid="{00000000-0010-0000-1400-000005000000}" name="قيمة الشحنه" dataDxfId="562"/>
    <tableColumn id="6" xr3:uid="{00000000-0010-0000-1400-000006000000}" name="قيمة الرسوم / العموله" dataDxfId="561">
      <calculatedColumnFormula>IF(Basic345678910111213141516171819202122[[#This Row],[نوع الخدمة]]="مخالفات", 50,
IF(Basic345678910111213141516171819202122[[#This Row],[نوع الخدمة]]="كاش ان",
    IF(F4&lt;=100, 18, IF(F4&lt;=250, 23, IF(F4&lt;=500, 35, IF(F4&lt;=1000, 40, F4*0.04)))),
IF(Basic345678910111213141516171819202122[[#This Row],[نوع الخدمة]]="كاش اوت",
    IF(F4&lt;=100, 15, IF(F4&lt;=250, 20, IF(F4&lt;=500, 30, IF(F4&lt;=1000, 35, F4*0.035)))),
0)))</calculatedColumnFormula>
    </tableColumn>
    <tableColumn id="9" xr3:uid="{00000000-0010-0000-1400-000009000000}" name="الاجمــــــــــالي" dataDxfId="560">
      <calculatedColumnFormula>IF(I4="مخالفات",50,Basic345678910111213141516171819202122[[#This Row],[قيمة الرسوم / العموله]]+Basic345678910111213141516171819202122[[#This Row],[قيمة الشحنه]])</calculatedColumnFormula>
    </tableColumn>
    <tableColumn id="7" xr3:uid="{00000000-0010-0000-1400-000007000000}" name="نوع الخدمة" dataDxfId="559"/>
    <tableColumn id="8" xr3:uid="{00000000-0010-0000-1400-000008000000}" name="التاريخ" dataDxfId="558">
      <calculatedColumnFormula>M$3</calculatedColumnFormula>
    </tableColumn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15000000}" name="Table3243" displayName="Table3243" ref="L11:M226" totalsRowShown="0" headerRowDxfId="557" dataDxfId="555" headerRowBorderDxfId="556" tableBorderDxfId="554" totalsRowBorderDxfId="553">
  <tableColumns count="2">
    <tableColumn id="1" xr3:uid="{00000000-0010-0000-1500-000001000000}" name="#" dataDxfId="552"/>
    <tableColumn id="2" xr3:uid="{00000000-0010-0000-1500-000002000000}" name="التوكن" dataDxfId="551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6000000}" name="Basic3456789101112131415161718192021" displayName="Basic3456789101112131415161718192021" ref="B3:J226" totalsRowShown="0" headerRowDxfId="550" dataDxfId="548" headerRowBorderDxfId="549" tableBorderDxfId="547" totalsRowBorderDxfId="546">
  <autoFilter ref="B3:J226" xr:uid="{00000000-0009-0000-0100-000014000000}"/>
  <tableColumns count="9">
    <tableColumn id="1" xr3:uid="{00000000-0010-0000-1600-000001000000}" name="م" dataDxfId="545"/>
    <tableColumn id="2" xr3:uid="{00000000-0010-0000-1600-000002000000}" name="IPN" dataDxfId="544"/>
    <tableColumn id="3" xr3:uid="{00000000-0010-0000-1600-000003000000}" name="إسم العميل" dataDxfId="543"/>
    <tableColumn id="4" xr3:uid="{00000000-0010-0000-1600-000004000000}" name="رقم التليفون" dataDxfId="542"/>
    <tableColumn id="5" xr3:uid="{00000000-0010-0000-1600-000005000000}" name="قيمة الشحنه" dataDxfId="541"/>
    <tableColumn id="6" xr3:uid="{00000000-0010-0000-1600-000006000000}" name="قيمة الرسوم / العموله" dataDxfId="540">
      <calculatedColumnFormula>IF(Basic3456789101112131415161718192021[[#This Row],[نوع الخدمة]]="مخالفات", 50,
IF(Basic3456789101112131415161718192021[[#This Row],[نوع الخدمة]]="كاش ان",
    IF(F4&lt;=100, 18, IF(F4&lt;=250, 23, IF(F4&lt;=500, 35, IF(F4&lt;=1000, 40, F4*0.04)))),
IF(Basic3456789101112131415161718192021[[#This Row],[نوع الخدمة]]="كاش اوت",
    IF(F4&lt;=100, 15, IF(F4&lt;=250, 20, IF(F4&lt;=500, 30, IF(F4&lt;=1000, 35, F4*0.035)))),
0)))</calculatedColumnFormula>
    </tableColumn>
    <tableColumn id="9" xr3:uid="{00000000-0010-0000-1600-000009000000}" name="الاجمــــــــــالي" dataDxfId="539">
      <calculatedColumnFormula>IF(I4="مخالفات",50,Basic3456789101112131415161718192021[[#This Row],[قيمة الرسوم / العموله]]+Basic3456789101112131415161718192021[[#This Row],[قيمة الشحنه]])</calculatedColumnFormula>
    </tableColumn>
    <tableColumn id="7" xr3:uid="{00000000-0010-0000-1600-000007000000}" name="نوع الخدمة" dataDxfId="538"/>
    <tableColumn id="8" xr3:uid="{00000000-0010-0000-1600-000008000000}" name="التاريخ" dataDxfId="537">
      <calculatedColumnFormula>M$3</calculatedColumnFormula>
    </tableColumn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17000000}" name="Table3244" displayName="Table3244" ref="L11:M226" totalsRowShown="0" headerRowDxfId="536" dataDxfId="534" headerRowBorderDxfId="535" tableBorderDxfId="533" totalsRowBorderDxfId="532">
  <tableColumns count="2">
    <tableColumn id="1" xr3:uid="{00000000-0010-0000-1700-000001000000}" name="#" dataDxfId="531"/>
    <tableColumn id="2" xr3:uid="{00000000-0010-0000-1700-000002000000}" name="التوكن" dataDxfId="530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8000000}" name="Basic34567891011121314151617181920" displayName="Basic34567891011121314151617181920" ref="B3:J226" totalsRowShown="0" headerRowDxfId="529" dataDxfId="527" headerRowBorderDxfId="528" tableBorderDxfId="526" totalsRowBorderDxfId="525">
  <autoFilter ref="B3:J226" xr:uid="{00000000-0009-0000-0100-000013000000}"/>
  <tableColumns count="9">
    <tableColumn id="1" xr3:uid="{00000000-0010-0000-1800-000001000000}" name="م" dataDxfId="524"/>
    <tableColumn id="2" xr3:uid="{00000000-0010-0000-1800-000002000000}" name="IPN" dataDxfId="523"/>
    <tableColumn id="3" xr3:uid="{00000000-0010-0000-1800-000003000000}" name="إسم العميل" dataDxfId="522"/>
    <tableColumn id="4" xr3:uid="{00000000-0010-0000-1800-000004000000}" name="رقم التليفون" dataDxfId="521"/>
    <tableColumn id="5" xr3:uid="{00000000-0010-0000-1800-000005000000}" name="قيمة الشحنه" dataDxfId="520"/>
    <tableColumn id="6" xr3:uid="{00000000-0010-0000-1800-000006000000}" name="قيمة الرسوم / العموله" dataDxfId="519">
      <calculatedColumnFormula>IF(Basic34567891011121314151617181920[[#This Row],[نوع الخدمة]]="مخالفات", 50,
IF(Basic34567891011121314151617181920[[#This Row],[نوع الخدمة]]="كاش ان",
    IF(F4&lt;=100, 18, IF(F4&lt;=250, 23, IF(F4&lt;=500, 35, IF(F4&lt;=1000, 40, F4*0.04)))),
IF(Basic34567891011121314151617181920[[#This Row],[نوع الخدمة]]="كاش اوت",
    IF(F4&lt;=100, 15, IF(F4&lt;=250, 20, IF(F4&lt;=500, 30, IF(F4&lt;=1000, 35, F4*0.035)))),
0)))</calculatedColumnFormula>
    </tableColumn>
    <tableColumn id="9" xr3:uid="{00000000-0010-0000-1800-000009000000}" name="الاجمــــــــــالي" dataDxfId="518">
      <calculatedColumnFormula>IF(I4="مخالفات",50,Basic34567891011121314151617181920[[#This Row],[قيمة الرسوم / العموله]]+Basic34567891011121314151617181920[[#This Row],[قيمة الشحنه]])</calculatedColumnFormula>
    </tableColumn>
    <tableColumn id="7" xr3:uid="{00000000-0010-0000-1800-000007000000}" name="نوع الخدمة" dataDxfId="517"/>
    <tableColumn id="8" xr3:uid="{00000000-0010-0000-1800-000008000000}" name="التاريخ" dataDxfId="516">
      <calculatedColumnFormula>M$3</calculatedColumnFormula>
    </tableColumn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19000000}" name="Table3245" displayName="Table3245" ref="L11:M226" totalsRowShown="0" headerRowDxfId="515" dataDxfId="513" headerRowBorderDxfId="514" tableBorderDxfId="512" totalsRowBorderDxfId="511">
  <tableColumns count="2">
    <tableColumn id="1" xr3:uid="{00000000-0010-0000-1900-000001000000}" name="#" dataDxfId="510"/>
    <tableColumn id="2" xr3:uid="{00000000-0010-0000-1900-000002000000}" name="التوكن" dataDxfId="509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A000000}" name="Basic345678910111213141516171819" displayName="Basic345678910111213141516171819" ref="B3:J226" totalsRowShown="0" headerRowDxfId="508" dataDxfId="506" headerRowBorderDxfId="507" tableBorderDxfId="505" totalsRowBorderDxfId="504">
  <autoFilter ref="B3:J226" xr:uid="{00000000-0009-0000-0100-000012000000}"/>
  <tableColumns count="9">
    <tableColumn id="1" xr3:uid="{00000000-0010-0000-1A00-000001000000}" name="م" dataDxfId="503"/>
    <tableColumn id="2" xr3:uid="{00000000-0010-0000-1A00-000002000000}" name="IPN" dataDxfId="502"/>
    <tableColumn id="3" xr3:uid="{00000000-0010-0000-1A00-000003000000}" name="إسم العميل" dataDxfId="501"/>
    <tableColumn id="4" xr3:uid="{00000000-0010-0000-1A00-000004000000}" name="رقم التليفون" dataDxfId="500"/>
    <tableColumn id="5" xr3:uid="{00000000-0010-0000-1A00-000005000000}" name="قيمة الشحنه" dataDxfId="499"/>
    <tableColumn id="6" xr3:uid="{00000000-0010-0000-1A00-000006000000}" name="قيمة الرسوم / العموله" dataDxfId="498">
      <calculatedColumnFormula>IF(Basic345678910111213141516171819[[#This Row],[نوع الخدمة]]="مخالفات", 50,
IF(Basic345678910111213141516171819[[#This Row],[نوع الخدمة]]="كاش ان",
    IF(F4&lt;=100, 18, IF(F4&lt;=250, 23, IF(F4&lt;=500, 35, IF(F4&lt;=1000, 40, F4*0.04)))),
IF(Basic345678910111213141516171819[[#This Row],[نوع الخدمة]]="كاش اوت",
    IF(F4&lt;=100, 15, IF(F4&lt;=250, 20, IF(F4&lt;=500, 30, IF(F4&lt;=1000, 35, F4*0.035)))),
0)))</calculatedColumnFormula>
    </tableColumn>
    <tableColumn id="9" xr3:uid="{00000000-0010-0000-1A00-000009000000}" name="الاجمــــــــــالي" dataDxfId="497">
      <calculatedColumnFormula>IF(I4="مخالفات",50,Basic345678910111213141516171819[[#This Row],[قيمة الرسوم / العموله]]+Basic345678910111213141516171819[[#This Row],[قيمة الشحنه]])</calculatedColumnFormula>
    </tableColumn>
    <tableColumn id="7" xr3:uid="{00000000-0010-0000-1A00-000007000000}" name="نوع الخدمة" dataDxfId="496"/>
    <tableColumn id="8" xr3:uid="{00000000-0010-0000-1A00-000008000000}" name="التاريخ" dataDxfId="495">
      <calculatedColumnFormula>M$3</calculatedColumnFormula>
    </tableColumn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1B000000}" name="Table3246" displayName="Table3246" ref="L11:M226" totalsRowShown="0" headerRowDxfId="494" dataDxfId="492" headerRowBorderDxfId="493" tableBorderDxfId="491" totalsRowBorderDxfId="490">
  <tableColumns count="2">
    <tableColumn id="1" xr3:uid="{00000000-0010-0000-1B00-000001000000}" name="#" dataDxfId="489"/>
    <tableColumn id="2" xr3:uid="{00000000-0010-0000-1B00-000002000000}" name="التوكن" dataDxfId="488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C000000}" name="Basic3456789101112131415161718" displayName="Basic3456789101112131415161718" ref="B3:J226" totalsRowShown="0" headerRowDxfId="487" dataDxfId="485" headerRowBorderDxfId="486" tableBorderDxfId="484" totalsRowBorderDxfId="483">
  <autoFilter ref="B3:J226" xr:uid="{00000000-0009-0000-0100-000011000000}"/>
  <tableColumns count="9">
    <tableColumn id="1" xr3:uid="{00000000-0010-0000-1C00-000001000000}" name="م" dataDxfId="482"/>
    <tableColumn id="2" xr3:uid="{00000000-0010-0000-1C00-000002000000}" name="IPN" dataDxfId="481"/>
    <tableColumn id="3" xr3:uid="{00000000-0010-0000-1C00-000003000000}" name="إسم العميل" dataDxfId="480"/>
    <tableColumn id="4" xr3:uid="{00000000-0010-0000-1C00-000004000000}" name="رقم التليفون" dataDxfId="479"/>
    <tableColumn id="5" xr3:uid="{00000000-0010-0000-1C00-000005000000}" name="قيمة الشحنه" dataDxfId="478"/>
    <tableColumn id="6" xr3:uid="{00000000-0010-0000-1C00-000006000000}" name="قيمة الرسوم / العموله" dataDxfId="477">
      <calculatedColumnFormula>IF(Basic3456789101112131415161718[[#This Row],[نوع الخدمة]]="مخالفات", 50,
IF(Basic3456789101112131415161718[[#This Row],[نوع الخدمة]]="كاش ان",
    IF(F4&lt;=100, 18, IF(F4&lt;=250, 23, IF(F4&lt;=500, 35, IF(F4&lt;=1000, 40, F4*0.04)))),
IF(Basic3456789101112131415161718[[#This Row],[نوع الخدمة]]="كاش اوت",
    IF(F4&lt;=100, 15, IF(F4&lt;=250, 20, IF(F4&lt;=500, 30, IF(F4&lt;=1000, 35, F4*0.035)))),
0)))</calculatedColumnFormula>
    </tableColumn>
    <tableColumn id="9" xr3:uid="{00000000-0010-0000-1C00-000009000000}" name="الاجمــــــــــالي" dataDxfId="476">
      <calculatedColumnFormula>IF(I4="مخالفات",50,Basic3456789101112131415161718[[#This Row],[قيمة الرسوم / العموله]]+Basic3456789101112131415161718[[#This Row],[قيمة الشحنه]])</calculatedColumnFormula>
    </tableColumn>
    <tableColumn id="7" xr3:uid="{00000000-0010-0000-1C00-000007000000}" name="نوع الخدمة" dataDxfId="475"/>
    <tableColumn id="8" xr3:uid="{00000000-0010-0000-1C00-000008000000}" name="التاريخ" dataDxfId="474">
      <calculatedColumnFormula>M$3</calculatedColumnFormula>
    </tableColumn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1D000000}" name="Table3247" displayName="Table3247" ref="L11:M226" totalsRowShown="0" headerRowDxfId="473" dataDxfId="471" headerRowBorderDxfId="472" tableBorderDxfId="470" totalsRowBorderDxfId="469">
  <tableColumns count="2">
    <tableColumn id="1" xr3:uid="{00000000-0010-0000-1D00-000001000000}" name="#" dataDxfId="468"/>
    <tableColumn id="2" xr3:uid="{00000000-0010-0000-1D00-000002000000}" name="التوكن" dataDxfId="467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1E000000}" name="Basic34567891011121314151617" displayName="Basic34567891011121314151617" ref="B3:J226" totalsRowShown="0" headerRowDxfId="466" dataDxfId="464" headerRowBorderDxfId="465" tableBorderDxfId="463" totalsRowBorderDxfId="462">
  <autoFilter ref="B3:J226" xr:uid="{00000000-0009-0000-0100-000010000000}"/>
  <tableColumns count="9">
    <tableColumn id="1" xr3:uid="{00000000-0010-0000-1E00-000001000000}" name="م" dataDxfId="461"/>
    <tableColumn id="2" xr3:uid="{00000000-0010-0000-1E00-000002000000}" name="IPN" dataDxfId="460"/>
    <tableColumn id="3" xr3:uid="{00000000-0010-0000-1E00-000003000000}" name="إسم العميل" dataDxfId="459"/>
    <tableColumn id="4" xr3:uid="{00000000-0010-0000-1E00-000004000000}" name="رقم التليفون" dataDxfId="458"/>
    <tableColumn id="5" xr3:uid="{00000000-0010-0000-1E00-000005000000}" name="قيمة الشحنه" dataDxfId="457"/>
    <tableColumn id="6" xr3:uid="{00000000-0010-0000-1E00-000006000000}" name="قيمة الرسوم / العموله" dataDxfId="456">
      <calculatedColumnFormula>IF(Basic34567891011121314151617[[#This Row],[نوع الخدمة]]="مخالفات", 50,
IF(Basic34567891011121314151617[[#This Row],[نوع الخدمة]]="كاش ان",
    IF(F4&lt;=100, 18, IF(F4&lt;=250, 23, IF(F4&lt;=500, 35, IF(F4&lt;=1000, 40, F4*0.04)))),
IF(Basic34567891011121314151617[[#This Row],[نوع الخدمة]]="كاش اوت",
    IF(F4&lt;=100, 15, IF(F4&lt;=250, 20, IF(F4&lt;=500, 30, IF(F4&lt;=1000, 35, F4*0.035)))),
0)))</calculatedColumnFormula>
    </tableColumn>
    <tableColumn id="9" xr3:uid="{00000000-0010-0000-1E00-000009000000}" name="الاجمــــــــــالي" dataDxfId="455">
      <calculatedColumnFormula>IF(I4="مخالفات",50,Basic34567891011121314151617[[#This Row],[قيمة الرسوم / العموله]]+Basic34567891011121314151617[[#This Row],[قيمة الشحنه]])</calculatedColumnFormula>
    </tableColumn>
    <tableColumn id="7" xr3:uid="{00000000-0010-0000-1E00-000007000000}" name="نوع الخدمة" dataDxfId="454"/>
    <tableColumn id="8" xr3:uid="{00000000-0010-0000-1E00-000008000000}" name="التاريخ" dataDxfId="453">
      <calculatedColumnFormula>M$3</calculatedColumnFormula>
    </tableColumn>
  </tableColumns>
  <tableStyleInfo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1F000000}" name="Table3249" displayName="Table3249" ref="L11:M226" totalsRowShown="0" headerRowDxfId="452" dataDxfId="450" headerRowBorderDxfId="451" tableBorderDxfId="449" totalsRowBorderDxfId="448">
  <tableColumns count="2">
    <tableColumn id="1" xr3:uid="{00000000-0010-0000-1F00-000001000000}" name="#" dataDxfId="447"/>
    <tableColumn id="2" xr3:uid="{00000000-0010-0000-1F00-000002000000}" name="التوكن" dataDxfId="446"/>
  </tableColumns>
  <tableStyleInfo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20000000}" name="Basic345678910111213141516" displayName="Basic345678910111213141516" ref="B3:J226" totalsRowShown="0" headerRowDxfId="445" dataDxfId="443" headerRowBorderDxfId="444" tableBorderDxfId="442" totalsRowBorderDxfId="441">
  <autoFilter ref="B3:J226" xr:uid="{00000000-0009-0000-0100-00000F000000}"/>
  <tableColumns count="9">
    <tableColumn id="1" xr3:uid="{00000000-0010-0000-2000-000001000000}" name="م" dataDxfId="440"/>
    <tableColumn id="2" xr3:uid="{00000000-0010-0000-2000-000002000000}" name="IPN" dataDxfId="439"/>
    <tableColumn id="3" xr3:uid="{00000000-0010-0000-2000-000003000000}" name="إسم العميل" dataDxfId="438"/>
    <tableColumn id="4" xr3:uid="{00000000-0010-0000-2000-000004000000}" name="رقم التليفون" dataDxfId="437"/>
    <tableColumn id="5" xr3:uid="{00000000-0010-0000-2000-000005000000}" name="قيمة الشحنه" dataDxfId="436"/>
    <tableColumn id="6" xr3:uid="{00000000-0010-0000-2000-000006000000}" name="قيمة الرسوم / العموله" dataDxfId="435">
      <calculatedColumnFormula>IF(Basic345678910111213141516[[#This Row],[نوع الخدمة]]="مخالفات", 50,
IF(Basic345678910111213141516[[#This Row],[نوع الخدمة]]="كاش ان",
    IF(F4&lt;=100, 18, IF(F4&lt;=250, 23, IF(F4&lt;=500, 35, IF(F4&lt;=1000, 40, F4*0.04)))),
IF(Basic345678910111213141516[[#This Row],[نوع الخدمة]]="كاش اوت",
    IF(F4&lt;=100, 15, IF(F4&lt;=250, 20, IF(F4&lt;=500, 30, IF(F4&lt;=1000, 35, F4*0.035)))),
0)))</calculatedColumnFormula>
    </tableColumn>
    <tableColumn id="9" xr3:uid="{00000000-0010-0000-2000-000009000000}" name="الاجمــــــــــالي" dataDxfId="434">
      <calculatedColumnFormula>IF(I4="مخالفات",50,Basic345678910111213141516[[#This Row],[قيمة الرسوم / العموله]]+Basic345678910111213141516[[#This Row],[قيمة الشحنه]])</calculatedColumnFormula>
    </tableColumn>
    <tableColumn id="7" xr3:uid="{00000000-0010-0000-2000-000007000000}" name="نوع الخدمة" dataDxfId="433"/>
    <tableColumn id="8" xr3:uid="{00000000-0010-0000-2000-000008000000}" name="التاريخ" dataDxfId="432">
      <calculatedColumnFormula>M$3</calculatedColumnFormula>
    </tableColumn>
  </tableColumns>
  <tableStyleInfo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21000000}" name="Table3250" displayName="Table3250" ref="L11:M226" totalsRowShown="0" headerRowDxfId="431" dataDxfId="429" headerRowBorderDxfId="430" tableBorderDxfId="428" totalsRowBorderDxfId="427">
  <tableColumns count="2">
    <tableColumn id="1" xr3:uid="{00000000-0010-0000-2100-000001000000}" name="#" dataDxfId="426"/>
    <tableColumn id="2" xr3:uid="{00000000-0010-0000-2100-000002000000}" name="التوكن" dataDxfId="425"/>
  </tableColumns>
  <tableStyleInfo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22000000}" name="Basic3456789101112131415" displayName="Basic3456789101112131415" ref="B3:J226" totalsRowShown="0" headerRowDxfId="424" dataDxfId="422" headerRowBorderDxfId="423" tableBorderDxfId="421" totalsRowBorderDxfId="420">
  <autoFilter ref="B3:J226" xr:uid="{00000000-0009-0000-0100-00000E000000}"/>
  <tableColumns count="9">
    <tableColumn id="1" xr3:uid="{00000000-0010-0000-2200-000001000000}" name="م" dataDxfId="419"/>
    <tableColumn id="2" xr3:uid="{00000000-0010-0000-2200-000002000000}" name="IPN" dataDxfId="418"/>
    <tableColumn id="3" xr3:uid="{00000000-0010-0000-2200-000003000000}" name="إسم العميل" dataDxfId="417"/>
    <tableColumn id="4" xr3:uid="{00000000-0010-0000-2200-000004000000}" name="رقم التليفون" dataDxfId="416"/>
    <tableColumn id="5" xr3:uid="{00000000-0010-0000-2200-000005000000}" name="قيمة الشحنه" dataDxfId="415"/>
    <tableColumn id="6" xr3:uid="{00000000-0010-0000-2200-000006000000}" name="قيمة الرسوم / العموله" dataDxfId="414">
      <calculatedColumnFormula>IF(Basic3456789101112131415[[#This Row],[نوع الخدمة]]="مخالفات", 50,
IF(Basic3456789101112131415[[#This Row],[نوع الخدمة]]="كاش ان",
    IF(F4&lt;=100, 18, IF(F4&lt;=250, 23, IF(F4&lt;=500, 35, IF(F4&lt;=1000, 40, F4*0.04)))),
IF(Basic3456789101112131415[[#This Row],[نوع الخدمة]]="كاش اوت",
    IF(F4&lt;=100, 15, IF(F4&lt;=250, 20, IF(F4&lt;=500, 30, IF(F4&lt;=1000, 35, F4*0.035)))),
0)))</calculatedColumnFormula>
    </tableColumn>
    <tableColumn id="9" xr3:uid="{00000000-0010-0000-2200-000009000000}" name="الاجمــــــــــالي" dataDxfId="413">
      <calculatedColumnFormula>IF(I4="مخالفات",50,Basic3456789101112131415[[#This Row],[قيمة الرسوم / العموله]]+Basic3456789101112131415[[#This Row],[قيمة الشحنه]])</calculatedColumnFormula>
    </tableColumn>
    <tableColumn id="7" xr3:uid="{00000000-0010-0000-2200-000007000000}" name="نوع الخدمة" dataDxfId="412"/>
    <tableColumn id="8" xr3:uid="{00000000-0010-0000-2200-000008000000}" name="التاريخ" dataDxfId="411">
      <calculatedColumnFormula>M$3</calculatedColumnFormula>
    </tableColumn>
  </tableColumns>
  <tableStyleInfo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23000000}" name="Table3251" displayName="Table3251" ref="L11:M226" totalsRowShown="0" headerRowDxfId="410" dataDxfId="408" headerRowBorderDxfId="409" tableBorderDxfId="407" totalsRowBorderDxfId="406">
  <tableColumns count="2">
    <tableColumn id="1" xr3:uid="{00000000-0010-0000-2300-000001000000}" name="#" dataDxfId="405"/>
    <tableColumn id="2" xr3:uid="{00000000-0010-0000-2300-000002000000}" name="التوكن" dataDxfId="404"/>
  </tableColumns>
  <tableStyleInfo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24000000}" name="Basic34567891011121314" displayName="Basic34567891011121314" ref="B3:J226" totalsRowShown="0" headerRowDxfId="403" dataDxfId="401" headerRowBorderDxfId="402" tableBorderDxfId="400" totalsRowBorderDxfId="399">
  <autoFilter ref="B3:J226" xr:uid="{00000000-0009-0000-0100-00000D000000}"/>
  <tableColumns count="9">
    <tableColumn id="1" xr3:uid="{00000000-0010-0000-2400-000001000000}" name="م" dataDxfId="398"/>
    <tableColumn id="2" xr3:uid="{00000000-0010-0000-2400-000002000000}" name="IPN" dataDxfId="397"/>
    <tableColumn id="3" xr3:uid="{00000000-0010-0000-2400-000003000000}" name="إسم العميل" dataDxfId="396"/>
    <tableColumn id="4" xr3:uid="{00000000-0010-0000-2400-000004000000}" name="رقم التليفون" dataDxfId="395"/>
    <tableColumn id="5" xr3:uid="{00000000-0010-0000-2400-000005000000}" name="قيمة الشحنه" dataDxfId="394"/>
    <tableColumn id="6" xr3:uid="{00000000-0010-0000-2400-000006000000}" name="قيمة الرسوم / العموله" dataDxfId="393">
      <calculatedColumnFormula>IF(Basic34567891011121314[[#This Row],[نوع الخدمة]]="مخالفات", 50,
IF(Basic34567891011121314[[#This Row],[نوع الخدمة]]="كاش ان",
    IF(F4&lt;=100, 18, IF(F4&lt;=250, 23, IF(F4&lt;=500, 35, IF(F4&lt;=1000, 40, F4*0.04)))),
IF(Basic34567891011121314[[#This Row],[نوع الخدمة]]="كاش اوت",
    IF(F4&lt;=100, 15, IF(F4&lt;=250, 20, IF(F4&lt;=500, 30, IF(F4&lt;=1000, 35, F4*0.035)))),
0)))</calculatedColumnFormula>
    </tableColumn>
    <tableColumn id="9" xr3:uid="{00000000-0010-0000-2400-000009000000}" name="الاجمــــــــــالي" dataDxfId="392">
      <calculatedColumnFormula>IF(I4="مخالفات",50,Basic34567891011121314[[#This Row],[قيمة الرسوم / العموله]]+Basic34567891011121314[[#This Row],[قيمة الشحنه]])</calculatedColumnFormula>
    </tableColumn>
    <tableColumn id="7" xr3:uid="{00000000-0010-0000-2400-000007000000}" name="نوع الخدمة" dataDxfId="391"/>
    <tableColumn id="8" xr3:uid="{00000000-0010-0000-2400-000008000000}" name="التاريخ" dataDxfId="390">
      <calculatedColumnFormula>M$3</calculatedColumnFormula>
    </tableColumn>
  </tableColumns>
  <tableStyleInfo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25000000}" name="Table3252" displayName="Table3252" ref="L11:M226" totalsRowShown="0" headerRowDxfId="389" dataDxfId="387" headerRowBorderDxfId="388" tableBorderDxfId="386" totalsRowBorderDxfId="385">
  <tableColumns count="2">
    <tableColumn id="1" xr3:uid="{00000000-0010-0000-2500-000001000000}" name="#" dataDxfId="384"/>
    <tableColumn id="2" xr3:uid="{00000000-0010-0000-2500-000002000000}" name="التوكن" dataDxfId="383"/>
  </tableColumns>
  <tableStyleInfo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26000000}" name="Basic345678910111213" displayName="Basic345678910111213" ref="B3:J226" totalsRowShown="0" headerRowDxfId="382" dataDxfId="380" headerRowBorderDxfId="381" tableBorderDxfId="379" totalsRowBorderDxfId="378">
  <autoFilter ref="B3:J226" xr:uid="{00000000-0009-0000-0100-00000C000000}"/>
  <tableColumns count="9">
    <tableColumn id="1" xr3:uid="{00000000-0010-0000-2600-000001000000}" name="م" dataDxfId="377"/>
    <tableColumn id="2" xr3:uid="{00000000-0010-0000-2600-000002000000}" name="IPN" dataDxfId="376"/>
    <tableColumn id="3" xr3:uid="{00000000-0010-0000-2600-000003000000}" name="إسم العميل" dataDxfId="375"/>
    <tableColumn id="4" xr3:uid="{00000000-0010-0000-2600-000004000000}" name="رقم التليفون" dataDxfId="374"/>
    <tableColumn id="5" xr3:uid="{00000000-0010-0000-2600-000005000000}" name="قيمة الشحنه" dataDxfId="373"/>
    <tableColumn id="6" xr3:uid="{00000000-0010-0000-2600-000006000000}" name="قيمة الرسوم / العموله" dataDxfId="372">
      <calculatedColumnFormula>IF(Basic345678910111213[[#This Row],[نوع الخدمة]]="مخالفات", 50,
IF(Basic345678910111213[[#This Row],[نوع الخدمة]]="كاش ان",
    IF(F4&lt;=100, 18, IF(F4&lt;=250, 23, IF(F4&lt;=500, 35, IF(F4&lt;=1000, 40, F4*0.04)))),
IF(Basic345678910111213[[#This Row],[نوع الخدمة]]="كاش اوت",
    IF(F4&lt;=100, 15, IF(F4&lt;=250, 20, IF(F4&lt;=500, 30, IF(F4&lt;=1000, 35, F4*0.035)))),
0)))</calculatedColumnFormula>
    </tableColumn>
    <tableColumn id="9" xr3:uid="{00000000-0010-0000-2600-000009000000}" name="الاجمــــــــــالي" dataDxfId="371">
      <calculatedColumnFormula>IF(I4="مخالفات",50,Basic345678910111213[[#This Row],[قيمة الرسوم / العموله]]+Basic345678910111213[[#This Row],[قيمة الشحنه]])</calculatedColumnFormula>
    </tableColumn>
    <tableColumn id="7" xr3:uid="{00000000-0010-0000-2600-000007000000}" name="نوع الخدمة" dataDxfId="370"/>
    <tableColumn id="8" xr3:uid="{00000000-0010-0000-2600-000008000000}" name="التاريخ" dataDxfId="369">
      <calculatedColumnFormula>M$3</calculatedColumnFormula>
    </tableColumn>
  </tableColumns>
  <tableStyleInfo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27000000}" name="Table3253" displayName="Table3253" ref="L11:M226" totalsRowShown="0" headerRowDxfId="368" dataDxfId="366" headerRowBorderDxfId="367" tableBorderDxfId="365" totalsRowBorderDxfId="364">
  <tableColumns count="2">
    <tableColumn id="1" xr3:uid="{00000000-0010-0000-2700-000001000000}" name="#" dataDxfId="363"/>
    <tableColumn id="2" xr3:uid="{00000000-0010-0000-2700-000002000000}" name="التوكن" dataDxfId="362"/>
  </tableColumns>
  <tableStyleInfo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28000000}" name="Basic3456789101112" displayName="Basic3456789101112" ref="B3:J226" totalsRowShown="0" headerRowDxfId="361" dataDxfId="359" headerRowBorderDxfId="360" tableBorderDxfId="358" totalsRowBorderDxfId="357">
  <autoFilter ref="B3:J226" xr:uid="{00000000-0009-0000-0100-00000B000000}"/>
  <tableColumns count="9">
    <tableColumn id="1" xr3:uid="{00000000-0010-0000-2800-000001000000}" name="م" dataDxfId="356"/>
    <tableColumn id="2" xr3:uid="{00000000-0010-0000-2800-000002000000}" name="IPN" dataDxfId="355"/>
    <tableColumn id="3" xr3:uid="{00000000-0010-0000-2800-000003000000}" name="إسم العميل" dataDxfId="354"/>
    <tableColumn id="4" xr3:uid="{00000000-0010-0000-2800-000004000000}" name="رقم التليفون" dataDxfId="353"/>
    <tableColumn id="5" xr3:uid="{00000000-0010-0000-2800-000005000000}" name="قيمة الشحنه" dataDxfId="352"/>
    <tableColumn id="6" xr3:uid="{00000000-0010-0000-2800-000006000000}" name="قيمة الرسوم / العموله" dataDxfId="351">
      <calculatedColumnFormula>IF(Basic3456789101112[[#This Row],[نوع الخدمة]]="مخالفات", 50,
IF(Basic3456789101112[[#This Row],[نوع الخدمة]]="كاش ان",
    IF(F4&lt;=100, 18, IF(F4&lt;=250, 23, IF(F4&lt;=500, 35, IF(F4&lt;=1000, 40, F4*0.04)))),
IF(Basic3456789101112[[#This Row],[نوع الخدمة]]="كاش اوت",
    IF(F4&lt;=100, 15, IF(F4&lt;=250, 20, IF(F4&lt;=500, 30, IF(F4&lt;=1000, 35, F4*0.035)))),
0)))</calculatedColumnFormula>
    </tableColumn>
    <tableColumn id="9" xr3:uid="{00000000-0010-0000-2800-000009000000}" name="الاجمــــــــــالي" dataDxfId="350">
      <calculatedColumnFormula>IF(I4="مخالفات",50,Basic3456789101112[[#This Row],[قيمة الرسوم / العموله]]+Basic3456789101112[[#This Row],[قيمة الشحنه]])</calculatedColumnFormula>
    </tableColumn>
    <tableColumn id="7" xr3:uid="{00000000-0010-0000-2800-000007000000}" name="نوع الخدمة" dataDxfId="349"/>
    <tableColumn id="8" xr3:uid="{00000000-0010-0000-2800-000008000000}" name="التاريخ" dataDxfId="348">
      <calculatedColumnFormula>M$3</calculatedColumnFormula>
    </tableColumn>
  </tableColumns>
  <tableStyleInfo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0000000-000C-0000-FFFF-FFFF29000000}" name="Table3254" displayName="Table3254" ref="L11:M226" totalsRowShown="0" headerRowDxfId="347" dataDxfId="345" headerRowBorderDxfId="346" tableBorderDxfId="344" totalsRowBorderDxfId="343">
  <tableColumns count="2">
    <tableColumn id="1" xr3:uid="{00000000-0010-0000-2900-000001000000}" name="#" dataDxfId="342"/>
    <tableColumn id="2" xr3:uid="{00000000-0010-0000-2900-000002000000}" name="التوكن" dataDxfId="341"/>
  </tableColumns>
  <tableStyleInfo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2A000000}" name="Basic34567891011" displayName="Basic34567891011" ref="B3:J226" totalsRowShown="0" headerRowDxfId="340" dataDxfId="338" headerRowBorderDxfId="339" tableBorderDxfId="337" totalsRowBorderDxfId="336">
  <autoFilter ref="B3:J226" xr:uid="{00000000-0009-0000-0100-00000A000000}"/>
  <tableColumns count="9">
    <tableColumn id="1" xr3:uid="{00000000-0010-0000-2A00-000001000000}" name="م" dataDxfId="335"/>
    <tableColumn id="2" xr3:uid="{00000000-0010-0000-2A00-000002000000}" name="IPN" dataDxfId="334"/>
    <tableColumn id="3" xr3:uid="{00000000-0010-0000-2A00-000003000000}" name="إسم العميل" dataDxfId="333"/>
    <tableColumn id="4" xr3:uid="{00000000-0010-0000-2A00-000004000000}" name="رقم التليفون" dataDxfId="332"/>
    <tableColumn id="5" xr3:uid="{00000000-0010-0000-2A00-000005000000}" name="قيمة الشحنه" dataDxfId="331"/>
    <tableColumn id="6" xr3:uid="{00000000-0010-0000-2A00-000006000000}" name="قيمة الرسوم / العموله" dataDxfId="330">
      <calculatedColumnFormula>IF(Basic34567891011[[#This Row],[نوع الخدمة]]="مخالفات", 50,
IF(Basic34567891011[[#This Row],[نوع الخدمة]]="كاش ان",
    IF(F4&lt;=100, 18, IF(F4&lt;=250, 23, IF(F4&lt;=500, 35, IF(F4&lt;=1000, 40, F4*0.04)))),
IF(Basic34567891011[[#This Row],[نوع الخدمة]]="كاش اوت",
    IF(F4&lt;=100, 15, IF(F4&lt;=250, 20, IF(F4&lt;=500, 30, IF(F4&lt;=1000, 35, F4*0.035)))),
0)))</calculatedColumnFormula>
    </tableColumn>
    <tableColumn id="9" xr3:uid="{00000000-0010-0000-2A00-000009000000}" name="الاجمــــــــــالي" dataDxfId="329">
      <calculatedColumnFormula>IF(I4="مخالفات",50,Basic34567891011[[#This Row],[قيمة الرسوم / العموله]]+Basic34567891011[[#This Row],[قيمة الشحنه]])</calculatedColumnFormula>
    </tableColumn>
    <tableColumn id="7" xr3:uid="{00000000-0010-0000-2A00-000007000000}" name="نوع الخدمة" dataDxfId="328"/>
    <tableColumn id="8" xr3:uid="{00000000-0010-0000-2A00-000008000000}" name="التاريخ" dataDxfId="327">
      <calculatedColumnFormula>M$3</calculatedColumnFormula>
    </tableColumn>
  </tableColumns>
  <tableStyleInfo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0000000-000C-0000-FFFF-FFFF2B000000}" name="Table3255" displayName="Table3255" ref="L11:M226" totalsRowShown="0" headerRowDxfId="326" dataDxfId="324" headerRowBorderDxfId="325" tableBorderDxfId="323" totalsRowBorderDxfId="322">
  <tableColumns count="2">
    <tableColumn id="1" xr3:uid="{00000000-0010-0000-2B00-000001000000}" name="#" dataDxfId="321"/>
    <tableColumn id="2" xr3:uid="{00000000-0010-0000-2B00-000002000000}" name="التوكن" dataDxfId="320"/>
  </tableColumns>
  <tableStyleInfo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2C000000}" name="Basic345678910" displayName="Basic345678910" ref="B3:J226" totalsRowShown="0" headerRowDxfId="319" dataDxfId="317" headerRowBorderDxfId="318" tableBorderDxfId="316" totalsRowBorderDxfId="315">
  <autoFilter ref="B3:J226" xr:uid="{00000000-0009-0000-0100-000009000000}"/>
  <tableColumns count="9">
    <tableColumn id="1" xr3:uid="{00000000-0010-0000-2C00-000001000000}" name="م" dataDxfId="314"/>
    <tableColumn id="2" xr3:uid="{00000000-0010-0000-2C00-000002000000}" name="IPN" dataDxfId="313"/>
    <tableColumn id="3" xr3:uid="{00000000-0010-0000-2C00-000003000000}" name="إسم العميل" dataDxfId="312"/>
    <tableColumn id="4" xr3:uid="{00000000-0010-0000-2C00-000004000000}" name="رقم التليفون" dataDxfId="311"/>
    <tableColumn id="5" xr3:uid="{00000000-0010-0000-2C00-000005000000}" name="قيمة الشحنه" dataDxfId="310"/>
    <tableColumn id="6" xr3:uid="{00000000-0010-0000-2C00-000006000000}" name="قيمة الرسوم / العموله" dataDxfId="309">
      <calculatedColumnFormula>IF(Basic345678910[[#This Row],[نوع الخدمة]]="مخالفات", 50,
IF(Basic345678910[[#This Row],[نوع الخدمة]]="كاش ان",
    IF(F4&lt;=100, 18, IF(F4&lt;=250, 23, IF(F4&lt;=500, 35, IF(F4&lt;=1000, 40, F4*0.04)))),
IF(Basic345678910[[#This Row],[نوع الخدمة]]="كاش اوت",
    IF(F4&lt;=100, 15, IF(F4&lt;=250, 20, IF(F4&lt;=500, 30, IF(F4&lt;=1000, 35, F4*0.035)))),
0)))</calculatedColumnFormula>
    </tableColumn>
    <tableColumn id="9" xr3:uid="{00000000-0010-0000-2C00-000009000000}" name="الاجمــــــــــالي" dataDxfId="308">
      <calculatedColumnFormula>IF(I4="مخالفات",50,Basic345678910[[#This Row],[قيمة الرسوم / العموله]]+Basic345678910[[#This Row],[قيمة الشحنه]])</calculatedColumnFormula>
    </tableColumn>
    <tableColumn id="7" xr3:uid="{00000000-0010-0000-2C00-000007000000}" name="نوع الخدمة" dataDxfId="307"/>
    <tableColumn id="8" xr3:uid="{00000000-0010-0000-2C00-000008000000}" name="التاريخ" dataDxfId="306">
      <calculatedColumnFormula>M$3</calculatedColumnFormula>
    </tableColumn>
  </tableColumns>
  <tableStyleInfo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0000000-000C-0000-FFFF-FFFF2D000000}" name="Table3256" displayName="Table3256" ref="L11:M226" totalsRowShown="0" headerRowDxfId="305" dataDxfId="303" headerRowBorderDxfId="304" tableBorderDxfId="302" totalsRowBorderDxfId="301">
  <tableColumns count="2">
    <tableColumn id="1" xr3:uid="{00000000-0010-0000-2D00-000001000000}" name="#" dataDxfId="300"/>
    <tableColumn id="2" xr3:uid="{00000000-0010-0000-2D00-000002000000}" name="التوكن" dataDxfId="299"/>
  </tableColumns>
  <tableStyleInfo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2E000000}" name="Basic3456789" displayName="Basic3456789" ref="B3:J226" totalsRowShown="0" headerRowDxfId="298" dataDxfId="296" headerRowBorderDxfId="297" tableBorderDxfId="295" totalsRowBorderDxfId="294">
  <autoFilter ref="B3:J226" xr:uid="{00000000-0009-0000-0100-000008000000}"/>
  <tableColumns count="9">
    <tableColumn id="1" xr3:uid="{00000000-0010-0000-2E00-000001000000}" name="م" dataDxfId="293"/>
    <tableColumn id="2" xr3:uid="{00000000-0010-0000-2E00-000002000000}" name="IPN" dataDxfId="292"/>
    <tableColumn id="3" xr3:uid="{00000000-0010-0000-2E00-000003000000}" name="إسم العميل" dataDxfId="291"/>
    <tableColumn id="4" xr3:uid="{00000000-0010-0000-2E00-000004000000}" name="رقم التليفون" dataDxfId="290"/>
    <tableColumn id="5" xr3:uid="{00000000-0010-0000-2E00-000005000000}" name="قيمة الشحنه" dataDxfId="289"/>
    <tableColumn id="6" xr3:uid="{00000000-0010-0000-2E00-000006000000}" name="قيمة الرسوم / العموله" dataDxfId="288">
      <calculatedColumnFormula>IF(Basic3456789[[#This Row],[نوع الخدمة]]="مخالفات", 50,
IF(Basic3456789[[#This Row],[نوع الخدمة]]="كاش ان",
    IF(F4&lt;=100, 18, IF(F4&lt;=250, 23, IF(F4&lt;=500, 35, IF(F4&lt;=1000, 40, F4*0.04)))),
IF(Basic3456789[[#This Row],[نوع الخدمة]]="كاش اوت",
    IF(F4&lt;=100, 15, IF(F4&lt;=250, 20, IF(F4&lt;=500, 30, IF(F4&lt;=1000, 35, F4*0.035)))),
0)))</calculatedColumnFormula>
    </tableColumn>
    <tableColumn id="9" xr3:uid="{00000000-0010-0000-2E00-000009000000}" name="الاجمــــــــــالي" dataDxfId="287">
      <calculatedColumnFormula>IF(I4="مخالفات",50,Basic3456789[[#This Row],[قيمة الرسوم / العموله]]+Basic3456789[[#This Row],[قيمة الشحنه]])</calculatedColumnFormula>
    </tableColumn>
    <tableColumn id="7" xr3:uid="{00000000-0010-0000-2E00-000007000000}" name="نوع الخدمة" dataDxfId="286"/>
    <tableColumn id="8" xr3:uid="{00000000-0010-0000-2E00-000008000000}" name="التاريخ" dataDxfId="285">
      <calculatedColumnFormula>M$3</calculatedColumnFormula>
    </tableColumn>
  </tableColumns>
  <tableStyleInfo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2F000000}" name="Table3257" displayName="Table3257" ref="L11:M226" totalsRowShown="0" headerRowDxfId="284" dataDxfId="282" headerRowBorderDxfId="283" tableBorderDxfId="281" totalsRowBorderDxfId="280">
  <tableColumns count="2">
    <tableColumn id="1" xr3:uid="{00000000-0010-0000-2F00-000001000000}" name="#" dataDxfId="279"/>
    <tableColumn id="2" xr3:uid="{00000000-0010-0000-2F00-000002000000}" name="التوكن" dataDxfId="278"/>
  </tableColumns>
  <tableStyleInfo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30000000}" name="Basic345678" displayName="Basic345678" ref="B3:J226" totalsRowShown="0" headerRowDxfId="277" dataDxfId="275" headerRowBorderDxfId="276" tableBorderDxfId="274" totalsRowBorderDxfId="273">
  <autoFilter ref="B3:J226" xr:uid="{00000000-0009-0000-0100-000007000000}"/>
  <tableColumns count="9">
    <tableColumn id="1" xr3:uid="{00000000-0010-0000-3000-000001000000}" name="م" dataDxfId="272"/>
    <tableColumn id="2" xr3:uid="{00000000-0010-0000-3000-000002000000}" name="IPN" dataDxfId="271"/>
    <tableColumn id="3" xr3:uid="{00000000-0010-0000-3000-000003000000}" name="إسم العميل" dataDxfId="270"/>
    <tableColumn id="4" xr3:uid="{00000000-0010-0000-3000-000004000000}" name="رقم التليفون" dataDxfId="269"/>
    <tableColumn id="5" xr3:uid="{00000000-0010-0000-3000-000005000000}" name="قيمة الشحنه" dataDxfId="268"/>
    <tableColumn id="6" xr3:uid="{00000000-0010-0000-3000-000006000000}" name="قيمة الرسوم / العموله" dataDxfId="267">
      <calculatedColumnFormula>IF(Basic345678[[#This Row],[نوع الخدمة]]="مخالفات", 50,
IF(Basic345678[[#This Row],[نوع الخدمة]]="كاش ان",
    IF(F4&lt;=100, 18, IF(F4&lt;=250, 23, IF(F4&lt;=500, 35, IF(F4&lt;=1000, 40, F4*0.04)))),
IF(Basic345678[[#This Row],[نوع الخدمة]]="كاش اوت",
    IF(F4&lt;=100, 15, IF(F4&lt;=250, 20, IF(F4&lt;=500, 30, IF(F4&lt;=1000, 35, F4*0.035)))),
0)))</calculatedColumnFormula>
    </tableColumn>
    <tableColumn id="9" xr3:uid="{00000000-0010-0000-3000-000009000000}" name="الاجمــــــــــالي" dataDxfId="266">
      <calculatedColumnFormula>IF(I4="مخالفات",50,Basic345678[[#This Row],[قيمة الرسوم / العموله]]+Basic345678[[#This Row],[قيمة الشحنه]])</calculatedColumnFormula>
    </tableColumn>
    <tableColumn id="7" xr3:uid="{00000000-0010-0000-3000-000007000000}" name="نوع الخدمة" dataDxfId="265"/>
    <tableColumn id="8" xr3:uid="{00000000-0010-0000-3000-000008000000}" name="التاريخ" dataDxfId="264">
      <calculatedColumnFormula>M$3</calculatedColumnFormula>
    </tableColumn>
  </tableColumns>
  <tableStyleInfo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31000000}" name="Table3258" displayName="Table3258" ref="L11:M226" totalsRowShown="0" headerRowDxfId="263" dataDxfId="261" headerRowBorderDxfId="262" tableBorderDxfId="260" totalsRowBorderDxfId="259">
  <tableColumns count="2">
    <tableColumn id="1" xr3:uid="{00000000-0010-0000-3100-000001000000}" name="#" dataDxfId="258"/>
    <tableColumn id="2" xr3:uid="{00000000-0010-0000-3100-000002000000}" name="التوكن" dataDxfId="257"/>
  </tableColumns>
  <tableStyleInfo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32000000}" name="Basic34567" displayName="Basic34567" ref="B3:J226" totalsRowShown="0" headerRowDxfId="256" dataDxfId="254" headerRowBorderDxfId="255" tableBorderDxfId="253" totalsRowBorderDxfId="252">
  <autoFilter ref="B3:J226" xr:uid="{00000000-0009-0000-0100-000006000000}"/>
  <tableColumns count="9">
    <tableColumn id="1" xr3:uid="{00000000-0010-0000-3200-000001000000}" name="م" dataDxfId="251"/>
    <tableColumn id="2" xr3:uid="{00000000-0010-0000-3200-000002000000}" name="IPN" dataDxfId="250"/>
    <tableColumn id="3" xr3:uid="{00000000-0010-0000-3200-000003000000}" name="إسم العميل" dataDxfId="249"/>
    <tableColumn id="4" xr3:uid="{00000000-0010-0000-3200-000004000000}" name="رقم التليفون" dataDxfId="248"/>
    <tableColumn id="5" xr3:uid="{00000000-0010-0000-3200-000005000000}" name="قيمة الشحنه" dataDxfId="247"/>
    <tableColumn id="6" xr3:uid="{00000000-0010-0000-3200-000006000000}" name="قيمة الرسوم / العموله" dataDxfId="246">
      <calculatedColumnFormula>IF(Basic34567[[#This Row],[نوع الخدمة]]="مخالفات", 50,
IF(Basic34567[[#This Row],[نوع الخدمة]]="كاش ان",
    IF(F4&lt;=100, 18, IF(F4&lt;=250, 23, IF(F4&lt;=500, 35, IF(F4&lt;=1000, 40, F4*0.04)))),
IF(Basic34567[[#This Row],[نوع الخدمة]]="كاش اوت",
    IF(F4&lt;=100, 15, IF(F4&lt;=250, 20, IF(F4&lt;=500, 30, IF(F4&lt;=1000, 35, F4*0.035)))),
0)))</calculatedColumnFormula>
    </tableColumn>
    <tableColumn id="9" xr3:uid="{00000000-0010-0000-3200-000009000000}" name="الاجمــــــــــالي" dataDxfId="245">
      <calculatedColumnFormula>IF(I4="مخالفات",50,Basic34567[[#This Row],[قيمة الرسوم / العموله]]+Basic34567[[#This Row],[قيمة الشحنه]])</calculatedColumnFormula>
    </tableColumn>
    <tableColumn id="7" xr3:uid="{00000000-0010-0000-3200-000007000000}" name="نوع الخدمة" dataDxfId="244"/>
    <tableColumn id="8" xr3:uid="{00000000-0010-0000-3200-000008000000}" name="التاريخ" dataDxfId="243">
      <calculatedColumnFormula>M$3</calculatedColumnFormula>
    </tableColumn>
  </tableColumns>
  <tableStyleInfo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0000000-000C-0000-FFFF-FFFF33000000}" name="Table3259" displayName="Table3259" ref="L11:M226" totalsRowShown="0" headerRowDxfId="242" dataDxfId="240" headerRowBorderDxfId="241" tableBorderDxfId="239" totalsRowBorderDxfId="238">
  <tableColumns count="2">
    <tableColumn id="1" xr3:uid="{00000000-0010-0000-3300-000001000000}" name="#" dataDxfId="237"/>
    <tableColumn id="2" xr3:uid="{00000000-0010-0000-3300-000002000000}" name="التوكن" dataDxfId="236"/>
  </tableColumns>
  <tableStyleInfo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34000000}" name="Basic3456" displayName="Basic3456" ref="B3:J226" totalsRowShown="0" headerRowDxfId="235" dataDxfId="233" headerRowBorderDxfId="234" tableBorderDxfId="232" totalsRowBorderDxfId="231">
  <autoFilter ref="B3:J226" xr:uid="{00000000-0009-0000-0100-000005000000}"/>
  <tableColumns count="9">
    <tableColumn id="1" xr3:uid="{00000000-0010-0000-3400-000001000000}" name="م" dataDxfId="230"/>
    <tableColumn id="2" xr3:uid="{00000000-0010-0000-3400-000002000000}" name="IPN" dataDxfId="229"/>
    <tableColumn id="3" xr3:uid="{00000000-0010-0000-3400-000003000000}" name="إسم العميل" dataDxfId="228"/>
    <tableColumn id="4" xr3:uid="{00000000-0010-0000-3400-000004000000}" name="رقم التليفون" dataDxfId="227"/>
    <tableColumn id="5" xr3:uid="{00000000-0010-0000-3400-000005000000}" name="قيمة الشحنه" dataDxfId="226"/>
    <tableColumn id="6" xr3:uid="{00000000-0010-0000-3400-000006000000}" name="قيمة الرسوم / العموله" dataDxfId="225">
      <calculatedColumnFormula>IF(Basic3456[[#This Row],[نوع الخدمة]]="مخالفات", 50,
IF(Basic3456[[#This Row],[نوع الخدمة]]="كاش ان",
    IF(F4&lt;=100, 18, IF(F4&lt;=250, 23, IF(F4&lt;=500, 35, IF(F4&lt;=1000, 40, F4*0.04)))),
IF(Basic3456[[#This Row],[نوع الخدمة]]="كاش اوت",
    IF(F4&lt;=100, 15, IF(F4&lt;=250, 20, IF(F4&lt;=500, 30, IF(F4&lt;=1000, 35, F4*0.035)))),
0)))</calculatedColumnFormula>
    </tableColumn>
    <tableColumn id="9" xr3:uid="{00000000-0010-0000-3400-000009000000}" name="الاجمــــــــــالي" dataDxfId="224">
      <calculatedColumnFormula>IF(I4="مخالفات",50,Basic3456[[#This Row],[قيمة الرسوم / العموله]]+Basic3456[[#This Row],[قيمة الشحنه]])</calculatedColumnFormula>
    </tableColumn>
    <tableColumn id="7" xr3:uid="{00000000-0010-0000-3400-000007000000}" name="نوع الخدمة" dataDxfId="223"/>
    <tableColumn id="8" xr3:uid="{00000000-0010-0000-3400-000008000000}" name="التاريخ" dataDxfId="222">
      <calculatedColumnFormula>M$3</calculatedColumnFormula>
    </tableColumn>
  </tableColumns>
  <tableStyleInfo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00000000-000C-0000-FFFF-FFFF35000000}" name="Table3260" displayName="Table3260" ref="L11:M226" totalsRowShown="0" headerRowDxfId="221" dataDxfId="219" headerRowBorderDxfId="220" tableBorderDxfId="218" totalsRowBorderDxfId="217">
  <tableColumns count="2">
    <tableColumn id="1" xr3:uid="{00000000-0010-0000-3500-000001000000}" name="#" dataDxfId="216"/>
    <tableColumn id="2" xr3:uid="{00000000-0010-0000-3500-000002000000}" name="التوكن" dataDxfId="215"/>
  </tableColumns>
  <tableStyleInfo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36000000}" name="Basic345" displayName="Basic345" ref="B3:J226" totalsRowShown="0" headerRowDxfId="214" dataDxfId="212" headerRowBorderDxfId="213" tableBorderDxfId="211" totalsRowBorderDxfId="210">
  <autoFilter ref="B3:J226" xr:uid="{00000000-0009-0000-0100-000004000000}"/>
  <tableColumns count="9">
    <tableColumn id="1" xr3:uid="{00000000-0010-0000-3600-000001000000}" name="م" dataDxfId="209"/>
    <tableColumn id="2" xr3:uid="{00000000-0010-0000-3600-000002000000}" name="IPN" dataDxfId="208"/>
    <tableColumn id="3" xr3:uid="{00000000-0010-0000-3600-000003000000}" name="إسم العميل" dataDxfId="207"/>
    <tableColumn id="4" xr3:uid="{00000000-0010-0000-3600-000004000000}" name="رقم التليفون" dataDxfId="206"/>
    <tableColumn id="5" xr3:uid="{00000000-0010-0000-3600-000005000000}" name="قيمة الشحنه" dataDxfId="205"/>
    <tableColumn id="6" xr3:uid="{00000000-0010-0000-3600-000006000000}" name="قيمة الرسوم / العموله" dataDxfId="204">
      <calculatedColumnFormula>IF(Basic345[[#This Row],[نوع الخدمة]]="مخالفات", 50,
IF(Basic345[[#This Row],[نوع الخدمة]]="كاش ان",
    IF(F4&lt;=100, 18, IF(F4&lt;=250, 23, IF(F4&lt;=500, 35, IF(F4&lt;=1000, 40, F4*0.04)))),
IF(Basic345[[#This Row],[نوع الخدمة]]="كاش اوت",
    IF(F4&lt;=100, 15, IF(F4&lt;=250, 20, IF(F4&lt;=500, 30, IF(F4&lt;=1000, 35, F4*0.035)))),
0)))</calculatedColumnFormula>
    </tableColumn>
    <tableColumn id="9" xr3:uid="{00000000-0010-0000-3600-000009000000}" name="الاجمــــــــــالي" dataDxfId="203">
      <calculatedColumnFormula>IF(I4="مخالفات",50,Basic345[[#This Row],[قيمة الرسوم / العموله]]+Basic345[[#This Row],[قيمة الشحنه]])</calculatedColumnFormula>
    </tableColumn>
    <tableColumn id="7" xr3:uid="{00000000-0010-0000-3600-000007000000}" name="نوع الخدمة" dataDxfId="202"/>
    <tableColumn id="8" xr3:uid="{00000000-0010-0000-3600-000008000000}" name="التاريخ" dataDxfId="201">
      <calculatedColumnFormula>M$3</calculatedColumnFormula>
    </tableColumn>
  </tableColumns>
  <tableStyleInfo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0000000-000C-0000-FFFF-FFFF37000000}" name="Table3261" displayName="Table3261" ref="L11:M226" totalsRowShown="0" headerRowDxfId="200" dataDxfId="198" headerRowBorderDxfId="199" tableBorderDxfId="197" totalsRowBorderDxfId="196">
  <tableColumns count="2">
    <tableColumn id="1" xr3:uid="{00000000-0010-0000-3700-000001000000}" name="#" dataDxfId="195"/>
    <tableColumn id="2" xr3:uid="{00000000-0010-0000-3700-000002000000}" name="التوكن" dataDxfId="194"/>
  </tableColumns>
  <tableStyleInfo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38000000}" name="Basic34" displayName="Basic34" ref="B3:J226" totalsRowShown="0" headerRowDxfId="193" dataDxfId="191" headerRowBorderDxfId="192" tableBorderDxfId="190" totalsRowBorderDxfId="189">
  <autoFilter ref="B3:J226" xr:uid="{00000000-0009-0000-0100-000003000000}"/>
  <tableColumns count="9">
    <tableColumn id="1" xr3:uid="{00000000-0010-0000-3800-000001000000}" name="م" dataDxfId="188"/>
    <tableColumn id="2" xr3:uid="{00000000-0010-0000-3800-000002000000}" name="IPN" dataDxfId="187"/>
    <tableColumn id="3" xr3:uid="{00000000-0010-0000-3800-000003000000}" name="إسم العميل" dataDxfId="186"/>
    <tableColumn id="4" xr3:uid="{00000000-0010-0000-3800-000004000000}" name="رقم التليفون" dataDxfId="185"/>
    <tableColumn id="5" xr3:uid="{00000000-0010-0000-3800-000005000000}" name="قيمة الشحنه" dataDxfId="184"/>
    <tableColumn id="6" xr3:uid="{00000000-0010-0000-3800-000006000000}" name="قيمة الرسوم / العموله" dataDxfId="183">
      <calculatedColumnFormula>IF(Basic34[[#This Row],[نوع الخدمة]]="مخالفات", 50,
IF(Basic34[[#This Row],[نوع الخدمة]]="كاش ان",
    IF(F4&lt;=100, 18, IF(F4&lt;=250, 23, IF(F4&lt;=500, 35, IF(F4&lt;=1000, 40, F4*0.04)))),
IF(Basic34[[#This Row],[نوع الخدمة]]="كاش اوت",
    IF(F4&lt;=100, 15, IF(F4&lt;=250, 20, IF(F4&lt;=500, 30, IF(F4&lt;=1000, 35, F4*0.035)))),
0)))</calculatedColumnFormula>
    </tableColumn>
    <tableColumn id="9" xr3:uid="{00000000-0010-0000-3800-000009000000}" name="الاجمــــــــــالي" dataDxfId="182">
      <calculatedColumnFormula>IF(I4="مخالفات",50,Basic34[[#This Row],[قيمة الرسوم / العموله]]+Basic34[[#This Row],[قيمة الشحنه]])</calculatedColumnFormula>
    </tableColumn>
    <tableColumn id="7" xr3:uid="{00000000-0010-0000-3800-000007000000}" name="نوع الخدمة" dataDxfId="181"/>
    <tableColumn id="8" xr3:uid="{00000000-0010-0000-3800-000008000000}" name="التاريخ" dataDxfId="180">
      <calculatedColumnFormula>M$3</calculatedColumnFormula>
    </tableColumn>
  </tableColumns>
  <tableStyleInfo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00000000-000C-0000-FFFF-FFFF39000000}" name="Table3262" displayName="Table3262" ref="L11:M226" totalsRowShown="0" headerRowDxfId="179" dataDxfId="177" headerRowBorderDxfId="178" tableBorderDxfId="176" totalsRowBorderDxfId="175">
  <tableColumns count="2">
    <tableColumn id="1" xr3:uid="{00000000-0010-0000-3900-000001000000}" name="#" dataDxfId="174"/>
    <tableColumn id="2" xr3:uid="{00000000-0010-0000-3900-000002000000}" name="التوكن" dataDxfId="173"/>
  </tableColumns>
  <tableStyleInfo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3A000000}" name="Basic3" displayName="Basic3" ref="B3:J226" totalsRowShown="0" headerRowDxfId="172" dataDxfId="170" headerRowBorderDxfId="171" tableBorderDxfId="169" totalsRowBorderDxfId="168">
  <autoFilter ref="B3:J226" xr:uid="{00000000-0009-0000-0100-000002000000}"/>
  <tableColumns count="9">
    <tableColumn id="1" xr3:uid="{00000000-0010-0000-3A00-000001000000}" name="م" dataDxfId="167"/>
    <tableColumn id="2" xr3:uid="{00000000-0010-0000-3A00-000002000000}" name="IPN" dataDxfId="166"/>
    <tableColumn id="3" xr3:uid="{00000000-0010-0000-3A00-000003000000}" name="إسم العميل" dataDxfId="165"/>
    <tableColumn id="4" xr3:uid="{00000000-0010-0000-3A00-000004000000}" name="رقم التليفون" dataDxfId="164"/>
    <tableColumn id="5" xr3:uid="{00000000-0010-0000-3A00-000005000000}" name="قيمة الشحنه" dataDxfId="163"/>
    <tableColumn id="6" xr3:uid="{00000000-0010-0000-3A00-000006000000}" name="قيمة الرسوم / العموله" dataDxfId="162">
      <calculatedColumnFormula>IF(Basic3[[#This Row],[نوع الخدمة]]="مخالفات", 50,
IF(Basic3[[#This Row],[نوع الخدمة]]="كاش ان",
    IF(F4&lt;=100, 18, IF(F4&lt;=250, 23, IF(F4&lt;=500, 35, IF(F4&lt;=1000, 40, F4*0.04)))),
IF(Basic3[[#This Row],[نوع الخدمة]]="كاش اوت",
    IF(F4&lt;=100, 15, IF(F4&lt;=250, 20, IF(F4&lt;=500, 30, IF(F4&lt;=1000, 35, F4*0.035)))),
0)))</calculatedColumnFormula>
    </tableColumn>
    <tableColumn id="9" xr3:uid="{00000000-0010-0000-3A00-000009000000}" name="الاجمــــــــــالي" dataDxfId="161">
      <calculatedColumnFormula>IF(I4="مخالفات",50,Basic3[[#This Row],[قيمة الرسوم / العموله]]+Basic3[[#This Row],[قيمة الشحنه]])</calculatedColumnFormula>
    </tableColumn>
    <tableColumn id="7" xr3:uid="{00000000-0010-0000-3A00-000007000000}" name="نوع الخدمة" dataDxfId="160"/>
    <tableColumn id="8" xr3:uid="{00000000-0010-0000-3A00-000008000000}" name="التاريخ" dataDxfId="159">
      <calculatedColumnFormula>M$3</calculatedColumnFormula>
    </tableColumn>
  </tableColumns>
  <tableStyleInfo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0000000-000C-0000-FFFF-FFFF3B000000}" name="Table3263" displayName="Table3263" ref="L11:M226" totalsRowShown="0" headerRowDxfId="158" dataDxfId="156" headerRowBorderDxfId="157" tableBorderDxfId="155" totalsRowBorderDxfId="154">
  <tableColumns count="2">
    <tableColumn id="1" xr3:uid="{00000000-0010-0000-3B00-000001000000}" name="#" dataDxfId="153"/>
    <tableColumn id="2" xr3:uid="{00000000-0010-0000-3B00-000002000000}" name="التوكن" dataDxfId="152"/>
  </tableColumns>
  <tableStyleInfo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3C000000}" name="Basic" displayName="Basic" ref="B3:J226" totalsRowShown="0" headerRowDxfId="151" dataDxfId="149" headerRowBorderDxfId="150" tableBorderDxfId="148" totalsRowBorderDxfId="147">
  <autoFilter ref="B3:J226" xr:uid="{00000000-0009-0000-0100-000001000000}"/>
  <tableColumns count="9">
    <tableColumn id="1" xr3:uid="{00000000-0010-0000-3C00-000001000000}" name="م" dataDxfId="146"/>
    <tableColumn id="2" xr3:uid="{00000000-0010-0000-3C00-000002000000}" name="IPN" dataDxfId="145"/>
    <tableColumn id="3" xr3:uid="{00000000-0010-0000-3C00-000003000000}" name="إسم العميل" dataDxfId="144"/>
    <tableColumn id="4" xr3:uid="{00000000-0010-0000-3C00-000004000000}" name="رقم التليفون" dataDxfId="143"/>
    <tableColumn id="5" xr3:uid="{00000000-0010-0000-3C00-000005000000}" name="قيمة الشحنه" dataDxfId="142"/>
    <tableColumn id="6" xr3:uid="{00000000-0010-0000-3C00-000006000000}" name="قيمة الرسوم / العموله" dataDxfId="141">
      <calculatedColumnFormula>IF(Basic[[#This Row],[نوع الخدمة]]="مخالفات", 50,
IF(Basic[[#This Row],[نوع الخدمة]]="كاش ان",
    IF(F4&lt;=100, 18, IF(F4&lt;=250, 23, IF(F4&lt;=500, 35, IF(F4&lt;=1000, 40, F4*0.04)))),
IF(Basic[[#This Row],[نوع الخدمة]]="كاش اوت",
    IF(F4&lt;=100, 15, IF(F4&lt;=250, 20, IF(F4&lt;=500, 30, IF(F4&lt;=1000, 35, F4*0.035)))),
0)))</calculatedColumnFormula>
    </tableColumn>
    <tableColumn id="9" xr3:uid="{00000000-0010-0000-3C00-000009000000}" name="الاجمــــــــــالي" dataDxfId="140">
      <calculatedColumnFormula>IF(I4="مخالفات",50,Basic[[#This Row],[قيمة الرسوم / العموله]]+Basic[[#This Row],[قيمة الشحنه]])</calculatedColumnFormula>
    </tableColumn>
    <tableColumn id="7" xr3:uid="{00000000-0010-0000-3C00-000007000000}" name="نوع الخدمة" dataDxfId="139"/>
    <tableColumn id="8" xr3:uid="{00000000-0010-0000-3C00-000008000000}" name="التاريخ" dataDxfId="138">
      <calculatedColumnFormula>M$3</calculatedColumnFormula>
    </tableColumn>
  </tableColumns>
  <tableStyleInfo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00000000-000C-0000-FFFF-FFFF3D000000}" name="Table3264" displayName="Table3264" ref="L11:M226" totalsRowShown="0" headerRowDxfId="137" dataDxfId="135" headerRowBorderDxfId="136" tableBorderDxfId="134" totalsRowBorderDxfId="133">
  <tableColumns count="2">
    <tableColumn id="1" xr3:uid="{00000000-0010-0000-3D00-000001000000}" name="#" dataDxfId="132"/>
    <tableColumn id="2" xr3:uid="{00000000-0010-0000-3D00-000002000000}" name="التوكن" dataDxfId="131"/>
  </tableColumns>
  <tableStyleInfo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3E000000}" name="Table326448" displayName="Table326448" ref="C3:D218" totalsRowShown="0" headerRowDxfId="130" dataDxfId="128" headerRowBorderDxfId="129" tableBorderDxfId="127" totalsRowBorderDxfId="126">
  <tableColumns count="2">
    <tableColumn id="1" xr3:uid="{00000000-0010-0000-3E00-000001000000}" name="#" dataDxfId="125"/>
    <tableColumn id="2" xr3:uid="{00000000-0010-0000-3E00-000002000000}" name="التوكن" dataDxfId="12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table" Target="../tables/table8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table" Target="../tables/table10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table" Target="../tables/table1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table" Target="../tables/table1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table" Target="../tables/table1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table" Target="../tables/table1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4" Type="http://schemas.openxmlformats.org/officeDocument/2006/relationships/table" Target="../tables/table2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4" Type="http://schemas.openxmlformats.org/officeDocument/2006/relationships/table" Target="../tables/table22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4" Type="http://schemas.openxmlformats.org/officeDocument/2006/relationships/table" Target="../tables/table2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5.x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Relationship Id="rId4" Type="http://schemas.openxmlformats.org/officeDocument/2006/relationships/table" Target="../tables/table26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Relationship Id="rId4" Type="http://schemas.openxmlformats.org/officeDocument/2006/relationships/table" Target="../tables/table28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9.x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Relationship Id="rId4" Type="http://schemas.openxmlformats.org/officeDocument/2006/relationships/table" Target="../tables/table30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1.x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Relationship Id="rId4" Type="http://schemas.openxmlformats.org/officeDocument/2006/relationships/table" Target="../tables/table32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Relationship Id="rId4" Type="http://schemas.openxmlformats.org/officeDocument/2006/relationships/table" Target="../tables/table3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5.x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Relationship Id="rId4" Type="http://schemas.openxmlformats.org/officeDocument/2006/relationships/table" Target="../tables/table36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7.x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Relationship Id="rId4" Type="http://schemas.openxmlformats.org/officeDocument/2006/relationships/table" Target="../tables/table38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Relationship Id="rId4" Type="http://schemas.openxmlformats.org/officeDocument/2006/relationships/table" Target="../tables/table40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1.x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Relationship Id="rId4" Type="http://schemas.openxmlformats.org/officeDocument/2006/relationships/table" Target="../tables/table42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3.x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Relationship Id="rId4" Type="http://schemas.openxmlformats.org/officeDocument/2006/relationships/table" Target="../tables/table44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Relationship Id="rId4" Type="http://schemas.openxmlformats.org/officeDocument/2006/relationships/table" Target="../tables/table46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7.x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Relationship Id="rId4" Type="http://schemas.openxmlformats.org/officeDocument/2006/relationships/table" Target="../tables/table48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9.x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Relationship Id="rId4" Type="http://schemas.openxmlformats.org/officeDocument/2006/relationships/table" Target="../tables/table50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1.x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Relationship Id="rId4" Type="http://schemas.openxmlformats.org/officeDocument/2006/relationships/table" Target="../tables/table52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3.x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Relationship Id="rId4" Type="http://schemas.openxmlformats.org/officeDocument/2006/relationships/table" Target="../tables/table54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5.x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Relationship Id="rId4" Type="http://schemas.openxmlformats.org/officeDocument/2006/relationships/table" Target="../tables/table56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7.x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Relationship Id="rId4" Type="http://schemas.openxmlformats.org/officeDocument/2006/relationships/table" Target="../tables/table58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9.xml"/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Relationship Id="rId4" Type="http://schemas.openxmlformats.org/officeDocument/2006/relationships/table" Target="../tables/table60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1.xml"/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Relationship Id="rId4" Type="http://schemas.openxmlformats.org/officeDocument/2006/relationships/table" Target="../tables/table62.x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226"/>
  <sheetViews>
    <sheetView showGridLines="0" rightToLeft="1" topLeftCell="F1" zoomScale="80" zoomScaleNormal="80" workbookViewId="0">
      <selection activeCell="M4" sqref="M4"/>
    </sheetView>
  </sheetViews>
  <sheetFormatPr defaultColWidth="9.109375" defaultRowHeight="14.4" x14ac:dyDescent="0.3"/>
  <cols>
    <col min="1" max="1" width="4.109375" style="96" customWidth="1"/>
    <col min="2" max="2" width="6.5546875" style="97" bestFit="1" customWidth="1"/>
    <col min="3" max="3" width="28.109375" style="98" customWidth="1"/>
    <col min="4" max="4" width="16.5546875" style="96" customWidth="1"/>
    <col min="5" max="5" width="17.5546875" style="120" customWidth="1"/>
    <col min="6" max="6" width="14" style="96" customWidth="1"/>
    <col min="7" max="7" width="19.5546875" style="96" customWidth="1"/>
    <col min="8" max="8" width="19" style="96" customWidth="1"/>
    <col min="9" max="9" width="13" style="100" customWidth="1"/>
    <col min="10" max="10" width="11.88671875" style="101" customWidth="1"/>
    <col min="11" max="11" width="3.5546875" style="96" customWidth="1"/>
    <col min="12" max="12" width="10.33203125" style="96" customWidth="1"/>
    <col min="13" max="13" width="26.109375" style="96" customWidth="1"/>
    <col min="14" max="14" width="8.33203125" style="96" bestFit="1" customWidth="1"/>
    <col min="15" max="15" width="26.5546875" style="96" bestFit="1" customWidth="1"/>
    <col min="16" max="16" width="15.5546875" style="96" customWidth="1"/>
    <col min="17" max="17" width="3.5546875" style="96" customWidth="1"/>
    <col min="18" max="18" width="19.44140625" style="100" customWidth="1"/>
    <col min="19" max="19" width="16.6640625" style="100" customWidth="1"/>
    <col min="20" max="20" width="12.44140625" style="100" customWidth="1"/>
    <col min="21" max="22" width="11.6640625" style="100" customWidth="1"/>
    <col min="23" max="23" width="12.6640625" style="100" customWidth="1"/>
    <col min="24" max="24" width="12.6640625" style="96" customWidth="1"/>
    <col min="25" max="16384" width="9.109375" style="96"/>
  </cols>
  <sheetData>
    <row r="1" spans="1:60" ht="18" customHeight="1" x14ac:dyDescent="0.3">
      <c r="E1" s="99">
        <f>Total!F5</f>
        <v>69</v>
      </c>
      <c r="F1" s="198" t="str">
        <f>Total!G5</f>
        <v>العبور</v>
      </c>
      <c r="G1" s="198"/>
      <c r="H1" s="198"/>
      <c r="V1" s="199"/>
      <c r="W1" s="199"/>
      <c r="X1" s="199"/>
    </row>
    <row r="3" spans="1:60" ht="18.75" customHeight="1" x14ac:dyDescent="0.3">
      <c r="B3" s="102" t="s">
        <v>0</v>
      </c>
      <c r="C3" s="103" t="s">
        <v>1</v>
      </c>
      <c r="D3" s="104" t="s">
        <v>2</v>
      </c>
      <c r="E3" s="105" t="s">
        <v>3</v>
      </c>
      <c r="F3" s="104" t="s">
        <v>4</v>
      </c>
      <c r="G3" s="104" t="s">
        <v>5</v>
      </c>
      <c r="H3" s="104" t="s">
        <v>76</v>
      </c>
      <c r="I3" s="104" t="s">
        <v>6</v>
      </c>
      <c r="J3" s="106" t="s">
        <v>7</v>
      </c>
      <c r="L3" s="107" t="s">
        <v>7</v>
      </c>
      <c r="M3" s="7" t="s">
        <v>112</v>
      </c>
      <c r="O3" s="108" t="s">
        <v>17</v>
      </c>
      <c r="P3" s="109">
        <f>M5+M6</f>
        <v>0</v>
      </c>
    </row>
    <row r="4" spans="1:60" ht="21.6" x14ac:dyDescent="0.65">
      <c r="A4" s="199"/>
      <c r="B4" s="110">
        <v>1</v>
      </c>
      <c r="C4" s="94"/>
      <c r="D4" s="9"/>
      <c r="E4" s="10"/>
      <c r="F4" s="9"/>
      <c r="G4" s="95">
        <f>IF(Basic34567891011121314151617181920212223242526272829303132[[#This Row],[نوع الخدمة]]="مخالفات", 50,
IF(Basic34567891011121314151617181920212223242526272829303132[[#This Row],[نوع الخدمة]]="كاش ان",
    IF(F4&lt;=100, 18, IF(F4&lt;=250, 23, IF(F4&lt;=500, 35, IF(F4&lt;=1000, 40, F4*0.04)))),
IF(Basic34567891011121314151617181920212223242526272829303132[[#This Row],[نوع الخدمة]]="كاش اوت",
    IF(F4&lt;=100, 15, IF(F4&lt;=250, 20, IF(F4&lt;=500, 30, IF(F4&lt;=1000, 35, F4*0.035)))),
0)))</f>
        <v>0</v>
      </c>
      <c r="H4" s="95">
        <f>IF(I4="مخالفات",50,Basic34567891011121314151617181920212223242526272829303132[[#This Row],[قيمة الرسوم / العموله]]+Basic34567891011121314151617181920212223242526272829303132[[#This Row],[قيمة الشحنه]])</f>
        <v>0</v>
      </c>
      <c r="I4" s="90"/>
      <c r="J4" s="111" t="str">
        <f t="shared" ref="J4:J67" si="0">M$3</f>
        <v>1.5.2026</v>
      </c>
      <c r="L4" s="107" t="s">
        <v>26</v>
      </c>
      <c r="M4" s="90"/>
      <c r="O4" s="108" t="s">
        <v>18</v>
      </c>
      <c r="P4" s="109">
        <f>M4</f>
        <v>0</v>
      </c>
      <c r="S4" s="112" t="s">
        <v>22</v>
      </c>
      <c r="T4" s="112" t="s">
        <v>23</v>
      </c>
    </row>
    <row r="5" spans="1:60" ht="21.6" x14ac:dyDescent="0.65">
      <c r="A5" s="199"/>
      <c r="B5" s="113">
        <v>2</v>
      </c>
      <c r="C5" s="8"/>
      <c r="D5" s="9"/>
      <c r="E5" s="10"/>
      <c r="F5" s="9"/>
      <c r="G5" s="95">
        <f>IF(Basic34567891011121314151617181920212223242526272829303132[[#This Row],[نوع الخدمة]]="مخالفات", 50,
IF(Basic34567891011121314151617181920212223242526272829303132[[#This Row],[نوع الخدمة]]="كاش ان",
    IF(F5&lt;=100, 18, IF(F5&lt;=250, 23, IF(F5&lt;=500, 35, IF(F5&lt;=1000, 40, F5*0.04)))),
IF(Basic34567891011121314151617181920212223242526272829303132[[#This Row],[نوع الخدمة]]="كاش اوت",
    IF(F5&lt;=100, 15, IF(F5&lt;=250, 20, IF(F5&lt;=500, 30, IF(F5&lt;=1000, 35, F5*0.035)))),
0)))</f>
        <v>0</v>
      </c>
      <c r="H5" s="95">
        <f>IF(I5="مخالفات",50,Basic34567891011121314151617181920212223242526272829303132[[#This Row],[قيمة الرسوم / العموله]]+Basic34567891011121314151617181920212223242526272829303132[[#This Row],[قيمة الشحنه]])</f>
        <v>0</v>
      </c>
      <c r="I5" s="90"/>
      <c r="J5" s="111" t="str">
        <f t="shared" si="0"/>
        <v>1.5.2026</v>
      </c>
      <c r="L5" s="107" t="s">
        <v>27</v>
      </c>
      <c r="M5" s="90"/>
      <c r="O5" s="108" t="s">
        <v>19</v>
      </c>
      <c r="P5" s="109">
        <f>SUMIF(Basic34567891011121314151617181920212223242526272829303132[نوع الخدمة],"كاش ان",Basic34567891011121314151617181920212223242526272829303132[قيمة الشحنه])</f>
        <v>0</v>
      </c>
      <c r="S5" s="114">
        <f>P5+P9+P12+P7</f>
        <v>0</v>
      </c>
      <c r="T5" s="114">
        <f>P3</f>
        <v>0</v>
      </c>
    </row>
    <row r="6" spans="1:60" ht="21.6" x14ac:dyDescent="0.65">
      <c r="A6" s="199"/>
      <c r="B6" s="110">
        <v>3</v>
      </c>
      <c r="C6" s="8"/>
      <c r="D6" s="9"/>
      <c r="E6" s="10"/>
      <c r="F6" s="9"/>
      <c r="G6" s="95">
        <f>IF(Basic34567891011121314151617181920212223242526272829303132[[#This Row],[نوع الخدمة]]="مخالفات", 50,
IF(Basic34567891011121314151617181920212223242526272829303132[[#This Row],[نوع الخدمة]]="كاش ان",
    IF(F6&lt;=100, 18, IF(F6&lt;=250, 23, IF(F6&lt;=500, 35, IF(F6&lt;=1000, 40, F6*0.04)))),
IF(Basic34567891011121314151617181920212223242526272829303132[[#This Row],[نوع الخدمة]]="كاش اوت",
    IF(F6&lt;=100, 15, IF(F6&lt;=250, 20, IF(F6&lt;=500, 30, IF(F6&lt;=1000, 35, F6*0.035)))),
0)))</f>
        <v>0</v>
      </c>
      <c r="H6" s="95">
        <f>IF(I6="مخالفات",50,Basic34567891011121314151617181920212223242526272829303132[[#This Row],[قيمة الرسوم / العموله]]+Basic34567891011121314151617181920212223242526272829303132[[#This Row],[قيمة الشحنه]])</f>
        <v>0</v>
      </c>
      <c r="I6" s="90"/>
      <c r="J6" s="111" t="str">
        <f t="shared" si="0"/>
        <v>1.5.2026</v>
      </c>
      <c r="L6" s="107" t="s">
        <v>28</v>
      </c>
      <c r="M6" s="90"/>
      <c r="O6" s="108" t="s">
        <v>12</v>
      </c>
      <c r="P6" s="109">
        <f>P3*150</f>
        <v>0</v>
      </c>
    </row>
    <row r="7" spans="1:60" ht="21.6" x14ac:dyDescent="0.65">
      <c r="A7" s="199"/>
      <c r="B7" s="110">
        <v>4</v>
      </c>
      <c r="C7" s="8"/>
      <c r="D7" s="9"/>
      <c r="E7" s="10"/>
      <c r="F7" s="9"/>
      <c r="G7" s="95">
        <f>IF(Basic34567891011121314151617181920212223242526272829303132[[#This Row],[نوع الخدمة]]="مخالفات", 50,
IF(Basic34567891011121314151617181920212223242526272829303132[[#This Row],[نوع الخدمة]]="كاش ان",
    IF(F7&lt;=100, 18, IF(F7&lt;=250, 23, IF(F7&lt;=500, 35, IF(F7&lt;=1000, 40, F7*0.04)))),
IF(Basic34567891011121314151617181920212223242526272829303132[[#This Row],[نوع الخدمة]]="كاش اوت",
    IF(F7&lt;=100, 15, IF(F7&lt;=250, 20, IF(F7&lt;=500, 30, IF(F7&lt;=1000, 35, F7*0.035)))),
0)))</f>
        <v>0</v>
      </c>
      <c r="H7" s="95">
        <f>IF(I7="مخالفات",50,Basic34567891011121314151617181920212223242526272829303132[[#This Row],[قيمة الرسوم / العموله]]+Basic34567891011121314151617181920212223242526272829303132[[#This Row],[قيمة الشحنه]])</f>
        <v>0</v>
      </c>
      <c r="I7" s="90"/>
      <c r="J7" s="111" t="str">
        <f t="shared" si="0"/>
        <v>1.5.2026</v>
      </c>
      <c r="L7" s="108" t="s">
        <v>11</v>
      </c>
      <c r="M7" s="167">
        <v>0</v>
      </c>
      <c r="O7" s="108" t="s">
        <v>75</v>
      </c>
      <c r="P7" s="109">
        <f>SUMIF(Basic34567891011121314151617181920212223242526272829303132[نوع الخدمة],"مخالفات",Basic34567891011121314151617181920212223242526272829303132[الاجمــــــــــالي])</f>
        <v>0</v>
      </c>
      <c r="R7" s="174"/>
      <c r="S7" s="174"/>
    </row>
    <row r="8" spans="1:60" ht="21.6" x14ac:dyDescent="0.65">
      <c r="A8" s="199"/>
      <c r="B8" s="110">
        <v>5</v>
      </c>
      <c r="C8" s="8"/>
      <c r="D8" s="9"/>
      <c r="E8" s="10"/>
      <c r="F8" s="9"/>
      <c r="G8" s="95">
        <f>IF(Basic34567891011121314151617181920212223242526272829303132[[#This Row],[نوع الخدمة]]="مخالفات", 50,
IF(Basic34567891011121314151617181920212223242526272829303132[[#This Row],[نوع الخدمة]]="كاش ان",
    IF(F8&lt;=100, 18, IF(F8&lt;=250, 23, IF(F8&lt;=500, 35, IF(F8&lt;=1000, 40, F8*0.04)))),
IF(Basic34567891011121314151617181920212223242526272829303132[[#This Row],[نوع الخدمة]]="كاش اوت",
    IF(F8&lt;=100, 15, IF(F8&lt;=250, 20, IF(F8&lt;=500, 30, IF(F8&lt;=1000, 35, F8*0.035)))),
0)))</f>
        <v>0</v>
      </c>
      <c r="H8" s="95">
        <f>IF(I8="مخالفات",50,Basic34567891011121314151617181920212223242526272829303132[[#This Row],[قيمة الرسوم / العموله]]+Basic34567891011121314151617181920212223242526272829303132[[#This Row],[قيمة الشحنه]])</f>
        <v>0</v>
      </c>
      <c r="I8" s="90"/>
      <c r="J8" s="111" t="str">
        <f t="shared" si="0"/>
        <v>1.5.2026</v>
      </c>
      <c r="L8" s="170" t="s">
        <v>79</v>
      </c>
      <c r="M8" s="167"/>
      <c r="O8" s="108" t="s">
        <v>11</v>
      </c>
      <c r="P8" s="109">
        <f>M7</f>
        <v>0</v>
      </c>
      <c r="R8" s="112" t="s">
        <v>72</v>
      </c>
      <c r="S8" s="112" t="s">
        <v>25</v>
      </c>
      <c r="T8" s="112" t="s">
        <v>24</v>
      </c>
      <c r="U8" s="112" t="s">
        <v>73</v>
      </c>
      <c r="V8" s="112" t="s">
        <v>25</v>
      </c>
      <c r="W8" s="112" t="s">
        <v>24</v>
      </c>
      <c r="BH8" s="115" t="s">
        <v>8</v>
      </c>
    </row>
    <row r="9" spans="1:60" ht="18" customHeight="1" x14ac:dyDescent="0.65">
      <c r="A9" s="199"/>
      <c r="B9" s="113">
        <v>6</v>
      </c>
      <c r="C9" s="8"/>
      <c r="D9" s="9"/>
      <c r="E9" s="10"/>
      <c r="F9" s="9"/>
      <c r="G9" s="95">
        <f>IF(Basic34567891011121314151617181920212223242526272829303132[[#This Row],[نوع الخدمة]]="مخالفات", 50,
IF(Basic34567891011121314151617181920212223242526272829303132[[#This Row],[نوع الخدمة]]="كاش ان",
    IF(F9&lt;=100, 18, IF(F9&lt;=250, 23, IF(F9&lt;=500, 35, IF(F9&lt;=1000, 40, F9*0.04)))),
IF(Basic34567891011121314151617181920212223242526272829303132[[#This Row],[نوع الخدمة]]="كاش اوت",
    IF(F9&lt;=100, 15, IF(F9&lt;=250, 20, IF(F9&lt;=500, 30, IF(F9&lt;=1000, 35, F9*0.035)))),
0)))</f>
        <v>0</v>
      </c>
      <c r="H9" s="95">
        <f>IF(I9="مخالفات",50,Basic34567891011121314151617181920212223242526272829303132[[#This Row],[قيمة الرسوم / العموله]]+Basic34567891011121314151617181920212223242526272829303132[[#This Row],[قيمة الشحنه]])</f>
        <v>0</v>
      </c>
      <c r="I9" s="90"/>
      <c r="J9" s="111" t="str">
        <f t="shared" si="0"/>
        <v>1.5.2026</v>
      </c>
      <c r="L9" s="170" t="s">
        <v>80</v>
      </c>
      <c r="M9" s="167"/>
      <c r="O9" s="108" t="s">
        <v>20</v>
      </c>
      <c r="P9" s="109">
        <f>SUMIF(Basic34567891011121314151617181920212223242526272829303132[نوع الخدمة],"كاش ان",Basic34567891011121314151617181920212223242526272829303132[قيمة الرسوم / العموله])</f>
        <v>0</v>
      </c>
      <c r="R9" s="121">
        <f>Total!H5/24</f>
        <v>29166.666666666668</v>
      </c>
      <c r="S9" s="121">
        <f>S5</f>
        <v>0</v>
      </c>
      <c r="T9" s="122">
        <f>S9/R9</f>
        <v>0</v>
      </c>
      <c r="U9" s="121">
        <f>Total!K5/24</f>
        <v>2.9166666666666665</v>
      </c>
      <c r="V9" s="121">
        <f>T5</f>
        <v>0</v>
      </c>
      <c r="W9" s="122">
        <f>V9/U9</f>
        <v>0</v>
      </c>
      <c r="BH9" s="115" t="s">
        <v>9</v>
      </c>
    </row>
    <row r="10" spans="1:60" ht="21.6" x14ac:dyDescent="0.65">
      <c r="A10" s="199"/>
      <c r="B10" s="110">
        <v>7</v>
      </c>
      <c r="C10" s="8"/>
      <c r="D10" s="9"/>
      <c r="E10" s="10"/>
      <c r="F10" s="9"/>
      <c r="G10" s="95">
        <f>IF(Basic34567891011121314151617181920212223242526272829303132[[#This Row],[نوع الخدمة]]="مخالفات", 50,
IF(Basic34567891011121314151617181920212223242526272829303132[[#This Row],[نوع الخدمة]]="كاش ان",
    IF(F10&lt;=100, 18, IF(F10&lt;=250, 23, IF(F10&lt;=500, 35, IF(F10&lt;=1000, 40, F10*0.04)))),
IF(Basic34567891011121314151617181920212223242526272829303132[[#This Row],[نوع الخدمة]]="كاش اوت",
    IF(F10&lt;=100, 15, IF(F10&lt;=250, 20, IF(F10&lt;=500, 30, IF(F10&lt;=1000, 35, F10*0.035)))),
0)))</f>
        <v>0</v>
      </c>
      <c r="H10" s="95">
        <f>IF(I10="مخالفات",50,Basic34567891011121314151617181920212223242526272829303132[[#This Row],[قيمة الرسوم / العموله]]+Basic34567891011121314151617181920212223242526272829303132[[#This Row],[قيمة الشحنه]])</f>
        <v>0</v>
      </c>
      <c r="I10" s="90"/>
      <c r="J10" s="111" t="str">
        <f t="shared" si="0"/>
        <v>1.5.2026</v>
      </c>
      <c r="O10" s="108" t="s">
        <v>16</v>
      </c>
      <c r="P10" s="109">
        <f>SUMIF(Basic34567891011121314151617181920212223242526272829303132[نوع الخدمة],"كاش اوت",Basic34567891011121314151617181920212223242526272829303132[قيمة الشحنه])</f>
        <v>0</v>
      </c>
      <c r="R10" s="200">
        <f>(W9+T9)/2</f>
        <v>0</v>
      </c>
      <c r="S10" s="200"/>
      <c r="T10" s="200"/>
      <c r="U10" s="200"/>
      <c r="V10" s="200"/>
      <c r="W10" s="200"/>
      <c r="BH10" s="115" t="s">
        <v>10</v>
      </c>
    </row>
    <row r="11" spans="1:60" ht="21.6" x14ac:dyDescent="0.65">
      <c r="A11" s="199"/>
      <c r="B11" s="110">
        <v>8</v>
      </c>
      <c r="C11" s="94"/>
      <c r="D11" s="9"/>
      <c r="E11" s="10"/>
      <c r="F11" s="9"/>
      <c r="G11" s="95">
        <f>IF(Basic34567891011121314151617181920212223242526272829303132[[#This Row],[نوع الخدمة]]="مخالفات", 50,
IF(Basic34567891011121314151617181920212223242526272829303132[[#This Row],[نوع الخدمة]]="كاش ان",
    IF(F11&lt;=100, 18, IF(F11&lt;=250, 23, IF(F11&lt;=500, 35, IF(F11&lt;=1000, 40, F11*0.04)))),
IF(Basic34567891011121314151617181920212223242526272829303132[[#This Row],[نوع الخدمة]]="كاش اوت",
    IF(F11&lt;=100, 15, IF(F11&lt;=250, 20, IF(F11&lt;=500, 30, IF(F11&lt;=1000, 35, F11*0.035)))),
0)))</f>
        <v>0</v>
      </c>
      <c r="H11" s="95">
        <f>IF(I11="مخالفات",50,Basic34567891011121314151617181920212223242526272829303132[[#This Row],[قيمة الرسوم / العموله]]+Basic34567891011121314151617181920212223242526272829303132[[#This Row],[قيمة الشحنه]])</f>
        <v>0</v>
      </c>
      <c r="I11" s="90"/>
      <c r="J11" s="111" t="str">
        <f t="shared" si="0"/>
        <v>1.5.2026</v>
      </c>
      <c r="L11" s="171" t="s">
        <v>77</v>
      </c>
      <c r="M11" s="172" t="s">
        <v>78</v>
      </c>
      <c r="O11" s="88" t="s">
        <v>21</v>
      </c>
      <c r="P11" s="116">
        <f>(P5+P6+P9+P7+P4)-P10-P8</f>
        <v>0</v>
      </c>
      <c r="T11" s="174"/>
    </row>
    <row r="12" spans="1:60" ht="21.6" x14ac:dyDescent="0.65">
      <c r="A12" s="199"/>
      <c r="B12" s="110">
        <v>9</v>
      </c>
      <c r="C12" s="8"/>
      <c r="D12" s="9"/>
      <c r="E12" s="10"/>
      <c r="F12" s="9"/>
      <c r="G12" s="95">
        <f>IF(Basic34567891011121314151617181920212223242526272829303132[[#This Row],[نوع الخدمة]]="مخالفات", 50,
IF(Basic34567891011121314151617181920212223242526272829303132[[#This Row],[نوع الخدمة]]="كاش ان",
    IF(F12&lt;=100, 18, IF(F12&lt;=250, 23, IF(F12&lt;=500, 35, IF(F12&lt;=1000, 40, F12*0.04)))),
IF(Basic34567891011121314151617181920212223242526272829303132[[#This Row],[نوع الخدمة]]="كاش اوت",
    IF(F12&lt;=100, 15, IF(F12&lt;=250, 20, IF(F12&lt;=500, 30, IF(F12&lt;=1000, 35, F12*0.035)))),
0)))</f>
        <v>0</v>
      </c>
      <c r="H12" s="95">
        <f>IF(I12="مخالفات",50,Basic34567891011121314151617181920212223242526272829303132[[#This Row],[قيمة الرسوم / العموله]]+Basic34567891011121314151617181920212223242526272829303132[[#This Row],[قيمة الشحنه]])</f>
        <v>0</v>
      </c>
      <c r="I12" s="90"/>
      <c r="J12" s="111" t="str">
        <f t="shared" si="0"/>
        <v>1.5.2026</v>
      </c>
      <c r="L12" s="117">
        <v>1</v>
      </c>
      <c r="M12" s="91"/>
      <c r="O12" s="108" t="s">
        <v>29</v>
      </c>
      <c r="P12" s="109">
        <f>SUMIF(Basic34567891011121314151617181920212223242526272829303132[نوع الخدمة],"كاش اوت",Basic34567891011121314151617181920212223242526272829303132[الاجمــــــــــالي])</f>
        <v>0</v>
      </c>
    </row>
    <row r="13" spans="1:60" ht="21.6" x14ac:dyDescent="0.65">
      <c r="A13" s="199"/>
      <c r="B13" s="113">
        <v>10</v>
      </c>
      <c r="C13" s="8"/>
      <c r="D13" s="9"/>
      <c r="E13" s="10"/>
      <c r="F13" s="9"/>
      <c r="G13" s="95">
        <f>IF(Basic34567891011121314151617181920212223242526272829303132[[#This Row],[نوع الخدمة]]="مخالفات", 50,
IF(Basic34567891011121314151617181920212223242526272829303132[[#This Row],[نوع الخدمة]]="كاش ان",
    IF(F13&lt;=100, 18, IF(F13&lt;=250, 23, IF(F13&lt;=500, 35, IF(F13&lt;=1000, 40, F13*0.04)))),
IF(Basic34567891011121314151617181920212223242526272829303132[[#This Row],[نوع الخدمة]]="كاش اوت",
    IF(F13&lt;=100, 15, IF(F13&lt;=250, 20, IF(F13&lt;=500, 30, IF(F13&lt;=1000, 35, F13*0.035)))),
0)))</f>
        <v>0</v>
      </c>
      <c r="H13" s="95">
        <f>IF(I13="مخالفات",50,Basic34567891011121314151617181920212223242526272829303132[[#This Row],[قيمة الرسوم / العموله]]+Basic34567891011121314151617181920212223242526272829303132[[#This Row],[قيمة الشحنه]])</f>
        <v>0</v>
      </c>
      <c r="I13" s="90"/>
      <c r="J13" s="111" t="str">
        <f t="shared" si="0"/>
        <v>1.5.2026</v>
      </c>
      <c r="L13" s="117">
        <v>2</v>
      </c>
      <c r="M13" s="92"/>
    </row>
    <row r="14" spans="1:60" ht="21.6" x14ac:dyDescent="0.65">
      <c r="A14" s="199"/>
      <c r="B14" s="110">
        <v>11</v>
      </c>
      <c r="C14" s="2"/>
      <c r="D14" s="1"/>
      <c r="E14" s="3"/>
      <c r="F14" s="1"/>
      <c r="G14" s="95">
        <f>IF(Basic34567891011121314151617181920212223242526272829303132[[#This Row],[نوع الخدمة]]="مخالفات", 50,
IF(Basic34567891011121314151617181920212223242526272829303132[[#This Row],[نوع الخدمة]]="كاش ان",
    IF(F14&lt;=100, 18, IF(F14&lt;=250, 23, IF(F14&lt;=500, 35, IF(F14&lt;=1000, 40, F14*0.04)))),
IF(Basic34567891011121314151617181920212223242526272829303132[[#This Row],[نوع الخدمة]]="كاش اوت",
    IF(F14&lt;=100, 15, IF(F14&lt;=250, 20, IF(F14&lt;=500, 30, IF(F14&lt;=1000, 35, F14*0.035)))),
0)))</f>
        <v>0</v>
      </c>
      <c r="H14" s="95">
        <f>IF(I14="مخالفات",50,Basic34567891011121314151617181920212223242526272829303132[[#This Row],[قيمة الرسوم / العموله]]+Basic34567891011121314151617181920212223242526272829303132[[#This Row],[قيمة الشحنه]])</f>
        <v>0</v>
      </c>
      <c r="I14" s="90"/>
      <c r="J14" s="111" t="str">
        <f t="shared" si="0"/>
        <v>1.5.2026</v>
      </c>
      <c r="L14" s="117">
        <v>3</v>
      </c>
      <c r="M14" s="92"/>
      <c r="O14" s="86" t="s">
        <v>10</v>
      </c>
      <c r="P14" s="87">
        <f>COUNTIF(Basic34567891011121314151617181920212223242526272829303132[نوع الخدمة],"مخالفات")</f>
        <v>0</v>
      </c>
    </row>
    <row r="15" spans="1:60" ht="21.6" x14ac:dyDescent="0.65">
      <c r="A15" s="199"/>
      <c r="B15" s="110">
        <v>12</v>
      </c>
      <c r="C15" s="2"/>
      <c r="D15" s="1"/>
      <c r="E15" s="3"/>
      <c r="F15" s="1"/>
      <c r="G15" s="95">
        <f>IF(Basic34567891011121314151617181920212223242526272829303132[[#This Row],[نوع الخدمة]]="مخالفات", 50,
IF(Basic34567891011121314151617181920212223242526272829303132[[#This Row],[نوع الخدمة]]="كاش ان",
    IF(F15&lt;=100, 18, IF(F15&lt;=250, 23, IF(F15&lt;=500, 35, IF(F15&lt;=1000, 40, F15*0.04)))),
IF(Basic34567891011121314151617181920212223242526272829303132[[#This Row],[نوع الخدمة]]="كاش اوت",
    IF(F15&lt;=100, 15, IF(F15&lt;=250, 20, IF(F15&lt;=500, 30, IF(F15&lt;=1000, 35, F15*0.035)))),
0)))</f>
        <v>0</v>
      </c>
      <c r="H15" s="95">
        <f>IF(I15="مخالفات",50,Basic34567891011121314151617181920212223242526272829303132[[#This Row],[قيمة الرسوم / العموله]]+Basic34567891011121314151617181920212223242526272829303132[[#This Row],[قيمة الشحنه]])</f>
        <v>0</v>
      </c>
      <c r="I15" s="90"/>
      <c r="J15" s="111" t="str">
        <f t="shared" si="0"/>
        <v>1.5.2026</v>
      </c>
      <c r="L15" s="117">
        <v>4</v>
      </c>
      <c r="M15" s="92"/>
      <c r="O15" s="86" t="s">
        <v>13</v>
      </c>
      <c r="P15" s="87">
        <f>COUNTIF(Basic34567891011121314151617181920212223242526272829303132[نوع الخدمة],"كاش ان")</f>
        <v>0</v>
      </c>
    </row>
    <row r="16" spans="1:60" ht="21.6" x14ac:dyDescent="0.65">
      <c r="A16" s="199"/>
      <c r="B16" s="110">
        <v>13</v>
      </c>
      <c r="C16" s="2"/>
      <c r="D16" s="1"/>
      <c r="E16" s="3"/>
      <c r="F16" s="1"/>
      <c r="G16" s="95">
        <f>IF(Basic34567891011121314151617181920212223242526272829303132[[#This Row],[نوع الخدمة]]="مخالفات", 50,
IF(Basic34567891011121314151617181920212223242526272829303132[[#This Row],[نوع الخدمة]]="كاش ان",
    IF(F16&lt;=100, 18, IF(F16&lt;=250, 23, IF(F16&lt;=500, 35, IF(F16&lt;=1000, 40, F16*0.04)))),
IF(Basic34567891011121314151617181920212223242526272829303132[[#This Row],[نوع الخدمة]]="كاش اوت",
    IF(F16&lt;=100, 15, IF(F16&lt;=250, 20, IF(F16&lt;=500, 30, IF(F16&lt;=1000, 35, F16*0.035)))),
0)))</f>
        <v>0</v>
      </c>
      <c r="H16" s="95">
        <f>IF(I16="مخالفات",50,Basic34567891011121314151617181920212223242526272829303132[[#This Row],[قيمة الرسوم / العموله]]+Basic34567891011121314151617181920212223242526272829303132[[#This Row],[قيمة الشحنه]])</f>
        <v>0</v>
      </c>
      <c r="I16" s="90"/>
      <c r="J16" s="111" t="str">
        <f t="shared" si="0"/>
        <v>1.5.2026</v>
      </c>
      <c r="L16" s="117">
        <v>5</v>
      </c>
      <c r="M16" s="92"/>
      <c r="O16" s="86" t="s">
        <v>14</v>
      </c>
      <c r="P16" s="87">
        <f>COUNTIF(Basic34567891011121314151617181920212223242526272829303132[نوع الخدمة],"كاش اوت")</f>
        <v>0</v>
      </c>
    </row>
    <row r="17" spans="1:21" ht="21.6" x14ac:dyDescent="0.65">
      <c r="A17" s="199"/>
      <c r="B17" s="113">
        <v>14</v>
      </c>
      <c r="C17" s="2"/>
      <c r="D17" s="1"/>
      <c r="E17" s="3"/>
      <c r="F17" s="1"/>
      <c r="G17" s="95">
        <f>IF(Basic34567891011121314151617181920212223242526272829303132[[#This Row],[نوع الخدمة]]="مخالفات", 50,
IF(Basic34567891011121314151617181920212223242526272829303132[[#This Row],[نوع الخدمة]]="كاش ان",
    IF(F17&lt;=100, 18, IF(F17&lt;=250, 23, IF(F17&lt;=500, 35, IF(F17&lt;=1000, 40, F17*0.04)))),
IF(Basic34567891011121314151617181920212223242526272829303132[[#This Row],[نوع الخدمة]]="كاش اوت",
    IF(F17&lt;=100, 15, IF(F17&lt;=250, 20, IF(F17&lt;=500, 30, IF(F17&lt;=1000, 35, F17*0.035)))),
0)))</f>
        <v>0</v>
      </c>
      <c r="H17" s="95">
        <f>IF(I17="مخالفات",50,Basic34567891011121314151617181920212223242526272829303132[[#This Row],[قيمة الرسوم / العموله]]+Basic34567891011121314151617181920212223242526272829303132[[#This Row],[قيمة الشحنه]])</f>
        <v>0</v>
      </c>
      <c r="I17" s="90"/>
      <c r="J17" s="111" t="str">
        <f t="shared" si="0"/>
        <v>1.5.2026</v>
      </c>
      <c r="L17" s="117">
        <v>6</v>
      </c>
      <c r="M17" s="92"/>
      <c r="O17" s="86" t="s">
        <v>15</v>
      </c>
      <c r="P17" s="87">
        <f>P15+P16</f>
        <v>0</v>
      </c>
    </row>
    <row r="18" spans="1:21" ht="21.6" x14ac:dyDescent="0.65">
      <c r="A18" s="199"/>
      <c r="B18" s="110">
        <v>15</v>
      </c>
      <c r="C18" s="2"/>
      <c r="D18" s="1"/>
      <c r="E18" s="3"/>
      <c r="F18" s="1"/>
      <c r="G18" s="95">
        <f>IF(Basic34567891011121314151617181920212223242526272829303132[[#This Row],[نوع الخدمة]]="مخالفات", 50,
IF(Basic34567891011121314151617181920212223242526272829303132[[#This Row],[نوع الخدمة]]="كاش ان",
    IF(F18&lt;=100, 18, IF(F18&lt;=250, 23, IF(F18&lt;=500, 35, IF(F18&lt;=1000, 40, F18*0.04)))),
IF(Basic34567891011121314151617181920212223242526272829303132[[#This Row],[نوع الخدمة]]="كاش اوت",
    IF(F18&lt;=100, 15, IF(F18&lt;=250, 20, IF(F18&lt;=500, 30, IF(F18&lt;=1000, 35, F18*0.035)))),
0)))</f>
        <v>0</v>
      </c>
      <c r="H18" s="95">
        <f>IF(I18="مخالفات",50,Basic34567891011121314151617181920212223242526272829303132[[#This Row],[قيمة الرسوم / العموله]]+Basic34567891011121314151617181920212223242526272829303132[[#This Row],[قيمة الشحنه]])</f>
        <v>0</v>
      </c>
      <c r="I18" s="90"/>
      <c r="J18" s="111" t="str">
        <f t="shared" si="0"/>
        <v>1.5.2026</v>
      </c>
      <c r="L18" s="117">
        <v>7</v>
      </c>
      <c r="M18" s="92"/>
    </row>
    <row r="19" spans="1:21" ht="21.6" x14ac:dyDescent="0.65">
      <c r="A19" s="199"/>
      <c r="B19" s="110">
        <v>16</v>
      </c>
      <c r="C19" s="2"/>
      <c r="D19" s="1"/>
      <c r="E19" s="3"/>
      <c r="F19" s="1"/>
      <c r="G19" s="95">
        <f>IF(Basic34567891011121314151617181920212223242526272829303132[[#This Row],[نوع الخدمة]]="مخالفات", 50,
IF(Basic34567891011121314151617181920212223242526272829303132[[#This Row],[نوع الخدمة]]="كاش ان",
    IF(F19&lt;=100, 18, IF(F19&lt;=250, 23, IF(F19&lt;=500, 35, IF(F19&lt;=1000, 40, F19*0.04)))),
IF(Basic34567891011121314151617181920212223242526272829303132[[#This Row],[نوع الخدمة]]="كاش اوت",
    IF(F19&lt;=100, 15, IF(F19&lt;=250, 20, IF(F19&lt;=500, 30, IF(F19&lt;=1000, 35, F19*0.035)))),
0)))</f>
        <v>0</v>
      </c>
      <c r="H19" s="95">
        <f>IF(I19="مخالفات",50,Basic34567891011121314151617181920212223242526272829303132[[#This Row],[قيمة الرسوم / العموله]]+Basic34567891011121314151617181920212223242526272829303132[[#This Row],[قيمة الشحنه]])</f>
        <v>0</v>
      </c>
      <c r="I19" s="90"/>
      <c r="J19" s="111" t="str">
        <f t="shared" si="0"/>
        <v>1.5.2026</v>
      </c>
      <c r="L19" s="117">
        <v>8</v>
      </c>
      <c r="M19" s="92"/>
      <c r="O19" s="203" t="s">
        <v>30</v>
      </c>
      <c r="P19" s="204"/>
    </row>
    <row r="20" spans="1:21" ht="21.6" x14ac:dyDescent="0.65">
      <c r="A20" s="199"/>
      <c r="B20" s="110">
        <v>17</v>
      </c>
      <c r="C20" s="2"/>
      <c r="D20" s="1"/>
      <c r="E20" s="3"/>
      <c r="F20" s="1"/>
      <c r="G20" s="95">
        <f>IF(Basic34567891011121314151617181920212223242526272829303132[[#This Row],[نوع الخدمة]]="مخالفات", 50,
IF(Basic34567891011121314151617181920212223242526272829303132[[#This Row],[نوع الخدمة]]="كاش ان",
    IF(F20&lt;=100, 18, IF(F20&lt;=250, 23, IF(F20&lt;=500, 35, IF(F20&lt;=1000, 40, F20*0.04)))),
IF(Basic34567891011121314151617181920212223242526272829303132[[#This Row],[نوع الخدمة]]="كاش اوت",
    IF(F20&lt;=100, 15, IF(F20&lt;=250, 20, IF(F20&lt;=500, 30, IF(F20&lt;=1000, 35, F20*0.035)))),
0)))</f>
        <v>0</v>
      </c>
      <c r="H20" s="95">
        <f>IF(I20="مخالفات",50,Basic34567891011121314151617181920212223242526272829303132[[#This Row],[قيمة الرسوم / العموله]]+Basic34567891011121314151617181920212223242526272829303132[[#This Row],[قيمة الشحنه]])</f>
        <v>0</v>
      </c>
      <c r="I20" s="90"/>
      <c r="J20" s="111" t="str">
        <f t="shared" si="0"/>
        <v>1.5.2026</v>
      </c>
      <c r="L20" s="117">
        <v>9</v>
      </c>
      <c r="M20" s="92"/>
      <c r="O20" s="201" t="s">
        <v>31</v>
      </c>
      <c r="P20" s="202"/>
    </row>
    <row r="21" spans="1:21" ht="21.6" x14ac:dyDescent="0.65">
      <c r="A21" s="199"/>
      <c r="B21" s="113">
        <v>18</v>
      </c>
      <c r="C21" s="2"/>
      <c r="D21" s="1"/>
      <c r="E21" s="3"/>
      <c r="F21" s="1"/>
      <c r="G21" s="95">
        <f>IF(Basic34567891011121314151617181920212223242526272829303132[[#This Row],[نوع الخدمة]]="مخالفات", 50,
IF(Basic34567891011121314151617181920212223242526272829303132[[#This Row],[نوع الخدمة]]="كاش ان",
    IF(F21&lt;=100, 18, IF(F21&lt;=250, 23, IF(F21&lt;=500, 35, IF(F21&lt;=1000, 40, F21*0.04)))),
IF(Basic34567891011121314151617181920212223242526272829303132[[#This Row],[نوع الخدمة]]="كاش اوت",
    IF(F21&lt;=100, 15, IF(F21&lt;=250, 20, IF(F21&lt;=500, 30, IF(F21&lt;=1000, 35, F21*0.035)))),
0)))</f>
        <v>0</v>
      </c>
      <c r="H21" s="95">
        <f>IF(I21="مخالفات",50,Basic34567891011121314151617181920212223242526272829303132[[#This Row],[قيمة الرسوم / العموله]]+Basic34567891011121314151617181920212223242526272829303132[[#This Row],[قيمة الشحنه]])</f>
        <v>0</v>
      </c>
      <c r="I21" s="90"/>
      <c r="J21" s="111" t="str">
        <f t="shared" si="0"/>
        <v>1.5.2026</v>
      </c>
      <c r="L21" s="117">
        <v>10</v>
      </c>
      <c r="M21" s="92"/>
      <c r="O21" s="118" t="s">
        <v>27</v>
      </c>
      <c r="P21" s="107">
        <f>M8</f>
        <v>0</v>
      </c>
    </row>
    <row r="22" spans="1:21" ht="21.6" x14ac:dyDescent="0.65">
      <c r="A22" s="199"/>
      <c r="B22" s="110">
        <v>19</v>
      </c>
      <c r="C22" s="2"/>
      <c r="D22" s="1"/>
      <c r="E22" s="3"/>
      <c r="F22" s="1"/>
      <c r="G22" s="95">
        <f>IF(Basic34567891011121314151617181920212223242526272829303132[[#This Row],[نوع الخدمة]]="مخالفات", 50,
IF(Basic34567891011121314151617181920212223242526272829303132[[#This Row],[نوع الخدمة]]="كاش ان",
    IF(F22&lt;=100, 18, IF(F22&lt;=250, 23, IF(F22&lt;=500, 35, IF(F22&lt;=1000, 40, F22*0.04)))),
IF(Basic34567891011121314151617181920212223242526272829303132[[#This Row],[نوع الخدمة]]="كاش اوت",
    IF(F22&lt;=100, 15, IF(F22&lt;=250, 20, IF(F22&lt;=500, 30, IF(F22&lt;=1000, 35, F22*0.035)))),
0)))</f>
        <v>0</v>
      </c>
      <c r="H22" s="95">
        <f>IF(I22="مخالفات",50,Basic34567891011121314151617181920212223242526272829303132[[#This Row],[قيمة الرسوم / العموله]]+Basic34567891011121314151617181920212223242526272829303132[[#This Row],[قيمة الشحنه]])</f>
        <v>0</v>
      </c>
      <c r="I22" s="90"/>
      <c r="J22" s="111" t="str">
        <f t="shared" si="0"/>
        <v>1.5.2026</v>
      </c>
      <c r="L22" s="117">
        <v>11</v>
      </c>
      <c r="M22" s="92"/>
      <c r="O22" s="118" t="s">
        <v>28</v>
      </c>
      <c r="P22" s="107">
        <f>M9</f>
        <v>0</v>
      </c>
    </row>
    <row r="23" spans="1:21" ht="21.6" x14ac:dyDescent="0.65">
      <c r="A23" s="199"/>
      <c r="B23" s="110">
        <v>20</v>
      </c>
      <c r="C23" s="2"/>
      <c r="D23" s="1"/>
      <c r="E23" s="3"/>
      <c r="F23" s="1"/>
      <c r="G23" s="95">
        <f>IF(Basic34567891011121314151617181920212223242526272829303132[[#This Row],[نوع الخدمة]]="مخالفات", 50,
IF(Basic34567891011121314151617181920212223242526272829303132[[#This Row],[نوع الخدمة]]="كاش ان",
    IF(F23&lt;=100, 18, IF(F23&lt;=250, 23, IF(F23&lt;=500, 35, IF(F23&lt;=1000, 40, F23*0.04)))),
IF(Basic34567891011121314151617181920212223242526272829303132[[#This Row],[نوع الخدمة]]="كاش اوت",
    IF(F23&lt;=100, 15, IF(F23&lt;=250, 20, IF(F23&lt;=500, 30, IF(F23&lt;=1000, 35, F23*0.035)))),
0)))</f>
        <v>0</v>
      </c>
      <c r="H23" s="95">
        <f>IF(I23="مخالفات",50,Basic34567891011121314151617181920212223242526272829303132[[#This Row],[قيمة الرسوم / العموله]]+Basic34567891011121314151617181920212223242526272829303132[[#This Row],[قيمة الشحنه]])</f>
        <v>0</v>
      </c>
      <c r="I23" s="90"/>
      <c r="J23" s="111" t="str">
        <f t="shared" si="0"/>
        <v>1.5.2026</v>
      </c>
      <c r="L23" s="117">
        <v>12</v>
      </c>
      <c r="M23" s="92"/>
      <c r="O23" s="201" t="s">
        <v>32</v>
      </c>
      <c r="P23" s="202"/>
      <c r="T23" s="174"/>
      <c r="U23" s="174"/>
    </row>
    <row r="24" spans="1:21" ht="21.6" x14ac:dyDescent="0.65">
      <c r="A24" s="199"/>
      <c r="B24" s="110">
        <v>21</v>
      </c>
      <c r="C24" s="2"/>
      <c r="D24" s="1"/>
      <c r="E24" s="3"/>
      <c r="F24" s="1"/>
      <c r="G24" s="95">
        <f>IF(Basic34567891011121314151617181920212223242526272829303132[[#This Row],[نوع الخدمة]]="مخالفات", 50,
IF(Basic34567891011121314151617181920212223242526272829303132[[#This Row],[نوع الخدمة]]="كاش ان",
    IF(F24&lt;=100, 18, IF(F24&lt;=250, 23, IF(F24&lt;=500, 35, IF(F24&lt;=1000, 40, F24*0.04)))),
IF(Basic34567891011121314151617181920212223242526272829303132[[#This Row],[نوع الخدمة]]="كاش اوت",
    IF(F24&lt;=100, 15, IF(F24&lt;=250, 20, IF(F24&lt;=500, 30, IF(F24&lt;=1000, 35, F24*0.035)))),
0)))</f>
        <v>0</v>
      </c>
      <c r="H24" s="95">
        <f>IF(I24="مخالفات",50,Basic34567891011121314151617181920212223242526272829303132[[#This Row],[قيمة الرسوم / العموله]]+Basic34567891011121314151617181920212223242526272829303132[[#This Row],[قيمة الشحنه]])</f>
        <v>0</v>
      </c>
      <c r="I24" s="90"/>
      <c r="J24" s="111" t="str">
        <f t="shared" si="0"/>
        <v>1.5.2026</v>
      </c>
      <c r="L24" s="117">
        <v>13</v>
      </c>
      <c r="M24" s="92"/>
      <c r="O24" s="118" t="s">
        <v>27</v>
      </c>
      <c r="P24" s="107">
        <f>M5</f>
        <v>0</v>
      </c>
    </row>
    <row r="25" spans="1:21" ht="21.6" x14ac:dyDescent="0.65">
      <c r="A25" s="199"/>
      <c r="B25" s="113">
        <v>22</v>
      </c>
      <c r="C25" s="2"/>
      <c r="D25" s="1"/>
      <c r="E25" s="3"/>
      <c r="F25" s="1"/>
      <c r="G25" s="95">
        <f>IF(Basic34567891011121314151617181920212223242526272829303132[[#This Row],[نوع الخدمة]]="مخالفات", 50,
IF(Basic34567891011121314151617181920212223242526272829303132[[#This Row],[نوع الخدمة]]="كاش ان",
    IF(F25&lt;=100, 18, IF(F25&lt;=250, 23, IF(F25&lt;=500, 35, IF(F25&lt;=1000, 40, F25*0.04)))),
IF(Basic34567891011121314151617181920212223242526272829303132[[#This Row],[نوع الخدمة]]="كاش اوت",
    IF(F25&lt;=100, 15, IF(F25&lt;=250, 20, IF(F25&lt;=500, 30, IF(F25&lt;=1000, 35, F25*0.035)))),
0)))</f>
        <v>0</v>
      </c>
      <c r="H25" s="95">
        <f>IF(I25="مخالفات",50,Basic34567891011121314151617181920212223242526272829303132[[#This Row],[قيمة الرسوم / العموله]]+Basic34567891011121314151617181920212223242526272829303132[[#This Row],[قيمة الشحنه]])</f>
        <v>0</v>
      </c>
      <c r="I25" s="90"/>
      <c r="J25" s="111" t="str">
        <f t="shared" si="0"/>
        <v>1.5.2026</v>
      </c>
      <c r="L25" s="117">
        <v>14</v>
      </c>
      <c r="M25" s="92"/>
      <c r="O25" s="118" t="s">
        <v>28</v>
      </c>
      <c r="P25" s="107">
        <f>M6</f>
        <v>0</v>
      </c>
    </row>
    <row r="26" spans="1:21" ht="21.6" x14ac:dyDescent="0.65">
      <c r="A26" s="199"/>
      <c r="B26" s="110">
        <v>23</v>
      </c>
      <c r="C26" s="2"/>
      <c r="D26" s="1"/>
      <c r="E26" s="3"/>
      <c r="F26" s="1"/>
      <c r="G26" s="95">
        <f>IF(Basic34567891011121314151617181920212223242526272829303132[[#This Row],[نوع الخدمة]]="مخالفات", 50,
IF(Basic34567891011121314151617181920212223242526272829303132[[#This Row],[نوع الخدمة]]="كاش ان",
    IF(F26&lt;=100, 18, IF(F26&lt;=250, 23, IF(F26&lt;=500, 35, IF(F26&lt;=1000, 40, F26*0.04)))),
IF(Basic34567891011121314151617181920212223242526272829303132[[#This Row],[نوع الخدمة]]="كاش اوت",
    IF(F26&lt;=100, 15, IF(F26&lt;=250, 20, IF(F26&lt;=500, 30, IF(F26&lt;=1000, 35, F26*0.035)))),
0)))</f>
        <v>0</v>
      </c>
      <c r="H26" s="95">
        <f>IF(I26="مخالفات",50,Basic34567891011121314151617181920212223242526272829303132[[#This Row],[قيمة الرسوم / العموله]]+Basic34567891011121314151617181920212223242526272829303132[[#This Row],[قيمة الشحنه]])</f>
        <v>0</v>
      </c>
      <c r="I26" s="90"/>
      <c r="J26" s="111" t="str">
        <f t="shared" si="0"/>
        <v>1.5.2026</v>
      </c>
      <c r="L26" s="117">
        <v>15</v>
      </c>
      <c r="M26" s="92"/>
      <c r="O26" s="201" t="s">
        <v>33</v>
      </c>
      <c r="P26" s="202"/>
    </row>
    <row r="27" spans="1:21" ht="21.6" x14ac:dyDescent="0.65">
      <c r="A27" s="199"/>
      <c r="B27" s="110">
        <v>24</v>
      </c>
      <c r="C27" s="2"/>
      <c r="D27" s="1"/>
      <c r="E27" s="3"/>
      <c r="F27" s="1"/>
      <c r="G27" s="95">
        <f>IF(Basic34567891011121314151617181920212223242526272829303132[[#This Row],[نوع الخدمة]]="مخالفات", 50,
IF(Basic34567891011121314151617181920212223242526272829303132[[#This Row],[نوع الخدمة]]="كاش ان",
    IF(F27&lt;=100, 18, IF(F27&lt;=250, 23, IF(F27&lt;=500, 35, IF(F27&lt;=1000, 40, F27*0.04)))),
IF(Basic34567891011121314151617181920212223242526272829303132[[#This Row],[نوع الخدمة]]="كاش اوت",
    IF(F27&lt;=100, 15, IF(F27&lt;=250, 20, IF(F27&lt;=500, 30, IF(F27&lt;=1000, 35, F27*0.035)))),
0)))</f>
        <v>0</v>
      </c>
      <c r="H27" s="95">
        <f>IF(I27="مخالفات",50,Basic34567891011121314151617181920212223242526272829303132[[#This Row],[قيمة الرسوم / العموله]]+Basic34567891011121314151617181920212223242526272829303132[[#This Row],[قيمة الشحنه]])</f>
        <v>0</v>
      </c>
      <c r="I27" s="90"/>
      <c r="J27" s="111" t="str">
        <f t="shared" si="0"/>
        <v>1.5.2026</v>
      </c>
      <c r="L27" s="117">
        <v>16</v>
      </c>
      <c r="M27" s="92"/>
      <c r="O27" s="118" t="s">
        <v>27</v>
      </c>
      <c r="P27" s="107">
        <f>P21-P24</f>
        <v>0</v>
      </c>
    </row>
    <row r="28" spans="1:21" ht="21.6" x14ac:dyDescent="0.65">
      <c r="A28" s="199"/>
      <c r="B28" s="110">
        <v>25</v>
      </c>
      <c r="C28" s="2"/>
      <c r="D28" s="1"/>
      <c r="E28" s="3"/>
      <c r="F28" s="1"/>
      <c r="G28" s="95">
        <f>IF(Basic34567891011121314151617181920212223242526272829303132[[#This Row],[نوع الخدمة]]="مخالفات", 50,
IF(Basic34567891011121314151617181920212223242526272829303132[[#This Row],[نوع الخدمة]]="كاش ان",
    IF(F28&lt;=100, 18, IF(F28&lt;=250, 23, IF(F28&lt;=500, 35, IF(F28&lt;=1000, 40, F28*0.04)))),
IF(Basic34567891011121314151617181920212223242526272829303132[[#This Row],[نوع الخدمة]]="كاش اوت",
    IF(F28&lt;=100, 15, IF(F28&lt;=250, 20, IF(F28&lt;=500, 30, IF(F28&lt;=1000, 35, F28*0.035)))),
0)))</f>
        <v>0</v>
      </c>
      <c r="H28" s="95">
        <f>IF(I28="مخالفات",50,Basic34567891011121314151617181920212223242526272829303132[[#This Row],[قيمة الرسوم / العموله]]+Basic34567891011121314151617181920212223242526272829303132[[#This Row],[قيمة الشحنه]])</f>
        <v>0</v>
      </c>
      <c r="I28" s="90"/>
      <c r="J28" s="111" t="str">
        <f t="shared" si="0"/>
        <v>1.5.2026</v>
      </c>
      <c r="L28" s="117">
        <v>17</v>
      </c>
      <c r="M28" s="92"/>
      <c r="O28" s="118" t="s">
        <v>28</v>
      </c>
      <c r="P28" s="107">
        <f>P22-P25</f>
        <v>0</v>
      </c>
    </row>
    <row r="29" spans="1:21" ht="21.6" x14ac:dyDescent="0.65">
      <c r="A29" s="199"/>
      <c r="B29" s="113">
        <v>26</v>
      </c>
      <c r="C29" s="2"/>
      <c r="D29" s="1"/>
      <c r="E29" s="3"/>
      <c r="F29" s="1"/>
      <c r="G29" s="95">
        <f>IF(Basic34567891011121314151617181920212223242526272829303132[[#This Row],[نوع الخدمة]]="مخالفات", 50,
IF(Basic34567891011121314151617181920212223242526272829303132[[#This Row],[نوع الخدمة]]="كاش ان",
    IF(F29&lt;=100, 18, IF(F29&lt;=250, 23, IF(F29&lt;=500, 35, IF(F29&lt;=1000, 40, F29*0.04)))),
IF(Basic34567891011121314151617181920212223242526272829303132[[#This Row],[نوع الخدمة]]="كاش اوت",
    IF(F29&lt;=100, 15, IF(F29&lt;=250, 20, IF(F29&lt;=500, 30, IF(F29&lt;=1000, 35, F29*0.035)))),
0)))</f>
        <v>0</v>
      </c>
      <c r="H29" s="95">
        <f>IF(I29="مخالفات",50,Basic34567891011121314151617181920212223242526272829303132[[#This Row],[قيمة الرسوم / العموله]]+Basic34567891011121314151617181920212223242526272829303132[[#This Row],[قيمة الشحنه]])</f>
        <v>0</v>
      </c>
      <c r="I29" s="90"/>
      <c r="J29" s="111" t="str">
        <f t="shared" si="0"/>
        <v>1.5.2026</v>
      </c>
      <c r="L29" s="117">
        <v>18</v>
      </c>
      <c r="M29" s="92"/>
    </row>
    <row r="30" spans="1:21" ht="21.6" x14ac:dyDescent="0.65">
      <c r="A30" s="199"/>
      <c r="B30" s="110">
        <v>27</v>
      </c>
      <c r="C30" s="2"/>
      <c r="D30" s="1"/>
      <c r="E30" s="3"/>
      <c r="F30" s="1"/>
      <c r="G30" s="95">
        <f>IF(Basic34567891011121314151617181920212223242526272829303132[[#This Row],[نوع الخدمة]]="مخالفات", 50,
IF(Basic34567891011121314151617181920212223242526272829303132[[#This Row],[نوع الخدمة]]="كاش ان",
    IF(F30&lt;=100, 18, IF(F30&lt;=250, 23, IF(F30&lt;=500, 35, IF(F30&lt;=1000, 40, F30*0.04)))),
IF(Basic34567891011121314151617181920212223242526272829303132[[#This Row],[نوع الخدمة]]="كاش اوت",
    IF(F30&lt;=100, 15, IF(F30&lt;=250, 20, IF(F30&lt;=500, 30, IF(F30&lt;=1000, 35, F30*0.035)))),
0)))</f>
        <v>0</v>
      </c>
      <c r="H30" s="95">
        <f>IF(I30="مخالفات",50,Basic34567891011121314151617181920212223242526272829303132[[#This Row],[قيمة الرسوم / العموله]]+Basic34567891011121314151617181920212223242526272829303132[[#This Row],[قيمة الشحنه]])</f>
        <v>0</v>
      </c>
      <c r="I30" s="90"/>
      <c r="J30" s="111" t="str">
        <f t="shared" si="0"/>
        <v>1.5.2026</v>
      </c>
      <c r="L30" s="117">
        <v>19</v>
      </c>
      <c r="M30" s="92"/>
    </row>
    <row r="31" spans="1:21" ht="21.6" x14ac:dyDescent="0.65">
      <c r="A31" s="199"/>
      <c r="B31" s="110">
        <v>28</v>
      </c>
      <c r="C31" s="2"/>
      <c r="D31" s="1"/>
      <c r="E31" s="3"/>
      <c r="F31" s="1"/>
      <c r="G31" s="95">
        <f>IF(Basic34567891011121314151617181920212223242526272829303132[[#This Row],[نوع الخدمة]]="مخالفات", 50,
IF(Basic34567891011121314151617181920212223242526272829303132[[#This Row],[نوع الخدمة]]="كاش ان",
    IF(F31&lt;=100, 18, IF(F31&lt;=250, 23, IF(F31&lt;=500, 35, IF(F31&lt;=1000, 40, F31*0.04)))),
IF(Basic34567891011121314151617181920212223242526272829303132[[#This Row],[نوع الخدمة]]="كاش اوت",
    IF(F31&lt;=100, 15, IF(F31&lt;=250, 20, IF(F31&lt;=500, 30, IF(F31&lt;=1000, 35, F31*0.035)))),
0)))</f>
        <v>0</v>
      </c>
      <c r="H31" s="95">
        <f>IF(I31="مخالفات",50,Basic34567891011121314151617181920212223242526272829303132[[#This Row],[قيمة الرسوم / العموله]]+Basic34567891011121314151617181920212223242526272829303132[[#This Row],[قيمة الشحنه]])</f>
        <v>0</v>
      </c>
      <c r="I31" s="90"/>
      <c r="J31" s="111" t="str">
        <f t="shared" si="0"/>
        <v>1.5.2026</v>
      </c>
      <c r="L31" s="117">
        <v>20</v>
      </c>
      <c r="M31" s="92"/>
    </row>
    <row r="32" spans="1:21" ht="21.6" x14ac:dyDescent="0.65">
      <c r="A32" s="199"/>
      <c r="B32" s="110">
        <v>29</v>
      </c>
      <c r="C32" s="2"/>
      <c r="D32" s="1"/>
      <c r="E32" s="3"/>
      <c r="F32" s="1"/>
      <c r="G32" s="95">
        <f>IF(Basic34567891011121314151617181920212223242526272829303132[[#This Row],[نوع الخدمة]]="مخالفات", 50,
IF(Basic34567891011121314151617181920212223242526272829303132[[#This Row],[نوع الخدمة]]="كاش ان",
    IF(F32&lt;=100, 18, IF(F32&lt;=250, 23, IF(F32&lt;=500, 35, IF(F32&lt;=1000, 40, F32*0.04)))),
IF(Basic34567891011121314151617181920212223242526272829303132[[#This Row],[نوع الخدمة]]="كاش اوت",
    IF(F32&lt;=100, 15, IF(F32&lt;=250, 20, IF(F32&lt;=500, 30, IF(F32&lt;=1000, 35, F32*0.035)))),
0)))</f>
        <v>0</v>
      </c>
      <c r="H32" s="95">
        <f>IF(I32="مخالفات",50,Basic34567891011121314151617181920212223242526272829303132[[#This Row],[قيمة الرسوم / العموله]]+Basic34567891011121314151617181920212223242526272829303132[[#This Row],[قيمة الشحنه]])</f>
        <v>0</v>
      </c>
      <c r="I32" s="90"/>
      <c r="J32" s="111" t="str">
        <f t="shared" si="0"/>
        <v>1.5.2026</v>
      </c>
      <c r="L32" s="117">
        <v>21</v>
      </c>
      <c r="M32" s="92"/>
    </row>
    <row r="33" spans="1:13" ht="21.6" x14ac:dyDescent="0.65">
      <c r="A33" s="199"/>
      <c r="B33" s="113">
        <v>30</v>
      </c>
      <c r="C33" s="2"/>
      <c r="D33" s="1"/>
      <c r="E33" s="3"/>
      <c r="F33" s="1"/>
      <c r="G33" s="95">
        <f>IF(Basic34567891011121314151617181920212223242526272829303132[[#This Row],[نوع الخدمة]]="مخالفات", 50,
IF(Basic34567891011121314151617181920212223242526272829303132[[#This Row],[نوع الخدمة]]="كاش ان",
    IF(F33&lt;=100, 18, IF(F33&lt;=250, 23, IF(F33&lt;=500, 35, IF(F33&lt;=1000, 40, F33*0.04)))),
IF(Basic34567891011121314151617181920212223242526272829303132[[#This Row],[نوع الخدمة]]="كاش اوت",
    IF(F33&lt;=100, 15, IF(F33&lt;=250, 20, IF(F33&lt;=500, 30, IF(F33&lt;=1000, 35, F33*0.035)))),
0)))</f>
        <v>0</v>
      </c>
      <c r="H33" s="95">
        <f>IF(I33="مخالفات",50,Basic34567891011121314151617181920212223242526272829303132[[#This Row],[قيمة الرسوم / العموله]]+Basic34567891011121314151617181920212223242526272829303132[[#This Row],[قيمة الشحنه]])</f>
        <v>0</v>
      </c>
      <c r="I33" s="90"/>
      <c r="J33" s="111" t="str">
        <f t="shared" si="0"/>
        <v>1.5.2026</v>
      </c>
      <c r="L33" s="117">
        <v>22</v>
      </c>
      <c r="M33" s="92"/>
    </row>
    <row r="34" spans="1:13" ht="21.6" x14ac:dyDescent="0.65">
      <c r="A34" s="199"/>
      <c r="B34" s="110">
        <v>31</v>
      </c>
      <c r="C34" s="2"/>
      <c r="D34" s="1"/>
      <c r="E34" s="3"/>
      <c r="F34" s="1"/>
      <c r="G34" s="95">
        <f>IF(Basic34567891011121314151617181920212223242526272829303132[[#This Row],[نوع الخدمة]]="مخالفات", 50,
IF(Basic34567891011121314151617181920212223242526272829303132[[#This Row],[نوع الخدمة]]="كاش ان",
    IF(F34&lt;=100, 18, IF(F34&lt;=250, 23, IF(F34&lt;=500, 35, IF(F34&lt;=1000, 40, F34*0.04)))),
IF(Basic34567891011121314151617181920212223242526272829303132[[#This Row],[نوع الخدمة]]="كاش اوت",
    IF(F34&lt;=100, 15, IF(F34&lt;=250, 20, IF(F34&lt;=500, 30, IF(F34&lt;=1000, 35, F34*0.035)))),
0)))</f>
        <v>0</v>
      </c>
      <c r="H34" s="95">
        <f>IF(I34="مخالفات",50,Basic34567891011121314151617181920212223242526272829303132[[#This Row],[قيمة الرسوم / العموله]]+Basic34567891011121314151617181920212223242526272829303132[[#This Row],[قيمة الشحنه]])</f>
        <v>0</v>
      </c>
      <c r="I34" s="90"/>
      <c r="J34" s="111" t="str">
        <f t="shared" si="0"/>
        <v>1.5.2026</v>
      </c>
      <c r="L34" s="117">
        <v>23</v>
      </c>
      <c r="M34" s="92"/>
    </row>
    <row r="35" spans="1:13" ht="21.6" x14ac:dyDescent="0.65">
      <c r="A35" s="199"/>
      <c r="B35" s="110">
        <v>32</v>
      </c>
      <c r="C35" s="2"/>
      <c r="D35" s="1"/>
      <c r="E35" s="3"/>
      <c r="F35" s="1"/>
      <c r="G35" s="95">
        <f>IF(Basic34567891011121314151617181920212223242526272829303132[[#This Row],[نوع الخدمة]]="مخالفات", 50,
IF(Basic34567891011121314151617181920212223242526272829303132[[#This Row],[نوع الخدمة]]="كاش ان",
    IF(F35&lt;=100, 18, IF(F35&lt;=250, 23, IF(F35&lt;=500, 35, IF(F35&lt;=1000, 40, F35*0.04)))),
IF(Basic34567891011121314151617181920212223242526272829303132[[#This Row],[نوع الخدمة]]="كاش اوت",
    IF(F35&lt;=100, 15, IF(F35&lt;=250, 20, IF(F35&lt;=500, 30, IF(F35&lt;=1000, 35, F35*0.035)))),
0)))</f>
        <v>0</v>
      </c>
      <c r="H35" s="95">
        <f>IF(I35="مخالفات",50,Basic34567891011121314151617181920212223242526272829303132[[#This Row],[قيمة الرسوم / العموله]]+Basic34567891011121314151617181920212223242526272829303132[[#This Row],[قيمة الشحنه]])</f>
        <v>0</v>
      </c>
      <c r="I35" s="90"/>
      <c r="J35" s="111" t="str">
        <f t="shared" si="0"/>
        <v>1.5.2026</v>
      </c>
      <c r="L35" s="117">
        <v>24</v>
      </c>
      <c r="M35" s="92"/>
    </row>
    <row r="36" spans="1:13" ht="21.6" x14ac:dyDescent="0.65">
      <c r="A36" s="199"/>
      <c r="B36" s="110">
        <v>33</v>
      </c>
      <c r="C36" s="2"/>
      <c r="D36" s="1"/>
      <c r="E36" s="3"/>
      <c r="F36" s="1"/>
      <c r="G36" s="95">
        <f>IF(Basic34567891011121314151617181920212223242526272829303132[[#This Row],[نوع الخدمة]]="مخالفات", 50,
IF(Basic34567891011121314151617181920212223242526272829303132[[#This Row],[نوع الخدمة]]="كاش ان",
    IF(F36&lt;=100, 18, IF(F36&lt;=250, 23, IF(F36&lt;=500, 35, IF(F36&lt;=1000, 40, F36*0.04)))),
IF(Basic34567891011121314151617181920212223242526272829303132[[#This Row],[نوع الخدمة]]="كاش اوت",
    IF(F36&lt;=100, 15, IF(F36&lt;=250, 20, IF(F36&lt;=500, 30, IF(F36&lt;=1000, 35, F36*0.035)))),
0)))</f>
        <v>0</v>
      </c>
      <c r="H36" s="95">
        <f>IF(I36="مخالفات",50,Basic34567891011121314151617181920212223242526272829303132[[#This Row],[قيمة الرسوم / العموله]]+Basic34567891011121314151617181920212223242526272829303132[[#This Row],[قيمة الشحنه]])</f>
        <v>0</v>
      </c>
      <c r="I36" s="90"/>
      <c r="J36" s="111" t="str">
        <f t="shared" si="0"/>
        <v>1.5.2026</v>
      </c>
      <c r="L36" s="117">
        <v>25</v>
      </c>
      <c r="M36" s="92"/>
    </row>
    <row r="37" spans="1:13" ht="21.6" x14ac:dyDescent="0.65">
      <c r="A37" s="199"/>
      <c r="B37" s="113">
        <v>34</v>
      </c>
      <c r="C37" s="2"/>
      <c r="D37" s="1"/>
      <c r="E37" s="3"/>
      <c r="F37" s="1"/>
      <c r="G37" s="95">
        <f>IF(Basic34567891011121314151617181920212223242526272829303132[[#This Row],[نوع الخدمة]]="مخالفات", 50,
IF(Basic34567891011121314151617181920212223242526272829303132[[#This Row],[نوع الخدمة]]="كاش ان",
    IF(F37&lt;=100, 18, IF(F37&lt;=250, 23, IF(F37&lt;=500, 35, IF(F37&lt;=1000, 40, F37*0.04)))),
IF(Basic34567891011121314151617181920212223242526272829303132[[#This Row],[نوع الخدمة]]="كاش اوت",
    IF(F37&lt;=100, 15, IF(F37&lt;=250, 20, IF(F37&lt;=500, 30, IF(F37&lt;=1000, 35, F37*0.035)))),
0)))</f>
        <v>0</v>
      </c>
      <c r="H37" s="95">
        <f>IF(I37="مخالفات",50,Basic34567891011121314151617181920212223242526272829303132[[#This Row],[قيمة الرسوم / العموله]]+Basic34567891011121314151617181920212223242526272829303132[[#This Row],[قيمة الشحنه]])</f>
        <v>0</v>
      </c>
      <c r="I37" s="90"/>
      <c r="J37" s="111" t="str">
        <f t="shared" si="0"/>
        <v>1.5.2026</v>
      </c>
      <c r="L37" s="117">
        <v>26</v>
      </c>
      <c r="M37" s="92"/>
    </row>
    <row r="38" spans="1:13" ht="21.6" x14ac:dyDescent="0.65">
      <c r="A38" s="199"/>
      <c r="B38" s="110">
        <v>35</v>
      </c>
      <c r="C38" s="2"/>
      <c r="D38" s="1"/>
      <c r="E38" s="3"/>
      <c r="F38" s="1"/>
      <c r="G38" s="95">
        <f>IF(Basic34567891011121314151617181920212223242526272829303132[[#This Row],[نوع الخدمة]]="مخالفات", 50,
IF(Basic34567891011121314151617181920212223242526272829303132[[#This Row],[نوع الخدمة]]="كاش ان",
    IF(F38&lt;=100, 18, IF(F38&lt;=250, 23, IF(F38&lt;=500, 35, IF(F38&lt;=1000, 40, F38*0.04)))),
IF(Basic34567891011121314151617181920212223242526272829303132[[#This Row],[نوع الخدمة]]="كاش اوت",
    IF(F38&lt;=100, 15, IF(F38&lt;=250, 20, IF(F38&lt;=500, 30, IF(F38&lt;=1000, 35, F38*0.035)))),
0)))</f>
        <v>0</v>
      </c>
      <c r="H38" s="95">
        <f>IF(I38="مخالفات",50,Basic34567891011121314151617181920212223242526272829303132[[#This Row],[قيمة الرسوم / العموله]]+Basic34567891011121314151617181920212223242526272829303132[[#This Row],[قيمة الشحنه]])</f>
        <v>0</v>
      </c>
      <c r="I38" s="90"/>
      <c r="J38" s="111" t="str">
        <f t="shared" si="0"/>
        <v>1.5.2026</v>
      </c>
      <c r="L38" s="117">
        <v>27</v>
      </c>
      <c r="M38" s="92"/>
    </row>
    <row r="39" spans="1:13" ht="21.6" x14ac:dyDescent="0.65">
      <c r="A39" s="199"/>
      <c r="B39" s="110">
        <v>36</v>
      </c>
      <c r="C39" s="2"/>
      <c r="D39" s="1"/>
      <c r="E39" s="3"/>
      <c r="F39" s="1"/>
      <c r="G39" s="95">
        <f>IF(Basic34567891011121314151617181920212223242526272829303132[[#This Row],[نوع الخدمة]]="مخالفات", 50,
IF(Basic34567891011121314151617181920212223242526272829303132[[#This Row],[نوع الخدمة]]="كاش ان",
    IF(F39&lt;=100, 18, IF(F39&lt;=250, 23, IF(F39&lt;=500, 35, IF(F39&lt;=1000, 40, F39*0.04)))),
IF(Basic34567891011121314151617181920212223242526272829303132[[#This Row],[نوع الخدمة]]="كاش اوت",
    IF(F39&lt;=100, 15, IF(F39&lt;=250, 20, IF(F39&lt;=500, 30, IF(F39&lt;=1000, 35, F39*0.035)))),
0)))</f>
        <v>0</v>
      </c>
      <c r="H39" s="95">
        <f>IF(I39="مخالفات",50,Basic34567891011121314151617181920212223242526272829303132[[#This Row],[قيمة الرسوم / العموله]]+Basic34567891011121314151617181920212223242526272829303132[[#This Row],[قيمة الشحنه]])</f>
        <v>0</v>
      </c>
      <c r="I39" s="90"/>
      <c r="J39" s="111" t="str">
        <f t="shared" si="0"/>
        <v>1.5.2026</v>
      </c>
      <c r="L39" s="117">
        <v>28</v>
      </c>
      <c r="M39" s="92"/>
    </row>
    <row r="40" spans="1:13" ht="21.6" x14ac:dyDescent="0.65">
      <c r="A40" s="199"/>
      <c r="B40" s="110">
        <v>37</v>
      </c>
      <c r="C40" s="2"/>
      <c r="D40" s="1"/>
      <c r="E40" s="3"/>
      <c r="F40" s="1"/>
      <c r="G40" s="95">
        <f>IF(Basic34567891011121314151617181920212223242526272829303132[[#This Row],[نوع الخدمة]]="مخالفات", 50,
IF(Basic34567891011121314151617181920212223242526272829303132[[#This Row],[نوع الخدمة]]="كاش ان",
    IF(F40&lt;=100, 18, IF(F40&lt;=250, 23, IF(F40&lt;=500, 35, IF(F40&lt;=1000, 40, F40*0.04)))),
IF(Basic34567891011121314151617181920212223242526272829303132[[#This Row],[نوع الخدمة]]="كاش اوت",
    IF(F40&lt;=100, 15, IF(F40&lt;=250, 20, IF(F40&lt;=500, 30, IF(F40&lt;=1000, 35, F40*0.035)))),
0)))</f>
        <v>0</v>
      </c>
      <c r="H40" s="95">
        <f>IF(I40="مخالفات",50,Basic34567891011121314151617181920212223242526272829303132[[#This Row],[قيمة الرسوم / العموله]]+Basic34567891011121314151617181920212223242526272829303132[[#This Row],[قيمة الشحنه]])</f>
        <v>0</v>
      </c>
      <c r="I40" s="90"/>
      <c r="J40" s="111" t="str">
        <f t="shared" si="0"/>
        <v>1.5.2026</v>
      </c>
      <c r="L40" s="117">
        <v>29</v>
      </c>
      <c r="M40" s="92"/>
    </row>
    <row r="41" spans="1:13" ht="21.6" x14ac:dyDescent="0.65">
      <c r="A41" s="199"/>
      <c r="B41" s="113">
        <v>38</v>
      </c>
      <c r="C41" s="2"/>
      <c r="D41" s="1"/>
      <c r="E41" s="3"/>
      <c r="F41" s="1"/>
      <c r="G41" s="95">
        <f>IF(Basic34567891011121314151617181920212223242526272829303132[[#This Row],[نوع الخدمة]]="مخالفات", 50,
IF(Basic34567891011121314151617181920212223242526272829303132[[#This Row],[نوع الخدمة]]="كاش ان",
    IF(F41&lt;=100, 18, IF(F41&lt;=250, 23, IF(F41&lt;=500, 35, IF(F41&lt;=1000, 40, F41*0.04)))),
IF(Basic34567891011121314151617181920212223242526272829303132[[#This Row],[نوع الخدمة]]="كاش اوت",
    IF(F41&lt;=100, 15, IF(F41&lt;=250, 20, IF(F41&lt;=500, 30, IF(F41&lt;=1000, 35, F41*0.035)))),
0)))</f>
        <v>0</v>
      </c>
      <c r="H41" s="95">
        <f>IF(I41="مخالفات",50,Basic34567891011121314151617181920212223242526272829303132[[#This Row],[قيمة الرسوم / العموله]]+Basic34567891011121314151617181920212223242526272829303132[[#This Row],[قيمة الشحنه]])</f>
        <v>0</v>
      </c>
      <c r="I41" s="90"/>
      <c r="J41" s="111" t="str">
        <f t="shared" si="0"/>
        <v>1.5.2026</v>
      </c>
      <c r="L41" s="117">
        <v>30</v>
      </c>
      <c r="M41" s="92"/>
    </row>
    <row r="42" spans="1:13" ht="21.6" x14ac:dyDescent="0.65">
      <c r="A42" s="199"/>
      <c r="B42" s="110">
        <v>39</v>
      </c>
      <c r="C42" s="2"/>
      <c r="D42" s="1"/>
      <c r="E42" s="3"/>
      <c r="F42" s="1"/>
      <c r="G42" s="95">
        <f>IF(Basic34567891011121314151617181920212223242526272829303132[[#This Row],[نوع الخدمة]]="مخالفات", 50,
IF(Basic34567891011121314151617181920212223242526272829303132[[#This Row],[نوع الخدمة]]="كاش ان",
    IF(F42&lt;=100, 18, IF(F42&lt;=250, 23, IF(F42&lt;=500, 35, IF(F42&lt;=1000, 40, F42*0.04)))),
IF(Basic34567891011121314151617181920212223242526272829303132[[#This Row],[نوع الخدمة]]="كاش اوت",
    IF(F42&lt;=100, 15, IF(F42&lt;=250, 20, IF(F42&lt;=500, 30, IF(F42&lt;=1000, 35, F42*0.035)))),
0)))</f>
        <v>0</v>
      </c>
      <c r="H42" s="95">
        <f>IF(I42="مخالفات",50,Basic34567891011121314151617181920212223242526272829303132[[#This Row],[قيمة الرسوم / العموله]]+Basic34567891011121314151617181920212223242526272829303132[[#This Row],[قيمة الشحنه]])</f>
        <v>0</v>
      </c>
      <c r="I42" s="90"/>
      <c r="J42" s="111" t="str">
        <f t="shared" si="0"/>
        <v>1.5.2026</v>
      </c>
      <c r="L42" s="117">
        <v>31</v>
      </c>
      <c r="M42" s="92"/>
    </row>
    <row r="43" spans="1:13" ht="21.6" x14ac:dyDescent="0.65">
      <c r="A43" s="199"/>
      <c r="B43" s="110">
        <v>40</v>
      </c>
      <c r="C43" s="2"/>
      <c r="D43" s="1"/>
      <c r="E43" s="3"/>
      <c r="F43" s="1"/>
      <c r="G43" s="95">
        <f>IF(Basic34567891011121314151617181920212223242526272829303132[[#This Row],[نوع الخدمة]]="مخالفات", 50,
IF(Basic34567891011121314151617181920212223242526272829303132[[#This Row],[نوع الخدمة]]="كاش ان",
    IF(F43&lt;=100, 18, IF(F43&lt;=250, 23, IF(F43&lt;=500, 35, IF(F43&lt;=1000, 40, F43*0.04)))),
IF(Basic34567891011121314151617181920212223242526272829303132[[#This Row],[نوع الخدمة]]="كاش اوت",
    IF(F43&lt;=100, 15, IF(F43&lt;=250, 20, IF(F43&lt;=500, 30, IF(F43&lt;=1000, 35, F43*0.035)))),
0)))</f>
        <v>0</v>
      </c>
      <c r="H43" s="95">
        <f>IF(I43="مخالفات",50,Basic34567891011121314151617181920212223242526272829303132[[#This Row],[قيمة الرسوم / العموله]]+Basic34567891011121314151617181920212223242526272829303132[[#This Row],[قيمة الشحنه]])</f>
        <v>0</v>
      </c>
      <c r="I43" s="90"/>
      <c r="J43" s="111" t="str">
        <f t="shared" si="0"/>
        <v>1.5.2026</v>
      </c>
      <c r="L43" s="117">
        <v>32</v>
      </c>
      <c r="M43" s="92"/>
    </row>
    <row r="44" spans="1:13" ht="21.6" x14ac:dyDescent="0.65">
      <c r="A44" s="199"/>
      <c r="B44" s="110">
        <v>41</v>
      </c>
      <c r="C44" s="2"/>
      <c r="D44" s="1"/>
      <c r="E44" s="3"/>
      <c r="F44" s="1"/>
      <c r="G44" s="95">
        <f>IF(Basic34567891011121314151617181920212223242526272829303132[[#This Row],[نوع الخدمة]]="مخالفات", 50,
IF(Basic34567891011121314151617181920212223242526272829303132[[#This Row],[نوع الخدمة]]="كاش ان",
    IF(F44&lt;=100, 18, IF(F44&lt;=250, 23, IF(F44&lt;=500, 35, IF(F44&lt;=1000, 40, F44*0.04)))),
IF(Basic34567891011121314151617181920212223242526272829303132[[#This Row],[نوع الخدمة]]="كاش اوت",
    IF(F44&lt;=100, 15, IF(F44&lt;=250, 20, IF(F44&lt;=500, 30, IF(F44&lt;=1000, 35, F44*0.035)))),
0)))</f>
        <v>0</v>
      </c>
      <c r="H44" s="95">
        <f>IF(I44="مخالفات",50,Basic34567891011121314151617181920212223242526272829303132[[#This Row],[قيمة الرسوم / العموله]]+Basic34567891011121314151617181920212223242526272829303132[[#This Row],[قيمة الشحنه]])</f>
        <v>0</v>
      </c>
      <c r="I44" s="90"/>
      <c r="J44" s="111" t="str">
        <f t="shared" si="0"/>
        <v>1.5.2026</v>
      </c>
      <c r="L44" s="117">
        <v>33</v>
      </c>
      <c r="M44" s="92"/>
    </row>
    <row r="45" spans="1:13" ht="21.6" x14ac:dyDescent="0.65">
      <c r="A45" s="199"/>
      <c r="B45" s="113">
        <v>42</v>
      </c>
      <c r="C45" s="2"/>
      <c r="D45" s="1"/>
      <c r="E45" s="3"/>
      <c r="F45" s="1"/>
      <c r="G45" s="95">
        <f>IF(Basic34567891011121314151617181920212223242526272829303132[[#This Row],[نوع الخدمة]]="مخالفات", 50,
IF(Basic34567891011121314151617181920212223242526272829303132[[#This Row],[نوع الخدمة]]="كاش ان",
    IF(F45&lt;=100, 18, IF(F45&lt;=250, 23, IF(F45&lt;=500, 35, IF(F45&lt;=1000, 40, F45*0.04)))),
IF(Basic34567891011121314151617181920212223242526272829303132[[#This Row],[نوع الخدمة]]="كاش اوت",
    IF(F45&lt;=100, 15, IF(F45&lt;=250, 20, IF(F45&lt;=500, 30, IF(F45&lt;=1000, 35, F45*0.035)))),
0)))</f>
        <v>0</v>
      </c>
      <c r="H45" s="95">
        <f>IF(I45="مخالفات",50,Basic34567891011121314151617181920212223242526272829303132[[#This Row],[قيمة الرسوم / العموله]]+Basic34567891011121314151617181920212223242526272829303132[[#This Row],[قيمة الشحنه]])</f>
        <v>0</v>
      </c>
      <c r="I45" s="90"/>
      <c r="J45" s="111" t="str">
        <f t="shared" si="0"/>
        <v>1.5.2026</v>
      </c>
      <c r="L45" s="117">
        <v>34</v>
      </c>
      <c r="M45" s="92"/>
    </row>
    <row r="46" spans="1:13" ht="21.6" x14ac:dyDescent="0.65">
      <c r="A46" s="199"/>
      <c r="B46" s="110">
        <v>43</v>
      </c>
      <c r="C46" s="2"/>
      <c r="D46" s="1"/>
      <c r="E46" s="3"/>
      <c r="F46" s="1"/>
      <c r="G46" s="95">
        <f>IF(Basic34567891011121314151617181920212223242526272829303132[[#This Row],[نوع الخدمة]]="مخالفات", 50,
IF(Basic34567891011121314151617181920212223242526272829303132[[#This Row],[نوع الخدمة]]="كاش ان",
    IF(F46&lt;=100, 18, IF(F46&lt;=250, 23, IF(F46&lt;=500, 35, IF(F46&lt;=1000, 40, F46*0.04)))),
IF(Basic34567891011121314151617181920212223242526272829303132[[#This Row],[نوع الخدمة]]="كاش اوت",
    IF(F46&lt;=100, 15, IF(F46&lt;=250, 20, IF(F46&lt;=500, 30, IF(F46&lt;=1000, 35, F46*0.035)))),
0)))</f>
        <v>0</v>
      </c>
      <c r="H46" s="95">
        <f>IF(I46="مخالفات",50,Basic34567891011121314151617181920212223242526272829303132[[#This Row],[قيمة الرسوم / العموله]]+Basic34567891011121314151617181920212223242526272829303132[[#This Row],[قيمة الشحنه]])</f>
        <v>0</v>
      </c>
      <c r="I46" s="90"/>
      <c r="J46" s="111" t="str">
        <f t="shared" si="0"/>
        <v>1.5.2026</v>
      </c>
      <c r="L46" s="117">
        <v>35</v>
      </c>
      <c r="M46" s="92"/>
    </row>
    <row r="47" spans="1:13" ht="21.6" x14ac:dyDescent="0.65">
      <c r="A47" s="199"/>
      <c r="B47" s="110">
        <v>44</v>
      </c>
      <c r="C47" s="2"/>
      <c r="D47" s="1"/>
      <c r="E47" s="3"/>
      <c r="F47" s="1"/>
      <c r="G47" s="95">
        <f>IF(Basic34567891011121314151617181920212223242526272829303132[[#This Row],[نوع الخدمة]]="مخالفات", 50,
IF(Basic34567891011121314151617181920212223242526272829303132[[#This Row],[نوع الخدمة]]="كاش ان",
    IF(F47&lt;=100, 18, IF(F47&lt;=250, 23, IF(F47&lt;=500, 35, IF(F47&lt;=1000, 40, F47*0.04)))),
IF(Basic34567891011121314151617181920212223242526272829303132[[#This Row],[نوع الخدمة]]="كاش اوت",
    IF(F47&lt;=100, 15, IF(F47&lt;=250, 20, IF(F47&lt;=500, 30, IF(F47&lt;=1000, 35, F47*0.035)))),
0)))</f>
        <v>0</v>
      </c>
      <c r="H47" s="95">
        <f>IF(I47="مخالفات",50,Basic34567891011121314151617181920212223242526272829303132[[#This Row],[قيمة الرسوم / العموله]]+Basic34567891011121314151617181920212223242526272829303132[[#This Row],[قيمة الشحنه]])</f>
        <v>0</v>
      </c>
      <c r="I47" s="90"/>
      <c r="J47" s="111" t="str">
        <f t="shared" si="0"/>
        <v>1.5.2026</v>
      </c>
      <c r="L47" s="117">
        <v>36</v>
      </c>
      <c r="M47" s="92"/>
    </row>
    <row r="48" spans="1:13" ht="21.6" x14ac:dyDescent="0.65">
      <c r="A48" s="199"/>
      <c r="B48" s="110">
        <v>45</v>
      </c>
      <c r="C48" s="2"/>
      <c r="D48" s="1"/>
      <c r="E48" s="3"/>
      <c r="F48" s="1"/>
      <c r="G48" s="95">
        <f>IF(Basic34567891011121314151617181920212223242526272829303132[[#This Row],[نوع الخدمة]]="مخالفات", 50,
IF(Basic34567891011121314151617181920212223242526272829303132[[#This Row],[نوع الخدمة]]="كاش ان",
    IF(F48&lt;=100, 18, IF(F48&lt;=250, 23, IF(F48&lt;=500, 35, IF(F48&lt;=1000, 40, F48*0.04)))),
IF(Basic34567891011121314151617181920212223242526272829303132[[#This Row],[نوع الخدمة]]="كاش اوت",
    IF(F48&lt;=100, 15, IF(F48&lt;=250, 20, IF(F48&lt;=500, 30, IF(F48&lt;=1000, 35, F48*0.035)))),
0)))</f>
        <v>0</v>
      </c>
      <c r="H48" s="95">
        <f>IF(I48="مخالفات",50,Basic34567891011121314151617181920212223242526272829303132[[#This Row],[قيمة الرسوم / العموله]]+Basic34567891011121314151617181920212223242526272829303132[[#This Row],[قيمة الشحنه]])</f>
        <v>0</v>
      </c>
      <c r="I48" s="90"/>
      <c r="J48" s="111" t="str">
        <f t="shared" si="0"/>
        <v>1.5.2026</v>
      </c>
      <c r="L48" s="117">
        <v>37</v>
      </c>
      <c r="M48" s="92"/>
    </row>
    <row r="49" spans="1:13" ht="21.6" x14ac:dyDescent="0.65">
      <c r="A49" s="199"/>
      <c r="B49" s="113">
        <v>46</v>
      </c>
      <c r="C49" s="2"/>
      <c r="D49" s="1"/>
      <c r="E49" s="3"/>
      <c r="F49" s="1"/>
      <c r="G49" s="95">
        <f>IF(Basic34567891011121314151617181920212223242526272829303132[[#This Row],[نوع الخدمة]]="مخالفات", 50,
IF(Basic34567891011121314151617181920212223242526272829303132[[#This Row],[نوع الخدمة]]="كاش ان",
    IF(F49&lt;=100, 18, IF(F49&lt;=250, 23, IF(F49&lt;=500, 35, IF(F49&lt;=1000, 40, F49*0.04)))),
IF(Basic34567891011121314151617181920212223242526272829303132[[#This Row],[نوع الخدمة]]="كاش اوت",
    IF(F49&lt;=100, 15, IF(F49&lt;=250, 20, IF(F49&lt;=500, 30, IF(F49&lt;=1000, 35, F49*0.035)))),
0)))</f>
        <v>0</v>
      </c>
      <c r="H49" s="95">
        <f>IF(I49="مخالفات",50,Basic34567891011121314151617181920212223242526272829303132[[#This Row],[قيمة الرسوم / العموله]]+Basic34567891011121314151617181920212223242526272829303132[[#This Row],[قيمة الشحنه]])</f>
        <v>0</v>
      </c>
      <c r="I49" s="90"/>
      <c r="J49" s="111" t="str">
        <f t="shared" si="0"/>
        <v>1.5.2026</v>
      </c>
      <c r="L49" s="117">
        <v>38</v>
      </c>
      <c r="M49" s="92"/>
    </row>
    <row r="50" spans="1:13" ht="21.6" x14ac:dyDescent="0.65">
      <c r="A50" s="199"/>
      <c r="B50" s="110">
        <v>47</v>
      </c>
      <c r="C50" s="2"/>
      <c r="D50" s="1"/>
      <c r="E50" s="3"/>
      <c r="F50" s="1"/>
      <c r="G50" s="95">
        <f>IF(Basic34567891011121314151617181920212223242526272829303132[[#This Row],[نوع الخدمة]]="مخالفات", 50,
IF(Basic34567891011121314151617181920212223242526272829303132[[#This Row],[نوع الخدمة]]="كاش ان",
    IF(F50&lt;=100, 18, IF(F50&lt;=250, 23, IF(F50&lt;=500, 35, IF(F50&lt;=1000, 40, F50*0.04)))),
IF(Basic34567891011121314151617181920212223242526272829303132[[#This Row],[نوع الخدمة]]="كاش اوت",
    IF(F50&lt;=100, 15, IF(F50&lt;=250, 20, IF(F50&lt;=500, 30, IF(F50&lt;=1000, 35, F50*0.035)))),
0)))</f>
        <v>0</v>
      </c>
      <c r="H50" s="95">
        <f>IF(I50="مخالفات",50,Basic34567891011121314151617181920212223242526272829303132[[#This Row],[قيمة الرسوم / العموله]]+Basic34567891011121314151617181920212223242526272829303132[[#This Row],[قيمة الشحنه]])</f>
        <v>0</v>
      </c>
      <c r="I50" s="90"/>
      <c r="J50" s="111" t="str">
        <f t="shared" si="0"/>
        <v>1.5.2026</v>
      </c>
      <c r="L50" s="117">
        <v>39</v>
      </c>
      <c r="M50" s="92"/>
    </row>
    <row r="51" spans="1:13" ht="21.6" x14ac:dyDescent="0.65">
      <c r="A51" s="199"/>
      <c r="B51" s="110">
        <v>48</v>
      </c>
      <c r="C51" s="2"/>
      <c r="D51" s="1"/>
      <c r="E51" s="3"/>
      <c r="F51" s="1"/>
      <c r="G51" s="95">
        <f>IF(Basic34567891011121314151617181920212223242526272829303132[[#This Row],[نوع الخدمة]]="مخالفات", 50,
IF(Basic34567891011121314151617181920212223242526272829303132[[#This Row],[نوع الخدمة]]="كاش ان",
    IF(F51&lt;=100, 18, IF(F51&lt;=250, 23, IF(F51&lt;=500, 35, IF(F51&lt;=1000, 40, F51*0.04)))),
IF(Basic34567891011121314151617181920212223242526272829303132[[#This Row],[نوع الخدمة]]="كاش اوت",
    IF(F51&lt;=100, 15, IF(F51&lt;=250, 20, IF(F51&lt;=500, 30, IF(F51&lt;=1000, 35, F51*0.035)))),
0)))</f>
        <v>0</v>
      </c>
      <c r="H51" s="95">
        <f>IF(I51="مخالفات",50,Basic34567891011121314151617181920212223242526272829303132[[#This Row],[قيمة الرسوم / العموله]]+Basic34567891011121314151617181920212223242526272829303132[[#This Row],[قيمة الشحنه]])</f>
        <v>0</v>
      </c>
      <c r="I51" s="90"/>
      <c r="J51" s="111" t="str">
        <f t="shared" si="0"/>
        <v>1.5.2026</v>
      </c>
      <c r="L51" s="117">
        <v>40</v>
      </c>
      <c r="M51" s="92"/>
    </row>
    <row r="52" spans="1:13" ht="21.6" x14ac:dyDescent="0.65">
      <c r="A52" s="199"/>
      <c r="B52" s="110">
        <v>49</v>
      </c>
      <c r="C52" s="2"/>
      <c r="D52" s="1"/>
      <c r="E52" s="3"/>
      <c r="F52" s="1"/>
      <c r="G52" s="95">
        <f>IF(Basic34567891011121314151617181920212223242526272829303132[[#This Row],[نوع الخدمة]]="مخالفات", 50,
IF(Basic34567891011121314151617181920212223242526272829303132[[#This Row],[نوع الخدمة]]="كاش ان",
    IF(F52&lt;=100, 18, IF(F52&lt;=250, 23, IF(F52&lt;=500, 35, IF(F52&lt;=1000, 40, F52*0.04)))),
IF(Basic34567891011121314151617181920212223242526272829303132[[#This Row],[نوع الخدمة]]="كاش اوت",
    IF(F52&lt;=100, 15, IF(F52&lt;=250, 20, IF(F52&lt;=500, 30, IF(F52&lt;=1000, 35, F52*0.035)))),
0)))</f>
        <v>0</v>
      </c>
      <c r="H52" s="95">
        <f>IF(I52="مخالفات",50,Basic34567891011121314151617181920212223242526272829303132[[#This Row],[قيمة الرسوم / العموله]]+Basic34567891011121314151617181920212223242526272829303132[[#This Row],[قيمة الشحنه]])</f>
        <v>0</v>
      </c>
      <c r="I52" s="90"/>
      <c r="J52" s="111" t="str">
        <f t="shared" si="0"/>
        <v>1.5.2026</v>
      </c>
      <c r="L52" s="117">
        <v>41</v>
      </c>
      <c r="M52" s="92"/>
    </row>
    <row r="53" spans="1:13" ht="21.6" x14ac:dyDescent="0.65">
      <c r="A53" s="199"/>
      <c r="B53" s="113">
        <v>50</v>
      </c>
      <c r="C53" s="2"/>
      <c r="D53" s="1"/>
      <c r="E53" s="3"/>
      <c r="F53" s="1"/>
      <c r="G53" s="95">
        <f>IF(Basic34567891011121314151617181920212223242526272829303132[[#This Row],[نوع الخدمة]]="مخالفات", 50,
IF(Basic34567891011121314151617181920212223242526272829303132[[#This Row],[نوع الخدمة]]="كاش ان",
    IF(F53&lt;=100, 18, IF(F53&lt;=250, 23, IF(F53&lt;=500, 35, IF(F53&lt;=1000, 40, F53*0.04)))),
IF(Basic34567891011121314151617181920212223242526272829303132[[#This Row],[نوع الخدمة]]="كاش اوت",
    IF(F53&lt;=100, 15, IF(F53&lt;=250, 20, IF(F53&lt;=500, 30, IF(F53&lt;=1000, 35, F53*0.035)))),
0)))</f>
        <v>0</v>
      </c>
      <c r="H53" s="95">
        <f>IF(I53="مخالفات",50,Basic34567891011121314151617181920212223242526272829303132[[#This Row],[قيمة الرسوم / العموله]]+Basic34567891011121314151617181920212223242526272829303132[[#This Row],[قيمة الشحنه]])</f>
        <v>0</v>
      </c>
      <c r="I53" s="90"/>
      <c r="J53" s="111" t="str">
        <f t="shared" si="0"/>
        <v>1.5.2026</v>
      </c>
      <c r="L53" s="117">
        <v>42</v>
      </c>
      <c r="M53" s="92"/>
    </row>
    <row r="54" spans="1:13" ht="21.6" x14ac:dyDescent="0.65">
      <c r="A54" s="199"/>
      <c r="B54" s="110">
        <v>51</v>
      </c>
      <c r="C54" s="2"/>
      <c r="D54" s="1"/>
      <c r="E54" s="3"/>
      <c r="F54" s="1"/>
      <c r="G54" s="95">
        <f>IF(Basic34567891011121314151617181920212223242526272829303132[[#This Row],[نوع الخدمة]]="مخالفات", 50,
IF(Basic34567891011121314151617181920212223242526272829303132[[#This Row],[نوع الخدمة]]="كاش ان",
    IF(F54&lt;=100, 18, IF(F54&lt;=250, 23, IF(F54&lt;=500, 35, IF(F54&lt;=1000, 40, F54*0.04)))),
IF(Basic34567891011121314151617181920212223242526272829303132[[#This Row],[نوع الخدمة]]="كاش اوت",
    IF(F54&lt;=100, 15, IF(F54&lt;=250, 20, IF(F54&lt;=500, 30, IF(F54&lt;=1000, 35, F54*0.035)))),
0)))</f>
        <v>0</v>
      </c>
      <c r="H54" s="95">
        <f>IF(I54="مخالفات",50,Basic34567891011121314151617181920212223242526272829303132[[#This Row],[قيمة الرسوم / العموله]]+Basic34567891011121314151617181920212223242526272829303132[[#This Row],[قيمة الشحنه]])</f>
        <v>0</v>
      </c>
      <c r="I54" s="90"/>
      <c r="J54" s="111" t="str">
        <f t="shared" si="0"/>
        <v>1.5.2026</v>
      </c>
      <c r="L54" s="117">
        <v>43</v>
      </c>
      <c r="M54" s="92"/>
    </row>
    <row r="55" spans="1:13" ht="21.6" x14ac:dyDescent="0.65">
      <c r="A55" s="199"/>
      <c r="B55" s="110">
        <v>52</v>
      </c>
      <c r="C55" s="2"/>
      <c r="D55" s="1"/>
      <c r="E55" s="3"/>
      <c r="F55" s="1"/>
      <c r="G55" s="95">
        <f>IF(Basic34567891011121314151617181920212223242526272829303132[[#This Row],[نوع الخدمة]]="مخالفات", 50,
IF(Basic34567891011121314151617181920212223242526272829303132[[#This Row],[نوع الخدمة]]="كاش ان",
    IF(F55&lt;=100, 18, IF(F55&lt;=250, 23, IF(F55&lt;=500, 35, IF(F55&lt;=1000, 40, F55*0.04)))),
IF(Basic34567891011121314151617181920212223242526272829303132[[#This Row],[نوع الخدمة]]="كاش اوت",
    IF(F55&lt;=100, 15, IF(F55&lt;=250, 20, IF(F55&lt;=500, 30, IF(F55&lt;=1000, 35, F55*0.035)))),
0)))</f>
        <v>0</v>
      </c>
      <c r="H55" s="95">
        <f>IF(I55="مخالفات",50,Basic34567891011121314151617181920212223242526272829303132[[#This Row],[قيمة الرسوم / العموله]]+Basic34567891011121314151617181920212223242526272829303132[[#This Row],[قيمة الشحنه]])</f>
        <v>0</v>
      </c>
      <c r="I55" s="90"/>
      <c r="J55" s="111" t="str">
        <f t="shared" si="0"/>
        <v>1.5.2026</v>
      </c>
      <c r="L55" s="117">
        <v>44</v>
      </c>
      <c r="M55" s="92"/>
    </row>
    <row r="56" spans="1:13" ht="21.6" x14ac:dyDescent="0.65">
      <c r="A56" s="199"/>
      <c r="B56" s="110">
        <v>53</v>
      </c>
      <c r="C56" s="2"/>
      <c r="D56" s="1"/>
      <c r="E56" s="3"/>
      <c r="F56" s="1"/>
      <c r="G56" s="95">
        <f>IF(Basic34567891011121314151617181920212223242526272829303132[[#This Row],[نوع الخدمة]]="مخالفات", 50,
IF(Basic34567891011121314151617181920212223242526272829303132[[#This Row],[نوع الخدمة]]="كاش ان",
    IF(F56&lt;=100, 18, IF(F56&lt;=250, 23, IF(F56&lt;=500, 35, IF(F56&lt;=1000, 40, F56*0.04)))),
IF(Basic34567891011121314151617181920212223242526272829303132[[#This Row],[نوع الخدمة]]="كاش اوت",
    IF(F56&lt;=100, 15, IF(F56&lt;=250, 20, IF(F56&lt;=500, 30, IF(F56&lt;=1000, 35, F56*0.035)))),
0)))</f>
        <v>0</v>
      </c>
      <c r="H56" s="95">
        <f>IF(I56="مخالفات",50,Basic34567891011121314151617181920212223242526272829303132[[#This Row],[قيمة الرسوم / العموله]]+Basic34567891011121314151617181920212223242526272829303132[[#This Row],[قيمة الشحنه]])</f>
        <v>0</v>
      </c>
      <c r="I56" s="90"/>
      <c r="J56" s="111" t="str">
        <f t="shared" si="0"/>
        <v>1.5.2026</v>
      </c>
      <c r="L56" s="117">
        <v>45</v>
      </c>
      <c r="M56" s="92"/>
    </row>
    <row r="57" spans="1:13" ht="21.6" x14ac:dyDescent="0.65">
      <c r="A57" s="199"/>
      <c r="B57" s="113">
        <v>54</v>
      </c>
      <c r="C57" s="2"/>
      <c r="D57" s="1"/>
      <c r="E57" s="3"/>
      <c r="F57" s="1"/>
      <c r="G57" s="95">
        <f>IF(Basic34567891011121314151617181920212223242526272829303132[[#This Row],[نوع الخدمة]]="مخالفات", 50,
IF(Basic34567891011121314151617181920212223242526272829303132[[#This Row],[نوع الخدمة]]="كاش ان",
    IF(F57&lt;=100, 18, IF(F57&lt;=250, 23, IF(F57&lt;=500, 35, IF(F57&lt;=1000, 40, F57*0.04)))),
IF(Basic34567891011121314151617181920212223242526272829303132[[#This Row],[نوع الخدمة]]="كاش اوت",
    IF(F57&lt;=100, 15, IF(F57&lt;=250, 20, IF(F57&lt;=500, 30, IF(F57&lt;=1000, 35, F57*0.035)))),
0)))</f>
        <v>0</v>
      </c>
      <c r="H57" s="95">
        <f>IF(I57="مخالفات",50,Basic34567891011121314151617181920212223242526272829303132[[#This Row],[قيمة الرسوم / العموله]]+Basic34567891011121314151617181920212223242526272829303132[[#This Row],[قيمة الشحنه]])</f>
        <v>0</v>
      </c>
      <c r="I57" s="90"/>
      <c r="J57" s="111" t="str">
        <f t="shared" si="0"/>
        <v>1.5.2026</v>
      </c>
      <c r="L57" s="117">
        <v>46</v>
      </c>
      <c r="M57" s="92"/>
    </row>
    <row r="58" spans="1:13" ht="21.6" x14ac:dyDescent="0.65">
      <c r="A58" s="199"/>
      <c r="B58" s="110">
        <v>55</v>
      </c>
      <c r="C58" s="2"/>
      <c r="D58" s="1"/>
      <c r="E58" s="3"/>
      <c r="F58" s="1"/>
      <c r="G58" s="95">
        <f>IF(Basic34567891011121314151617181920212223242526272829303132[[#This Row],[نوع الخدمة]]="مخالفات", 50,
IF(Basic34567891011121314151617181920212223242526272829303132[[#This Row],[نوع الخدمة]]="كاش ان",
    IF(F58&lt;=100, 18, IF(F58&lt;=250, 23, IF(F58&lt;=500, 35, IF(F58&lt;=1000, 40, F58*0.04)))),
IF(Basic34567891011121314151617181920212223242526272829303132[[#This Row],[نوع الخدمة]]="كاش اوت",
    IF(F58&lt;=100, 15, IF(F58&lt;=250, 20, IF(F58&lt;=500, 30, IF(F58&lt;=1000, 35, F58*0.035)))),
0)))</f>
        <v>0</v>
      </c>
      <c r="H58" s="95">
        <f>IF(I58="مخالفات",50,Basic34567891011121314151617181920212223242526272829303132[[#This Row],[قيمة الرسوم / العموله]]+Basic34567891011121314151617181920212223242526272829303132[[#This Row],[قيمة الشحنه]])</f>
        <v>0</v>
      </c>
      <c r="I58" s="90"/>
      <c r="J58" s="111" t="str">
        <f t="shared" si="0"/>
        <v>1.5.2026</v>
      </c>
      <c r="L58" s="117">
        <v>47</v>
      </c>
      <c r="M58" s="92"/>
    </row>
    <row r="59" spans="1:13" ht="21.6" x14ac:dyDescent="0.65">
      <c r="A59" s="199"/>
      <c r="B59" s="110">
        <v>56</v>
      </c>
      <c r="C59" s="2"/>
      <c r="D59" s="1"/>
      <c r="E59" s="3"/>
      <c r="F59" s="1"/>
      <c r="G59" s="95">
        <f>IF(Basic34567891011121314151617181920212223242526272829303132[[#This Row],[نوع الخدمة]]="مخالفات", 50,
IF(Basic34567891011121314151617181920212223242526272829303132[[#This Row],[نوع الخدمة]]="كاش ان",
    IF(F59&lt;=100, 18, IF(F59&lt;=250, 23, IF(F59&lt;=500, 35, IF(F59&lt;=1000, 40, F59*0.04)))),
IF(Basic34567891011121314151617181920212223242526272829303132[[#This Row],[نوع الخدمة]]="كاش اوت",
    IF(F59&lt;=100, 15, IF(F59&lt;=250, 20, IF(F59&lt;=500, 30, IF(F59&lt;=1000, 35, F59*0.035)))),
0)))</f>
        <v>0</v>
      </c>
      <c r="H59" s="95">
        <f>IF(I59="مخالفات",50,Basic34567891011121314151617181920212223242526272829303132[[#This Row],[قيمة الرسوم / العموله]]+Basic34567891011121314151617181920212223242526272829303132[[#This Row],[قيمة الشحنه]])</f>
        <v>0</v>
      </c>
      <c r="I59" s="90"/>
      <c r="J59" s="111" t="str">
        <f t="shared" si="0"/>
        <v>1.5.2026</v>
      </c>
      <c r="L59" s="117">
        <v>48</v>
      </c>
      <c r="M59" s="92"/>
    </row>
    <row r="60" spans="1:13" ht="21.6" x14ac:dyDescent="0.65">
      <c r="A60" s="199"/>
      <c r="B60" s="110">
        <v>57</v>
      </c>
      <c r="C60" s="2"/>
      <c r="D60" s="1"/>
      <c r="E60" s="3"/>
      <c r="F60" s="1"/>
      <c r="G60" s="95">
        <f>IF(Basic34567891011121314151617181920212223242526272829303132[[#This Row],[نوع الخدمة]]="مخالفات", 50,
IF(Basic34567891011121314151617181920212223242526272829303132[[#This Row],[نوع الخدمة]]="كاش ان",
    IF(F60&lt;=100, 18, IF(F60&lt;=250, 23, IF(F60&lt;=500, 35, IF(F60&lt;=1000, 40, F60*0.04)))),
IF(Basic34567891011121314151617181920212223242526272829303132[[#This Row],[نوع الخدمة]]="كاش اوت",
    IF(F60&lt;=100, 15, IF(F60&lt;=250, 20, IF(F60&lt;=500, 30, IF(F60&lt;=1000, 35, F60*0.035)))),
0)))</f>
        <v>0</v>
      </c>
      <c r="H60" s="95">
        <f>IF(I60="مخالفات",50,Basic34567891011121314151617181920212223242526272829303132[[#This Row],[قيمة الرسوم / العموله]]+Basic34567891011121314151617181920212223242526272829303132[[#This Row],[قيمة الشحنه]])</f>
        <v>0</v>
      </c>
      <c r="I60" s="90"/>
      <c r="J60" s="111" t="str">
        <f t="shared" si="0"/>
        <v>1.5.2026</v>
      </c>
      <c r="L60" s="117">
        <v>49</v>
      </c>
      <c r="M60" s="92"/>
    </row>
    <row r="61" spans="1:13" ht="21.6" x14ac:dyDescent="0.65">
      <c r="A61" s="199"/>
      <c r="B61" s="113">
        <v>58</v>
      </c>
      <c r="C61" s="2"/>
      <c r="D61" s="1"/>
      <c r="E61" s="3"/>
      <c r="F61" s="1"/>
      <c r="G61" s="95">
        <f>IF(Basic34567891011121314151617181920212223242526272829303132[[#This Row],[نوع الخدمة]]="مخالفات", 50,
IF(Basic34567891011121314151617181920212223242526272829303132[[#This Row],[نوع الخدمة]]="كاش ان",
    IF(F61&lt;=100, 18, IF(F61&lt;=250, 23, IF(F61&lt;=500, 35, IF(F61&lt;=1000, 40, F61*0.04)))),
IF(Basic34567891011121314151617181920212223242526272829303132[[#This Row],[نوع الخدمة]]="كاش اوت",
    IF(F61&lt;=100, 15, IF(F61&lt;=250, 20, IF(F61&lt;=500, 30, IF(F61&lt;=1000, 35, F61*0.035)))),
0)))</f>
        <v>0</v>
      </c>
      <c r="H61" s="95">
        <f>IF(I61="مخالفات",50,Basic34567891011121314151617181920212223242526272829303132[[#This Row],[قيمة الرسوم / العموله]]+Basic34567891011121314151617181920212223242526272829303132[[#This Row],[قيمة الشحنه]])</f>
        <v>0</v>
      </c>
      <c r="I61" s="90"/>
      <c r="J61" s="111" t="str">
        <f t="shared" si="0"/>
        <v>1.5.2026</v>
      </c>
      <c r="L61" s="117">
        <v>50</v>
      </c>
      <c r="M61" s="92"/>
    </row>
    <row r="62" spans="1:13" ht="21.6" x14ac:dyDescent="0.65">
      <c r="A62" s="199"/>
      <c r="B62" s="110">
        <v>59</v>
      </c>
      <c r="C62" s="2"/>
      <c r="D62" s="1"/>
      <c r="E62" s="3"/>
      <c r="F62" s="1"/>
      <c r="G62" s="95">
        <f>IF(Basic34567891011121314151617181920212223242526272829303132[[#This Row],[نوع الخدمة]]="مخالفات", 50,
IF(Basic34567891011121314151617181920212223242526272829303132[[#This Row],[نوع الخدمة]]="كاش ان",
    IF(F62&lt;=100, 18, IF(F62&lt;=250, 23, IF(F62&lt;=500, 35, IF(F62&lt;=1000, 40, F62*0.04)))),
IF(Basic34567891011121314151617181920212223242526272829303132[[#This Row],[نوع الخدمة]]="كاش اوت",
    IF(F62&lt;=100, 15, IF(F62&lt;=250, 20, IF(F62&lt;=500, 30, IF(F62&lt;=1000, 35, F62*0.035)))),
0)))</f>
        <v>0</v>
      </c>
      <c r="H62" s="95">
        <f>IF(I62="مخالفات",50,Basic34567891011121314151617181920212223242526272829303132[[#This Row],[قيمة الرسوم / العموله]]+Basic34567891011121314151617181920212223242526272829303132[[#This Row],[قيمة الشحنه]])</f>
        <v>0</v>
      </c>
      <c r="I62" s="90"/>
      <c r="J62" s="111" t="str">
        <f t="shared" si="0"/>
        <v>1.5.2026</v>
      </c>
      <c r="L62" s="117">
        <v>51</v>
      </c>
      <c r="M62" s="92"/>
    </row>
    <row r="63" spans="1:13" ht="21.6" x14ac:dyDescent="0.65">
      <c r="A63" s="199"/>
      <c r="B63" s="110">
        <v>60</v>
      </c>
      <c r="C63" s="2"/>
      <c r="D63" s="1"/>
      <c r="E63" s="3"/>
      <c r="F63" s="1"/>
      <c r="G63" s="95">
        <f>IF(Basic34567891011121314151617181920212223242526272829303132[[#This Row],[نوع الخدمة]]="مخالفات", 50,
IF(Basic34567891011121314151617181920212223242526272829303132[[#This Row],[نوع الخدمة]]="كاش ان",
    IF(F63&lt;=100, 18, IF(F63&lt;=250, 23, IF(F63&lt;=500, 35, IF(F63&lt;=1000, 40, F63*0.04)))),
IF(Basic34567891011121314151617181920212223242526272829303132[[#This Row],[نوع الخدمة]]="كاش اوت",
    IF(F63&lt;=100, 15, IF(F63&lt;=250, 20, IF(F63&lt;=500, 30, IF(F63&lt;=1000, 35, F63*0.035)))),
0)))</f>
        <v>0</v>
      </c>
      <c r="H63" s="95">
        <f>IF(I63="مخالفات",50,Basic34567891011121314151617181920212223242526272829303132[[#This Row],[قيمة الرسوم / العموله]]+Basic34567891011121314151617181920212223242526272829303132[[#This Row],[قيمة الشحنه]])</f>
        <v>0</v>
      </c>
      <c r="I63" s="90"/>
      <c r="J63" s="111" t="str">
        <f t="shared" si="0"/>
        <v>1.5.2026</v>
      </c>
      <c r="L63" s="117">
        <v>52</v>
      </c>
      <c r="M63" s="92"/>
    </row>
    <row r="64" spans="1:13" ht="21.6" x14ac:dyDescent="0.65">
      <c r="A64" s="199"/>
      <c r="B64" s="110">
        <v>61</v>
      </c>
      <c r="C64" s="2"/>
      <c r="D64" s="1"/>
      <c r="E64" s="3"/>
      <c r="F64" s="1"/>
      <c r="G64" s="95">
        <f>IF(Basic34567891011121314151617181920212223242526272829303132[[#This Row],[نوع الخدمة]]="مخالفات", 50,
IF(Basic34567891011121314151617181920212223242526272829303132[[#This Row],[نوع الخدمة]]="كاش ان",
    IF(F64&lt;=100, 18, IF(F64&lt;=250, 23, IF(F64&lt;=500, 35, IF(F64&lt;=1000, 40, F64*0.04)))),
IF(Basic34567891011121314151617181920212223242526272829303132[[#This Row],[نوع الخدمة]]="كاش اوت",
    IF(F64&lt;=100, 15, IF(F64&lt;=250, 20, IF(F64&lt;=500, 30, IF(F64&lt;=1000, 35, F64*0.035)))),
0)))</f>
        <v>0</v>
      </c>
      <c r="H64" s="95">
        <f>IF(I64="مخالفات",50,Basic34567891011121314151617181920212223242526272829303132[[#This Row],[قيمة الرسوم / العموله]]+Basic34567891011121314151617181920212223242526272829303132[[#This Row],[قيمة الشحنه]])</f>
        <v>0</v>
      </c>
      <c r="I64" s="90"/>
      <c r="J64" s="111" t="str">
        <f t="shared" si="0"/>
        <v>1.5.2026</v>
      </c>
      <c r="L64" s="117">
        <v>53</v>
      </c>
      <c r="M64" s="92"/>
    </row>
    <row r="65" spans="1:13" ht="21.6" x14ac:dyDescent="0.65">
      <c r="A65" s="199"/>
      <c r="B65" s="113">
        <v>62</v>
      </c>
      <c r="C65" s="2"/>
      <c r="D65" s="1"/>
      <c r="E65" s="3"/>
      <c r="F65" s="1"/>
      <c r="G65" s="95">
        <f>IF(Basic34567891011121314151617181920212223242526272829303132[[#This Row],[نوع الخدمة]]="مخالفات", 50,
IF(Basic34567891011121314151617181920212223242526272829303132[[#This Row],[نوع الخدمة]]="كاش ان",
    IF(F65&lt;=100, 18, IF(F65&lt;=250, 23, IF(F65&lt;=500, 35, IF(F65&lt;=1000, 40, F65*0.04)))),
IF(Basic34567891011121314151617181920212223242526272829303132[[#This Row],[نوع الخدمة]]="كاش اوت",
    IF(F65&lt;=100, 15, IF(F65&lt;=250, 20, IF(F65&lt;=500, 30, IF(F65&lt;=1000, 35, F65*0.035)))),
0)))</f>
        <v>0</v>
      </c>
      <c r="H65" s="95">
        <f>IF(I65="مخالفات",50,Basic34567891011121314151617181920212223242526272829303132[[#This Row],[قيمة الرسوم / العموله]]+Basic34567891011121314151617181920212223242526272829303132[[#This Row],[قيمة الشحنه]])</f>
        <v>0</v>
      </c>
      <c r="I65" s="90"/>
      <c r="J65" s="111" t="str">
        <f t="shared" si="0"/>
        <v>1.5.2026</v>
      </c>
      <c r="L65" s="117">
        <v>54</v>
      </c>
      <c r="M65" s="92"/>
    </row>
    <row r="66" spans="1:13" ht="21.6" x14ac:dyDescent="0.65">
      <c r="A66" s="199"/>
      <c r="B66" s="110">
        <v>63</v>
      </c>
      <c r="C66" s="2"/>
      <c r="D66" s="1"/>
      <c r="E66" s="3"/>
      <c r="F66" s="1"/>
      <c r="G66" s="95">
        <f>IF(Basic34567891011121314151617181920212223242526272829303132[[#This Row],[نوع الخدمة]]="مخالفات", 50,
IF(Basic34567891011121314151617181920212223242526272829303132[[#This Row],[نوع الخدمة]]="كاش ان",
    IF(F66&lt;=100, 18, IF(F66&lt;=250, 23, IF(F66&lt;=500, 35, IF(F66&lt;=1000, 40, F66*0.04)))),
IF(Basic34567891011121314151617181920212223242526272829303132[[#This Row],[نوع الخدمة]]="كاش اوت",
    IF(F66&lt;=100, 15, IF(F66&lt;=250, 20, IF(F66&lt;=500, 30, IF(F66&lt;=1000, 35, F66*0.035)))),
0)))</f>
        <v>0</v>
      </c>
      <c r="H66" s="95">
        <f>IF(I66="مخالفات",50,Basic34567891011121314151617181920212223242526272829303132[[#This Row],[قيمة الرسوم / العموله]]+Basic34567891011121314151617181920212223242526272829303132[[#This Row],[قيمة الشحنه]])</f>
        <v>0</v>
      </c>
      <c r="I66" s="90"/>
      <c r="J66" s="111" t="str">
        <f t="shared" si="0"/>
        <v>1.5.2026</v>
      </c>
      <c r="L66" s="117">
        <v>55</v>
      </c>
      <c r="M66" s="92"/>
    </row>
    <row r="67" spans="1:13" ht="21.6" x14ac:dyDescent="0.65">
      <c r="A67" s="199"/>
      <c r="B67" s="110">
        <v>64</v>
      </c>
      <c r="C67" s="2"/>
      <c r="D67" s="1"/>
      <c r="E67" s="3"/>
      <c r="F67" s="1"/>
      <c r="G67" s="95">
        <f>IF(Basic34567891011121314151617181920212223242526272829303132[[#This Row],[نوع الخدمة]]="مخالفات", 50,
IF(Basic34567891011121314151617181920212223242526272829303132[[#This Row],[نوع الخدمة]]="كاش ان",
    IF(F67&lt;=100, 18, IF(F67&lt;=250, 23, IF(F67&lt;=500, 35, IF(F67&lt;=1000, 40, F67*0.04)))),
IF(Basic34567891011121314151617181920212223242526272829303132[[#This Row],[نوع الخدمة]]="كاش اوت",
    IF(F67&lt;=100, 15, IF(F67&lt;=250, 20, IF(F67&lt;=500, 30, IF(F67&lt;=1000, 35, F67*0.035)))),
0)))</f>
        <v>0</v>
      </c>
      <c r="H67" s="95">
        <f>IF(I67="مخالفات",50,Basic34567891011121314151617181920212223242526272829303132[[#This Row],[قيمة الرسوم / العموله]]+Basic34567891011121314151617181920212223242526272829303132[[#This Row],[قيمة الشحنه]])</f>
        <v>0</v>
      </c>
      <c r="I67" s="90"/>
      <c r="J67" s="111" t="str">
        <f t="shared" si="0"/>
        <v>1.5.2026</v>
      </c>
      <c r="L67" s="117">
        <v>56</v>
      </c>
      <c r="M67" s="92"/>
    </row>
    <row r="68" spans="1:13" ht="21.6" x14ac:dyDescent="0.65">
      <c r="A68" s="199"/>
      <c r="B68" s="110">
        <v>65</v>
      </c>
      <c r="C68" s="2"/>
      <c r="D68" s="1"/>
      <c r="E68" s="3"/>
      <c r="F68" s="1"/>
      <c r="G68" s="95">
        <f>IF(Basic34567891011121314151617181920212223242526272829303132[[#This Row],[نوع الخدمة]]="مخالفات", 50,
IF(Basic34567891011121314151617181920212223242526272829303132[[#This Row],[نوع الخدمة]]="كاش ان",
    IF(F68&lt;=100, 18, IF(F68&lt;=250, 23, IF(F68&lt;=500, 35, IF(F68&lt;=1000, 40, F68*0.04)))),
IF(Basic34567891011121314151617181920212223242526272829303132[[#This Row],[نوع الخدمة]]="كاش اوت",
    IF(F68&lt;=100, 15, IF(F68&lt;=250, 20, IF(F68&lt;=500, 30, IF(F68&lt;=1000, 35, F68*0.035)))),
0)))</f>
        <v>0</v>
      </c>
      <c r="H68" s="95">
        <f>IF(I68="مخالفات",50,Basic34567891011121314151617181920212223242526272829303132[[#This Row],[قيمة الرسوم / العموله]]+Basic34567891011121314151617181920212223242526272829303132[[#This Row],[قيمة الشحنه]])</f>
        <v>0</v>
      </c>
      <c r="I68" s="90"/>
      <c r="J68" s="111" t="str">
        <f t="shared" ref="J68:J131" si="1">M$3</f>
        <v>1.5.2026</v>
      </c>
      <c r="L68" s="117">
        <v>57</v>
      </c>
      <c r="M68" s="92"/>
    </row>
    <row r="69" spans="1:13" ht="21.6" x14ac:dyDescent="0.65">
      <c r="A69" s="199"/>
      <c r="B69" s="113">
        <v>66</v>
      </c>
      <c r="C69" s="2"/>
      <c r="D69" s="1"/>
      <c r="E69" s="3"/>
      <c r="F69" s="1"/>
      <c r="G69" s="95">
        <f>IF(Basic34567891011121314151617181920212223242526272829303132[[#This Row],[نوع الخدمة]]="مخالفات", 50,
IF(Basic34567891011121314151617181920212223242526272829303132[[#This Row],[نوع الخدمة]]="كاش ان",
    IF(F69&lt;=100, 18, IF(F69&lt;=250, 23, IF(F69&lt;=500, 35, IF(F69&lt;=1000, 40, F69*0.04)))),
IF(Basic34567891011121314151617181920212223242526272829303132[[#This Row],[نوع الخدمة]]="كاش اوت",
    IF(F69&lt;=100, 15, IF(F69&lt;=250, 20, IF(F69&lt;=500, 30, IF(F69&lt;=1000, 35, F69*0.035)))),
0)))</f>
        <v>0</v>
      </c>
      <c r="H69" s="95">
        <f>IF(I69="مخالفات",50,Basic34567891011121314151617181920212223242526272829303132[[#This Row],[قيمة الرسوم / العموله]]+Basic34567891011121314151617181920212223242526272829303132[[#This Row],[قيمة الشحنه]])</f>
        <v>0</v>
      </c>
      <c r="I69" s="90"/>
      <c r="J69" s="111" t="str">
        <f t="shared" si="1"/>
        <v>1.5.2026</v>
      </c>
      <c r="L69" s="117">
        <v>58</v>
      </c>
      <c r="M69" s="92"/>
    </row>
    <row r="70" spans="1:13" ht="21.6" x14ac:dyDescent="0.65">
      <c r="A70" s="199"/>
      <c r="B70" s="110">
        <v>67</v>
      </c>
      <c r="C70" s="2"/>
      <c r="D70" s="1"/>
      <c r="E70" s="3"/>
      <c r="F70" s="1"/>
      <c r="G70" s="95">
        <f>IF(Basic34567891011121314151617181920212223242526272829303132[[#This Row],[نوع الخدمة]]="مخالفات", 50,
IF(Basic34567891011121314151617181920212223242526272829303132[[#This Row],[نوع الخدمة]]="كاش ان",
    IF(F70&lt;=100, 18, IF(F70&lt;=250, 23, IF(F70&lt;=500, 35, IF(F70&lt;=1000, 40, F70*0.04)))),
IF(Basic34567891011121314151617181920212223242526272829303132[[#This Row],[نوع الخدمة]]="كاش اوت",
    IF(F70&lt;=100, 15, IF(F70&lt;=250, 20, IF(F70&lt;=500, 30, IF(F70&lt;=1000, 35, F70*0.035)))),
0)))</f>
        <v>0</v>
      </c>
      <c r="H70" s="95">
        <f>IF(I70="مخالفات",50,Basic34567891011121314151617181920212223242526272829303132[[#This Row],[قيمة الرسوم / العموله]]+Basic34567891011121314151617181920212223242526272829303132[[#This Row],[قيمة الشحنه]])</f>
        <v>0</v>
      </c>
      <c r="I70" s="90"/>
      <c r="J70" s="111" t="str">
        <f t="shared" si="1"/>
        <v>1.5.2026</v>
      </c>
      <c r="L70" s="117">
        <v>59</v>
      </c>
      <c r="M70" s="92"/>
    </row>
    <row r="71" spans="1:13" ht="21.6" x14ac:dyDescent="0.65">
      <c r="A71" s="199"/>
      <c r="B71" s="110">
        <v>68</v>
      </c>
      <c r="C71" s="2"/>
      <c r="D71" s="1"/>
      <c r="E71" s="3"/>
      <c r="F71" s="1"/>
      <c r="G71" s="95">
        <f>IF(Basic34567891011121314151617181920212223242526272829303132[[#This Row],[نوع الخدمة]]="مخالفات", 50,
IF(Basic34567891011121314151617181920212223242526272829303132[[#This Row],[نوع الخدمة]]="كاش ان",
    IF(F71&lt;=100, 18, IF(F71&lt;=250, 23, IF(F71&lt;=500, 35, IF(F71&lt;=1000, 40, F71*0.04)))),
IF(Basic34567891011121314151617181920212223242526272829303132[[#This Row],[نوع الخدمة]]="كاش اوت",
    IF(F71&lt;=100, 15, IF(F71&lt;=250, 20, IF(F71&lt;=500, 30, IF(F71&lt;=1000, 35, F71*0.035)))),
0)))</f>
        <v>0</v>
      </c>
      <c r="H71" s="95">
        <f>IF(I71="مخالفات",50,Basic34567891011121314151617181920212223242526272829303132[[#This Row],[قيمة الرسوم / العموله]]+Basic34567891011121314151617181920212223242526272829303132[[#This Row],[قيمة الشحنه]])</f>
        <v>0</v>
      </c>
      <c r="I71" s="90"/>
      <c r="J71" s="111" t="str">
        <f t="shared" si="1"/>
        <v>1.5.2026</v>
      </c>
      <c r="L71" s="117">
        <v>60</v>
      </c>
      <c r="M71" s="92"/>
    </row>
    <row r="72" spans="1:13" ht="21.6" x14ac:dyDescent="0.65">
      <c r="A72" s="199"/>
      <c r="B72" s="110">
        <v>69</v>
      </c>
      <c r="C72" s="2"/>
      <c r="D72" s="1"/>
      <c r="E72" s="3"/>
      <c r="F72" s="1"/>
      <c r="G72" s="95">
        <f>IF(Basic34567891011121314151617181920212223242526272829303132[[#This Row],[نوع الخدمة]]="مخالفات", 50,
IF(Basic34567891011121314151617181920212223242526272829303132[[#This Row],[نوع الخدمة]]="كاش ان",
    IF(F72&lt;=100, 18, IF(F72&lt;=250, 23, IF(F72&lt;=500, 35, IF(F72&lt;=1000, 40, F72*0.04)))),
IF(Basic34567891011121314151617181920212223242526272829303132[[#This Row],[نوع الخدمة]]="كاش اوت",
    IF(F72&lt;=100, 15, IF(F72&lt;=250, 20, IF(F72&lt;=500, 30, IF(F72&lt;=1000, 35, F72*0.035)))),
0)))</f>
        <v>0</v>
      </c>
      <c r="H72" s="95">
        <f>IF(I72="مخالفات",50,Basic34567891011121314151617181920212223242526272829303132[[#This Row],[قيمة الرسوم / العموله]]+Basic34567891011121314151617181920212223242526272829303132[[#This Row],[قيمة الشحنه]])</f>
        <v>0</v>
      </c>
      <c r="I72" s="90"/>
      <c r="J72" s="111" t="str">
        <f t="shared" si="1"/>
        <v>1.5.2026</v>
      </c>
      <c r="L72" s="117">
        <v>61</v>
      </c>
      <c r="M72" s="92"/>
    </row>
    <row r="73" spans="1:13" ht="21.6" x14ac:dyDescent="0.65">
      <c r="A73" s="199"/>
      <c r="B73" s="113">
        <v>70</v>
      </c>
      <c r="C73" s="2"/>
      <c r="D73" s="1"/>
      <c r="E73" s="3"/>
      <c r="F73" s="1"/>
      <c r="G73" s="95">
        <f>IF(Basic34567891011121314151617181920212223242526272829303132[[#This Row],[نوع الخدمة]]="مخالفات", 50,
IF(Basic34567891011121314151617181920212223242526272829303132[[#This Row],[نوع الخدمة]]="كاش ان",
    IF(F73&lt;=100, 18, IF(F73&lt;=250, 23, IF(F73&lt;=500, 35, IF(F73&lt;=1000, 40, F73*0.04)))),
IF(Basic34567891011121314151617181920212223242526272829303132[[#This Row],[نوع الخدمة]]="كاش اوت",
    IF(F73&lt;=100, 15, IF(F73&lt;=250, 20, IF(F73&lt;=500, 30, IF(F73&lt;=1000, 35, F73*0.035)))),
0)))</f>
        <v>0</v>
      </c>
      <c r="H73" s="95">
        <f>IF(I73="مخالفات",50,Basic34567891011121314151617181920212223242526272829303132[[#This Row],[قيمة الرسوم / العموله]]+Basic34567891011121314151617181920212223242526272829303132[[#This Row],[قيمة الشحنه]])</f>
        <v>0</v>
      </c>
      <c r="I73" s="90"/>
      <c r="J73" s="111" t="str">
        <f t="shared" si="1"/>
        <v>1.5.2026</v>
      </c>
      <c r="L73" s="117">
        <v>62</v>
      </c>
      <c r="M73" s="92"/>
    </row>
    <row r="74" spans="1:13" ht="21.6" x14ac:dyDescent="0.65">
      <c r="A74" s="199"/>
      <c r="B74" s="110">
        <v>71</v>
      </c>
      <c r="C74" s="2"/>
      <c r="D74" s="1"/>
      <c r="E74" s="3"/>
      <c r="F74" s="1"/>
      <c r="G74" s="95">
        <f>IF(Basic34567891011121314151617181920212223242526272829303132[[#This Row],[نوع الخدمة]]="مخالفات", 50,
IF(Basic34567891011121314151617181920212223242526272829303132[[#This Row],[نوع الخدمة]]="كاش ان",
    IF(F74&lt;=100, 18, IF(F74&lt;=250, 23, IF(F74&lt;=500, 35, IF(F74&lt;=1000, 40, F74*0.04)))),
IF(Basic34567891011121314151617181920212223242526272829303132[[#This Row],[نوع الخدمة]]="كاش اوت",
    IF(F74&lt;=100, 15, IF(F74&lt;=250, 20, IF(F74&lt;=500, 30, IF(F74&lt;=1000, 35, F74*0.035)))),
0)))</f>
        <v>0</v>
      </c>
      <c r="H74" s="95">
        <f>IF(I74="مخالفات",50,Basic34567891011121314151617181920212223242526272829303132[[#This Row],[قيمة الرسوم / العموله]]+Basic34567891011121314151617181920212223242526272829303132[[#This Row],[قيمة الشحنه]])</f>
        <v>0</v>
      </c>
      <c r="I74" s="90"/>
      <c r="J74" s="111" t="str">
        <f t="shared" si="1"/>
        <v>1.5.2026</v>
      </c>
      <c r="L74" s="117">
        <v>63</v>
      </c>
      <c r="M74" s="92"/>
    </row>
    <row r="75" spans="1:13" ht="21.6" x14ac:dyDescent="0.65">
      <c r="A75" s="199"/>
      <c r="B75" s="110">
        <v>72</v>
      </c>
      <c r="C75" s="2"/>
      <c r="D75" s="1"/>
      <c r="E75" s="3"/>
      <c r="F75" s="1"/>
      <c r="G75" s="95">
        <f>IF(Basic34567891011121314151617181920212223242526272829303132[[#This Row],[نوع الخدمة]]="مخالفات", 50,
IF(Basic34567891011121314151617181920212223242526272829303132[[#This Row],[نوع الخدمة]]="كاش ان",
    IF(F75&lt;=100, 18, IF(F75&lt;=250, 23, IF(F75&lt;=500, 35, IF(F75&lt;=1000, 40, F75*0.04)))),
IF(Basic34567891011121314151617181920212223242526272829303132[[#This Row],[نوع الخدمة]]="كاش اوت",
    IF(F75&lt;=100, 15, IF(F75&lt;=250, 20, IF(F75&lt;=500, 30, IF(F75&lt;=1000, 35, F75*0.035)))),
0)))</f>
        <v>0</v>
      </c>
      <c r="H75" s="95">
        <f>IF(I75="مخالفات",50,Basic34567891011121314151617181920212223242526272829303132[[#This Row],[قيمة الرسوم / العموله]]+Basic34567891011121314151617181920212223242526272829303132[[#This Row],[قيمة الشحنه]])</f>
        <v>0</v>
      </c>
      <c r="I75" s="90"/>
      <c r="J75" s="111" t="str">
        <f t="shared" si="1"/>
        <v>1.5.2026</v>
      </c>
      <c r="L75" s="117">
        <v>64</v>
      </c>
      <c r="M75" s="92"/>
    </row>
    <row r="76" spans="1:13" ht="21.6" x14ac:dyDescent="0.65">
      <c r="A76" s="199"/>
      <c r="B76" s="110">
        <v>73</v>
      </c>
      <c r="C76" s="2"/>
      <c r="D76" s="1"/>
      <c r="E76" s="3"/>
      <c r="F76" s="1"/>
      <c r="G76" s="95">
        <f>IF(Basic34567891011121314151617181920212223242526272829303132[[#This Row],[نوع الخدمة]]="مخالفات", 50,
IF(Basic34567891011121314151617181920212223242526272829303132[[#This Row],[نوع الخدمة]]="كاش ان",
    IF(F76&lt;=100, 18, IF(F76&lt;=250, 23, IF(F76&lt;=500, 35, IF(F76&lt;=1000, 40, F76*0.04)))),
IF(Basic34567891011121314151617181920212223242526272829303132[[#This Row],[نوع الخدمة]]="كاش اوت",
    IF(F76&lt;=100, 15, IF(F76&lt;=250, 20, IF(F76&lt;=500, 30, IF(F76&lt;=1000, 35, F76*0.035)))),
0)))</f>
        <v>0</v>
      </c>
      <c r="H76" s="95">
        <f>IF(I76="مخالفات",50,Basic34567891011121314151617181920212223242526272829303132[[#This Row],[قيمة الرسوم / العموله]]+Basic34567891011121314151617181920212223242526272829303132[[#This Row],[قيمة الشحنه]])</f>
        <v>0</v>
      </c>
      <c r="I76" s="90"/>
      <c r="J76" s="111" t="str">
        <f t="shared" si="1"/>
        <v>1.5.2026</v>
      </c>
      <c r="L76" s="117">
        <v>65</v>
      </c>
      <c r="M76" s="92"/>
    </row>
    <row r="77" spans="1:13" ht="21.6" x14ac:dyDescent="0.65">
      <c r="A77" s="199"/>
      <c r="B77" s="113">
        <v>74</v>
      </c>
      <c r="C77" s="2"/>
      <c r="D77" s="1"/>
      <c r="E77" s="3"/>
      <c r="F77" s="1"/>
      <c r="G77" s="95">
        <f>IF(Basic34567891011121314151617181920212223242526272829303132[[#This Row],[نوع الخدمة]]="مخالفات", 50,
IF(Basic34567891011121314151617181920212223242526272829303132[[#This Row],[نوع الخدمة]]="كاش ان",
    IF(F77&lt;=100, 18, IF(F77&lt;=250, 23, IF(F77&lt;=500, 35, IF(F77&lt;=1000, 40, F77*0.04)))),
IF(Basic34567891011121314151617181920212223242526272829303132[[#This Row],[نوع الخدمة]]="كاش اوت",
    IF(F77&lt;=100, 15, IF(F77&lt;=250, 20, IF(F77&lt;=500, 30, IF(F77&lt;=1000, 35, F77*0.035)))),
0)))</f>
        <v>0</v>
      </c>
      <c r="H77" s="95">
        <f>IF(I77="مخالفات",50,Basic34567891011121314151617181920212223242526272829303132[[#This Row],[قيمة الرسوم / العموله]]+Basic34567891011121314151617181920212223242526272829303132[[#This Row],[قيمة الشحنه]])</f>
        <v>0</v>
      </c>
      <c r="I77" s="90"/>
      <c r="J77" s="111" t="str">
        <f t="shared" si="1"/>
        <v>1.5.2026</v>
      </c>
      <c r="L77" s="117">
        <v>66</v>
      </c>
      <c r="M77" s="92"/>
    </row>
    <row r="78" spans="1:13" ht="21.6" x14ac:dyDescent="0.65">
      <c r="A78" s="199"/>
      <c r="B78" s="110">
        <v>75</v>
      </c>
      <c r="C78" s="2"/>
      <c r="D78" s="1"/>
      <c r="E78" s="3"/>
      <c r="F78" s="1"/>
      <c r="G78" s="95">
        <f>IF(Basic34567891011121314151617181920212223242526272829303132[[#This Row],[نوع الخدمة]]="مخالفات", 50,
IF(Basic34567891011121314151617181920212223242526272829303132[[#This Row],[نوع الخدمة]]="كاش ان",
    IF(F78&lt;=100, 18, IF(F78&lt;=250, 23, IF(F78&lt;=500, 35, IF(F78&lt;=1000, 40, F78*0.04)))),
IF(Basic34567891011121314151617181920212223242526272829303132[[#This Row],[نوع الخدمة]]="كاش اوت",
    IF(F78&lt;=100, 15, IF(F78&lt;=250, 20, IF(F78&lt;=500, 30, IF(F78&lt;=1000, 35, F78*0.035)))),
0)))</f>
        <v>0</v>
      </c>
      <c r="H78" s="95">
        <f>IF(I78="مخالفات",50,Basic34567891011121314151617181920212223242526272829303132[[#This Row],[قيمة الرسوم / العموله]]+Basic34567891011121314151617181920212223242526272829303132[[#This Row],[قيمة الشحنه]])</f>
        <v>0</v>
      </c>
      <c r="I78" s="90"/>
      <c r="J78" s="111" t="str">
        <f t="shared" si="1"/>
        <v>1.5.2026</v>
      </c>
      <c r="L78" s="117">
        <v>67</v>
      </c>
      <c r="M78" s="92"/>
    </row>
    <row r="79" spans="1:13" ht="21.6" x14ac:dyDescent="0.65">
      <c r="A79" s="199"/>
      <c r="B79" s="110">
        <v>76</v>
      </c>
      <c r="C79" s="2"/>
      <c r="D79" s="1"/>
      <c r="E79" s="3"/>
      <c r="F79" s="1"/>
      <c r="G79" s="95">
        <f>IF(Basic34567891011121314151617181920212223242526272829303132[[#This Row],[نوع الخدمة]]="مخالفات", 50,
IF(Basic34567891011121314151617181920212223242526272829303132[[#This Row],[نوع الخدمة]]="كاش ان",
    IF(F79&lt;=100, 18, IF(F79&lt;=250, 23, IF(F79&lt;=500, 35, IF(F79&lt;=1000, 40, F79*0.04)))),
IF(Basic34567891011121314151617181920212223242526272829303132[[#This Row],[نوع الخدمة]]="كاش اوت",
    IF(F79&lt;=100, 15, IF(F79&lt;=250, 20, IF(F79&lt;=500, 30, IF(F79&lt;=1000, 35, F79*0.035)))),
0)))</f>
        <v>0</v>
      </c>
      <c r="H79" s="95">
        <f>IF(I79="مخالفات",50,Basic34567891011121314151617181920212223242526272829303132[[#This Row],[قيمة الرسوم / العموله]]+Basic34567891011121314151617181920212223242526272829303132[[#This Row],[قيمة الشحنه]])</f>
        <v>0</v>
      </c>
      <c r="I79" s="90"/>
      <c r="J79" s="111" t="str">
        <f t="shared" si="1"/>
        <v>1.5.2026</v>
      </c>
      <c r="L79" s="117">
        <v>68</v>
      </c>
      <c r="M79" s="92"/>
    </row>
    <row r="80" spans="1:13" ht="21.6" x14ac:dyDescent="0.65">
      <c r="A80" s="199"/>
      <c r="B80" s="110">
        <v>77</v>
      </c>
      <c r="C80" s="2"/>
      <c r="D80" s="1"/>
      <c r="E80" s="3"/>
      <c r="F80" s="1"/>
      <c r="G80" s="95">
        <f>IF(Basic34567891011121314151617181920212223242526272829303132[[#This Row],[نوع الخدمة]]="مخالفات", 50,
IF(Basic34567891011121314151617181920212223242526272829303132[[#This Row],[نوع الخدمة]]="كاش ان",
    IF(F80&lt;=100, 18, IF(F80&lt;=250, 23, IF(F80&lt;=500, 35, IF(F80&lt;=1000, 40, F80*0.04)))),
IF(Basic34567891011121314151617181920212223242526272829303132[[#This Row],[نوع الخدمة]]="كاش اوت",
    IF(F80&lt;=100, 15, IF(F80&lt;=250, 20, IF(F80&lt;=500, 30, IF(F80&lt;=1000, 35, F80*0.035)))),
0)))</f>
        <v>0</v>
      </c>
      <c r="H80" s="95">
        <f>IF(I80="مخالفات",50,Basic34567891011121314151617181920212223242526272829303132[[#This Row],[قيمة الرسوم / العموله]]+Basic34567891011121314151617181920212223242526272829303132[[#This Row],[قيمة الشحنه]])</f>
        <v>0</v>
      </c>
      <c r="I80" s="90"/>
      <c r="J80" s="111" t="str">
        <f t="shared" si="1"/>
        <v>1.5.2026</v>
      </c>
      <c r="L80" s="117">
        <v>69</v>
      </c>
      <c r="M80" s="92"/>
    </row>
    <row r="81" spans="1:13" ht="21.6" x14ac:dyDescent="0.65">
      <c r="A81" s="199"/>
      <c r="B81" s="113">
        <v>78</v>
      </c>
      <c r="C81" s="2"/>
      <c r="D81" s="1"/>
      <c r="E81" s="3"/>
      <c r="F81" s="1"/>
      <c r="G81" s="95">
        <f>IF(Basic34567891011121314151617181920212223242526272829303132[[#This Row],[نوع الخدمة]]="مخالفات", 50,
IF(Basic34567891011121314151617181920212223242526272829303132[[#This Row],[نوع الخدمة]]="كاش ان",
    IF(F81&lt;=100, 18, IF(F81&lt;=250, 23, IF(F81&lt;=500, 35, IF(F81&lt;=1000, 40, F81*0.04)))),
IF(Basic34567891011121314151617181920212223242526272829303132[[#This Row],[نوع الخدمة]]="كاش اوت",
    IF(F81&lt;=100, 15, IF(F81&lt;=250, 20, IF(F81&lt;=500, 30, IF(F81&lt;=1000, 35, F81*0.035)))),
0)))</f>
        <v>0</v>
      </c>
      <c r="H81" s="95">
        <f>IF(I81="مخالفات",50,Basic34567891011121314151617181920212223242526272829303132[[#This Row],[قيمة الرسوم / العموله]]+Basic34567891011121314151617181920212223242526272829303132[[#This Row],[قيمة الشحنه]])</f>
        <v>0</v>
      </c>
      <c r="I81" s="90"/>
      <c r="J81" s="111" t="str">
        <f t="shared" si="1"/>
        <v>1.5.2026</v>
      </c>
      <c r="L81" s="117">
        <v>70</v>
      </c>
      <c r="M81" s="92"/>
    </row>
    <row r="82" spans="1:13" ht="21.6" x14ac:dyDescent="0.65">
      <c r="A82" s="199"/>
      <c r="B82" s="110">
        <v>79</v>
      </c>
      <c r="C82" s="2"/>
      <c r="D82" s="1"/>
      <c r="E82" s="3"/>
      <c r="F82" s="1"/>
      <c r="G82" s="95">
        <f>IF(Basic34567891011121314151617181920212223242526272829303132[[#This Row],[نوع الخدمة]]="مخالفات", 50,
IF(Basic34567891011121314151617181920212223242526272829303132[[#This Row],[نوع الخدمة]]="كاش ان",
    IF(F82&lt;=100, 18, IF(F82&lt;=250, 23, IF(F82&lt;=500, 35, IF(F82&lt;=1000, 40, F82*0.04)))),
IF(Basic34567891011121314151617181920212223242526272829303132[[#This Row],[نوع الخدمة]]="كاش اوت",
    IF(F82&lt;=100, 15, IF(F82&lt;=250, 20, IF(F82&lt;=500, 30, IF(F82&lt;=1000, 35, F82*0.035)))),
0)))</f>
        <v>0</v>
      </c>
      <c r="H82" s="95">
        <f>IF(I82="مخالفات",50,Basic34567891011121314151617181920212223242526272829303132[[#This Row],[قيمة الرسوم / العموله]]+Basic34567891011121314151617181920212223242526272829303132[[#This Row],[قيمة الشحنه]])</f>
        <v>0</v>
      </c>
      <c r="I82" s="90"/>
      <c r="J82" s="111" t="str">
        <f t="shared" si="1"/>
        <v>1.5.2026</v>
      </c>
      <c r="L82" s="117">
        <v>71</v>
      </c>
      <c r="M82" s="92"/>
    </row>
    <row r="83" spans="1:13" ht="21.6" x14ac:dyDescent="0.65">
      <c r="A83" s="199"/>
      <c r="B83" s="110">
        <v>80</v>
      </c>
      <c r="C83" s="2"/>
      <c r="D83" s="1"/>
      <c r="E83" s="3"/>
      <c r="F83" s="1"/>
      <c r="G83" s="95">
        <f>IF(Basic34567891011121314151617181920212223242526272829303132[[#This Row],[نوع الخدمة]]="مخالفات", 50,
IF(Basic34567891011121314151617181920212223242526272829303132[[#This Row],[نوع الخدمة]]="كاش ان",
    IF(F83&lt;=100, 18, IF(F83&lt;=250, 23, IF(F83&lt;=500, 35, IF(F83&lt;=1000, 40, F83*0.04)))),
IF(Basic34567891011121314151617181920212223242526272829303132[[#This Row],[نوع الخدمة]]="كاش اوت",
    IF(F83&lt;=100, 15, IF(F83&lt;=250, 20, IF(F83&lt;=500, 30, IF(F83&lt;=1000, 35, F83*0.035)))),
0)))</f>
        <v>0</v>
      </c>
      <c r="H83" s="95">
        <f>IF(I83="مخالفات",50,Basic34567891011121314151617181920212223242526272829303132[[#This Row],[قيمة الرسوم / العموله]]+Basic34567891011121314151617181920212223242526272829303132[[#This Row],[قيمة الشحنه]])</f>
        <v>0</v>
      </c>
      <c r="I83" s="90"/>
      <c r="J83" s="111" t="str">
        <f t="shared" si="1"/>
        <v>1.5.2026</v>
      </c>
      <c r="L83" s="117">
        <v>72</v>
      </c>
      <c r="M83" s="92"/>
    </row>
    <row r="84" spans="1:13" ht="21.6" x14ac:dyDescent="0.65">
      <c r="A84" s="199"/>
      <c r="B84" s="110">
        <v>81</v>
      </c>
      <c r="C84" s="2"/>
      <c r="D84" s="1"/>
      <c r="E84" s="3"/>
      <c r="F84" s="1"/>
      <c r="G84" s="95">
        <f>IF(Basic34567891011121314151617181920212223242526272829303132[[#This Row],[نوع الخدمة]]="مخالفات", 50,
IF(Basic34567891011121314151617181920212223242526272829303132[[#This Row],[نوع الخدمة]]="كاش ان",
    IF(F84&lt;=100, 18, IF(F84&lt;=250, 23, IF(F84&lt;=500, 35, IF(F84&lt;=1000, 40, F84*0.04)))),
IF(Basic34567891011121314151617181920212223242526272829303132[[#This Row],[نوع الخدمة]]="كاش اوت",
    IF(F84&lt;=100, 15, IF(F84&lt;=250, 20, IF(F84&lt;=500, 30, IF(F84&lt;=1000, 35, F84*0.035)))),
0)))</f>
        <v>0</v>
      </c>
      <c r="H84" s="95">
        <f>IF(I84="مخالفات",50,Basic34567891011121314151617181920212223242526272829303132[[#This Row],[قيمة الرسوم / العموله]]+Basic34567891011121314151617181920212223242526272829303132[[#This Row],[قيمة الشحنه]])</f>
        <v>0</v>
      </c>
      <c r="I84" s="90"/>
      <c r="J84" s="111" t="str">
        <f t="shared" si="1"/>
        <v>1.5.2026</v>
      </c>
      <c r="L84" s="117">
        <v>73</v>
      </c>
      <c r="M84" s="92"/>
    </row>
    <row r="85" spans="1:13" ht="21.6" x14ac:dyDescent="0.65">
      <c r="A85" s="199"/>
      <c r="B85" s="113">
        <v>82</v>
      </c>
      <c r="C85" s="2"/>
      <c r="D85" s="1"/>
      <c r="E85" s="3"/>
      <c r="F85" s="1"/>
      <c r="G85" s="95">
        <f>IF(Basic34567891011121314151617181920212223242526272829303132[[#This Row],[نوع الخدمة]]="مخالفات", 50,
IF(Basic34567891011121314151617181920212223242526272829303132[[#This Row],[نوع الخدمة]]="كاش ان",
    IF(F85&lt;=100, 18, IF(F85&lt;=250, 23, IF(F85&lt;=500, 35, IF(F85&lt;=1000, 40, F85*0.04)))),
IF(Basic34567891011121314151617181920212223242526272829303132[[#This Row],[نوع الخدمة]]="كاش اوت",
    IF(F85&lt;=100, 15, IF(F85&lt;=250, 20, IF(F85&lt;=500, 30, IF(F85&lt;=1000, 35, F85*0.035)))),
0)))</f>
        <v>0</v>
      </c>
      <c r="H85" s="95">
        <f>IF(I85="مخالفات",50,Basic34567891011121314151617181920212223242526272829303132[[#This Row],[قيمة الرسوم / العموله]]+Basic34567891011121314151617181920212223242526272829303132[[#This Row],[قيمة الشحنه]])</f>
        <v>0</v>
      </c>
      <c r="I85" s="90"/>
      <c r="J85" s="111" t="str">
        <f t="shared" si="1"/>
        <v>1.5.2026</v>
      </c>
      <c r="L85" s="117">
        <v>74</v>
      </c>
      <c r="M85" s="92"/>
    </row>
    <row r="86" spans="1:13" ht="21.6" x14ac:dyDescent="0.65">
      <c r="A86" s="199"/>
      <c r="B86" s="110">
        <v>83</v>
      </c>
      <c r="C86" s="2"/>
      <c r="D86" s="1"/>
      <c r="E86" s="3"/>
      <c r="F86" s="1"/>
      <c r="G86" s="95">
        <f>IF(Basic34567891011121314151617181920212223242526272829303132[[#This Row],[نوع الخدمة]]="مخالفات", 50,
IF(Basic34567891011121314151617181920212223242526272829303132[[#This Row],[نوع الخدمة]]="كاش ان",
    IF(F86&lt;=100, 18, IF(F86&lt;=250, 23, IF(F86&lt;=500, 35, IF(F86&lt;=1000, 40, F86*0.04)))),
IF(Basic34567891011121314151617181920212223242526272829303132[[#This Row],[نوع الخدمة]]="كاش اوت",
    IF(F86&lt;=100, 15, IF(F86&lt;=250, 20, IF(F86&lt;=500, 30, IF(F86&lt;=1000, 35, F86*0.035)))),
0)))</f>
        <v>0</v>
      </c>
      <c r="H86" s="95">
        <f>IF(I86="مخالفات",50,Basic34567891011121314151617181920212223242526272829303132[[#This Row],[قيمة الرسوم / العموله]]+Basic34567891011121314151617181920212223242526272829303132[[#This Row],[قيمة الشحنه]])</f>
        <v>0</v>
      </c>
      <c r="I86" s="90"/>
      <c r="J86" s="111" t="str">
        <f t="shared" si="1"/>
        <v>1.5.2026</v>
      </c>
      <c r="L86" s="117">
        <v>75</v>
      </c>
      <c r="M86" s="92"/>
    </row>
    <row r="87" spans="1:13" ht="21.6" x14ac:dyDescent="0.65">
      <c r="A87" s="199"/>
      <c r="B87" s="110">
        <v>84</v>
      </c>
      <c r="C87" s="2"/>
      <c r="D87" s="1"/>
      <c r="E87" s="3"/>
      <c r="F87" s="1"/>
      <c r="G87" s="95">
        <f>IF(Basic34567891011121314151617181920212223242526272829303132[[#This Row],[نوع الخدمة]]="مخالفات", 50,
IF(Basic34567891011121314151617181920212223242526272829303132[[#This Row],[نوع الخدمة]]="كاش ان",
    IF(F87&lt;=100, 18, IF(F87&lt;=250, 23, IF(F87&lt;=500, 35, IF(F87&lt;=1000, 40, F87*0.04)))),
IF(Basic34567891011121314151617181920212223242526272829303132[[#This Row],[نوع الخدمة]]="كاش اوت",
    IF(F87&lt;=100, 15, IF(F87&lt;=250, 20, IF(F87&lt;=500, 30, IF(F87&lt;=1000, 35, F87*0.035)))),
0)))</f>
        <v>0</v>
      </c>
      <c r="H87" s="95">
        <f>IF(I87="مخالفات",50,Basic34567891011121314151617181920212223242526272829303132[[#This Row],[قيمة الرسوم / العموله]]+Basic34567891011121314151617181920212223242526272829303132[[#This Row],[قيمة الشحنه]])</f>
        <v>0</v>
      </c>
      <c r="I87" s="90"/>
      <c r="J87" s="111" t="str">
        <f t="shared" si="1"/>
        <v>1.5.2026</v>
      </c>
      <c r="L87" s="117">
        <v>76</v>
      </c>
      <c r="M87" s="92"/>
    </row>
    <row r="88" spans="1:13" ht="21.6" x14ac:dyDescent="0.65">
      <c r="A88" s="199"/>
      <c r="B88" s="110">
        <v>85</v>
      </c>
      <c r="C88" s="2"/>
      <c r="D88" s="1"/>
      <c r="E88" s="3"/>
      <c r="F88" s="1"/>
      <c r="G88" s="95">
        <f>IF(Basic34567891011121314151617181920212223242526272829303132[[#This Row],[نوع الخدمة]]="مخالفات", 50,
IF(Basic34567891011121314151617181920212223242526272829303132[[#This Row],[نوع الخدمة]]="كاش ان",
    IF(F88&lt;=100, 18, IF(F88&lt;=250, 23, IF(F88&lt;=500, 35, IF(F88&lt;=1000, 40, F88*0.04)))),
IF(Basic34567891011121314151617181920212223242526272829303132[[#This Row],[نوع الخدمة]]="كاش اوت",
    IF(F88&lt;=100, 15, IF(F88&lt;=250, 20, IF(F88&lt;=500, 30, IF(F88&lt;=1000, 35, F88*0.035)))),
0)))</f>
        <v>0</v>
      </c>
      <c r="H88" s="95">
        <f>IF(I88="مخالفات",50,Basic34567891011121314151617181920212223242526272829303132[[#This Row],[قيمة الرسوم / العموله]]+Basic34567891011121314151617181920212223242526272829303132[[#This Row],[قيمة الشحنه]])</f>
        <v>0</v>
      </c>
      <c r="I88" s="90"/>
      <c r="J88" s="111" t="str">
        <f t="shared" si="1"/>
        <v>1.5.2026</v>
      </c>
      <c r="L88" s="117">
        <v>77</v>
      </c>
      <c r="M88" s="92"/>
    </row>
    <row r="89" spans="1:13" ht="21.6" x14ac:dyDescent="0.65">
      <c r="A89" s="199"/>
      <c r="B89" s="113">
        <v>86</v>
      </c>
      <c r="C89" s="2"/>
      <c r="D89" s="1"/>
      <c r="E89" s="3"/>
      <c r="F89" s="1"/>
      <c r="G89" s="95">
        <f>IF(Basic34567891011121314151617181920212223242526272829303132[[#This Row],[نوع الخدمة]]="مخالفات", 50,
IF(Basic34567891011121314151617181920212223242526272829303132[[#This Row],[نوع الخدمة]]="كاش ان",
    IF(F89&lt;=100, 18, IF(F89&lt;=250, 23, IF(F89&lt;=500, 35, IF(F89&lt;=1000, 40, F89*0.04)))),
IF(Basic34567891011121314151617181920212223242526272829303132[[#This Row],[نوع الخدمة]]="كاش اوت",
    IF(F89&lt;=100, 15, IF(F89&lt;=250, 20, IF(F89&lt;=500, 30, IF(F89&lt;=1000, 35, F89*0.035)))),
0)))</f>
        <v>0</v>
      </c>
      <c r="H89" s="95">
        <f>IF(I89="مخالفات",50,Basic34567891011121314151617181920212223242526272829303132[[#This Row],[قيمة الرسوم / العموله]]+Basic34567891011121314151617181920212223242526272829303132[[#This Row],[قيمة الشحنه]])</f>
        <v>0</v>
      </c>
      <c r="I89" s="90"/>
      <c r="J89" s="111" t="str">
        <f t="shared" si="1"/>
        <v>1.5.2026</v>
      </c>
      <c r="L89" s="117">
        <v>78</v>
      </c>
      <c r="M89" s="92"/>
    </row>
    <row r="90" spans="1:13" ht="21.6" x14ac:dyDescent="0.65">
      <c r="A90" s="199"/>
      <c r="B90" s="110">
        <v>87</v>
      </c>
      <c r="C90" s="2"/>
      <c r="D90" s="1"/>
      <c r="E90" s="3"/>
      <c r="F90" s="1"/>
      <c r="G90" s="95">
        <f>IF(Basic34567891011121314151617181920212223242526272829303132[[#This Row],[نوع الخدمة]]="مخالفات", 50,
IF(Basic34567891011121314151617181920212223242526272829303132[[#This Row],[نوع الخدمة]]="كاش ان",
    IF(F90&lt;=100, 18, IF(F90&lt;=250, 23, IF(F90&lt;=500, 35, IF(F90&lt;=1000, 40, F90*0.04)))),
IF(Basic34567891011121314151617181920212223242526272829303132[[#This Row],[نوع الخدمة]]="كاش اوت",
    IF(F90&lt;=100, 15, IF(F90&lt;=250, 20, IF(F90&lt;=500, 30, IF(F90&lt;=1000, 35, F90*0.035)))),
0)))</f>
        <v>0</v>
      </c>
      <c r="H90" s="95">
        <f>IF(I90="مخالفات",50,Basic34567891011121314151617181920212223242526272829303132[[#This Row],[قيمة الرسوم / العموله]]+Basic34567891011121314151617181920212223242526272829303132[[#This Row],[قيمة الشحنه]])</f>
        <v>0</v>
      </c>
      <c r="I90" s="90"/>
      <c r="J90" s="111" t="str">
        <f t="shared" si="1"/>
        <v>1.5.2026</v>
      </c>
      <c r="L90" s="117">
        <v>79</v>
      </c>
      <c r="M90" s="92"/>
    </row>
    <row r="91" spans="1:13" ht="21.6" x14ac:dyDescent="0.65">
      <c r="A91" s="199"/>
      <c r="B91" s="110">
        <v>88</v>
      </c>
      <c r="C91" s="2"/>
      <c r="D91" s="1"/>
      <c r="E91" s="3"/>
      <c r="F91" s="1"/>
      <c r="G91" s="95">
        <f>IF(Basic34567891011121314151617181920212223242526272829303132[[#This Row],[نوع الخدمة]]="مخالفات", 50,
IF(Basic34567891011121314151617181920212223242526272829303132[[#This Row],[نوع الخدمة]]="كاش ان",
    IF(F91&lt;=100, 18, IF(F91&lt;=250, 23, IF(F91&lt;=500, 35, IF(F91&lt;=1000, 40, F91*0.04)))),
IF(Basic34567891011121314151617181920212223242526272829303132[[#This Row],[نوع الخدمة]]="كاش اوت",
    IF(F91&lt;=100, 15, IF(F91&lt;=250, 20, IF(F91&lt;=500, 30, IF(F91&lt;=1000, 35, F91*0.035)))),
0)))</f>
        <v>0</v>
      </c>
      <c r="H91" s="95">
        <f>IF(I91="مخالفات",50,Basic34567891011121314151617181920212223242526272829303132[[#This Row],[قيمة الرسوم / العموله]]+Basic34567891011121314151617181920212223242526272829303132[[#This Row],[قيمة الشحنه]])</f>
        <v>0</v>
      </c>
      <c r="I91" s="90"/>
      <c r="J91" s="111" t="str">
        <f t="shared" si="1"/>
        <v>1.5.2026</v>
      </c>
      <c r="L91" s="117">
        <v>80</v>
      </c>
      <c r="M91" s="92"/>
    </row>
    <row r="92" spans="1:13" ht="21.6" x14ac:dyDescent="0.65">
      <c r="A92" s="199"/>
      <c r="B92" s="110">
        <v>89</v>
      </c>
      <c r="C92" s="2"/>
      <c r="D92" s="1"/>
      <c r="E92" s="3"/>
      <c r="F92" s="1"/>
      <c r="G92" s="95">
        <f>IF(Basic34567891011121314151617181920212223242526272829303132[[#This Row],[نوع الخدمة]]="مخالفات", 50,
IF(Basic34567891011121314151617181920212223242526272829303132[[#This Row],[نوع الخدمة]]="كاش ان",
    IF(F92&lt;=100, 18, IF(F92&lt;=250, 23, IF(F92&lt;=500, 35, IF(F92&lt;=1000, 40, F92*0.04)))),
IF(Basic34567891011121314151617181920212223242526272829303132[[#This Row],[نوع الخدمة]]="كاش اوت",
    IF(F92&lt;=100, 15, IF(F92&lt;=250, 20, IF(F92&lt;=500, 30, IF(F92&lt;=1000, 35, F92*0.035)))),
0)))</f>
        <v>0</v>
      </c>
      <c r="H92" s="95">
        <f>IF(I92="مخالفات",50,Basic34567891011121314151617181920212223242526272829303132[[#This Row],[قيمة الرسوم / العموله]]+Basic34567891011121314151617181920212223242526272829303132[[#This Row],[قيمة الشحنه]])</f>
        <v>0</v>
      </c>
      <c r="I92" s="90"/>
      <c r="J92" s="111" t="str">
        <f t="shared" si="1"/>
        <v>1.5.2026</v>
      </c>
      <c r="L92" s="117">
        <v>81</v>
      </c>
      <c r="M92" s="92"/>
    </row>
    <row r="93" spans="1:13" ht="21.6" x14ac:dyDescent="0.65">
      <c r="A93" s="199"/>
      <c r="B93" s="113">
        <v>90</v>
      </c>
      <c r="C93" s="2"/>
      <c r="D93" s="1"/>
      <c r="E93" s="3"/>
      <c r="F93" s="1"/>
      <c r="G93" s="95">
        <f>IF(Basic34567891011121314151617181920212223242526272829303132[[#This Row],[نوع الخدمة]]="مخالفات", 50,
IF(Basic34567891011121314151617181920212223242526272829303132[[#This Row],[نوع الخدمة]]="كاش ان",
    IF(F93&lt;=100, 18, IF(F93&lt;=250, 23, IF(F93&lt;=500, 35, IF(F93&lt;=1000, 40, F93*0.04)))),
IF(Basic34567891011121314151617181920212223242526272829303132[[#This Row],[نوع الخدمة]]="كاش اوت",
    IF(F93&lt;=100, 15, IF(F93&lt;=250, 20, IF(F93&lt;=500, 30, IF(F93&lt;=1000, 35, F93*0.035)))),
0)))</f>
        <v>0</v>
      </c>
      <c r="H93" s="95">
        <f>IF(I93="مخالفات",50,Basic34567891011121314151617181920212223242526272829303132[[#This Row],[قيمة الرسوم / العموله]]+Basic34567891011121314151617181920212223242526272829303132[[#This Row],[قيمة الشحنه]])</f>
        <v>0</v>
      </c>
      <c r="I93" s="90"/>
      <c r="J93" s="111" t="str">
        <f t="shared" si="1"/>
        <v>1.5.2026</v>
      </c>
      <c r="L93" s="117">
        <v>82</v>
      </c>
      <c r="M93" s="92"/>
    </row>
    <row r="94" spans="1:13" ht="21.6" x14ac:dyDescent="0.65">
      <c r="A94" s="199"/>
      <c r="B94" s="110">
        <v>91</v>
      </c>
      <c r="C94" s="2"/>
      <c r="D94" s="1"/>
      <c r="E94" s="3"/>
      <c r="F94" s="1"/>
      <c r="G94" s="95">
        <f>IF(Basic34567891011121314151617181920212223242526272829303132[[#This Row],[نوع الخدمة]]="مخالفات", 50,
IF(Basic34567891011121314151617181920212223242526272829303132[[#This Row],[نوع الخدمة]]="كاش ان",
    IF(F94&lt;=100, 18, IF(F94&lt;=250, 23, IF(F94&lt;=500, 35, IF(F94&lt;=1000, 40, F94*0.04)))),
IF(Basic34567891011121314151617181920212223242526272829303132[[#This Row],[نوع الخدمة]]="كاش اوت",
    IF(F94&lt;=100, 15, IF(F94&lt;=250, 20, IF(F94&lt;=500, 30, IF(F94&lt;=1000, 35, F94*0.035)))),
0)))</f>
        <v>0</v>
      </c>
      <c r="H94" s="95">
        <f>IF(I94="مخالفات",50,Basic34567891011121314151617181920212223242526272829303132[[#This Row],[قيمة الرسوم / العموله]]+Basic34567891011121314151617181920212223242526272829303132[[#This Row],[قيمة الشحنه]])</f>
        <v>0</v>
      </c>
      <c r="I94" s="90"/>
      <c r="J94" s="111" t="str">
        <f t="shared" si="1"/>
        <v>1.5.2026</v>
      </c>
      <c r="L94" s="117">
        <v>83</v>
      </c>
      <c r="M94" s="92"/>
    </row>
    <row r="95" spans="1:13" ht="21.6" x14ac:dyDescent="0.65">
      <c r="A95" s="199"/>
      <c r="B95" s="110">
        <v>92</v>
      </c>
      <c r="C95" s="2"/>
      <c r="D95" s="1"/>
      <c r="E95" s="3"/>
      <c r="F95" s="1"/>
      <c r="G95" s="95">
        <f>IF(Basic34567891011121314151617181920212223242526272829303132[[#This Row],[نوع الخدمة]]="مخالفات", 50,
IF(Basic34567891011121314151617181920212223242526272829303132[[#This Row],[نوع الخدمة]]="كاش ان",
    IF(F95&lt;=100, 18, IF(F95&lt;=250, 23, IF(F95&lt;=500, 35, IF(F95&lt;=1000, 40, F95*0.04)))),
IF(Basic34567891011121314151617181920212223242526272829303132[[#This Row],[نوع الخدمة]]="كاش اوت",
    IF(F95&lt;=100, 15, IF(F95&lt;=250, 20, IF(F95&lt;=500, 30, IF(F95&lt;=1000, 35, F95*0.035)))),
0)))</f>
        <v>0</v>
      </c>
      <c r="H95" s="95">
        <f>IF(I95="مخالفات",50,Basic34567891011121314151617181920212223242526272829303132[[#This Row],[قيمة الرسوم / العموله]]+Basic34567891011121314151617181920212223242526272829303132[[#This Row],[قيمة الشحنه]])</f>
        <v>0</v>
      </c>
      <c r="I95" s="90"/>
      <c r="J95" s="111" t="str">
        <f t="shared" si="1"/>
        <v>1.5.2026</v>
      </c>
      <c r="L95" s="117">
        <v>84</v>
      </c>
      <c r="M95" s="92"/>
    </row>
    <row r="96" spans="1:13" ht="21.6" x14ac:dyDescent="0.65">
      <c r="A96" s="199"/>
      <c r="B96" s="110">
        <v>93</v>
      </c>
      <c r="C96" s="2"/>
      <c r="D96" s="1"/>
      <c r="E96" s="3"/>
      <c r="F96" s="1"/>
      <c r="G96" s="95">
        <f>IF(Basic34567891011121314151617181920212223242526272829303132[[#This Row],[نوع الخدمة]]="مخالفات", 50,
IF(Basic34567891011121314151617181920212223242526272829303132[[#This Row],[نوع الخدمة]]="كاش ان",
    IF(F96&lt;=100, 18, IF(F96&lt;=250, 23, IF(F96&lt;=500, 35, IF(F96&lt;=1000, 40, F96*0.04)))),
IF(Basic34567891011121314151617181920212223242526272829303132[[#This Row],[نوع الخدمة]]="كاش اوت",
    IF(F96&lt;=100, 15, IF(F96&lt;=250, 20, IF(F96&lt;=500, 30, IF(F96&lt;=1000, 35, F96*0.035)))),
0)))</f>
        <v>0</v>
      </c>
      <c r="H96" s="95">
        <f>IF(I96="مخالفات",50,Basic34567891011121314151617181920212223242526272829303132[[#This Row],[قيمة الرسوم / العموله]]+Basic34567891011121314151617181920212223242526272829303132[[#This Row],[قيمة الشحنه]])</f>
        <v>0</v>
      </c>
      <c r="I96" s="90"/>
      <c r="J96" s="111" t="str">
        <f t="shared" si="1"/>
        <v>1.5.2026</v>
      </c>
      <c r="L96" s="117">
        <v>85</v>
      </c>
      <c r="M96" s="92"/>
    </row>
    <row r="97" spans="1:13" ht="21.6" x14ac:dyDescent="0.65">
      <c r="A97" s="199"/>
      <c r="B97" s="113">
        <v>94</v>
      </c>
      <c r="C97" s="2"/>
      <c r="D97" s="1"/>
      <c r="E97" s="3"/>
      <c r="F97" s="1"/>
      <c r="G97" s="95">
        <f>IF(Basic34567891011121314151617181920212223242526272829303132[[#This Row],[نوع الخدمة]]="مخالفات", 50,
IF(Basic34567891011121314151617181920212223242526272829303132[[#This Row],[نوع الخدمة]]="كاش ان",
    IF(F97&lt;=100, 18, IF(F97&lt;=250, 23, IF(F97&lt;=500, 35, IF(F97&lt;=1000, 40, F97*0.04)))),
IF(Basic34567891011121314151617181920212223242526272829303132[[#This Row],[نوع الخدمة]]="كاش اوت",
    IF(F97&lt;=100, 15, IF(F97&lt;=250, 20, IF(F97&lt;=500, 30, IF(F97&lt;=1000, 35, F97*0.035)))),
0)))</f>
        <v>0</v>
      </c>
      <c r="H97" s="95">
        <f>IF(I97="مخالفات",50,Basic34567891011121314151617181920212223242526272829303132[[#This Row],[قيمة الرسوم / العموله]]+Basic34567891011121314151617181920212223242526272829303132[[#This Row],[قيمة الشحنه]])</f>
        <v>0</v>
      </c>
      <c r="I97" s="90"/>
      <c r="J97" s="111" t="str">
        <f t="shared" si="1"/>
        <v>1.5.2026</v>
      </c>
      <c r="L97" s="117">
        <v>86</v>
      </c>
      <c r="M97" s="92"/>
    </row>
    <row r="98" spans="1:13" ht="21.6" x14ac:dyDescent="0.65">
      <c r="A98" s="199"/>
      <c r="B98" s="110">
        <v>95</v>
      </c>
      <c r="C98" s="2"/>
      <c r="D98" s="1"/>
      <c r="E98" s="3"/>
      <c r="F98" s="1"/>
      <c r="G98" s="95">
        <f>IF(Basic34567891011121314151617181920212223242526272829303132[[#This Row],[نوع الخدمة]]="مخالفات", 50,
IF(Basic34567891011121314151617181920212223242526272829303132[[#This Row],[نوع الخدمة]]="كاش ان",
    IF(F98&lt;=100, 18, IF(F98&lt;=250, 23, IF(F98&lt;=500, 35, IF(F98&lt;=1000, 40, F98*0.04)))),
IF(Basic34567891011121314151617181920212223242526272829303132[[#This Row],[نوع الخدمة]]="كاش اوت",
    IF(F98&lt;=100, 15, IF(F98&lt;=250, 20, IF(F98&lt;=500, 30, IF(F98&lt;=1000, 35, F98*0.035)))),
0)))</f>
        <v>0</v>
      </c>
      <c r="H98" s="95">
        <f>IF(I98="مخالفات",50,Basic34567891011121314151617181920212223242526272829303132[[#This Row],[قيمة الرسوم / العموله]]+Basic34567891011121314151617181920212223242526272829303132[[#This Row],[قيمة الشحنه]])</f>
        <v>0</v>
      </c>
      <c r="I98" s="90"/>
      <c r="J98" s="111" t="str">
        <f t="shared" si="1"/>
        <v>1.5.2026</v>
      </c>
      <c r="L98" s="117">
        <v>87</v>
      </c>
      <c r="M98" s="92"/>
    </row>
    <row r="99" spans="1:13" ht="21.6" x14ac:dyDescent="0.65">
      <c r="A99" s="199"/>
      <c r="B99" s="110">
        <v>96</v>
      </c>
      <c r="C99" s="2"/>
      <c r="D99" s="1"/>
      <c r="E99" s="3"/>
      <c r="F99" s="1"/>
      <c r="G99" s="95">
        <f>IF(Basic34567891011121314151617181920212223242526272829303132[[#This Row],[نوع الخدمة]]="مخالفات", 50,
IF(Basic34567891011121314151617181920212223242526272829303132[[#This Row],[نوع الخدمة]]="كاش ان",
    IF(F99&lt;=100, 18, IF(F99&lt;=250, 23, IF(F99&lt;=500, 35, IF(F99&lt;=1000, 40, F99*0.04)))),
IF(Basic34567891011121314151617181920212223242526272829303132[[#This Row],[نوع الخدمة]]="كاش اوت",
    IF(F99&lt;=100, 15, IF(F99&lt;=250, 20, IF(F99&lt;=500, 30, IF(F99&lt;=1000, 35, F99*0.035)))),
0)))</f>
        <v>0</v>
      </c>
      <c r="H99" s="95">
        <f>IF(I99="مخالفات",50,Basic34567891011121314151617181920212223242526272829303132[[#This Row],[قيمة الرسوم / العموله]]+Basic34567891011121314151617181920212223242526272829303132[[#This Row],[قيمة الشحنه]])</f>
        <v>0</v>
      </c>
      <c r="I99" s="90"/>
      <c r="J99" s="111" t="str">
        <f t="shared" si="1"/>
        <v>1.5.2026</v>
      </c>
      <c r="L99" s="117">
        <v>88</v>
      </c>
      <c r="M99" s="92"/>
    </row>
    <row r="100" spans="1:13" ht="21.6" x14ac:dyDescent="0.65">
      <c r="A100" s="199"/>
      <c r="B100" s="110">
        <v>97</v>
      </c>
      <c r="C100" s="2"/>
      <c r="D100" s="1"/>
      <c r="E100" s="3"/>
      <c r="F100" s="1"/>
      <c r="G100" s="95">
        <f>IF(Basic34567891011121314151617181920212223242526272829303132[[#This Row],[نوع الخدمة]]="مخالفات", 50,
IF(Basic34567891011121314151617181920212223242526272829303132[[#This Row],[نوع الخدمة]]="كاش ان",
    IF(F100&lt;=100, 18, IF(F100&lt;=250, 23, IF(F100&lt;=500, 35, IF(F100&lt;=1000, 40, F100*0.04)))),
IF(Basic34567891011121314151617181920212223242526272829303132[[#This Row],[نوع الخدمة]]="كاش اوت",
    IF(F100&lt;=100, 15, IF(F100&lt;=250, 20, IF(F100&lt;=500, 30, IF(F100&lt;=1000, 35, F100*0.035)))),
0)))</f>
        <v>0</v>
      </c>
      <c r="H100" s="95">
        <f>IF(I100="مخالفات",50,Basic34567891011121314151617181920212223242526272829303132[[#This Row],[قيمة الرسوم / العموله]]+Basic34567891011121314151617181920212223242526272829303132[[#This Row],[قيمة الشحنه]])</f>
        <v>0</v>
      </c>
      <c r="I100" s="90"/>
      <c r="J100" s="111" t="str">
        <f t="shared" si="1"/>
        <v>1.5.2026</v>
      </c>
      <c r="L100" s="117">
        <v>89</v>
      </c>
      <c r="M100" s="92"/>
    </row>
    <row r="101" spans="1:13" ht="21.6" x14ac:dyDescent="0.65">
      <c r="A101" s="199"/>
      <c r="B101" s="113">
        <v>98</v>
      </c>
      <c r="C101" s="2"/>
      <c r="D101" s="1"/>
      <c r="E101" s="3"/>
      <c r="F101" s="1"/>
      <c r="G101" s="95">
        <f>IF(Basic34567891011121314151617181920212223242526272829303132[[#This Row],[نوع الخدمة]]="مخالفات", 50,
IF(Basic34567891011121314151617181920212223242526272829303132[[#This Row],[نوع الخدمة]]="كاش ان",
    IF(F101&lt;=100, 18, IF(F101&lt;=250, 23, IF(F101&lt;=500, 35, IF(F101&lt;=1000, 40, F101*0.04)))),
IF(Basic34567891011121314151617181920212223242526272829303132[[#This Row],[نوع الخدمة]]="كاش اوت",
    IF(F101&lt;=100, 15, IF(F101&lt;=250, 20, IF(F101&lt;=500, 30, IF(F101&lt;=1000, 35, F101*0.035)))),
0)))</f>
        <v>0</v>
      </c>
      <c r="H101" s="95">
        <f>IF(I101="مخالفات",50,Basic34567891011121314151617181920212223242526272829303132[[#This Row],[قيمة الرسوم / العموله]]+Basic34567891011121314151617181920212223242526272829303132[[#This Row],[قيمة الشحنه]])</f>
        <v>0</v>
      </c>
      <c r="I101" s="90"/>
      <c r="J101" s="111" t="str">
        <f t="shared" si="1"/>
        <v>1.5.2026</v>
      </c>
      <c r="L101" s="117">
        <v>90</v>
      </c>
      <c r="M101" s="92"/>
    </row>
    <row r="102" spans="1:13" ht="21.6" x14ac:dyDescent="0.65">
      <c r="A102" s="199"/>
      <c r="B102" s="110">
        <v>99</v>
      </c>
      <c r="C102" s="2"/>
      <c r="D102" s="1"/>
      <c r="E102" s="3"/>
      <c r="F102" s="1"/>
      <c r="G102" s="95">
        <f>IF(Basic34567891011121314151617181920212223242526272829303132[[#This Row],[نوع الخدمة]]="مخالفات", 50,
IF(Basic34567891011121314151617181920212223242526272829303132[[#This Row],[نوع الخدمة]]="كاش ان",
    IF(F102&lt;=100, 18, IF(F102&lt;=250, 23, IF(F102&lt;=500, 35, IF(F102&lt;=1000, 40, F102*0.04)))),
IF(Basic34567891011121314151617181920212223242526272829303132[[#This Row],[نوع الخدمة]]="كاش اوت",
    IF(F102&lt;=100, 15, IF(F102&lt;=250, 20, IF(F102&lt;=500, 30, IF(F102&lt;=1000, 35, F102*0.035)))),
0)))</f>
        <v>0</v>
      </c>
      <c r="H102" s="95">
        <f>IF(I102="مخالفات",50,Basic34567891011121314151617181920212223242526272829303132[[#This Row],[قيمة الرسوم / العموله]]+Basic34567891011121314151617181920212223242526272829303132[[#This Row],[قيمة الشحنه]])</f>
        <v>0</v>
      </c>
      <c r="I102" s="90"/>
      <c r="J102" s="111" t="str">
        <f t="shared" si="1"/>
        <v>1.5.2026</v>
      </c>
      <c r="L102" s="117">
        <v>91</v>
      </c>
      <c r="M102" s="92"/>
    </row>
    <row r="103" spans="1:13" ht="21.6" x14ac:dyDescent="0.65">
      <c r="A103" s="199"/>
      <c r="B103" s="110">
        <v>100</v>
      </c>
      <c r="C103" s="2"/>
      <c r="D103" s="1"/>
      <c r="E103" s="3"/>
      <c r="F103" s="1"/>
      <c r="G103" s="95">
        <f>IF(Basic34567891011121314151617181920212223242526272829303132[[#This Row],[نوع الخدمة]]="مخالفات", 50,
IF(Basic34567891011121314151617181920212223242526272829303132[[#This Row],[نوع الخدمة]]="كاش ان",
    IF(F103&lt;=100, 18, IF(F103&lt;=250, 23, IF(F103&lt;=500, 35, IF(F103&lt;=1000, 40, F103*0.04)))),
IF(Basic34567891011121314151617181920212223242526272829303132[[#This Row],[نوع الخدمة]]="كاش اوت",
    IF(F103&lt;=100, 15, IF(F103&lt;=250, 20, IF(F103&lt;=500, 30, IF(F103&lt;=1000, 35, F103*0.035)))),
0)))</f>
        <v>0</v>
      </c>
      <c r="H103" s="95">
        <f>IF(I103="مخالفات",50,Basic34567891011121314151617181920212223242526272829303132[[#This Row],[قيمة الرسوم / العموله]]+Basic34567891011121314151617181920212223242526272829303132[[#This Row],[قيمة الشحنه]])</f>
        <v>0</v>
      </c>
      <c r="I103" s="90"/>
      <c r="J103" s="111" t="str">
        <f t="shared" si="1"/>
        <v>1.5.2026</v>
      </c>
      <c r="L103" s="117">
        <v>92</v>
      </c>
      <c r="M103" s="92"/>
    </row>
    <row r="104" spans="1:13" ht="21.6" x14ac:dyDescent="0.65">
      <c r="A104" s="199"/>
      <c r="B104" s="110">
        <v>101</v>
      </c>
      <c r="C104" s="2"/>
      <c r="D104" s="1"/>
      <c r="E104" s="3"/>
      <c r="F104" s="1"/>
      <c r="G104" s="95">
        <f>IF(Basic34567891011121314151617181920212223242526272829303132[[#This Row],[نوع الخدمة]]="مخالفات", 50,
IF(Basic34567891011121314151617181920212223242526272829303132[[#This Row],[نوع الخدمة]]="كاش ان",
    IF(F104&lt;=100, 18, IF(F104&lt;=250, 23, IF(F104&lt;=500, 35, IF(F104&lt;=1000, 40, F104*0.04)))),
IF(Basic34567891011121314151617181920212223242526272829303132[[#This Row],[نوع الخدمة]]="كاش اوت",
    IF(F104&lt;=100, 15, IF(F104&lt;=250, 20, IF(F104&lt;=500, 30, IF(F104&lt;=1000, 35, F104*0.035)))),
0)))</f>
        <v>0</v>
      </c>
      <c r="H104" s="95">
        <f>IF(I104="مخالفات",50,Basic34567891011121314151617181920212223242526272829303132[[#This Row],[قيمة الرسوم / العموله]]+Basic34567891011121314151617181920212223242526272829303132[[#This Row],[قيمة الشحنه]])</f>
        <v>0</v>
      </c>
      <c r="I104" s="90"/>
      <c r="J104" s="111" t="str">
        <f t="shared" si="1"/>
        <v>1.5.2026</v>
      </c>
      <c r="L104" s="117">
        <v>93</v>
      </c>
      <c r="M104" s="92"/>
    </row>
    <row r="105" spans="1:13" ht="21.6" x14ac:dyDescent="0.65">
      <c r="A105" s="199"/>
      <c r="B105" s="113">
        <v>102</v>
      </c>
      <c r="C105" s="2"/>
      <c r="D105" s="1"/>
      <c r="E105" s="3"/>
      <c r="F105" s="1"/>
      <c r="G105" s="95">
        <f>IF(Basic34567891011121314151617181920212223242526272829303132[[#This Row],[نوع الخدمة]]="مخالفات", 50,
IF(Basic34567891011121314151617181920212223242526272829303132[[#This Row],[نوع الخدمة]]="كاش ان",
    IF(F105&lt;=100, 18, IF(F105&lt;=250, 23, IF(F105&lt;=500, 35, IF(F105&lt;=1000, 40, F105*0.04)))),
IF(Basic34567891011121314151617181920212223242526272829303132[[#This Row],[نوع الخدمة]]="كاش اوت",
    IF(F105&lt;=100, 15, IF(F105&lt;=250, 20, IF(F105&lt;=500, 30, IF(F105&lt;=1000, 35, F105*0.035)))),
0)))</f>
        <v>0</v>
      </c>
      <c r="H105" s="95">
        <f>IF(I105="مخالفات",50,Basic34567891011121314151617181920212223242526272829303132[[#This Row],[قيمة الرسوم / العموله]]+Basic34567891011121314151617181920212223242526272829303132[[#This Row],[قيمة الشحنه]])</f>
        <v>0</v>
      </c>
      <c r="I105" s="90"/>
      <c r="J105" s="111" t="str">
        <f t="shared" si="1"/>
        <v>1.5.2026</v>
      </c>
      <c r="L105" s="117">
        <v>94</v>
      </c>
      <c r="M105" s="92"/>
    </row>
    <row r="106" spans="1:13" ht="21.6" x14ac:dyDescent="0.65">
      <c r="A106" s="199"/>
      <c r="B106" s="110">
        <v>103</v>
      </c>
      <c r="C106" s="2"/>
      <c r="D106" s="1"/>
      <c r="E106" s="3"/>
      <c r="F106" s="1"/>
      <c r="G106" s="95">
        <f>IF(Basic34567891011121314151617181920212223242526272829303132[[#This Row],[نوع الخدمة]]="مخالفات", 50,
IF(Basic34567891011121314151617181920212223242526272829303132[[#This Row],[نوع الخدمة]]="كاش ان",
    IF(F106&lt;=100, 18, IF(F106&lt;=250, 23, IF(F106&lt;=500, 35, IF(F106&lt;=1000, 40, F106*0.04)))),
IF(Basic34567891011121314151617181920212223242526272829303132[[#This Row],[نوع الخدمة]]="كاش اوت",
    IF(F106&lt;=100, 15, IF(F106&lt;=250, 20, IF(F106&lt;=500, 30, IF(F106&lt;=1000, 35, F106*0.035)))),
0)))</f>
        <v>0</v>
      </c>
      <c r="H106" s="95">
        <f>IF(I106="مخالفات",50,Basic34567891011121314151617181920212223242526272829303132[[#This Row],[قيمة الرسوم / العموله]]+Basic34567891011121314151617181920212223242526272829303132[[#This Row],[قيمة الشحنه]])</f>
        <v>0</v>
      </c>
      <c r="I106" s="90"/>
      <c r="J106" s="111" t="str">
        <f t="shared" si="1"/>
        <v>1.5.2026</v>
      </c>
      <c r="L106" s="117">
        <v>95</v>
      </c>
      <c r="M106" s="92"/>
    </row>
    <row r="107" spans="1:13" ht="21.6" x14ac:dyDescent="0.65">
      <c r="A107" s="199"/>
      <c r="B107" s="110">
        <v>104</v>
      </c>
      <c r="C107" s="2"/>
      <c r="D107" s="1"/>
      <c r="E107" s="3"/>
      <c r="F107" s="1"/>
      <c r="G107" s="95">
        <f>IF(Basic34567891011121314151617181920212223242526272829303132[[#This Row],[نوع الخدمة]]="مخالفات", 50,
IF(Basic34567891011121314151617181920212223242526272829303132[[#This Row],[نوع الخدمة]]="كاش ان",
    IF(F107&lt;=100, 18, IF(F107&lt;=250, 23, IF(F107&lt;=500, 35, IF(F107&lt;=1000, 40, F107*0.04)))),
IF(Basic34567891011121314151617181920212223242526272829303132[[#This Row],[نوع الخدمة]]="كاش اوت",
    IF(F107&lt;=100, 15, IF(F107&lt;=250, 20, IF(F107&lt;=500, 30, IF(F107&lt;=1000, 35, F107*0.035)))),
0)))</f>
        <v>0</v>
      </c>
      <c r="H107" s="95">
        <f>IF(I107="مخالفات",50,Basic34567891011121314151617181920212223242526272829303132[[#This Row],[قيمة الرسوم / العموله]]+Basic34567891011121314151617181920212223242526272829303132[[#This Row],[قيمة الشحنه]])</f>
        <v>0</v>
      </c>
      <c r="I107" s="90"/>
      <c r="J107" s="111" t="str">
        <f t="shared" si="1"/>
        <v>1.5.2026</v>
      </c>
      <c r="L107" s="117">
        <v>96</v>
      </c>
      <c r="M107" s="92"/>
    </row>
    <row r="108" spans="1:13" ht="21.6" x14ac:dyDescent="0.65">
      <c r="A108" s="199"/>
      <c r="B108" s="110">
        <v>105</v>
      </c>
      <c r="C108" s="2"/>
      <c r="D108" s="1"/>
      <c r="E108" s="3"/>
      <c r="F108" s="1"/>
      <c r="G108" s="95">
        <f>IF(Basic34567891011121314151617181920212223242526272829303132[[#This Row],[نوع الخدمة]]="مخالفات", 50,
IF(Basic34567891011121314151617181920212223242526272829303132[[#This Row],[نوع الخدمة]]="كاش ان",
    IF(F108&lt;=100, 18, IF(F108&lt;=250, 23, IF(F108&lt;=500, 35, IF(F108&lt;=1000, 40, F108*0.04)))),
IF(Basic34567891011121314151617181920212223242526272829303132[[#This Row],[نوع الخدمة]]="كاش اوت",
    IF(F108&lt;=100, 15, IF(F108&lt;=250, 20, IF(F108&lt;=500, 30, IF(F108&lt;=1000, 35, F108*0.035)))),
0)))</f>
        <v>0</v>
      </c>
      <c r="H108" s="95">
        <f>IF(I108="مخالفات",50,Basic34567891011121314151617181920212223242526272829303132[[#This Row],[قيمة الرسوم / العموله]]+Basic34567891011121314151617181920212223242526272829303132[[#This Row],[قيمة الشحنه]])</f>
        <v>0</v>
      </c>
      <c r="I108" s="90"/>
      <c r="J108" s="111" t="str">
        <f t="shared" si="1"/>
        <v>1.5.2026</v>
      </c>
      <c r="L108" s="117">
        <v>97</v>
      </c>
      <c r="M108" s="92"/>
    </row>
    <row r="109" spans="1:13" ht="21.6" x14ac:dyDescent="0.65">
      <c r="A109" s="199"/>
      <c r="B109" s="113">
        <v>106</v>
      </c>
      <c r="C109" s="2"/>
      <c r="D109" s="1"/>
      <c r="E109" s="3"/>
      <c r="F109" s="1"/>
      <c r="G109" s="95">
        <f>IF(Basic34567891011121314151617181920212223242526272829303132[[#This Row],[نوع الخدمة]]="مخالفات", 50,
IF(Basic34567891011121314151617181920212223242526272829303132[[#This Row],[نوع الخدمة]]="كاش ان",
    IF(F109&lt;=100, 18, IF(F109&lt;=250, 23, IF(F109&lt;=500, 35, IF(F109&lt;=1000, 40, F109*0.04)))),
IF(Basic34567891011121314151617181920212223242526272829303132[[#This Row],[نوع الخدمة]]="كاش اوت",
    IF(F109&lt;=100, 15, IF(F109&lt;=250, 20, IF(F109&lt;=500, 30, IF(F109&lt;=1000, 35, F109*0.035)))),
0)))</f>
        <v>0</v>
      </c>
      <c r="H109" s="95">
        <f>IF(I109="مخالفات",50,Basic34567891011121314151617181920212223242526272829303132[[#This Row],[قيمة الرسوم / العموله]]+Basic34567891011121314151617181920212223242526272829303132[[#This Row],[قيمة الشحنه]])</f>
        <v>0</v>
      </c>
      <c r="I109" s="90"/>
      <c r="J109" s="111" t="str">
        <f t="shared" si="1"/>
        <v>1.5.2026</v>
      </c>
      <c r="L109" s="117">
        <v>98</v>
      </c>
      <c r="M109" s="92"/>
    </row>
    <row r="110" spans="1:13" ht="21.6" x14ac:dyDescent="0.65">
      <c r="A110" s="199"/>
      <c r="B110" s="110">
        <v>107</v>
      </c>
      <c r="C110" s="2"/>
      <c r="D110" s="1"/>
      <c r="E110" s="3"/>
      <c r="F110" s="1"/>
      <c r="G110" s="95">
        <f>IF(Basic34567891011121314151617181920212223242526272829303132[[#This Row],[نوع الخدمة]]="مخالفات", 50,
IF(Basic34567891011121314151617181920212223242526272829303132[[#This Row],[نوع الخدمة]]="كاش ان",
    IF(F110&lt;=100, 18, IF(F110&lt;=250, 23, IF(F110&lt;=500, 35, IF(F110&lt;=1000, 40, F110*0.04)))),
IF(Basic34567891011121314151617181920212223242526272829303132[[#This Row],[نوع الخدمة]]="كاش اوت",
    IF(F110&lt;=100, 15, IF(F110&lt;=250, 20, IF(F110&lt;=500, 30, IF(F110&lt;=1000, 35, F110*0.035)))),
0)))</f>
        <v>0</v>
      </c>
      <c r="H110" s="95">
        <f>IF(I110="مخالفات",50,Basic34567891011121314151617181920212223242526272829303132[[#This Row],[قيمة الرسوم / العموله]]+Basic34567891011121314151617181920212223242526272829303132[[#This Row],[قيمة الشحنه]])</f>
        <v>0</v>
      </c>
      <c r="I110" s="90"/>
      <c r="J110" s="111" t="str">
        <f t="shared" si="1"/>
        <v>1.5.2026</v>
      </c>
      <c r="L110" s="117">
        <v>99</v>
      </c>
      <c r="M110" s="92"/>
    </row>
    <row r="111" spans="1:13" ht="21.6" x14ac:dyDescent="0.65">
      <c r="A111" s="199"/>
      <c r="B111" s="110">
        <v>108</v>
      </c>
      <c r="C111" s="2"/>
      <c r="D111" s="1"/>
      <c r="E111" s="3"/>
      <c r="F111" s="1"/>
      <c r="G111" s="95">
        <f>IF(Basic34567891011121314151617181920212223242526272829303132[[#This Row],[نوع الخدمة]]="مخالفات", 50,
IF(Basic34567891011121314151617181920212223242526272829303132[[#This Row],[نوع الخدمة]]="كاش ان",
    IF(F111&lt;=100, 18, IF(F111&lt;=250, 23, IF(F111&lt;=500, 35, IF(F111&lt;=1000, 40, F111*0.04)))),
IF(Basic34567891011121314151617181920212223242526272829303132[[#This Row],[نوع الخدمة]]="كاش اوت",
    IF(F111&lt;=100, 15, IF(F111&lt;=250, 20, IF(F111&lt;=500, 30, IF(F111&lt;=1000, 35, F111*0.035)))),
0)))</f>
        <v>0</v>
      </c>
      <c r="H111" s="95">
        <f>IF(I111="مخالفات",50,Basic34567891011121314151617181920212223242526272829303132[[#This Row],[قيمة الرسوم / العموله]]+Basic34567891011121314151617181920212223242526272829303132[[#This Row],[قيمة الشحنه]])</f>
        <v>0</v>
      </c>
      <c r="I111" s="90"/>
      <c r="J111" s="111" t="str">
        <f t="shared" si="1"/>
        <v>1.5.2026</v>
      </c>
      <c r="L111" s="117">
        <v>100</v>
      </c>
      <c r="M111" s="92"/>
    </row>
    <row r="112" spans="1:13" ht="21.6" x14ac:dyDescent="0.65">
      <c r="A112" s="199"/>
      <c r="B112" s="110">
        <v>109</v>
      </c>
      <c r="C112" s="2"/>
      <c r="D112" s="1"/>
      <c r="E112" s="3"/>
      <c r="F112" s="1"/>
      <c r="G112" s="95">
        <f>IF(Basic34567891011121314151617181920212223242526272829303132[[#This Row],[نوع الخدمة]]="مخالفات", 50,
IF(Basic34567891011121314151617181920212223242526272829303132[[#This Row],[نوع الخدمة]]="كاش ان",
    IF(F112&lt;=100, 18, IF(F112&lt;=250, 23, IF(F112&lt;=500, 35, IF(F112&lt;=1000, 40, F112*0.04)))),
IF(Basic34567891011121314151617181920212223242526272829303132[[#This Row],[نوع الخدمة]]="كاش اوت",
    IF(F112&lt;=100, 15, IF(F112&lt;=250, 20, IF(F112&lt;=500, 30, IF(F112&lt;=1000, 35, F112*0.035)))),
0)))</f>
        <v>0</v>
      </c>
      <c r="H112" s="95">
        <f>IF(I112="مخالفات",50,Basic34567891011121314151617181920212223242526272829303132[[#This Row],[قيمة الرسوم / العموله]]+Basic34567891011121314151617181920212223242526272829303132[[#This Row],[قيمة الشحنه]])</f>
        <v>0</v>
      </c>
      <c r="I112" s="90"/>
      <c r="J112" s="111" t="str">
        <f t="shared" si="1"/>
        <v>1.5.2026</v>
      </c>
      <c r="L112" s="117">
        <v>101</v>
      </c>
      <c r="M112" s="92"/>
    </row>
    <row r="113" spans="1:13" ht="21.6" x14ac:dyDescent="0.65">
      <c r="A113" s="199"/>
      <c r="B113" s="113">
        <v>110</v>
      </c>
      <c r="C113" s="2"/>
      <c r="D113" s="1"/>
      <c r="E113" s="3"/>
      <c r="F113" s="1"/>
      <c r="G113" s="95">
        <f>IF(Basic34567891011121314151617181920212223242526272829303132[[#This Row],[نوع الخدمة]]="مخالفات", 50,
IF(Basic34567891011121314151617181920212223242526272829303132[[#This Row],[نوع الخدمة]]="كاش ان",
    IF(F113&lt;=100, 18, IF(F113&lt;=250, 23, IF(F113&lt;=500, 35, IF(F113&lt;=1000, 40, F113*0.04)))),
IF(Basic34567891011121314151617181920212223242526272829303132[[#This Row],[نوع الخدمة]]="كاش اوت",
    IF(F113&lt;=100, 15, IF(F113&lt;=250, 20, IF(F113&lt;=500, 30, IF(F113&lt;=1000, 35, F113*0.035)))),
0)))</f>
        <v>0</v>
      </c>
      <c r="H113" s="95">
        <f>IF(I113="مخالفات",50,Basic34567891011121314151617181920212223242526272829303132[[#This Row],[قيمة الرسوم / العموله]]+Basic34567891011121314151617181920212223242526272829303132[[#This Row],[قيمة الشحنه]])</f>
        <v>0</v>
      </c>
      <c r="I113" s="90"/>
      <c r="J113" s="111" t="str">
        <f t="shared" si="1"/>
        <v>1.5.2026</v>
      </c>
      <c r="L113" s="117">
        <v>102</v>
      </c>
      <c r="M113" s="92"/>
    </row>
    <row r="114" spans="1:13" ht="21.6" x14ac:dyDescent="0.65">
      <c r="A114" s="199"/>
      <c r="B114" s="110">
        <v>111</v>
      </c>
      <c r="C114" s="2"/>
      <c r="D114" s="1"/>
      <c r="E114" s="3"/>
      <c r="F114" s="1"/>
      <c r="G114" s="95">
        <f>IF(Basic34567891011121314151617181920212223242526272829303132[[#This Row],[نوع الخدمة]]="مخالفات", 50,
IF(Basic34567891011121314151617181920212223242526272829303132[[#This Row],[نوع الخدمة]]="كاش ان",
    IF(F114&lt;=100, 18, IF(F114&lt;=250, 23, IF(F114&lt;=500, 35, IF(F114&lt;=1000, 40, F114*0.04)))),
IF(Basic34567891011121314151617181920212223242526272829303132[[#This Row],[نوع الخدمة]]="كاش اوت",
    IF(F114&lt;=100, 15, IF(F114&lt;=250, 20, IF(F114&lt;=500, 30, IF(F114&lt;=1000, 35, F114*0.035)))),
0)))</f>
        <v>0</v>
      </c>
      <c r="H114" s="95">
        <f>IF(I114="مخالفات",50,Basic34567891011121314151617181920212223242526272829303132[[#This Row],[قيمة الرسوم / العموله]]+Basic34567891011121314151617181920212223242526272829303132[[#This Row],[قيمة الشحنه]])</f>
        <v>0</v>
      </c>
      <c r="I114" s="90"/>
      <c r="J114" s="111" t="str">
        <f t="shared" si="1"/>
        <v>1.5.2026</v>
      </c>
      <c r="L114" s="117">
        <v>103</v>
      </c>
      <c r="M114" s="92"/>
    </row>
    <row r="115" spans="1:13" ht="21.6" x14ac:dyDescent="0.65">
      <c r="A115" s="199"/>
      <c r="B115" s="110">
        <v>112</v>
      </c>
      <c r="C115" s="2"/>
      <c r="D115" s="1"/>
      <c r="E115" s="3"/>
      <c r="F115" s="1"/>
      <c r="G115" s="95">
        <f>IF(Basic34567891011121314151617181920212223242526272829303132[[#This Row],[نوع الخدمة]]="مخالفات", 50,
IF(Basic34567891011121314151617181920212223242526272829303132[[#This Row],[نوع الخدمة]]="كاش ان",
    IF(F115&lt;=100, 18, IF(F115&lt;=250, 23, IF(F115&lt;=500, 35, IF(F115&lt;=1000, 40, F115*0.04)))),
IF(Basic34567891011121314151617181920212223242526272829303132[[#This Row],[نوع الخدمة]]="كاش اوت",
    IF(F115&lt;=100, 15, IF(F115&lt;=250, 20, IF(F115&lt;=500, 30, IF(F115&lt;=1000, 35, F115*0.035)))),
0)))</f>
        <v>0</v>
      </c>
      <c r="H115" s="95">
        <f>IF(I115="مخالفات",50,Basic34567891011121314151617181920212223242526272829303132[[#This Row],[قيمة الرسوم / العموله]]+Basic34567891011121314151617181920212223242526272829303132[[#This Row],[قيمة الشحنه]])</f>
        <v>0</v>
      </c>
      <c r="I115" s="90"/>
      <c r="J115" s="111" t="str">
        <f t="shared" si="1"/>
        <v>1.5.2026</v>
      </c>
      <c r="L115" s="117">
        <v>104</v>
      </c>
      <c r="M115" s="92"/>
    </row>
    <row r="116" spans="1:13" ht="21.6" x14ac:dyDescent="0.65">
      <c r="A116" s="199"/>
      <c r="B116" s="110">
        <v>113</v>
      </c>
      <c r="C116" s="2"/>
      <c r="D116" s="1"/>
      <c r="E116" s="3"/>
      <c r="F116" s="1"/>
      <c r="G116" s="95">
        <f>IF(Basic34567891011121314151617181920212223242526272829303132[[#This Row],[نوع الخدمة]]="مخالفات", 50,
IF(Basic34567891011121314151617181920212223242526272829303132[[#This Row],[نوع الخدمة]]="كاش ان",
    IF(F116&lt;=100, 18, IF(F116&lt;=250, 23, IF(F116&lt;=500, 35, IF(F116&lt;=1000, 40, F116*0.04)))),
IF(Basic34567891011121314151617181920212223242526272829303132[[#This Row],[نوع الخدمة]]="كاش اوت",
    IF(F116&lt;=100, 15, IF(F116&lt;=250, 20, IF(F116&lt;=500, 30, IF(F116&lt;=1000, 35, F116*0.035)))),
0)))</f>
        <v>0</v>
      </c>
      <c r="H116" s="95">
        <f>IF(I116="مخالفات",50,Basic34567891011121314151617181920212223242526272829303132[[#This Row],[قيمة الرسوم / العموله]]+Basic34567891011121314151617181920212223242526272829303132[[#This Row],[قيمة الشحنه]])</f>
        <v>0</v>
      </c>
      <c r="I116" s="90"/>
      <c r="J116" s="111" t="str">
        <f t="shared" si="1"/>
        <v>1.5.2026</v>
      </c>
      <c r="L116" s="117">
        <v>105</v>
      </c>
      <c r="M116" s="92"/>
    </row>
    <row r="117" spans="1:13" ht="21.6" x14ac:dyDescent="0.65">
      <c r="A117" s="199"/>
      <c r="B117" s="113">
        <v>114</v>
      </c>
      <c r="C117" s="2"/>
      <c r="D117" s="1"/>
      <c r="E117" s="3"/>
      <c r="F117" s="1"/>
      <c r="G117" s="95">
        <f>IF(Basic34567891011121314151617181920212223242526272829303132[[#This Row],[نوع الخدمة]]="مخالفات", 50,
IF(Basic34567891011121314151617181920212223242526272829303132[[#This Row],[نوع الخدمة]]="كاش ان",
    IF(F117&lt;=100, 18, IF(F117&lt;=250, 23, IF(F117&lt;=500, 35, IF(F117&lt;=1000, 40, F117*0.04)))),
IF(Basic34567891011121314151617181920212223242526272829303132[[#This Row],[نوع الخدمة]]="كاش اوت",
    IF(F117&lt;=100, 15, IF(F117&lt;=250, 20, IF(F117&lt;=500, 30, IF(F117&lt;=1000, 35, F117*0.035)))),
0)))</f>
        <v>0</v>
      </c>
      <c r="H117" s="95">
        <f>IF(I117="مخالفات",50,Basic34567891011121314151617181920212223242526272829303132[[#This Row],[قيمة الرسوم / العموله]]+Basic34567891011121314151617181920212223242526272829303132[[#This Row],[قيمة الشحنه]])</f>
        <v>0</v>
      </c>
      <c r="I117" s="90"/>
      <c r="J117" s="111" t="str">
        <f t="shared" si="1"/>
        <v>1.5.2026</v>
      </c>
      <c r="L117" s="117">
        <v>106</v>
      </c>
      <c r="M117" s="92"/>
    </row>
    <row r="118" spans="1:13" ht="21.6" x14ac:dyDescent="0.65">
      <c r="A118" s="199"/>
      <c r="B118" s="110">
        <v>115</v>
      </c>
      <c r="C118" s="2"/>
      <c r="D118" s="1"/>
      <c r="E118" s="3"/>
      <c r="F118" s="1"/>
      <c r="G118" s="95">
        <f>IF(Basic34567891011121314151617181920212223242526272829303132[[#This Row],[نوع الخدمة]]="مخالفات", 50,
IF(Basic34567891011121314151617181920212223242526272829303132[[#This Row],[نوع الخدمة]]="كاش ان",
    IF(F118&lt;=100, 18, IF(F118&lt;=250, 23, IF(F118&lt;=500, 35, IF(F118&lt;=1000, 40, F118*0.04)))),
IF(Basic34567891011121314151617181920212223242526272829303132[[#This Row],[نوع الخدمة]]="كاش اوت",
    IF(F118&lt;=100, 15, IF(F118&lt;=250, 20, IF(F118&lt;=500, 30, IF(F118&lt;=1000, 35, F118*0.035)))),
0)))</f>
        <v>0</v>
      </c>
      <c r="H118" s="95">
        <f>IF(I118="مخالفات",50,Basic34567891011121314151617181920212223242526272829303132[[#This Row],[قيمة الرسوم / العموله]]+Basic34567891011121314151617181920212223242526272829303132[[#This Row],[قيمة الشحنه]])</f>
        <v>0</v>
      </c>
      <c r="I118" s="90"/>
      <c r="J118" s="111" t="str">
        <f t="shared" si="1"/>
        <v>1.5.2026</v>
      </c>
      <c r="L118" s="117">
        <v>107</v>
      </c>
      <c r="M118" s="92"/>
    </row>
    <row r="119" spans="1:13" ht="21.6" x14ac:dyDescent="0.65">
      <c r="A119" s="199"/>
      <c r="B119" s="110">
        <v>116</v>
      </c>
      <c r="C119" s="2"/>
      <c r="D119" s="1"/>
      <c r="E119" s="3"/>
      <c r="F119" s="1"/>
      <c r="G119" s="95">
        <f>IF(Basic34567891011121314151617181920212223242526272829303132[[#This Row],[نوع الخدمة]]="مخالفات", 50,
IF(Basic34567891011121314151617181920212223242526272829303132[[#This Row],[نوع الخدمة]]="كاش ان",
    IF(F119&lt;=100, 18, IF(F119&lt;=250, 23, IF(F119&lt;=500, 35, IF(F119&lt;=1000, 40, F119*0.04)))),
IF(Basic34567891011121314151617181920212223242526272829303132[[#This Row],[نوع الخدمة]]="كاش اوت",
    IF(F119&lt;=100, 15, IF(F119&lt;=250, 20, IF(F119&lt;=500, 30, IF(F119&lt;=1000, 35, F119*0.035)))),
0)))</f>
        <v>0</v>
      </c>
      <c r="H119" s="95">
        <f>IF(I119="مخالفات",50,Basic34567891011121314151617181920212223242526272829303132[[#This Row],[قيمة الرسوم / العموله]]+Basic34567891011121314151617181920212223242526272829303132[[#This Row],[قيمة الشحنه]])</f>
        <v>0</v>
      </c>
      <c r="I119" s="90"/>
      <c r="J119" s="111" t="str">
        <f t="shared" si="1"/>
        <v>1.5.2026</v>
      </c>
      <c r="L119" s="117">
        <v>108</v>
      </c>
      <c r="M119" s="92"/>
    </row>
    <row r="120" spans="1:13" ht="21.6" x14ac:dyDescent="0.65">
      <c r="A120" s="199"/>
      <c r="B120" s="110">
        <v>117</v>
      </c>
      <c r="C120" s="2"/>
      <c r="D120" s="1"/>
      <c r="E120" s="3"/>
      <c r="F120" s="1"/>
      <c r="G120" s="95">
        <f>IF(Basic34567891011121314151617181920212223242526272829303132[[#This Row],[نوع الخدمة]]="مخالفات", 50,
IF(Basic34567891011121314151617181920212223242526272829303132[[#This Row],[نوع الخدمة]]="كاش ان",
    IF(F120&lt;=100, 18, IF(F120&lt;=250, 23, IF(F120&lt;=500, 35, IF(F120&lt;=1000, 40, F120*0.04)))),
IF(Basic34567891011121314151617181920212223242526272829303132[[#This Row],[نوع الخدمة]]="كاش اوت",
    IF(F120&lt;=100, 15, IF(F120&lt;=250, 20, IF(F120&lt;=500, 30, IF(F120&lt;=1000, 35, F120*0.035)))),
0)))</f>
        <v>0</v>
      </c>
      <c r="H120" s="95">
        <f>IF(I120="مخالفات",50,Basic34567891011121314151617181920212223242526272829303132[[#This Row],[قيمة الرسوم / العموله]]+Basic34567891011121314151617181920212223242526272829303132[[#This Row],[قيمة الشحنه]])</f>
        <v>0</v>
      </c>
      <c r="I120" s="90"/>
      <c r="J120" s="111" t="str">
        <f t="shared" si="1"/>
        <v>1.5.2026</v>
      </c>
      <c r="L120" s="117">
        <v>109</v>
      </c>
      <c r="M120" s="92"/>
    </row>
    <row r="121" spans="1:13" ht="21.6" x14ac:dyDescent="0.65">
      <c r="A121" s="199"/>
      <c r="B121" s="113">
        <v>118</v>
      </c>
      <c r="C121" s="2"/>
      <c r="D121" s="1"/>
      <c r="E121" s="3"/>
      <c r="F121" s="1"/>
      <c r="G121" s="95">
        <f>IF(Basic34567891011121314151617181920212223242526272829303132[[#This Row],[نوع الخدمة]]="مخالفات", 50,
IF(Basic34567891011121314151617181920212223242526272829303132[[#This Row],[نوع الخدمة]]="كاش ان",
    IF(F121&lt;=100, 18, IF(F121&lt;=250, 23, IF(F121&lt;=500, 35, IF(F121&lt;=1000, 40, F121*0.04)))),
IF(Basic34567891011121314151617181920212223242526272829303132[[#This Row],[نوع الخدمة]]="كاش اوت",
    IF(F121&lt;=100, 15, IF(F121&lt;=250, 20, IF(F121&lt;=500, 30, IF(F121&lt;=1000, 35, F121*0.035)))),
0)))</f>
        <v>0</v>
      </c>
      <c r="H121" s="95">
        <f>IF(I121="مخالفات",50,Basic34567891011121314151617181920212223242526272829303132[[#This Row],[قيمة الرسوم / العموله]]+Basic34567891011121314151617181920212223242526272829303132[[#This Row],[قيمة الشحنه]])</f>
        <v>0</v>
      </c>
      <c r="I121" s="90"/>
      <c r="J121" s="111" t="str">
        <f t="shared" si="1"/>
        <v>1.5.2026</v>
      </c>
      <c r="L121" s="117">
        <v>110</v>
      </c>
      <c r="M121" s="92"/>
    </row>
    <row r="122" spans="1:13" ht="21.6" x14ac:dyDescent="0.65">
      <c r="A122" s="199"/>
      <c r="B122" s="110">
        <v>119</v>
      </c>
      <c r="C122" s="2"/>
      <c r="D122" s="1"/>
      <c r="E122" s="3"/>
      <c r="F122" s="1"/>
      <c r="G122" s="95">
        <f>IF(Basic34567891011121314151617181920212223242526272829303132[[#This Row],[نوع الخدمة]]="مخالفات", 50,
IF(Basic34567891011121314151617181920212223242526272829303132[[#This Row],[نوع الخدمة]]="كاش ان",
    IF(F122&lt;=100, 18, IF(F122&lt;=250, 23, IF(F122&lt;=500, 35, IF(F122&lt;=1000, 40, F122*0.04)))),
IF(Basic34567891011121314151617181920212223242526272829303132[[#This Row],[نوع الخدمة]]="كاش اوت",
    IF(F122&lt;=100, 15, IF(F122&lt;=250, 20, IF(F122&lt;=500, 30, IF(F122&lt;=1000, 35, F122*0.035)))),
0)))</f>
        <v>0</v>
      </c>
      <c r="H122" s="95">
        <f>IF(I122="مخالفات",50,Basic34567891011121314151617181920212223242526272829303132[[#This Row],[قيمة الرسوم / العموله]]+Basic34567891011121314151617181920212223242526272829303132[[#This Row],[قيمة الشحنه]])</f>
        <v>0</v>
      </c>
      <c r="I122" s="90"/>
      <c r="J122" s="111" t="str">
        <f t="shared" si="1"/>
        <v>1.5.2026</v>
      </c>
      <c r="L122" s="117">
        <v>111</v>
      </c>
      <c r="M122" s="92"/>
    </row>
    <row r="123" spans="1:13" ht="21.6" x14ac:dyDescent="0.65">
      <c r="A123" s="199"/>
      <c r="B123" s="110">
        <v>120</v>
      </c>
      <c r="C123" s="2"/>
      <c r="D123" s="1"/>
      <c r="E123" s="3"/>
      <c r="F123" s="1"/>
      <c r="G123" s="95">
        <f>IF(Basic34567891011121314151617181920212223242526272829303132[[#This Row],[نوع الخدمة]]="مخالفات", 50,
IF(Basic34567891011121314151617181920212223242526272829303132[[#This Row],[نوع الخدمة]]="كاش ان",
    IF(F123&lt;=100, 18, IF(F123&lt;=250, 23, IF(F123&lt;=500, 35, IF(F123&lt;=1000, 40, F123*0.04)))),
IF(Basic34567891011121314151617181920212223242526272829303132[[#This Row],[نوع الخدمة]]="كاش اوت",
    IF(F123&lt;=100, 15, IF(F123&lt;=250, 20, IF(F123&lt;=500, 30, IF(F123&lt;=1000, 35, F123*0.035)))),
0)))</f>
        <v>0</v>
      </c>
      <c r="H123" s="95">
        <f>IF(I123="مخالفات",50,Basic34567891011121314151617181920212223242526272829303132[[#This Row],[قيمة الرسوم / العموله]]+Basic34567891011121314151617181920212223242526272829303132[[#This Row],[قيمة الشحنه]])</f>
        <v>0</v>
      </c>
      <c r="I123" s="90"/>
      <c r="J123" s="111" t="str">
        <f t="shared" si="1"/>
        <v>1.5.2026</v>
      </c>
      <c r="L123" s="117">
        <v>112</v>
      </c>
      <c r="M123" s="92"/>
    </row>
    <row r="124" spans="1:13" ht="21.6" x14ac:dyDescent="0.65">
      <c r="A124" s="199"/>
      <c r="B124" s="110">
        <v>121</v>
      </c>
      <c r="C124" s="2"/>
      <c r="D124" s="1"/>
      <c r="E124" s="3"/>
      <c r="F124" s="1"/>
      <c r="G124" s="95">
        <f>IF(Basic34567891011121314151617181920212223242526272829303132[[#This Row],[نوع الخدمة]]="مخالفات", 50,
IF(Basic34567891011121314151617181920212223242526272829303132[[#This Row],[نوع الخدمة]]="كاش ان",
    IF(F124&lt;=100, 18, IF(F124&lt;=250, 23, IF(F124&lt;=500, 35, IF(F124&lt;=1000, 40, F124*0.04)))),
IF(Basic34567891011121314151617181920212223242526272829303132[[#This Row],[نوع الخدمة]]="كاش اوت",
    IF(F124&lt;=100, 15, IF(F124&lt;=250, 20, IF(F124&lt;=500, 30, IF(F124&lt;=1000, 35, F124*0.035)))),
0)))</f>
        <v>0</v>
      </c>
      <c r="H124" s="95">
        <f>IF(I124="مخالفات",50,Basic34567891011121314151617181920212223242526272829303132[[#This Row],[قيمة الرسوم / العموله]]+Basic34567891011121314151617181920212223242526272829303132[[#This Row],[قيمة الشحنه]])</f>
        <v>0</v>
      </c>
      <c r="I124" s="90"/>
      <c r="J124" s="111" t="str">
        <f t="shared" si="1"/>
        <v>1.5.2026</v>
      </c>
      <c r="L124" s="117">
        <v>113</v>
      </c>
      <c r="M124" s="92"/>
    </row>
    <row r="125" spans="1:13" ht="21.6" x14ac:dyDescent="0.65">
      <c r="A125" s="199"/>
      <c r="B125" s="113">
        <v>122</v>
      </c>
      <c r="C125" s="2"/>
      <c r="D125" s="1"/>
      <c r="E125" s="3"/>
      <c r="F125" s="1"/>
      <c r="G125" s="95">
        <f>IF(Basic34567891011121314151617181920212223242526272829303132[[#This Row],[نوع الخدمة]]="مخالفات", 50,
IF(Basic34567891011121314151617181920212223242526272829303132[[#This Row],[نوع الخدمة]]="كاش ان",
    IF(F125&lt;=100, 18, IF(F125&lt;=250, 23, IF(F125&lt;=500, 35, IF(F125&lt;=1000, 40, F125*0.04)))),
IF(Basic34567891011121314151617181920212223242526272829303132[[#This Row],[نوع الخدمة]]="كاش اوت",
    IF(F125&lt;=100, 15, IF(F125&lt;=250, 20, IF(F125&lt;=500, 30, IF(F125&lt;=1000, 35, F125*0.035)))),
0)))</f>
        <v>0</v>
      </c>
      <c r="H125" s="95">
        <f>IF(I125="مخالفات",50,Basic34567891011121314151617181920212223242526272829303132[[#This Row],[قيمة الرسوم / العموله]]+Basic34567891011121314151617181920212223242526272829303132[[#This Row],[قيمة الشحنه]])</f>
        <v>0</v>
      </c>
      <c r="I125" s="90"/>
      <c r="J125" s="111" t="str">
        <f t="shared" si="1"/>
        <v>1.5.2026</v>
      </c>
      <c r="L125" s="117">
        <v>114</v>
      </c>
      <c r="M125" s="92"/>
    </row>
    <row r="126" spans="1:13" ht="21.6" x14ac:dyDescent="0.65">
      <c r="A126" s="199"/>
      <c r="B126" s="110">
        <v>123</v>
      </c>
      <c r="C126" s="2"/>
      <c r="D126" s="1"/>
      <c r="E126" s="3"/>
      <c r="F126" s="1"/>
      <c r="G126" s="95">
        <f>IF(Basic34567891011121314151617181920212223242526272829303132[[#This Row],[نوع الخدمة]]="مخالفات", 50,
IF(Basic34567891011121314151617181920212223242526272829303132[[#This Row],[نوع الخدمة]]="كاش ان",
    IF(F126&lt;=100, 18, IF(F126&lt;=250, 23, IF(F126&lt;=500, 35, IF(F126&lt;=1000, 40, F126*0.04)))),
IF(Basic34567891011121314151617181920212223242526272829303132[[#This Row],[نوع الخدمة]]="كاش اوت",
    IF(F126&lt;=100, 15, IF(F126&lt;=250, 20, IF(F126&lt;=500, 30, IF(F126&lt;=1000, 35, F126*0.035)))),
0)))</f>
        <v>0</v>
      </c>
      <c r="H126" s="95">
        <f>IF(I126="مخالفات",50,Basic34567891011121314151617181920212223242526272829303132[[#This Row],[قيمة الرسوم / العموله]]+Basic34567891011121314151617181920212223242526272829303132[[#This Row],[قيمة الشحنه]])</f>
        <v>0</v>
      </c>
      <c r="I126" s="90"/>
      <c r="J126" s="111" t="str">
        <f t="shared" si="1"/>
        <v>1.5.2026</v>
      </c>
      <c r="L126" s="117">
        <v>115</v>
      </c>
      <c r="M126" s="92"/>
    </row>
    <row r="127" spans="1:13" ht="21.6" x14ac:dyDescent="0.65">
      <c r="A127" s="199"/>
      <c r="B127" s="110">
        <v>124</v>
      </c>
      <c r="C127" s="2"/>
      <c r="D127" s="1"/>
      <c r="E127" s="3"/>
      <c r="F127" s="1"/>
      <c r="G127" s="95">
        <f>IF(Basic34567891011121314151617181920212223242526272829303132[[#This Row],[نوع الخدمة]]="مخالفات", 50,
IF(Basic34567891011121314151617181920212223242526272829303132[[#This Row],[نوع الخدمة]]="كاش ان",
    IF(F127&lt;=100, 18, IF(F127&lt;=250, 23, IF(F127&lt;=500, 35, IF(F127&lt;=1000, 40, F127*0.04)))),
IF(Basic34567891011121314151617181920212223242526272829303132[[#This Row],[نوع الخدمة]]="كاش اوت",
    IF(F127&lt;=100, 15, IF(F127&lt;=250, 20, IF(F127&lt;=500, 30, IF(F127&lt;=1000, 35, F127*0.035)))),
0)))</f>
        <v>0</v>
      </c>
      <c r="H127" s="95">
        <f>IF(I127="مخالفات",50,Basic34567891011121314151617181920212223242526272829303132[[#This Row],[قيمة الرسوم / العموله]]+Basic34567891011121314151617181920212223242526272829303132[[#This Row],[قيمة الشحنه]])</f>
        <v>0</v>
      </c>
      <c r="I127" s="90"/>
      <c r="J127" s="111" t="str">
        <f t="shared" si="1"/>
        <v>1.5.2026</v>
      </c>
      <c r="L127" s="117">
        <v>116</v>
      </c>
      <c r="M127" s="92"/>
    </row>
    <row r="128" spans="1:13" ht="21.6" x14ac:dyDescent="0.65">
      <c r="A128" s="199"/>
      <c r="B128" s="110">
        <v>125</v>
      </c>
      <c r="C128" s="2"/>
      <c r="D128" s="1"/>
      <c r="E128" s="3"/>
      <c r="F128" s="1"/>
      <c r="G128" s="95">
        <f>IF(Basic34567891011121314151617181920212223242526272829303132[[#This Row],[نوع الخدمة]]="مخالفات", 50,
IF(Basic34567891011121314151617181920212223242526272829303132[[#This Row],[نوع الخدمة]]="كاش ان",
    IF(F128&lt;=100, 18, IF(F128&lt;=250, 23, IF(F128&lt;=500, 35, IF(F128&lt;=1000, 40, F128*0.04)))),
IF(Basic34567891011121314151617181920212223242526272829303132[[#This Row],[نوع الخدمة]]="كاش اوت",
    IF(F128&lt;=100, 15, IF(F128&lt;=250, 20, IF(F128&lt;=500, 30, IF(F128&lt;=1000, 35, F128*0.035)))),
0)))</f>
        <v>0</v>
      </c>
      <c r="H128" s="95">
        <f>IF(I128="مخالفات",50,Basic34567891011121314151617181920212223242526272829303132[[#This Row],[قيمة الرسوم / العموله]]+Basic34567891011121314151617181920212223242526272829303132[[#This Row],[قيمة الشحنه]])</f>
        <v>0</v>
      </c>
      <c r="I128" s="90"/>
      <c r="J128" s="111" t="str">
        <f t="shared" si="1"/>
        <v>1.5.2026</v>
      </c>
      <c r="L128" s="117">
        <v>117</v>
      </c>
      <c r="M128" s="92"/>
    </row>
    <row r="129" spans="1:13" ht="21.6" x14ac:dyDescent="0.65">
      <c r="A129" s="199"/>
      <c r="B129" s="113">
        <v>126</v>
      </c>
      <c r="C129" s="2"/>
      <c r="D129" s="1"/>
      <c r="E129" s="3"/>
      <c r="F129" s="1"/>
      <c r="G129" s="95">
        <f>IF(Basic34567891011121314151617181920212223242526272829303132[[#This Row],[نوع الخدمة]]="مخالفات", 50,
IF(Basic34567891011121314151617181920212223242526272829303132[[#This Row],[نوع الخدمة]]="كاش ان",
    IF(F129&lt;=100, 18, IF(F129&lt;=250, 23, IF(F129&lt;=500, 35, IF(F129&lt;=1000, 40, F129*0.04)))),
IF(Basic34567891011121314151617181920212223242526272829303132[[#This Row],[نوع الخدمة]]="كاش اوت",
    IF(F129&lt;=100, 15, IF(F129&lt;=250, 20, IF(F129&lt;=500, 30, IF(F129&lt;=1000, 35, F129*0.035)))),
0)))</f>
        <v>0</v>
      </c>
      <c r="H129" s="95">
        <f>IF(I129="مخالفات",50,Basic34567891011121314151617181920212223242526272829303132[[#This Row],[قيمة الرسوم / العموله]]+Basic34567891011121314151617181920212223242526272829303132[[#This Row],[قيمة الشحنه]])</f>
        <v>0</v>
      </c>
      <c r="I129" s="90"/>
      <c r="J129" s="111" t="str">
        <f t="shared" si="1"/>
        <v>1.5.2026</v>
      </c>
      <c r="L129" s="117">
        <v>118</v>
      </c>
      <c r="M129" s="92"/>
    </row>
    <row r="130" spans="1:13" ht="21.6" x14ac:dyDescent="0.65">
      <c r="A130" s="199"/>
      <c r="B130" s="110">
        <v>127</v>
      </c>
      <c r="C130" s="2"/>
      <c r="D130" s="1"/>
      <c r="E130" s="3"/>
      <c r="F130" s="1"/>
      <c r="G130" s="95">
        <f>IF(Basic34567891011121314151617181920212223242526272829303132[[#This Row],[نوع الخدمة]]="مخالفات", 50,
IF(Basic34567891011121314151617181920212223242526272829303132[[#This Row],[نوع الخدمة]]="كاش ان",
    IF(F130&lt;=100, 18, IF(F130&lt;=250, 23, IF(F130&lt;=500, 35, IF(F130&lt;=1000, 40, F130*0.04)))),
IF(Basic34567891011121314151617181920212223242526272829303132[[#This Row],[نوع الخدمة]]="كاش اوت",
    IF(F130&lt;=100, 15, IF(F130&lt;=250, 20, IF(F130&lt;=500, 30, IF(F130&lt;=1000, 35, F130*0.035)))),
0)))</f>
        <v>0</v>
      </c>
      <c r="H130" s="95">
        <f>IF(I130="مخالفات",50,Basic34567891011121314151617181920212223242526272829303132[[#This Row],[قيمة الرسوم / العموله]]+Basic34567891011121314151617181920212223242526272829303132[[#This Row],[قيمة الشحنه]])</f>
        <v>0</v>
      </c>
      <c r="I130" s="90"/>
      <c r="J130" s="111" t="str">
        <f t="shared" si="1"/>
        <v>1.5.2026</v>
      </c>
      <c r="L130" s="117">
        <v>119</v>
      </c>
      <c r="M130" s="92"/>
    </row>
    <row r="131" spans="1:13" ht="21.6" x14ac:dyDescent="0.65">
      <c r="A131" s="199"/>
      <c r="B131" s="110">
        <v>128</v>
      </c>
      <c r="C131" s="2"/>
      <c r="D131" s="1"/>
      <c r="E131" s="3"/>
      <c r="F131" s="1"/>
      <c r="G131" s="95">
        <f>IF(Basic34567891011121314151617181920212223242526272829303132[[#This Row],[نوع الخدمة]]="مخالفات", 50,
IF(Basic34567891011121314151617181920212223242526272829303132[[#This Row],[نوع الخدمة]]="كاش ان",
    IF(F131&lt;=100, 18, IF(F131&lt;=250, 23, IF(F131&lt;=500, 35, IF(F131&lt;=1000, 40, F131*0.04)))),
IF(Basic34567891011121314151617181920212223242526272829303132[[#This Row],[نوع الخدمة]]="كاش اوت",
    IF(F131&lt;=100, 15, IF(F131&lt;=250, 20, IF(F131&lt;=500, 30, IF(F131&lt;=1000, 35, F131*0.035)))),
0)))</f>
        <v>0</v>
      </c>
      <c r="H131" s="95">
        <f>IF(I131="مخالفات",50,Basic34567891011121314151617181920212223242526272829303132[[#This Row],[قيمة الرسوم / العموله]]+Basic34567891011121314151617181920212223242526272829303132[[#This Row],[قيمة الشحنه]])</f>
        <v>0</v>
      </c>
      <c r="I131" s="90"/>
      <c r="J131" s="111" t="str">
        <f t="shared" si="1"/>
        <v>1.5.2026</v>
      </c>
      <c r="L131" s="117">
        <v>120</v>
      </c>
      <c r="M131" s="92"/>
    </row>
    <row r="132" spans="1:13" ht="21.6" x14ac:dyDescent="0.65">
      <c r="A132" s="199"/>
      <c r="B132" s="110">
        <v>129</v>
      </c>
      <c r="C132" s="2"/>
      <c r="D132" s="1"/>
      <c r="E132" s="3"/>
      <c r="F132" s="1"/>
      <c r="G132" s="95">
        <f>IF(Basic34567891011121314151617181920212223242526272829303132[[#This Row],[نوع الخدمة]]="مخالفات", 50,
IF(Basic34567891011121314151617181920212223242526272829303132[[#This Row],[نوع الخدمة]]="كاش ان",
    IF(F132&lt;=100, 18, IF(F132&lt;=250, 23, IF(F132&lt;=500, 35, IF(F132&lt;=1000, 40, F132*0.04)))),
IF(Basic34567891011121314151617181920212223242526272829303132[[#This Row],[نوع الخدمة]]="كاش اوت",
    IF(F132&lt;=100, 15, IF(F132&lt;=250, 20, IF(F132&lt;=500, 30, IF(F132&lt;=1000, 35, F132*0.035)))),
0)))</f>
        <v>0</v>
      </c>
      <c r="H132" s="95">
        <f>IF(I132="مخالفات",50,Basic34567891011121314151617181920212223242526272829303132[[#This Row],[قيمة الرسوم / العموله]]+Basic34567891011121314151617181920212223242526272829303132[[#This Row],[قيمة الشحنه]])</f>
        <v>0</v>
      </c>
      <c r="I132" s="90"/>
      <c r="J132" s="111" t="str">
        <f t="shared" ref="J132:J195" si="2">M$3</f>
        <v>1.5.2026</v>
      </c>
      <c r="L132" s="117">
        <v>121</v>
      </c>
      <c r="M132" s="92"/>
    </row>
    <row r="133" spans="1:13" ht="21.6" x14ac:dyDescent="0.65">
      <c r="A133" s="199"/>
      <c r="B133" s="113">
        <v>130</v>
      </c>
      <c r="C133" s="2"/>
      <c r="D133" s="1"/>
      <c r="E133" s="3"/>
      <c r="F133" s="1"/>
      <c r="G133" s="95">
        <f>IF(Basic34567891011121314151617181920212223242526272829303132[[#This Row],[نوع الخدمة]]="مخالفات", 50,
IF(Basic34567891011121314151617181920212223242526272829303132[[#This Row],[نوع الخدمة]]="كاش ان",
    IF(F133&lt;=100, 18, IF(F133&lt;=250, 23, IF(F133&lt;=500, 35, IF(F133&lt;=1000, 40, F133*0.04)))),
IF(Basic34567891011121314151617181920212223242526272829303132[[#This Row],[نوع الخدمة]]="كاش اوت",
    IF(F133&lt;=100, 15, IF(F133&lt;=250, 20, IF(F133&lt;=500, 30, IF(F133&lt;=1000, 35, F133*0.035)))),
0)))</f>
        <v>0</v>
      </c>
      <c r="H133" s="95">
        <f>IF(I133="مخالفات",50,Basic34567891011121314151617181920212223242526272829303132[[#This Row],[قيمة الرسوم / العموله]]+Basic34567891011121314151617181920212223242526272829303132[[#This Row],[قيمة الشحنه]])</f>
        <v>0</v>
      </c>
      <c r="I133" s="90"/>
      <c r="J133" s="111" t="str">
        <f t="shared" si="2"/>
        <v>1.5.2026</v>
      </c>
      <c r="L133" s="117">
        <v>122</v>
      </c>
      <c r="M133" s="92"/>
    </row>
    <row r="134" spans="1:13" ht="21.6" x14ac:dyDescent="0.65">
      <c r="A134" s="199"/>
      <c r="B134" s="110">
        <v>131</v>
      </c>
      <c r="C134" s="2"/>
      <c r="D134" s="1"/>
      <c r="E134" s="3"/>
      <c r="F134" s="1"/>
      <c r="G134" s="95">
        <f>IF(Basic34567891011121314151617181920212223242526272829303132[[#This Row],[نوع الخدمة]]="مخالفات", 50,
IF(Basic34567891011121314151617181920212223242526272829303132[[#This Row],[نوع الخدمة]]="كاش ان",
    IF(F134&lt;=100, 18, IF(F134&lt;=250, 23, IF(F134&lt;=500, 35, IF(F134&lt;=1000, 40, F134*0.04)))),
IF(Basic34567891011121314151617181920212223242526272829303132[[#This Row],[نوع الخدمة]]="كاش اوت",
    IF(F134&lt;=100, 15, IF(F134&lt;=250, 20, IF(F134&lt;=500, 30, IF(F134&lt;=1000, 35, F134*0.035)))),
0)))</f>
        <v>0</v>
      </c>
      <c r="H134" s="95">
        <f>IF(I134="مخالفات",50,Basic34567891011121314151617181920212223242526272829303132[[#This Row],[قيمة الرسوم / العموله]]+Basic34567891011121314151617181920212223242526272829303132[[#This Row],[قيمة الشحنه]])</f>
        <v>0</v>
      </c>
      <c r="I134" s="90"/>
      <c r="J134" s="111" t="str">
        <f t="shared" si="2"/>
        <v>1.5.2026</v>
      </c>
      <c r="L134" s="117">
        <v>123</v>
      </c>
      <c r="M134" s="92"/>
    </row>
    <row r="135" spans="1:13" ht="21.6" x14ac:dyDescent="0.65">
      <c r="A135" s="199"/>
      <c r="B135" s="110">
        <v>132</v>
      </c>
      <c r="C135" s="2"/>
      <c r="D135" s="1"/>
      <c r="E135" s="3"/>
      <c r="F135" s="1"/>
      <c r="G135" s="95">
        <f>IF(Basic34567891011121314151617181920212223242526272829303132[[#This Row],[نوع الخدمة]]="مخالفات", 50,
IF(Basic34567891011121314151617181920212223242526272829303132[[#This Row],[نوع الخدمة]]="كاش ان",
    IF(F135&lt;=100, 18, IF(F135&lt;=250, 23, IF(F135&lt;=500, 35, IF(F135&lt;=1000, 40, F135*0.04)))),
IF(Basic34567891011121314151617181920212223242526272829303132[[#This Row],[نوع الخدمة]]="كاش اوت",
    IF(F135&lt;=100, 15, IF(F135&lt;=250, 20, IF(F135&lt;=500, 30, IF(F135&lt;=1000, 35, F135*0.035)))),
0)))</f>
        <v>0</v>
      </c>
      <c r="H135" s="95">
        <f>IF(I135="مخالفات",50,Basic34567891011121314151617181920212223242526272829303132[[#This Row],[قيمة الرسوم / العموله]]+Basic34567891011121314151617181920212223242526272829303132[[#This Row],[قيمة الشحنه]])</f>
        <v>0</v>
      </c>
      <c r="I135" s="90"/>
      <c r="J135" s="111" t="str">
        <f t="shared" si="2"/>
        <v>1.5.2026</v>
      </c>
      <c r="L135" s="117">
        <v>124</v>
      </c>
      <c r="M135" s="92"/>
    </row>
    <row r="136" spans="1:13" ht="21.6" x14ac:dyDescent="0.65">
      <c r="A136" s="199"/>
      <c r="B136" s="110">
        <v>133</v>
      </c>
      <c r="C136" s="2"/>
      <c r="D136" s="1"/>
      <c r="E136" s="3"/>
      <c r="F136" s="1"/>
      <c r="G136" s="95">
        <f>IF(Basic34567891011121314151617181920212223242526272829303132[[#This Row],[نوع الخدمة]]="مخالفات", 50,
IF(Basic34567891011121314151617181920212223242526272829303132[[#This Row],[نوع الخدمة]]="كاش ان",
    IF(F136&lt;=100, 18, IF(F136&lt;=250, 23, IF(F136&lt;=500, 35, IF(F136&lt;=1000, 40, F136*0.04)))),
IF(Basic34567891011121314151617181920212223242526272829303132[[#This Row],[نوع الخدمة]]="كاش اوت",
    IF(F136&lt;=100, 15, IF(F136&lt;=250, 20, IF(F136&lt;=500, 30, IF(F136&lt;=1000, 35, F136*0.035)))),
0)))</f>
        <v>0</v>
      </c>
      <c r="H136" s="95">
        <f>IF(I136="مخالفات",50,Basic34567891011121314151617181920212223242526272829303132[[#This Row],[قيمة الرسوم / العموله]]+Basic34567891011121314151617181920212223242526272829303132[[#This Row],[قيمة الشحنه]])</f>
        <v>0</v>
      </c>
      <c r="I136" s="90"/>
      <c r="J136" s="111" t="str">
        <f t="shared" si="2"/>
        <v>1.5.2026</v>
      </c>
      <c r="L136" s="117">
        <v>125</v>
      </c>
      <c r="M136" s="92"/>
    </row>
    <row r="137" spans="1:13" ht="21.6" x14ac:dyDescent="0.65">
      <c r="A137" s="199"/>
      <c r="B137" s="113">
        <v>134</v>
      </c>
      <c r="C137" s="2"/>
      <c r="D137" s="1"/>
      <c r="E137" s="3"/>
      <c r="F137" s="1"/>
      <c r="G137" s="95">
        <f>IF(Basic34567891011121314151617181920212223242526272829303132[[#This Row],[نوع الخدمة]]="مخالفات", 50,
IF(Basic34567891011121314151617181920212223242526272829303132[[#This Row],[نوع الخدمة]]="كاش ان",
    IF(F137&lt;=100, 18, IF(F137&lt;=250, 23, IF(F137&lt;=500, 35, IF(F137&lt;=1000, 40, F137*0.04)))),
IF(Basic34567891011121314151617181920212223242526272829303132[[#This Row],[نوع الخدمة]]="كاش اوت",
    IF(F137&lt;=100, 15, IF(F137&lt;=250, 20, IF(F137&lt;=500, 30, IF(F137&lt;=1000, 35, F137*0.035)))),
0)))</f>
        <v>0</v>
      </c>
      <c r="H137" s="95">
        <f>IF(I137="مخالفات",50,Basic34567891011121314151617181920212223242526272829303132[[#This Row],[قيمة الرسوم / العموله]]+Basic34567891011121314151617181920212223242526272829303132[[#This Row],[قيمة الشحنه]])</f>
        <v>0</v>
      </c>
      <c r="I137" s="90"/>
      <c r="J137" s="111" t="str">
        <f t="shared" si="2"/>
        <v>1.5.2026</v>
      </c>
      <c r="L137" s="117">
        <v>126</v>
      </c>
      <c r="M137" s="92"/>
    </row>
    <row r="138" spans="1:13" ht="21.6" x14ac:dyDescent="0.65">
      <c r="A138" s="199"/>
      <c r="B138" s="110">
        <v>135</v>
      </c>
      <c r="C138" s="2"/>
      <c r="D138" s="1"/>
      <c r="E138" s="3"/>
      <c r="F138" s="1"/>
      <c r="G138" s="95">
        <f>IF(Basic34567891011121314151617181920212223242526272829303132[[#This Row],[نوع الخدمة]]="مخالفات", 50,
IF(Basic34567891011121314151617181920212223242526272829303132[[#This Row],[نوع الخدمة]]="كاش ان",
    IF(F138&lt;=100, 18, IF(F138&lt;=250, 23, IF(F138&lt;=500, 35, IF(F138&lt;=1000, 40, F138*0.04)))),
IF(Basic34567891011121314151617181920212223242526272829303132[[#This Row],[نوع الخدمة]]="كاش اوت",
    IF(F138&lt;=100, 15, IF(F138&lt;=250, 20, IF(F138&lt;=500, 30, IF(F138&lt;=1000, 35, F138*0.035)))),
0)))</f>
        <v>0</v>
      </c>
      <c r="H138" s="95">
        <f>IF(I138="مخالفات",50,Basic34567891011121314151617181920212223242526272829303132[[#This Row],[قيمة الرسوم / العموله]]+Basic34567891011121314151617181920212223242526272829303132[[#This Row],[قيمة الشحنه]])</f>
        <v>0</v>
      </c>
      <c r="I138" s="90"/>
      <c r="J138" s="111" t="str">
        <f t="shared" si="2"/>
        <v>1.5.2026</v>
      </c>
      <c r="L138" s="117">
        <v>127</v>
      </c>
      <c r="M138" s="92"/>
    </row>
    <row r="139" spans="1:13" ht="21.6" x14ac:dyDescent="0.65">
      <c r="A139" s="199"/>
      <c r="B139" s="110">
        <v>136</v>
      </c>
      <c r="C139" s="2"/>
      <c r="D139" s="1"/>
      <c r="E139" s="3"/>
      <c r="F139" s="1"/>
      <c r="G139" s="95">
        <f>IF(Basic34567891011121314151617181920212223242526272829303132[[#This Row],[نوع الخدمة]]="مخالفات", 50,
IF(Basic34567891011121314151617181920212223242526272829303132[[#This Row],[نوع الخدمة]]="كاش ان",
    IF(F139&lt;=100, 18, IF(F139&lt;=250, 23, IF(F139&lt;=500, 35, IF(F139&lt;=1000, 40, F139*0.04)))),
IF(Basic34567891011121314151617181920212223242526272829303132[[#This Row],[نوع الخدمة]]="كاش اوت",
    IF(F139&lt;=100, 15, IF(F139&lt;=250, 20, IF(F139&lt;=500, 30, IF(F139&lt;=1000, 35, F139*0.035)))),
0)))</f>
        <v>0</v>
      </c>
      <c r="H139" s="95">
        <f>IF(I139="مخالفات",50,Basic34567891011121314151617181920212223242526272829303132[[#This Row],[قيمة الرسوم / العموله]]+Basic34567891011121314151617181920212223242526272829303132[[#This Row],[قيمة الشحنه]])</f>
        <v>0</v>
      </c>
      <c r="I139" s="90"/>
      <c r="J139" s="111" t="str">
        <f t="shared" si="2"/>
        <v>1.5.2026</v>
      </c>
      <c r="L139" s="117">
        <v>128</v>
      </c>
      <c r="M139" s="92"/>
    </row>
    <row r="140" spans="1:13" ht="21.6" x14ac:dyDescent="0.65">
      <c r="A140" s="199"/>
      <c r="B140" s="110">
        <v>137</v>
      </c>
      <c r="C140" s="2"/>
      <c r="D140" s="1"/>
      <c r="E140" s="3"/>
      <c r="F140" s="1"/>
      <c r="G140" s="95">
        <f>IF(Basic34567891011121314151617181920212223242526272829303132[[#This Row],[نوع الخدمة]]="مخالفات", 50,
IF(Basic34567891011121314151617181920212223242526272829303132[[#This Row],[نوع الخدمة]]="كاش ان",
    IF(F140&lt;=100, 18, IF(F140&lt;=250, 23, IF(F140&lt;=500, 35, IF(F140&lt;=1000, 40, F140*0.04)))),
IF(Basic34567891011121314151617181920212223242526272829303132[[#This Row],[نوع الخدمة]]="كاش اوت",
    IF(F140&lt;=100, 15, IF(F140&lt;=250, 20, IF(F140&lt;=500, 30, IF(F140&lt;=1000, 35, F140*0.035)))),
0)))</f>
        <v>0</v>
      </c>
      <c r="H140" s="95">
        <f>IF(I140="مخالفات",50,Basic34567891011121314151617181920212223242526272829303132[[#This Row],[قيمة الرسوم / العموله]]+Basic34567891011121314151617181920212223242526272829303132[[#This Row],[قيمة الشحنه]])</f>
        <v>0</v>
      </c>
      <c r="I140" s="90"/>
      <c r="J140" s="111" t="str">
        <f t="shared" si="2"/>
        <v>1.5.2026</v>
      </c>
      <c r="L140" s="117">
        <v>129</v>
      </c>
      <c r="M140" s="92"/>
    </row>
    <row r="141" spans="1:13" ht="21.6" x14ac:dyDescent="0.65">
      <c r="A141" s="199"/>
      <c r="B141" s="113">
        <v>138</v>
      </c>
      <c r="C141" s="2"/>
      <c r="D141" s="1"/>
      <c r="E141" s="3"/>
      <c r="F141" s="1"/>
      <c r="G141" s="95">
        <f>IF(Basic34567891011121314151617181920212223242526272829303132[[#This Row],[نوع الخدمة]]="مخالفات", 50,
IF(Basic34567891011121314151617181920212223242526272829303132[[#This Row],[نوع الخدمة]]="كاش ان",
    IF(F141&lt;=100, 18, IF(F141&lt;=250, 23, IF(F141&lt;=500, 35, IF(F141&lt;=1000, 40, F141*0.04)))),
IF(Basic34567891011121314151617181920212223242526272829303132[[#This Row],[نوع الخدمة]]="كاش اوت",
    IF(F141&lt;=100, 15, IF(F141&lt;=250, 20, IF(F141&lt;=500, 30, IF(F141&lt;=1000, 35, F141*0.035)))),
0)))</f>
        <v>0</v>
      </c>
      <c r="H141" s="95">
        <f>IF(I141="مخالفات",50,Basic34567891011121314151617181920212223242526272829303132[[#This Row],[قيمة الرسوم / العموله]]+Basic34567891011121314151617181920212223242526272829303132[[#This Row],[قيمة الشحنه]])</f>
        <v>0</v>
      </c>
      <c r="I141" s="90"/>
      <c r="J141" s="111" t="str">
        <f t="shared" si="2"/>
        <v>1.5.2026</v>
      </c>
      <c r="L141" s="117">
        <v>130</v>
      </c>
      <c r="M141" s="92"/>
    </row>
    <row r="142" spans="1:13" ht="21.6" x14ac:dyDescent="0.65">
      <c r="A142" s="199"/>
      <c r="B142" s="110">
        <v>139</v>
      </c>
      <c r="C142" s="2"/>
      <c r="D142" s="1"/>
      <c r="E142" s="3"/>
      <c r="F142" s="1"/>
      <c r="G142" s="95">
        <f>IF(Basic34567891011121314151617181920212223242526272829303132[[#This Row],[نوع الخدمة]]="مخالفات", 50,
IF(Basic34567891011121314151617181920212223242526272829303132[[#This Row],[نوع الخدمة]]="كاش ان",
    IF(F142&lt;=100, 18, IF(F142&lt;=250, 23, IF(F142&lt;=500, 35, IF(F142&lt;=1000, 40, F142*0.04)))),
IF(Basic34567891011121314151617181920212223242526272829303132[[#This Row],[نوع الخدمة]]="كاش اوت",
    IF(F142&lt;=100, 15, IF(F142&lt;=250, 20, IF(F142&lt;=500, 30, IF(F142&lt;=1000, 35, F142*0.035)))),
0)))</f>
        <v>0</v>
      </c>
      <c r="H142" s="95">
        <f>IF(I142="مخالفات",50,Basic34567891011121314151617181920212223242526272829303132[[#This Row],[قيمة الرسوم / العموله]]+Basic34567891011121314151617181920212223242526272829303132[[#This Row],[قيمة الشحنه]])</f>
        <v>0</v>
      </c>
      <c r="I142" s="90"/>
      <c r="J142" s="111" t="str">
        <f t="shared" si="2"/>
        <v>1.5.2026</v>
      </c>
      <c r="L142" s="117">
        <v>131</v>
      </c>
      <c r="M142" s="92"/>
    </row>
    <row r="143" spans="1:13" ht="21.6" x14ac:dyDescent="0.65">
      <c r="A143" s="199"/>
      <c r="B143" s="110">
        <v>140</v>
      </c>
      <c r="C143" s="2"/>
      <c r="D143" s="1"/>
      <c r="E143" s="3"/>
      <c r="F143" s="1"/>
      <c r="G143" s="95">
        <f>IF(Basic34567891011121314151617181920212223242526272829303132[[#This Row],[نوع الخدمة]]="مخالفات", 50,
IF(Basic34567891011121314151617181920212223242526272829303132[[#This Row],[نوع الخدمة]]="كاش ان",
    IF(F143&lt;=100, 18, IF(F143&lt;=250, 23, IF(F143&lt;=500, 35, IF(F143&lt;=1000, 40, F143*0.04)))),
IF(Basic34567891011121314151617181920212223242526272829303132[[#This Row],[نوع الخدمة]]="كاش اوت",
    IF(F143&lt;=100, 15, IF(F143&lt;=250, 20, IF(F143&lt;=500, 30, IF(F143&lt;=1000, 35, F143*0.035)))),
0)))</f>
        <v>0</v>
      </c>
      <c r="H143" s="95">
        <f>IF(I143="مخالفات",50,Basic34567891011121314151617181920212223242526272829303132[[#This Row],[قيمة الرسوم / العموله]]+Basic34567891011121314151617181920212223242526272829303132[[#This Row],[قيمة الشحنه]])</f>
        <v>0</v>
      </c>
      <c r="I143" s="90"/>
      <c r="J143" s="111" t="str">
        <f t="shared" si="2"/>
        <v>1.5.2026</v>
      </c>
      <c r="L143" s="117">
        <v>132</v>
      </c>
      <c r="M143" s="92"/>
    </row>
    <row r="144" spans="1:13" ht="21.6" x14ac:dyDescent="0.65">
      <c r="A144" s="199"/>
      <c r="B144" s="110">
        <v>141</v>
      </c>
      <c r="C144" s="2"/>
      <c r="D144" s="1"/>
      <c r="E144" s="3"/>
      <c r="F144" s="1"/>
      <c r="G144" s="95">
        <f>IF(Basic34567891011121314151617181920212223242526272829303132[[#This Row],[نوع الخدمة]]="مخالفات", 50,
IF(Basic34567891011121314151617181920212223242526272829303132[[#This Row],[نوع الخدمة]]="كاش ان",
    IF(F144&lt;=100, 18, IF(F144&lt;=250, 23, IF(F144&lt;=500, 35, IF(F144&lt;=1000, 40, F144*0.04)))),
IF(Basic34567891011121314151617181920212223242526272829303132[[#This Row],[نوع الخدمة]]="كاش اوت",
    IF(F144&lt;=100, 15, IF(F144&lt;=250, 20, IF(F144&lt;=500, 30, IF(F144&lt;=1000, 35, F144*0.035)))),
0)))</f>
        <v>0</v>
      </c>
      <c r="H144" s="95">
        <f>IF(I144="مخالفات",50,Basic34567891011121314151617181920212223242526272829303132[[#This Row],[قيمة الرسوم / العموله]]+Basic34567891011121314151617181920212223242526272829303132[[#This Row],[قيمة الشحنه]])</f>
        <v>0</v>
      </c>
      <c r="I144" s="90"/>
      <c r="J144" s="111" t="str">
        <f t="shared" si="2"/>
        <v>1.5.2026</v>
      </c>
      <c r="L144" s="117">
        <v>133</v>
      </c>
      <c r="M144" s="92"/>
    </row>
    <row r="145" spans="1:13" ht="21.6" x14ac:dyDescent="0.65">
      <c r="A145" s="199"/>
      <c r="B145" s="113">
        <v>142</v>
      </c>
      <c r="C145" s="2"/>
      <c r="D145" s="1"/>
      <c r="E145" s="3"/>
      <c r="F145" s="1"/>
      <c r="G145" s="95">
        <f>IF(Basic34567891011121314151617181920212223242526272829303132[[#This Row],[نوع الخدمة]]="مخالفات", 50,
IF(Basic34567891011121314151617181920212223242526272829303132[[#This Row],[نوع الخدمة]]="كاش ان",
    IF(F145&lt;=100, 18, IF(F145&lt;=250, 23, IF(F145&lt;=500, 35, IF(F145&lt;=1000, 40, F145*0.04)))),
IF(Basic34567891011121314151617181920212223242526272829303132[[#This Row],[نوع الخدمة]]="كاش اوت",
    IF(F145&lt;=100, 15, IF(F145&lt;=250, 20, IF(F145&lt;=500, 30, IF(F145&lt;=1000, 35, F145*0.035)))),
0)))</f>
        <v>0</v>
      </c>
      <c r="H145" s="95">
        <f>IF(I145="مخالفات",50,Basic34567891011121314151617181920212223242526272829303132[[#This Row],[قيمة الرسوم / العموله]]+Basic34567891011121314151617181920212223242526272829303132[[#This Row],[قيمة الشحنه]])</f>
        <v>0</v>
      </c>
      <c r="I145" s="90"/>
      <c r="J145" s="111" t="str">
        <f t="shared" si="2"/>
        <v>1.5.2026</v>
      </c>
      <c r="L145" s="117">
        <v>134</v>
      </c>
      <c r="M145" s="92"/>
    </row>
    <row r="146" spans="1:13" ht="21.6" x14ac:dyDescent="0.65">
      <c r="A146" s="199"/>
      <c r="B146" s="110">
        <v>143</v>
      </c>
      <c r="C146" s="2"/>
      <c r="D146" s="1"/>
      <c r="E146" s="3"/>
      <c r="F146" s="1"/>
      <c r="G146" s="95">
        <f>IF(Basic34567891011121314151617181920212223242526272829303132[[#This Row],[نوع الخدمة]]="مخالفات", 50,
IF(Basic34567891011121314151617181920212223242526272829303132[[#This Row],[نوع الخدمة]]="كاش ان",
    IF(F146&lt;=100, 18, IF(F146&lt;=250, 23, IF(F146&lt;=500, 35, IF(F146&lt;=1000, 40, F146*0.04)))),
IF(Basic34567891011121314151617181920212223242526272829303132[[#This Row],[نوع الخدمة]]="كاش اوت",
    IF(F146&lt;=100, 15, IF(F146&lt;=250, 20, IF(F146&lt;=500, 30, IF(F146&lt;=1000, 35, F146*0.035)))),
0)))</f>
        <v>0</v>
      </c>
      <c r="H146" s="95">
        <f>IF(I146="مخالفات",50,Basic34567891011121314151617181920212223242526272829303132[[#This Row],[قيمة الرسوم / العموله]]+Basic34567891011121314151617181920212223242526272829303132[[#This Row],[قيمة الشحنه]])</f>
        <v>0</v>
      </c>
      <c r="I146" s="90"/>
      <c r="J146" s="111" t="str">
        <f t="shared" si="2"/>
        <v>1.5.2026</v>
      </c>
      <c r="L146" s="117">
        <v>135</v>
      </c>
      <c r="M146" s="92"/>
    </row>
    <row r="147" spans="1:13" ht="21.6" x14ac:dyDescent="0.65">
      <c r="A147" s="199"/>
      <c r="B147" s="110">
        <v>144</v>
      </c>
      <c r="C147" s="2"/>
      <c r="D147" s="1"/>
      <c r="E147" s="3"/>
      <c r="F147" s="1"/>
      <c r="G147" s="95">
        <f>IF(Basic34567891011121314151617181920212223242526272829303132[[#This Row],[نوع الخدمة]]="مخالفات", 50,
IF(Basic34567891011121314151617181920212223242526272829303132[[#This Row],[نوع الخدمة]]="كاش ان",
    IF(F147&lt;=100, 18, IF(F147&lt;=250, 23, IF(F147&lt;=500, 35, IF(F147&lt;=1000, 40, F147*0.04)))),
IF(Basic34567891011121314151617181920212223242526272829303132[[#This Row],[نوع الخدمة]]="كاش اوت",
    IF(F147&lt;=100, 15, IF(F147&lt;=250, 20, IF(F147&lt;=500, 30, IF(F147&lt;=1000, 35, F147*0.035)))),
0)))</f>
        <v>0</v>
      </c>
      <c r="H147" s="95">
        <f>IF(I147="مخالفات",50,Basic34567891011121314151617181920212223242526272829303132[[#This Row],[قيمة الرسوم / العموله]]+Basic34567891011121314151617181920212223242526272829303132[[#This Row],[قيمة الشحنه]])</f>
        <v>0</v>
      </c>
      <c r="I147" s="90"/>
      <c r="J147" s="111" t="str">
        <f t="shared" si="2"/>
        <v>1.5.2026</v>
      </c>
      <c r="L147" s="117">
        <v>136</v>
      </c>
      <c r="M147" s="92"/>
    </row>
    <row r="148" spans="1:13" ht="21.6" x14ac:dyDescent="0.65">
      <c r="A148" s="199"/>
      <c r="B148" s="110">
        <v>145</v>
      </c>
      <c r="C148" s="2"/>
      <c r="D148" s="1"/>
      <c r="E148" s="3"/>
      <c r="F148" s="1"/>
      <c r="G148" s="95">
        <f>IF(Basic34567891011121314151617181920212223242526272829303132[[#This Row],[نوع الخدمة]]="مخالفات", 50,
IF(Basic34567891011121314151617181920212223242526272829303132[[#This Row],[نوع الخدمة]]="كاش ان",
    IF(F148&lt;=100, 18, IF(F148&lt;=250, 23, IF(F148&lt;=500, 35, IF(F148&lt;=1000, 40, F148*0.04)))),
IF(Basic34567891011121314151617181920212223242526272829303132[[#This Row],[نوع الخدمة]]="كاش اوت",
    IF(F148&lt;=100, 15, IF(F148&lt;=250, 20, IF(F148&lt;=500, 30, IF(F148&lt;=1000, 35, F148*0.035)))),
0)))</f>
        <v>0</v>
      </c>
      <c r="H148" s="95">
        <f>IF(I148="مخالفات",50,Basic34567891011121314151617181920212223242526272829303132[[#This Row],[قيمة الرسوم / العموله]]+Basic34567891011121314151617181920212223242526272829303132[[#This Row],[قيمة الشحنه]])</f>
        <v>0</v>
      </c>
      <c r="I148" s="90"/>
      <c r="J148" s="111" t="str">
        <f t="shared" si="2"/>
        <v>1.5.2026</v>
      </c>
      <c r="L148" s="117">
        <v>137</v>
      </c>
      <c r="M148" s="92"/>
    </row>
    <row r="149" spans="1:13" ht="21.6" x14ac:dyDescent="0.65">
      <c r="A149" s="199"/>
      <c r="B149" s="113">
        <v>146</v>
      </c>
      <c r="C149" s="2"/>
      <c r="D149" s="1"/>
      <c r="E149" s="3"/>
      <c r="F149" s="1"/>
      <c r="G149" s="95">
        <f>IF(Basic34567891011121314151617181920212223242526272829303132[[#This Row],[نوع الخدمة]]="مخالفات", 50,
IF(Basic34567891011121314151617181920212223242526272829303132[[#This Row],[نوع الخدمة]]="كاش ان",
    IF(F149&lt;=100, 18, IF(F149&lt;=250, 23, IF(F149&lt;=500, 35, IF(F149&lt;=1000, 40, F149*0.04)))),
IF(Basic34567891011121314151617181920212223242526272829303132[[#This Row],[نوع الخدمة]]="كاش اوت",
    IF(F149&lt;=100, 15, IF(F149&lt;=250, 20, IF(F149&lt;=500, 30, IF(F149&lt;=1000, 35, F149*0.035)))),
0)))</f>
        <v>0</v>
      </c>
      <c r="H149" s="95">
        <f>IF(I149="مخالفات",50,Basic34567891011121314151617181920212223242526272829303132[[#This Row],[قيمة الرسوم / العموله]]+Basic34567891011121314151617181920212223242526272829303132[[#This Row],[قيمة الشحنه]])</f>
        <v>0</v>
      </c>
      <c r="I149" s="90"/>
      <c r="J149" s="111" t="str">
        <f t="shared" si="2"/>
        <v>1.5.2026</v>
      </c>
      <c r="L149" s="117">
        <v>138</v>
      </c>
      <c r="M149" s="92"/>
    </row>
    <row r="150" spans="1:13" ht="21.6" x14ac:dyDescent="0.65">
      <c r="A150" s="199"/>
      <c r="B150" s="110">
        <v>147</v>
      </c>
      <c r="C150" s="2"/>
      <c r="D150" s="1"/>
      <c r="E150" s="3"/>
      <c r="F150" s="1"/>
      <c r="G150" s="95">
        <f>IF(Basic34567891011121314151617181920212223242526272829303132[[#This Row],[نوع الخدمة]]="مخالفات", 50,
IF(Basic34567891011121314151617181920212223242526272829303132[[#This Row],[نوع الخدمة]]="كاش ان",
    IF(F150&lt;=100, 18, IF(F150&lt;=250, 23, IF(F150&lt;=500, 35, IF(F150&lt;=1000, 40, F150*0.04)))),
IF(Basic34567891011121314151617181920212223242526272829303132[[#This Row],[نوع الخدمة]]="كاش اوت",
    IF(F150&lt;=100, 15, IF(F150&lt;=250, 20, IF(F150&lt;=500, 30, IF(F150&lt;=1000, 35, F150*0.035)))),
0)))</f>
        <v>0</v>
      </c>
      <c r="H150" s="95">
        <f>IF(I150="مخالفات",50,Basic34567891011121314151617181920212223242526272829303132[[#This Row],[قيمة الرسوم / العموله]]+Basic34567891011121314151617181920212223242526272829303132[[#This Row],[قيمة الشحنه]])</f>
        <v>0</v>
      </c>
      <c r="I150" s="90"/>
      <c r="J150" s="111" t="str">
        <f t="shared" si="2"/>
        <v>1.5.2026</v>
      </c>
      <c r="L150" s="117">
        <v>139</v>
      </c>
      <c r="M150" s="92"/>
    </row>
    <row r="151" spans="1:13" ht="21.6" x14ac:dyDescent="0.65">
      <c r="A151" s="199"/>
      <c r="B151" s="110">
        <v>148</v>
      </c>
      <c r="C151" s="2"/>
      <c r="D151" s="1"/>
      <c r="E151" s="3"/>
      <c r="F151" s="1"/>
      <c r="G151" s="95">
        <f>IF(Basic34567891011121314151617181920212223242526272829303132[[#This Row],[نوع الخدمة]]="مخالفات", 50,
IF(Basic34567891011121314151617181920212223242526272829303132[[#This Row],[نوع الخدمة]]="كاش ان",
    IF(F151&lt;=100, 18, IF(F151&lt;=250, 23, IF(F151&lt;=500, 35, IF(F151&lt;=1000, 40, F151*0.04)))),
IF(Basic34567891011121314151617181920212223242526272829303132[[#This Row],[نوع الخدمة]]="كاش اوت",
    IF(F151&lt;=100, 15, IF(F151&lt;=250, 20, IF(F151&lt;=500, 30, IF(F151&lt;=1000, 35, F151*0.035)))),
0)))</f>
        <v>0</v>
      </c>
      <c r="H151" s="95">
        <f>IF(I151="مخالفات",50,Basic34567891011121314151617181920212223242526272829303132[[#This Row],[قيمة الرسوم / العموله]]+Basic34567891011121314151617181920212223242526272829303132[[#This Row],[قيمة الشحنه]])</f>
        <v>0</v>
      </c>
      <c r="I151" s="90"/>
      <c r="J151" s="111" t="str">
        <f t="shared" si="2"/>
        <v>1.5.2026</v>
      </c>
      <c r="L151" s="117">
        <v>140</v>
      </c>
      <c r="M151" s="92"/>
    </row>
    <row r="152" spans="1:13" ht="21.6" x14ac:dyDescent="0.65">
      <c r="A152" s="199"/>
      <c r="B152" s="110">
        <v>149</v>
      </c>
      <c r="C152" s="2"/>
      <c r="D152" s="1"/>
      <c r="E152" s="3"/>
      <c r="F152" s="1"/>
      <c r="G152" s="95">
        <f>IF(Basic34567891011121314151617181920212223242526272829303132[[#This Row],[نوع الخدمة]]="مخالفات", 50,
IF(Basic34567891011121314151617181920212223242526272829303132[[#This Row],[نوع الخدمة]]="كاش ان",
    IF(F152&lt;=100, 18, IF(F152&lt;=250, 23, IF(F152&lt;=500, 35, IF(F152&lt;=1000, 40, F152*0.04)))),
IF(Basic34567891011121314151617181920212223242526272829303132[[#This Row],[نوع الخدمة]]="كاش اوت",
    IF(F152&lt;=100, 15, IF(F152&lt;=250, 20, IF(F152&lt;=500, 30, IF(F152&lt;=1000, 35, F152*0.035)))),
0)))</f>
        <v>0</v>
      </c>
      <c r="H152" s="95">
        <f>IF(I152="مخالفات",50,Basic34567891011121314151617181920212223242526272829303132[[#This Row],[قيمة الرسوم / العموله]]+Basic34567891011121314151617181920212223242526272829303132[[#This Row],[قيمة الشحنه]])</f>
        <v>0</v>
      </c>
      <c r="I152" s="90"/>
      <c r="J152" s="111" t="str">
        <f t="shared" si="2"/>
        <v>1.5.2026</v>
      </c>
      <c r="L152" s="117">
        <v>141</v>
      </c>
      <c r="M152" s="92"/>
    </row>
    <row r="153" spans="1:13" ht="21.6" x14ac:dyDescent="0.65">
      <c r="A153" s="199"/>
      <c r="B153" s="113">
        <v>150</v>
      </c>
      <c r="C153" s="2"/>
      <c r="D153" s="1"/>
      <c r="E153" s="3"/>
      <c r="F153" s="1"/>
      <c r="G153" s="95">
        <f>IF(Basic34567891011121314151617181920212223242526272829303132[[#This Row],[نوع الخدمة]]="مخالفات", 50,
IF(Basic34567891011121314151617181920212223242526272829303132[[#This Row],[نوع الخدمة]]="كاش ان",
    IF(F153&lt;=100, 18, IF(F153&lt;=250, 23, IF(F153&lt;=500, 35, IF(F153&lt;=1000, 40, F153*0.04)))),
IF(Basic34567891011121314151617181920212223242526272829303132[[#This Row],[نوع الخدمة]]="كاش اوت",
    IF(F153&lt;=100, 15, IF(F153&lt;=250, 20, IF(F153&lt;=500, 30, IF(F153&lt;=1000, 35, F153*0.035)))),
0)))</f>
        <v>0</v>
      </c>
      <c r="H153" s="95">
        <f>IF(I153="مخالفات",50,Basic34567891011121314151617181920212223242526272829303132[[#This Row],[قيمة الرسوم / العموله]]+Basic34567891011121314151617181920212223242526272829303132[[#This Row],[قيمة الشحنه]])</f>
        <v>0</v>
      </c>
      <c r="I153" s="90"/>
      <c r="J153" s="111" t="str">
        <f t="shared" si="2"/>
        <v>1.5.2026</v>
      </c>
      <c r="L153" s="117">
        <v>142</v>
      </c>
      <c r="M153" s="92"/>
    </row>
    <row r="154" spans="1:13" ht="21.6" x14ac:dyDescent="0.65">
      <c r="A154" s="199"/>
      <c r="B154" s="110">
        <v>151</v>
      </c>
      <c r="C154" s="2"/>
      <c r="D154" s="1"/>
      <c r="E154" s="3"/>
      <c r="F154" s="1"/>
      <c r="G154" s="95">
        <f>IF(Basic34567891011121314151617181920212223242526272829303132[[#This Row],[نوع الخدمة]]="مخالفات", 50,
IF(Basic34567891011121314151617181920212223242526272829303132[[#This Row],[نوع الخدمة]]="كاش ان",
    IF(F154&lt;=100, 18, IF(F154&lt;=250, 23, IF(F154&lt;=500, 35, IF(F154&lt;=1000, 40, F154*0.04)))),
IF(Basic34567891011121314151617181920212223242526272829303132[[#This Row],[نوع الخدمة]]="كاش اوت",
    IF(F154&lt;=100, 15, IF(F154&lt;=250, 20, IF(F154&lt;=500, 30, IF(F154&lt;=1000, 35, F154*0.035)))),
0)))</f>
        <v>0</v>
      </c>
      <c r="H154" s="95">
        <f>IF(I154="مخالفات",50,Basic34567891011121314151617181920212223242526272829303132[[#This Row],[قيمة الرسوم / العموله]]+Basic34567891011121314151617181920212223242526272829303132[[#This Row],[قيمة الشحنه]])</f>
        <v>0</v>
      </c>
      <c r="I154" s="90"/>
      <c r="J154" s="111" t="str">
        <f t="shared" si="2"/>
        <v>1.5.2026</v>
      </c>
      <c r="L154" s="117">
        <v>143</v>
      </c>
      <c r="M154" s="92"/>
    </row>
    <row r="155" spans="1:13" ht="21.6" x14ac:dyDescent="0.65">
      <c r="A155" s="199"/>
      <c r="B155" s="110">
        <v>152</v>
      </c>
      <c r="C155" s="2"/>
      <c r="D155" s="1"/>
      <c r="E155" s="3"/>
      <c r="F155" s="1"/>
      <c r="G155" s="95">
        <f>IF(Basic34567891011121314151617181920212223242526272829303132[[#This Row],[نوع الخدمة]]="مخالفات", 50,
IF(Basic34567891011121314151617181920212223242526272829303132[[#This Row],[نوع الخدمة]]="كاش ان",
    IF(F155&lt;=100, 18, IF(F155&lt;=250, 23, IF(F155&lt;=500, 35, IF(F155&lt;=1000, 40, F155*0.04)))),
IF(Basic34567891011121314151617181920212223242526272829303132[[#This Row],[نوع الخدمة]]="كاش اوت",
    IF(F155&lt;=100, 15, IF(F155&lt;=250, 20, IF(F155&lt;=500, 30, IF(F155&lt;=1000, 35, F155*0.035)))),
0)))</f>
        <v>0</v>
      </c>
      <c r="H155" s="95">
        <f>IF(I155="مخالفات",50,Basic34567891011121314151617181920212223242526272829303132[[#This Row],[قيمة الرسوم / العموله]]+Basic34567891011121314151617181920212223242526272829303132[[#This Row],[قيمة الشحنه]])</f>
        <v>0</v>
      </c>
      <c r="I155" s="90"/>
      <c r="J155" s="111" t="str">
        <f t="shared" si="2"/>
        <v>1.5.2026</v>
      </c>
      <c r="L155" s="117">
        <v>144</v>
      </c>
      <c r="M155" s="92"/>
    </row>
    <row r="156" spans="1:13" ht="21.6" x14ac:dyDescent="0.65">
      <c r="A156" s="199"/>
      <c r="B156" s="110">
        <v>153</v>
      </c>
      <c r="C156" s="2"/>
      <c r="D156" s="1"/>
      <c r="E156" s="3"/>
      <c r="F156" s="1"/>
      <c r="G156" s="95">
        <f>IF(Basic34567891011121314151617181920212223242526272829303132[[#This Row],[نوع الخدمة]]="مخالفات", 50,
IF(Basic34567891011121314151617181920212223242526272829303132[[#This Row],[نوع الخدمة]]="كاش ان",
    IF(F156&lt;=100, 18, IF(F156&lt;=250, 23, IF(F156&lt;=500, 35, IF(F156&lt;=1000, 40, F156*0.04)))),
IF(Basic34567891011121314151617181920212223242526272829303132[[#This Row],[نوع الخدمة]]="كاش اوت",
    IF(F156&lt;=100, 15, IF(F156&lt;=250, 20, IF(F156&lt;=500, 30, IF(F156&lt;=1000, 35, F156*0.035)))),
0)))</f>
        <v>0</v>
      </c>
      <c r="H156" s="95">
        <f>IF(I156="مخالفات",50,Basic34567891011121314151617181920212223242526272829303132[[#This Row],[قيمة الرسوم / العموله]]+Basic34567891011121314151617181920212223242526272829303132[[#This Row],[قيمة الشحنه]])</f>
        <v>0</v>
      </c>
      <c r="I156" s="90"/>
      <c r="J156" s="111" t="str">
        <f t="shared" si="2"/>
        <v>1.5.2026</v>
      </c>
      <c r="L156" s="117">
        <v>145</v>
      </c>
      <c r="M156" s="92"/>
    </row>
    <row r="157" spans="1:13" ht="21.6" x14ac:dyDescent="0.65">
      <c r="A157" s="199"/>
      <c r="B157" s="113">
        <v>154</v>
      </c>
      <c r="C157" s="2"/>
      <c r="D157" s="1"/>
      <c r="E157" s="3"/>
      <c r="F157" s="1"/>
      <c r="G157" s="95">
        <f>IF(Basic34567891011121314151617181920212223242526272829303132[[#This Row],[نوع الخدمة]]="مخالفات", 50,
IF(Basic34567891011121314151617181920212223242526272829303132[[#This Row],[نوع الخدمة]]="كاش ان",
    IF(F157&lt;=100, 18, IF(F157&lt;=250, 23, IF(F157&lt;=500, 35, IF(F157&lt;=1000, 40, F157*0.04)))),
IF(Basic34567891011121314151617181920212223242526272829303132[[#This Row],[نوع الخدمة]]="كاش اوت",
    IF(F157&lt;=100, 15, IF(F157&lt;=250, 20, IF(F157&lt;=500, 30, IF(F157&lt;=1000, 35, F157*0.035)))),
0)))</f>
        <v>0</v>
      </c>
      <c r="H157" s="95">
        <f>IF(I157="مخالفات",50,Basic34567891011121314151617181920212223242526272829303132[[#This Row],[قيمة الرسوم / العموله]]+Basic34567891011121314151617181920212223242526272829303132[[#This Row],[قيمة الشحنه]])</f>
        <v>0</v>
      </c>
      <c r="I157" s="90"/>
      <c r="J157" s="111" t="str">
        <f t="shared" si="2"/>
        <v>1.5.2026</v>
      </c>
      <c r="L157" s="117">
        <v>146</v>
      </c>
      <c r="M157" s="92"/>
    </row>
    <row r="158" spans="1:13" ht="21.6" x14ac:dyDescent="0.65">
      <c r="A158" s="199"/>
      <c r="B158" s="110">
        <v>155</v>
      </c>
      <c r="C158" s="2"/>
      <c r="D158" s="1"/>
      <c r="E158" s="3"/>
      <c r="F158" s="1"/>
      <c r="G158" s="95">
        <f>IF(Basic34567891011121314151617181920212223242526272829303132[[#This Row],[نوع الخدمة]]="مخالفات", 50,
IF(Basic34567891011121314151617181920212223242526272829303132[[#This Row],[نوع الخدمة]]="كاش ان",
    IF(F158&lt;=100, 18, IF(F158&lt;=250, 23, IF(F158&lt;=500, 35, IF(F158&lt;=1000, 40, F158*0.04)))),
IF(Basic34567891011121314151617181920212223242526272829303132[[#This Row],[نوع الخدمة]]="كاش اوت",
    IF(F158&lt;=100, 15, IF(F158&lt;=250, 20, IF(F158&lt;=500, 30, IF(F158&lt;=1000, 35, F158*0.035)))),
0)))</f>
        <v>0</v>
      </c>
      <c r="H158" s="95">
        <f>IF(I158="مخالفات",50,Basic34567891011121314151617181920212223242526272829303132[[#This Row],[قيمة الرسوم / العموله]]+Basic34567891011121314151617181920212223242526272829303132[[#This Row],[قيمة الشحنه]])</f>
        <v>0</v>
      </c>
      <c r="I158" s="90"/>
      <c r="J158" s="111" t="str">
        <f t="shared" si="2"/>
        <v>1.5.2026</v>
      </c>
      <c r="L158" s="117">
        <v>147</v>
      </c>
      <c r="M158" s="92"/>
    </row>
    <row r="159" spans="1:13" ht="21.6" x14ac:dyDescent="0.65">
      <c r="A159" s="199"/>
      <c r="B159" s="110">
        <v>156</v>
      </c>
      <c r="C159" s="2"/>
      <c r="D159" s="1"/>
      <c r="E159" s="3"/>
      <c r="F159" s="1"/>
      <c r="G159" s="95">
        <f>IF(Basic34567891011121314151617181920212223242526272829303132[[#This Row],[نوع الخدمة]]="مخالفات", 50,
IF(Basic34567891011121314151617181920212223242526272829303132[[#This Row],[نوع الخدمة]]="كاش ان",
    IF(F159&lt;=100, 18, IF(F159&lt;=250, 23, IF(F159&lt;=500, 35, IF(F159&lt;=1000, 40, F159*0.04)))),
IF(Basic34567891011121314151617181920212223242526272829303132[[#This Row],[نوع الخدمة]]="كاش اوت",
    IF(F159&lt;=100, 15, IF(F159&lt;=250, 20, IF(F159&lt;=500, 30, IF(F159&lt;=1000, 35, F159*0.035)))),
0)))</f>
        <v>0</v>
      </c>
      <c r="H159" s="95">
        <f>IF(I159="مخالفات",50,Basic34567891011121314151617181920212223242526272829303132[[#This Row],[قيمة الرسوم / العموله]]+Basic34567891011121314151617181920212223242526272829303132[[#This Row],[قيمة الشحنه]])</f>
        <v>0</v>
      </c>
      <c r="I159" s="90"/>
      <c r="J159" s="111" t="str">
        <f t="shared" si="2"/>
        <v>1.5.2026</v>
      </c>
      <c r="L159" s="117">
        <v>148</v>
      </c>
      <c r="M159" s="92"/>
    </row>
    <row r="160" spans="1:13" ht="21.6" x14ac:dyDescent="0.65">
      <c r="A160" s="199"/>
      <c r="B160" s="110">
        <v>157</v>
      </c>
      <c r="C160" s="2"/>
      <c r="D160" s="1"/>
      <c r="E160" s="3"/>
      <c r="F160" s="1"/>
      <c r="G160" s="95">
        <f>IF(Basic34567891011121314151617181920212223242526272829303132[[#This Row],[نوع الخدمة]]="مخالفات", 50,
IF(Basic34567891011121314151617181920212223242526272829303132[[#This Row],[نوع الخدمة]]="كاش ان",
    IF(F160&lt;=100, 18, IF(F160&lt;=250, 23, IF(F160&lt;=500, 35, IF(F160&lt;=1000, 40, F160*0.04)))),
IF(Basic34567891011121314151617181920212223242526272829303132[[#This Row],[نوع الخدمة]]="كاش اوت",
    IF(F160&lt;=100, 15, IF(F160&lt;=250, 20, IF(F160&lt;=500, 30, IF(F160&lt;=1000, 35, F160*0.035)))),
0)))</f>
        <v>0</v>
      </c>
      <c r="H160" s="95">
        <f>IF(I160="مخالفات",50,Basic34567891011121314151617181920212223242526272829303132[[#This Row],[قيمة الرسوم / العموله]]+Basic34567891011121314151617181920212223242526272829303132[[#This Row],[قيمة الشحنه]])</f>
        <v>0</v>
      </c>
      <c r="I160" s="90"/>
      <c r="J160" s="111" t="str">
        <f t="shared" si="2"/>
        <v>1.5.2026</v>
      </c>
      <c r="L160" s="117">
        <v>149</v>
      </c>
      <c r="M160" s="92"/>
    </row>
    <row r="161" spans="1:13" ht="21.6" x14ac:dyDescent="0.65">
      <c r="A161" s="199"/>
      <c r="B161" s="113">
        <v>158</v>
      </c>
      <c r="C161" s="2"/>
      <c r="D161" s="1"/>
      <c r="E161" s="3"/>
      <c r="F161" s="1"/>
      <c r="G161" s="95">
        <f>IF(Basic34567891011121314151617181920212223242526272829303132[[#This Row],[نوع الخدمة]]="مخالفات", 50,
IF(Basic34567891011121314151617181920212223242526272829303132[[#This Row],[نوع الخدمة]]="كاش ان",
    IF(F161&lt;=100, 18, IF(F161&lt;=250, 23, IF(F161&lt;=500, 35, IF(F161&lt;=1000, 40, F161*0.04)))),
IF(Basic34567891011121314151617181920212223242526272829303132[[#This Row],[نوع الخدمة]]="كاش اوت",
    IF(F161&lt;=100, 15, IF(F161&lt;=250, 20, IF(F161&lt;=500, 30, IF(F161&lt;=1000, 35, F161*0.035)))),
0)))</f>
        <v>0</v>
      </c>
      <c r="H161" s="95">
        <f>IF(I161="مخالفات",50,Basic34567891011121314151617181920212223242526272829303132[[#This Row],[قيمة الرسوم / العموله]]+Basic34567891011121314151617181920212223242526272829303132[[#This Row],[قيمة الشحنه]])</f>
        <v>0</v>
      </c>
      <c r="I161" s="90"/>
      <c r="J161" s="111" t="str">
        <f t="shared" si="2"/>
        <v>1.5.2026</v>
      </c>
      <c r="L161" s="117">
        <v>150</v>
      </c>
      <c r="M161" s="92"/>
    </row>
    <row r="162" spans="1:13" ht="21.6" x14ac:dyDescent="0.65">
      <c r="A162" s="199"/>
      <c r="B162" s="110">
        <v>159</v>
      </c>
      <c r="C162" s="2"/>
      <c r="D162" s="1"/>
      <c r="E162" s="3"/>
      <c r="F162" s="1"/>
      <c r="G162" s="95">
        <f>IF(Basic34567891011121314151617181920212223242526272829303132[[#This Row],[نوع الخدمة]]="مخالفات", 50,
IF(Basic34567891011121314151617181920212223242526272829303132[[#This Row],[نوع الخدمة]]="كاش ان",
    IF(F162&lt;=100, 18, IF(F162&lt;=250, 23, IF(F162&lt;=500, 35, IF(F162&lt;=1000, 40, F162*0.04)))),
IF(Basic34567891011121314151617181920212223242526272829303132[[#This Row],[نوع الخدمة]]="كاش اوت",
    IF(F162&lt;=100, 15, IF(F162&lt;=250, 20, IF(F162&lt;=500, 30, IF(F162&lt;=1000, 35, F162*0.035)))),
0)))</f>
        <v>0</v>
      </c>
      <c r="H162" s="95">
        <f>IF(I162="مخالفات",50,Basic34567891011121314151617181920212223242526272829303132[[#This Row],[قيمة الرسوم / العموله]]+Basic34567891011121314151617181920212223242526272829303132[[#This Row],[قيمة الشحنه]])</f>
        <v>0</v>
      </c>
      <c r="I162" s="90"/>
      <c r="J162" s="111" t="str">
        <f t="shared" si="2"/>
        <v>1.5.2026</v>
      </c>
      <c r="L162" s="117">
        <v>151</v>
      </c>
      <c r="M162" s="92"/>
    </row>
    <row r="163" spans="1:13" ht="21.6" x14ac:dyDescent="0.65">
      <c r="A163" s="199"/>
      <c r="B163" s="110">
        <v>160</v>
      </c>
      <c r="C163" s="2"/>
      <c r="D163" s="1"/>
      <c r="E163" s="3"/>
      <c r="F163" s="1"/>
      <c r="G163" s="95">
        <f>IF(Basic34567891011121314151617181920212223242526272829303132[[#This Row],[نوع الخدمة]]="مخالفات", 50,
IF(Basic34567891011121314151617181920212223242526272829303132[[#This Row],[نوع الخدمة]]="كاش ان",
    IF(F163&lt;=100, 18, IF(F163&lt;=250, 23, IF(F163&lt;=500, 35, IF(F163&lt;=1000, 40, F163*0.04)))),
IF(Basic34567891011121314151617181920212223242526272829303132[[#This Row],[نوع الخدمة]]="كاش اوت",
    IF(F163&lt;=100, 15, IF(F163&lt;=250, 20, IF(F163&lt;=500, 30, IF(F163&lt;=1000, 35, F163*0.035)))),
0)))</f>
        <v>0</v>
      </c>
      <c r="H163" s="95">
        <f>IF(I163="مخالفات",50,Basic34567891011121314151617181920212223242526272829303132[[#This Row],[قيمة الرسوم / العموله]]+Basic34567891011121314151617181920212223242526272829303132[[#This Row],[قيمة الشحنه]])</f>
        <v>0</v>
      </c>
      <c r="I163" s="90"/>
      <c r="J163" s="111" t="str">
        <f t="shared" si="2"/>
        <v>1.5.2026</v>
      </c>
      <c r="L163" s="117">
        <v>152</v>
      </c>
      <c r="M163" s="92"/>
    </row>
    <row r="164" spans="1:13" ht="21.6" x14ac:dyDescent="0.65">
      <c r="A164" s="199"/>
      <c r="B164" s="110">
        <v>161</v>
      </c>
      <c r="C164" s="2"/>
      <c r="D164" s="1"/>
      <c r="E164" s="3"/>
      <c r="F164" s="1"/>
      <c r="G164" s="95">
        <f>IF(Basic34567891011121314151617181920212223242526272829303132[[#This Row],[نوع الخدمة]]="مخالفات", 50,
IF(Basic34567891011121314151617181920212223242526272829303132[[#This Row],[نوع الخدمة]]="كاش ان",
    IF(F164&lt;=100, 18, IF(F164&lt;=250, 23, IF(F164&lt;=500, 35, IF(F164&lt;=1000, 40, F164*0.04)))),
IF(Basic34567891011121314151617181920212223242526272829303132[[#This Row],[نوع الخدمة]]="كاش اوت",
    IF(F164&lt;=100, 15, IF(F164&lt;=250, 20, IF(F164&lt;=500, 30, IF(F164&lt;=1000, 35, F164*0.035)))),
0)))</f>
        <v>0</v>
      </c>
      <c r="H164" s="95">
        <f>IF(I164="مخالفات",50,Basic34567891011121314151617181920212223242526272829303132[[#This Row],[قيمة الرسوم / العموله]]+Basic34567891011121314151617181920212223242526272829303132[[#This Row],[قيمة الشحنه]])</f>
        <v>0</v>
      </c>
      <c r="I164" s="90"/>
      <c r="J164" s="111" t="str">
        <f t="shared" si="2"/>
        <v>1.5.2026</v>
      </c>
      <c r="L164" s="117">
        <v>153</v>
      </c>
      <c r="M164" s="92"/>
    </row>
    <row r="165" spans="1:13" ht="21.6" x14ac:dyDescent="0.65">
      <c r="A165" s="199"/>
      <c r="B165" s="113">
        <v>162</v>
      </c>
      <c r="C165" s="2"/>
      <c r="D165" s="1"/>
      <c r="E165" s="3"/>
      <c r="F165" s="1"/>
      <c r="G165" s="95">
        <f>IF(Basic34567891011121314151617181920212223242526272829303132[[#This Row],[نوع الخدمة]]="مخالفات", 50,
IF(Basic34567891011121314151617181920212223242526272829303132[[#This Row],[نوع الخدمة]]="كاش ان",
    IF(F165&lt;=100, 18, IF(F165&lt;=250, 23, IF(F165&lt;=500, 35, IF(F165&lt;=1000, 40, F165*0.04)))),
IF(Basic34567891011121314151617181920212223242526272829303132[[#This Row],[نوع الخدمة]]="كاش اوت",
    IF(F165&lt;=100, 15, IF(F165&lt;=250, 20, IF(F165&lt;=500, 30, IF(F165&lt;=1000, 35, F165*0.035)))),
0)))</f>
        <v>0</v>
      </c>
      <c r="H165" s="95">
        <f>IF(I165="مخالفات",50,Basic34567891011121314151617181920212223242526272829303132[[#This Row],[قيمة الرسوم / العموله]]+Basic34567891011121314151617181920212223242526272829303132[[#This Row],[قيمة الشحنه]])</f>
        <v>0</v>
      </c>
      <c r="I165" s="90"/>
      <c r="J165" s="111" t="str">
        <f t="shared" si="2"/>
        <v>1.5.2026</v>
      </c>
      <c r="L165" s="117">
        <v>154</v>
      </c>
      <c r="M165" s="92"/>
    </row>
    <row r="166" spans="1:13" ht="21.6" x14ac:dyDescent="0.65">
      <c r="A166" s="199"/>
      <c r="B166" s="110">
        <v>163</v>
      </c>
      <c r="C166" s="2"/>
      <c r="D166" s="1"/>
      <c r="E166" s="3"/>
      <c r="F166" s="1"/>
      <c r="G166" s="95">
        <f>IF(Basic34567891011121314151617181920212223242526272829303132[[#This Row],[نوع الخدمة]]="مخالفات", 50,
IF(Basic34567891011121314151617181920212223242526272829303132[[#This Row],[نوع الخدمة]]="كاش ان",
    IF(F166&lt;=100, 18, IF(F166&lt;=250, 23, IF(F166&lt;=500, 35, IF(F166&lt;=1000, 40, F166*0.04)))),
IF(Basic34567891011121314151617181920212223242526272829303132[[#This Row],[نوع الخدمة]]="كاش اوت",
    IF(F166&lt;=100, 15, IF(F166&lt;=250, 20, IF(F166&lt;=500, 30, IF(F166&lt;=1000, 35, F166*0.035)))),
0)))</f>
        <v>0</v>
      </c>
      <c r="H166" s="95">
        <f>IF(I166="مخالفات",50,Basic34567891011121314151617181920212223242526272829303132[[#This Row],[قيمة الرسوم / العموله]]+Basic34567891011121314151617181920212223242526272829303132[[#This Row],[قيمة الشحنه]])</f>
        <v>0</v>
      </c>
      <c r="I166" s="90"/>
      <c r="J166" s="111" t="str">
        <f t="shared" si="2"/>
        <v>1.5.2026</v>
      </c>
      <c r="L166" s="117">
        <v>155</v>
      </c>
      <c r="M166" s="92"/>
    </row>
    <row r="167" spans="1:13" ht="21.6" x14ac:dyDescent="0.65">
      <c r="A167" s="199"/>
      <c r="B167" s="110">
        <v>164</v>
      </c>
      <c r="C167" s="2"/>
      <c r="D167" s="1"/>
      <c r="E167" s="3"/>
      <c r="F167" s="1"/>
      <c r="G167" s="95">
        <f>IF(Basic34567891011121314151617181920212223242526272829303132[[#This Row],[نوع الخدمة]]="مخالفات", 50,
IF(Basic34567891011121314151617181920212223242526272829303132[[#This Row],[نوع الخدمة]]="كاش ان",
    IF(F167&lt;=100, 18, IF(F167&lt;=250, 23, IF(F167&lt;=500, 35, IF(F167&lt;=1000, 40, F167*0.04)))),
IF(Basic34567891011121314151617181920212223242526272829303132[[#This Row],[نوع الخدمة]]="كاش اوت",
    IF(F167&lt;=100, 15, IF(F167&lt;=250, 20, IF(F167&lt;=500, 30, IF(F167&lt;=1000, 35, F167*0.035)))),
0)))</f>
        <v>0</v>
      </c>
      <c r="H167" s="95">
        <f>IF(I167="مخالفات",50,Basic34567891011121314151617181920212223242526272829303132[[#This Row],[قيمة الرسوم / العموله]]+Basic34567891011121314151617181920212223242526272829303132[[#This Row],[قيمة الشحنه]])</f>
        <v>0</v>
      </c>
      <c r="I167" s="90"/>
      <c r="J167" s="111" t="str">
        <f t="shared" si="2"/>
        <v>1.5.2026</v>
      </c>
      <c r="L167" s="117">
        <v>156</v>
      </c>
      <c r="M167" s="92"/>
    </row>
    <row r="168" spans="1:13" ht="21.6" x14ac:dyDescent="0.65">
      <c r="A168" s="199"/>
      <c r="B168" s="110">
        <v>165</v>
      </c>
      <c r="C168" s="2"/>
      <c r="D168" s="1"/>
      <c r="E168" s="3"/>
      <c r="F168" s="1"/>
      <c r="G168" s="95">
        <f>IF(Basic34567891011121314151617181920212223242526272829303132[[#This Row],[نوع الخدمة]]="مخالفات", 50,
IF(Basic34567891011121314151617181920212223242526272829303132[[#This Row],[نوع الخدمة]]="كاش ان",
    IF(F168&lt;=100, 18, IF(F168&lt;=250, 23, IF(F168&lt;=500, 35, IF(F168&lt;=1000, 40, F168*0.04)))),
IF(Basic34567891011121314151617181920212223242526272829303132[[#This Row],[نوع الخدمة]]="كاش اوت",
    IF(F168&lt;=100, 15, IF(F168&lt;=250, 20, IF(F168&lt;=500, 30, IF(F168&lt;=1000, 35, F168*0.035)))),
0)))</f>
        <v>0</v>
      </c>
      <c r="H168" s="95">
        <f>IF(I168="مخالفات",50,Basic34567891011121314151617181920212223242526272829303132[[#This Row],[قيمة الرسوم / العموله]]+Basic34567891011121314151617181920212223242526272829303132[[#This Row],[قيمة الشحنه]])</f>
        <v>0</v>
      </c>
      <c r="I168" s="90"/>
      <c r="J168" s="111" t="str">
        <f t="shared" si="2"/>
        <v>1.5.2026</v>
      </c>
      <c r="L168" s="117">
        <v>157</v>
      </c>
      <c r="M168" s="92"/>
    </row>
    <row r="169" spans="1:13" ht="21.6" x14ac:dyDescent="0.65">
      <c r="A169" s="199"/>
      <c r="B169" s="113">
        <v>166</v>
      </c>
      <c r="C169" s="2"/>
      <c r="D169" s="1"/>
      <c r="E169" s="3"/>
      <c r="F169" s="1"/>
      <c r="G169" s="95">
        <f>IF(Basic34567891011121314151617181920212223242526272829303132[[#This Row],[نوع الخدمة]]="مخالفات", 50,
IF(Basic34567891011121314151617181920212223242526272829303132[[#This Row],[نوع الخدمة]]="كاش ان",
    IF(F169&lt;=100, 18, IF(F169&lt;=250, 23, IF(F169&lt;=500, 35, IF(F169&lt;=1000, 40, F169*0.04)))),
IF(Basic34567891011121314151617181920212223242526272829303132[[#This Row],[نوع الخدمة]]="كاش اوت",
    IF(F169&lt;=100, 15, IF(F169&lt;=250, 20, IF(F169&lt;=500, 30, IF(F169&lt;=1000, 35, F169*0.035)))),
0)))</f>
        <v>0</v>
      </c>
      <c r="H169" s="95">
        <f>IF(I169="مخالفات",50,Basic34567891011121314151617181920212223242526272829303132[[#This Row],[قيمة الرسوم / العموله]]+Basic34567891011121314151617181920212223242526272829303132[[#This Row],[قيمة الشحنه]])</f>
        <v>0</v>
      </c>
      <c r="I169" s="90"/>
      <c r="J169" s="111" t="str">
        <f t="shared" si="2"/>
        <v>1.5.2026</v>
      </c>
      <c r="L169" s="117">
        <v>158</v>
      </c>
      <c r="M169" s="92"/>
    </row>
    <row r="170" spans="1:13" ht="21.6" x14ac:dyDescent="0.65">
      <c r="A170" s="199"/>
      <c r="B170" s="110">
        <v>167</v>
      </c>
      <c r="C170" s="2"/>
      <c r="D170" s="1"/>
      <c r="E170" s="3"/>
      <c r="F170" s="1"/>
      <c r="G170" s="95">
        <f>IF(Basic34567891011121314151617181920212223242526272829303132[[#This Row],[نوع الخدمة]]="مخالفات", 50,
IF(Basic34567891011121314151617181920212223242526272829303132[[#This Row],[نوع الخدمة]]="كاش ان",
    IF(F170&lt;=100, 18, IF(F170&lt;=250, 23, IF(F170&lt;=500, 35, IF(F170&lt;=1000, 40, F170*0.04)))),
IF(Basic34567891011121314151617181920212223242526272829303132[[#This Row],[نوع الخدمة]]="كاش اوت",
    IF(F170&lt;=100, 15, IF(F170&lt;=250, 20, IF(F170&lt;=500, 30, IF(F170&lt;=1000, 35, F170*0.035)))),
0)))</f>
        <v>0</v>
      </c>
      <c r="H170" s="95">
        <f>IF(I170="مخالفات",50,Basic34567891011121314151617181920212223242526272829303132[[#This Row],[قيمة الرسوم / العموله]]+Basic34567891011121314151617181920212223242526272829303132[[#This Row],[قيمة الشحنه]])</f>
        <v>0</v>
      </c>
      <c r="I170" s="90"/>
      <c r="J170" s="111" t="str">
        <f t="shared" si="2"/>
        <v>1.5.2026</v>
      </c>
      <c r="L170" s="117">
        <v>159</v>
      </c>
      <c r="M170" s="92"/>
    </row>
    <row r="171" spans="1:13" ht="21.6" x14ac:dyDescent="0.65">
      <c r="A171" s="199"/>
      <c r="B171" s="110">
        <v>168</v>
      </c>
      <c r="C171" s="2"/>
      <c r="D171" s="1"/>
      <c r="E171" s="3"/>
      <c r="F171" s="1"/>
      <c r="G171" s="95">
        <f>IF(Basic34567891011121314151617181920212223242526272829303132[[#This Row],[نوع الخدمة]]="مخالفات", 50,
IF(Basic34567891011121314151617181920212223242526272829303132[[#This Row],[نوع الخدمة]]="كاش ان",
    IF(F171&lt;=100, 18, IF(F171&lt;=250, 23, IF(F171&lt;=500, 35, IF(F171&lt;=1000, 40, F171*0.04)))),
IF(Basic34567891011121314151617181920212223242526272829303132[[#This Row],[نوع الخدمة]]="كاش اوت",
    IF(F171&lt;=100, 15, IF(F171&lt;=250, 20, IF(F171&lt;=500, 30, IF(F171&lt;=1000, 35, F171*0.035)))),
0)))</f>
        <v>0</v>
      </c>
      <c r="H171" s="95">
        <f>IF(I171="مخالفات",50,Basic34567891011121314151617181920212223242526272829303132[[#This Row],[قيمة الرسوم / العموله]]+Basic34567891011121314151617181920212223242526272829303132[[#This Row],[قيمة الشحنه]])</f>
        <v>0</v>
      </c>
      <c r="I171" s="90"/>
      <c r="J171" s="111" t="str">
        <f t="shared" si="2"/>
        <v>1.5.2026</v>
      </c>
      <c r="L171" s="117">
        <v>160</v>
      </c>
      <c r="M171" s="92"/>
    </row>
    <row r="172" spans="1:13" ht="21.6" x14ac:dyDescent="0.65">
      <c r="A172" s="199"/>
      <c r="B172" s="110">
        <v>169</v>
      </c>
      <c r="C172" s="2"/>
      <c r="D172" s="1"/>
      <c r="E172" s="3"/>
      <c r="F172" s="1"/>
      <c r="G172" s="95">
        <f>IF(Basic34567891011121314151617181920212223242526272829303132[[#This Row],[نوع الخدمة]]="مخالفات", 50,
IF(Basic34567891011121314151617181920212223242526272829303132[[#This Row],[نوع الخدمة]]="كاش ان",
    IF(F172&lt;=100, 18, IF(F172&lt;=250, 23, IF(F172&lt;=500, 35, IF(F172&lt;=1000, 40, F172*0.04)))),
IF(Basic34567891011121314151617181920212223242526272829303132[[#This Row],[نوع الخدمة]]="كاش اوت",
    IF(F172&lt;=100, 15, IF(F172&lt;=250, 20, IF(F172&lt;=500, 30, IF(F172&lt;=1000, 35, F172*0.035)))),
0)))</f>
        <v>0</v>
      </c>
      <c r="H172" s="95">
        <f>IF(I172="مخالفات",50,Basic34567891011121314151617181920212223242526272829303132[[#This Row],[قيمة الرسوم / العموله]]+Basic34567891011121314151617181920212223242526272829303132[[#This Row],[قيمة الشحنه]])</f>
        <v>0</v>
      </c>
      <c r="I172" s="90"/>
      <c r="J172" s="111" t="str">
        <f t="shared" si="2"/>
        <v>1.5.2026</v>
      </c>
      <c r="L172" s="117">
        <v>161</v>
      </c>
      <c r="M172" s="92"/>
    </row>
    <row r="173" spans="1:13" ht="21.6" x14ac:dyDescent="0.65">
      <c r="A173" s="199"/>
      <c r="B173" s="113">
        <v>170</v>
      </c>
      <c r="C173" s="2"/>
      <c r="D173" s="1"/>
      <c r="E173" s="3"/>
      <c r="F173" s="1"/>
      <c r="G173" s="95">
        <f>IF(Basic34567891011121314151617181920212223242526272829303132[[#This Row],[نوع الخدمة]]="مخالفات", 50,
IF(Basic34567891011121314151617181920212223242526272829303132[[#This Row],[نوع الخدمة]]="كاش ان",
    IF(F173&lt;=100, 18, IF(F173&lt;=250, 23, IF(F173&lt;=500, 35, IF(F173&lt;=1000, 40, F173*0.04)))),
IF(Basic34567891011121314151617181920212223242526272829303132[[#This Row],[نوع الخدمة]]="كاش اوت",
    IF(F173&lt;=100, 15, IF(F173&lt;=250, 20, IF(F173&lt;=500, 30, IF(F173&lt;=1000, 35, F173*0.035)))),
0)))</f>
        <v>0</v>
      </c>
      <c r="H173" s="95">
        <f>IF(I173="مخالفات",50,Basic34567891011121314151617181920212223242526272829303132[[#This Row],[قيمة الرسوم / العموله]]+Basic34567891011121314151617181920212223242526272829303132[[#This Row],[قيمة الشحنه]])</f>
        <v>0</v>
      </c>
      <c r="I173" s="90"/>
      <c r="J173" s="111" t="str">
        <f t="shared" si="2"/>
        <v>1.5.2026</v>
      </c>
      <c r="L173" s="117">
        <v>162</v>
      </c>
      <c r="M173" s="92"/>
    </row>
    <row r="174" spans="1:13" ht="21.6" x14ac:dyDescent="0.65">
      <c r="A174" s="199"/>
      <c r="B174" s="110">
        <v>171</v>
      </c>
      <c r="C174" s="2"/>
      <c r="D174" s="1"/>
      <c r="E174" s="3"/>
      <c r="F174" s="1"/>
      <c r="G174" s="95">
        <f>IF(Basic34567891011121314151617181920212223242526272829303132[[#This Row],[نوع الخدمة]]="مخالفات", 50,
IF(Basic34567891011121314151617181920212223242526272829303132[[#This Row],[نوع الخدمة]]="كاش ان",
    IF(F174&lt;=100, 18, IF(F174&lt;=250, 23, IF(F174&lt;=500, 35, IF(F174&lt;=1000, 40, F174*0.04)))),
IF(Basic34567891011121314151617181920212223242526272829303132[[#This Row],[نوع الخدمة]]="كاش اوت",
    IF(F174&lt;=100, 15, IF(F174&lt;=250, 20, IF(F174&lt;=500, 30, IF(F174&lt;=1000, 35, F174*0.035)))),
0)))</f>
        <v>0</v>
      </c>
      <c r="H174" s="95">
        <f>IF(I174="مخالفات",50,Basic34567891011121314151617181920212223242526272829303132[[#This Row],[قيمة الرسوم / العموله]]+Basic34567891011121314151617181920212223242526272829303132[[#This Row],[قيمة الشحنه]])</f>
        <v>0</v>
      </c>
      <c r="I174" s="90"/>
      <c r="J174" s="111" t="str">
        <f t="shared" si="2"/>
        <v>1.5.2026</v>
      </c>
      <c r="L174" s="117">
        <v>163</v>
      </c>
      <c r="M174" s="92"/>
    </row>
    <row r="175" spans="1:13" ht="21.6" x14ac:dyDescent="0.65">
      <c r="A175" s="199"/>
      <c r="B175" s="110">
        <v>172</v>
      </c>
      <c r="C175" s="2"/>
      <c r="D175" s="1"/>
      <c r="E175" s="3"/>
      <c r="F175" s="1"/>
      <c r="G175" s="95">
        <f>IF(Basic34567891011121314151617181920212223242526272829303132[[#This Row],[نوع الخدمة]]="مخالفات", 50,
IF(Basic34567891011121314151617181920212223242526272829303132[[#This Row],[نوع الخدمة]]="كاش ان",
    IF(F175&lt;=100, 18, IF(F175&lt;=250, 23, IF(F175&lt;=500, 35, IF(F175&lt;=1000, 40, F175*0.04)))),
IF(Basic34567891011121314151617181920212223242526272829303132[[#This Row],[نوع الخدمة]]="كاش اوت",
    IF(F175&lt;=100, 15, IF(F175&lt;=250, 20, IF(F175&lt;=500, 30, IF(F175&lt;=1000, 35, F175*0.035)))),
0)))</f>
        <v>0</v>
      </c>
      <c r="H175" s="95">
        <f>IF(I175="مخالفات",50,Basic34567891011121314151617181920212223242526272829303132[[#This Row],[قيمة الرسوم / العموله]]+Basic34567891011121314151617181920212223242526272829303132[[#This Row],[قيمة الشحنه]])</f>
        <v>0</v>
      </c>
      <c r="I175" s="90"/>
      <c r="J175" s="111" t="str">
        <f t="shared" si="2"/>
        <v>1.5.2026</v>
      </c>
      <c r="L175" s="117">
        <v>164</v>
      </c>
      <c r="M175" s="92"/>
    </row>
    <row r="176" spans="1:13" ht="21.6" x14ac:dyDescent="0.65">
      <c r="A176" s="199"/>
      <c r="B176" s="110">
        <v>173</v>
      </c>
      <c r="C176" s="2"/>
      <c r="D176" s="1"/>
      <c r="E176" s="3"/>
      <c r="F176" s="1"/>
      <c r="G176" s="95">
        <f>IF(Basic34567891011121314151617181920212223242526272829303132[[#This Row],[نوع الخدمة]]="مخالفات", 50,
IF(Basic34567891011121314151617181920212223242526272829303132[[#This Row],[نوع الخدمة]]="كاش ان",
    IF(F176&lt;=100, 18, IF(F176&lt;=250, 23, IF(F176&lt;=500, 35, IF(F176&lt;=1000, 40, F176*0.04)))),
IF(Basic34567891011121314151617181920212223242526272829303132[[#This Row],[نوع الخدمة]]="كاش اوت",
    IF(F176&lt;=100, 15, IF(F176&lt;=250, 20, IF(F176&lt;=500, 30, IF(F176&lt;=1000, 35, F176*0.035)))),
0)))</f>
        <v>0</v>
      </c>
      <c r="H176" s="95">
        <f>IF(I176="مخالفات",50,Basic34567891011121314151617181920212223242526272829303132[[#This Row],[قيمة الرسوم / العموله]]+Basic34567891011121314151617181920212223242526272829303132[[#This Row],[قيمة الشحنه]])</f>
        <v>0</v>
      </c>
      <c r="I176" s="90"/>
      <c r="J176" s="111" t="str">
        <f t="shared" si="2"/>
        <v>1.5.2026</v>
      </c>
      <c r="L176" s="117">
        <v>165</v>
      </c>
      <c r="M176" s="92"/>
    </row>
    <row r="177" spans="1:13" ht="21.6" x14ac:dyDescent="0.65">
      <c r="A177" s="199"/>
      <c r="B177" s="113">
        <v>174</v>
      </c>
      <c r="C177" s="2"/>
      <c r="D177" s="1"/>
      <c r="E177" s="3"/>
      <c r="F177" s="1"/>
      <c r="G177" s="95">
        <f>IF(Basic34567891011121314151617181920212223242526272829303132[[#This Row],[نوع الخدمة]]="مخالفات", 50,
IF(Basic34567891011121314151617181920212223242526272829303132[[#This Row],[نوع الخدمة]]="كاش ان",
    IF(F177&lt;=100, 18, IF(F177&lt;=250, 23, IF(F177&lt;=500, 35, IF(F177&lt;=1000, 40, F177*0.04)))),
IF(Basic34567891011121314151617181920212223242526272829303132[[#This Row],[نوع الخدمة]]="كاش اوت",
    IF(F177&lt;=100, 15, IF(F177&lt;=250, 20, IF(F177&lt;=500, 30, IF(F177&lt;=1000, 35, F177*0.035)))),
0)))</f>
        <v>0</v>
      </c>
      <c r="H177" s="95">
        <f>IF(I177="مخالفات",50,Basic34567891011121314151617181920212223242526272829303132[[#This Row],[قيمة الرسوم / العموله]]+Basic34567891011121314151617181920212223242526272829303132[[#This Row],[قيمة الشحنه]])</f>
        <v>0</v>
      </c>
      <c r="I177" s="90"/>
      <c r="J177" s="111" t="str">
        <f t="shared" si="2"/>
        <v>1.5.2026</v>
      </c>
      <c r="L177" s="117">
        <v>166</v>
      </c>
      <c r="M177" s="92"/>
    </row>
    <row r="178" spans="1:13" ht="21.6" x14ac:dyDescent="0.65">
      <c r="A178" s="199"/>
      <c r="B178" s="110">
        <v>175</v>
      </c>
      <c r="C178" s="2"/>
      <c r="D178" s="1"/>
      <c r="E178" s="3"/>
      <c r="F178" s="1"/>
      <c r="G178" s="95">
        <f>IF(Basic34567891011121314151617181920212223242526272829303132[[#This Row],[نوع الخدمة]]="مخالفات", 50,
IF(Basic34567891011121314151617181920212223242526272829303132[[#This Row],[نوع الخدمة]]="كاش ان",
    IF(F178&lt;=100, 18, IF(F178&lt;=250, 23, IF(F178&lt;=500, 35, IF(F178&lt;=1000, 40, F178*0.04)))),
IF(Basic34567891011121314151617181920212223242526272829303132[[#This Row],[نوع الخدمة]]="كاش اوت",
    IF(F178&lt;=100, 15, IF(F178&lt;=250, 20, IF(F178&lt;=500, 30, IF(F178&lt;=1000, 35, F178*0.035)))),
0)))</f>
        <v>0</v>
      </c>
      <c r="H178" s="95">
        <f>IF(I178="مخالفات",50,Basic34567891011121314151617181920212223242526272829303132[[#This Row],[قيمة الرسوم / العموله]]+Basic34567891011121314151617181920212223242526272829303132[[#This Row],[قيمة الشحنه]])</f>
        <v>0</v>
      </c>
      <c r="I178" s="90"/>
      <c r="J178" s="111" t="str">
        <f t="shared" si="2"/>
        <v>1.5.2026</v>
      </c>
      <c r="L178" s="117">
        <v>167</v>
      </c>
      <c r="M178" s="92"/>
    </row>
    <row r="179" spans="1:13" ht="21.6" x14ac:dyDescent="0.65">
      <c r="A179" s="199"/>
      <c r="B179" s="110">
        <v>176</v>
      </c>
      <c r="C179" s="2"/>
      <c r="D179" s="1"/>
      <c r="E179" s="3"/>
      <c r="F179" s="1"/>
      <c r="G179" s="95">
        <f>IF(Basic34567891011121314151617181920212223242526272829303132[[#This Row],[نوع الخدمة]]="مخالفات", 50,
IF(Basic34567891011121314151617181920212223242526272829303132[[#This Row],[نوع الخدمة]]="كاش ان",
    IF(F179&lt;=100, 18, IF(F179&lt;=250, 23, IF(F179&lt;=500, 35, IF(F179&lt;=1000, 40, F179*0.04)))),
IF(Basic34567891011121314151617181920212223242526272829303132[[#This Row],[نوع الخدمة]]="كاش اوت",
    IF(F179&lt;=100, 15, IF(F179&lt;=250, 20, IF(F179&lt;=500, 30, IF(F179&lt;=1000, 35, F179*0.035)))),
0)))</f>
        <v>0</v>
      </c>
      <c r="H179" s="95">
        <f>IF(I179="مخالفات",50,Basic34567891011121314151617181920212223242526272829303132[[#This Row],[قيمة الرسوم / العموله]]+Basic34567891011121314151617181920212223242526272829303132[[#This Row],[قيمة الشحنه]])</f>
        <v>0</v>
      </c>
      <c r="I179" s="90"/>
      <c r="J179" s="111" t="str">
        <f t="shared" si="2"/>
        <v>1.5.2026</v>
      </c>
      <c r="L179" s="117">
        <v>168</v>
      </c>
      <c r="M179" s="92"/>
    </row>
    <row r="180" spans="1:13" ht="21.6" x14ac:dyDescent="0.65">
      <c r="A180" s="199"/>
      <c r="B180" s="110">
        <v>177</v>
      </c>
      <c r="C180" s="2"/>
      <c r="D180" s="1"/>
      <c r="E180" s="3"/>
      <c r="F180" s="1"/>
      <c r="G180" s="95">
        <f>IF(Basic34567891011121314151617181920212223242526272829303132[[#This Row],[نوع الخدمة]]="مخالفات", 50,
IF(Basic34567891011121314151617181920212223242526272829303132[[#This Row],[نوع الخدمة]]="كاش ان",
    IF(F180&lt;=100, 18, IF(F180&lt;=250, 23, IF(F180&lt;=500, 35, IF(F180&lt;=1000, 40, F180*0.04)))),
IF(Basic34567891011121314151617181920212223242526272829303132[[#This Row],[نوع الخدمة]]="كاش اوت",
    IF(F180&lt;=100, 15, IF(F180&lt;=250, 20, IF(F180&lt;=500, 30, IF(F180&lt;=1000, 35, F180*0.035)))),
0)))</f>
        <v>0</v>
      </c>
      <c r="H180" s="95">
        <f>IF(I180="مخالفات",50,Basic34567891011121314151617181920212223242526272829303132[[#This Row],[قيمة الرسوم / العموله]]+Basic34567891011121314151617181920212223242526272829303132[[#This Row],[قيمة الشحنه]])</f>
        <v>0</v>
      </c>
      <c r="I180" s="90"/>
      <c r="J180" s="111" t="str">
        <f t="shared" si="2"/>
        <v>1.5.2026</v>
      </c>
      <c r="L180" s="117">
        <v>169</v>
      </c>
      <c r="M180" s="92"/>
    </row>
    <row r="181" spans="1:13" ht="21.6" x14ac:dyDescent="0.65">
      <c r="A181" s="199"/>
      <c r="B181" s="113">
        <v>178</v>
      </c>
      <c r="C181" s="2"/>
      <c r="D181" s="1"/>
      <c r="E181" s="3"/>
      <c r="F181" s="1"/>
      <c r="G181" s="95">
        <f>IF(Basic34567891011121314151617181920212223242526272829303132[[#This Row],[نوع الخدمة]]="مخالفات", 50,
IF(Basic34567891011121314151617181920212223242526272829303132[[#This Row],[نوع الخدمة]]="كاش ان",
    IF(F181&lt;=100, 18, IF(F181&lt;=250, 23, IF(F181&lt;=500, 35, IF(F181&lt;=1000, 40, F181*0.04)))),
IF(Basic34567891011121314151617181920212223242526272829303132[[#This Row],[نوع الخدمة]]="كاش اوت",
    IF(F181&lt;=100, 15, IF(F181&lt;=250, 20, IF(F181&lt;=500, 30, IF(F181&lt;=1000, 35, F181*0.035)))),
0)))</f>
        <v>0</v>
      </c>
      <c r="H181" s="95">
        <f>IF(I181="مخالفات",50,Basic34567891011121314151617181920212223242526272829303132[[#This Row],[قيمة الرسوم / العموله]]+Basic34567891011121314151617181920212223242526272829303132[[#This Row],[قيمة الشحنه]])</f>
        <v>0</v>
      </c>
      <c r="I181" s="90"/>
      <c r="J181" s="111" t="str">
        <f t="shared" si="2"/>
        <v>1.5.2026</v>
      </c>
      <c r="L181" s="117">
        <v>170</v>
      </c>
      <c r="M181" s="92"/>
    </row>
    <row r="182" spans="1:13" ht="21.6" x14ac:dyDescent="0.65">
      <c r="A182" s="199"/>
      <c r="B182" s="110">
        <v>179</v>
      </c>
      <c r="C182" s="2"/>
      <c r="D182" s="1"/>
      <c r="E182" s="3"/>
      <c r="F182" s="1"/>
      <c r="G182" s="95">
        <f>IF(Basic34567891011121314151617181920212223242526272829303132[[#This Row],[نوع الخدمة]]="مخالفات", 50,
IF(Basic34567891011121314151617181920212223242526272829303132[[#This Row],[نوع الخدمة]]="كاش ان",
    IF(F182&lt;=100, 18, IF(F182&lt;=250, 23, IF(F182&lt;=500, 35, IF(F182&lt;=1000, 40, F182*0.04)))),
IF(Basic34567891011121314151617181920212223242526272829303132[[#This Row],[نوع الخدمة]]="كاش اوت",
    IF(F182&lt;=100, 15, IF(F182&lt;=250, 20, IF(F182&lt;=500, 30, IF(F182&lt;=1000, 35, F182*0.035)))),
0)))</f>
        <v>0</v>
      </c>
      <c r="H182" s="95">
        <f>IF(I182="مخالفات",50,Basic34567891011121314151617181920212223242526272829303132[[#This Row],[قيمة الرسوم / العموله]]+Basic34567891011121314151617181920212223242526272829303132[[#This Row],[قيمة الشحنه]])</f>
        <v>0</v>
      </c>
      <c r="I182" s="90"/>
      <c r="J182" s="111" t="str">
        <f t="shared" si="2"/>
        <v>1.5.2026</v>
      </c>
      <c r="L182" s="117">
        <v>171</v>
      </c>
      <c r="M182" s="92"/>
    </row>
    <row r="183" spans="1:13" ht="21.6" x14ac:dyDescent="0.65">
      <c r="A183" s="199"/>
      <c r="B183" s="110">
        <v>180</v>
      </c>
      <c r="C183" s="2"/>
      <c r="D183" s="1"/>
      <c r="E183" s="3"/>
      <c r="F183" s="1"/>
      <c r="G183" s="95">
        <f>IF(Basic34567891011121314151617181920212223242526272829303132[[#This Row],[نوع الخدمة]]="مخالفات", 50,
IF(Basic34567891011121314151617181920212223242526272829303132[[#This Row],[نوع الخدمة]]="كاش ان",
    IF(F183&lt;=100, 18, IF(F183&lt;=250, 23, IF(F183&lt;=500, 35, IF(F183&lt;=1000, 40, F183*0.04)))),
IF(Basic34567891011121314151617181920212223242526272829303132[[#This Row],[نوع الخدمة]]="كاش اوت",
    IF(F183&lt;=100, 15, IF(F183&lt;=250, 20, IF(F183&lt;=500, 30, IF(F183&lt;=1000, 35, F183*0.035)))),
0)))</f>
        <v>0</v>
      </c>
      <c r="H183" s="95">
        <f>IF(I183="مخالفات",50,Basic34567891011121314151617181920212223242526272829303132[[#This Row],[قيمة الرسوم / العموله]]+Basic34567891011121314151617181920212223242526272829303132[[#This Row],[قيمة الشحنه]])</f>
        <v>0</v>
      </c>
      <c r="I183" s="90"/>
      <c r="J183" s="111" t="str">
        <f t="shared" si="2"/>
        <v>1.5.2026</v>
      </c>
      <c r="L183" s="117">
        <v>172</v>
      </c>
      <c r="M183" s="92"/>
    </row>
    <row r="184" spans="1:13" ht="21.6" x14ac:dyDescent="0.65">
      <c r="A184" s="199"/>
      <c r="B184" s="110">
        <v>181</v>
      </c>
      <c r="C184" s="2"/>
      <c r="D184" s="1"/>
      <c r="E184" s="3"/>
      <c r="F184" s="1"/>
      <c r="G184" s="95">
        <f>IF(Basic34567891011121314151617181920212223242526272829303132[[#This Row],[نوع الخدمة]]="مخالفات", 50,
IF(Basic34567891011121314151617181920212223242526272829303132[[#This Row],[نوع الخدمة]]="كاش ان",
    IF(F184&lt;=100, 18, IF(F184&lt;=250, 23, IF(F184&lt;=500, 35, IF(F184&lt;=1000, 40, F184*0.04)))),
IF(Basic34567891011121314151617181920212223242526272829303132[[#This Row],[نوع الخدمة]]="كاش اوت",
    IF(F184&lt;=100, 15, IF(F184&lt;=250, 20, IF(F184&lt;=500, 30, IF(F184&lt;=1000, 35, F184*0.035)))),
0)))</f>
        <v>0</v>
      </c>
      <c r="H184" s="95">
        <f>IF(I184="مخالفات",50,Basic34567891011121314151617181920212223242526272829303132[[#This Row],[قيمة الرسوم / العموله]]+Basic34567891011121314151617181920212223242526272829303132[[#This Row],[قيمة الشحنه]])</f>
        <v>0</v>
      </c>
      <c r="I184" s="90"/>
      <c r="J184" s="111" t="str">
        <f t="shared" si="2"/>
        <v>1.5.2026</v>
      </c>
      <c r="L184" s="117">
        <v>173</v>
      </c>
      <c r="M184" s="92"/>
    </row>
    <row r="185" spans="1:13" ht="21.6" x14ac:dyDescent="0.65">
      <c r="A185" s="199"/>
      <c r="B185" s="113">
        <v>182</v>
      </c>
      <c r="C185" s="2"/>
      <c r="D185" s="1"/>
      <c r="E185" s="3"/>
      <c r="F185" s="1"/>
      <c r="G185" s="95">
        <f>IF(Basic34567891011121314151617181920212223242526272829303132[[#This Row],[نوع الخدمة]]="مخالفات", 50,
IF(Basic34567891011121314151617181920212223242526272829303132[[#This Row],[نوع الخدمة]]="كاش ان",
    IF(F185&lt;=100, 18, IF(F185&lt;=250, 23, IF(F185&lt;=500, 35, IF(F185&lt;=1000, 40, F185*0.04)))),
IF(Basic34567891011121314151617181920212223242526272829303132[[#This Row],[نوع الخدمة]]="كاش اوت",
    IF(F185&lt;=100, 15, IF(F185&lt;=250, 20, IF(F185&lt;=500, 30, IF(F185&lt;=1000, 35, F185*0.035)))),
0)))</f>
        <v>0</v>
      </c>
      <c r="H185" s="95">
        <f>IF(I185="مخالفات",50,Basic34567891011121314151617181920212223242526272829303132[[#This Row],[قيمة الرسوم / العموله]]+Basic34567891011121314151617181920212223242526272829303132[[#This Row],[قيمة الشحنه]])</f>
        <v>0</v>
      </c>
      <c r="I185" s="90"/>
      <c r="J185" s="111" t="str">
        <f t="shared" si="2"/>
        <v>1.5.2026</v>
      </c>
      <c r="L185" s="117">
        <v>174</v>
      </c>
      <c r="M185" s="92"/>
    </row>
    <row r="186" spans="1:13" ht="21.6" x14ac:dyDescent="0.65">
      <c r="A186" s="199"/>
      <c r="B186" s="110">
        <v>183</v>
      </c>
      <c r="C186" s="2"/>
      <c r="D186" s="1"/>
      <c r="E186" s="3"/>
      <c r="F186" s="1"/>
      <c r="G186" s="95">
        <f>IF(Basic34567891011121314151617181920212223242526272829303132[[#This Row],[نوع الخدمة]]="مخالفات", 50,
IF(Basic34567891011121314151617181920212223242526272829303132[[#This Row],[نوع الخدمة]]="كاش ان",
    IF(F186&lt;=100, 18, IF(F186&lt;=250, 23, IF(F186&lt;=500, 35, IF(F186&lt;=1000, 40, F186*0.04)))),
IF(Basic34567891011121314151617181920212223242526272829303132[[#This Row],[نوع الخدمة]]="كاش اوت",
    IF(F186&lt;=100, 15, IF(F186&lt;=250, 20, IF(F186&lt;=500, 30, IF(F186&lt;=1000, 35, F186*0.035)))),
0)))</f>
        <v>0</v>
      </c>
      <c r="H186" s="95">
        <f>IF(I186="مخالفات",50,Basic34567891011121314151617181920212223242526272829303132[[#This Row],[قيمة الرسوم / العموله]]+Basic34567891011121314151617181920212223242526272829303132[[#This Row],[قيمة الشحنه]])</f>
        <v>0</v>
      </c>
      <c r="I186" s="90"/>
      <c r="J186" s="111" t="str">
        <f t="shared" si="2"/>
        <v>1.5.2026</v>
      </c>
      <c r="L186" s="117">
        <v>175</v>
      </c>
      <c r="M186" s="92"/>
    </row>
    <row r="187" spans="1:13" ht="21.6" x14ac:dyDescent="0.65">
      <c r="A187" s="199"/>
      <c r="B187" s="110">
        <v>184</v>
      </c>
      <c r="C187" s="2"/>
      <c r="D187" s="1"/>
      <c r="E187" s="3"/>
      <c r="F187" s="1"/>
      <c r="G187" s="95">
        <f>IF(Basic34567891011121314151617181920212223242526272829303132[[#This Row],[نوع الخدمة]]="مخالفات", 50,
IF(Basic34567891011121314151617181920212223242526272829303132[[#This Row],[نوع الخدمة]]="كاش ان",
    IF(F187&lt;=100, 18, IF(F187&lt;=250, 23, IF(F187&lt;=500, 35, IF(F187&lt;=1000, 40, F187*0.04)))),
IF(Basic34567891011121314151617181920212223242526272829303132[[#This Row],[نوع الخدمة]]="كاش اوت",
    IF(F187&lt;=100, 15, IF(F187&lt;=250, 20, IF(F187&lt;=500, 30, IF(F187&lt;=1000, 35, F187*0.035)))),
0)))</f>
        <v>0</v>
      </c>
      <c r="H187" s="95">
        <f>IF(I187="مخالفات",50,Basic34567891011121314151617181920212223242526272829303132[[#This Row],[قيمة الرسوم / العموله]]+Basic34567891011121314151617181920212223242526272829303132[[#This Row],[قيمة الشحنه]])</f>
        <v>0</v>
      </c>
      <c r="I187" s="90"/>
      <c r="J187" s="111" t="str">
        <f t="shared" si="2"/>
        <v>1.5.2026</v>
      </c>
      <c r="L187" s="117">
        <v>176</v>
      </c>
      <c r="M187" s="92"/>
    </row>
    <row r="188" spans="1:13" ht="21.6" x14ac:dyDescent="0.65">
      <c r="A188" s="199"/>
      <c r="B188" s="110">
        <v>185</v>
      </c>
      <c r="C188" s="2"/>
      <c r="D188" s="1"/>
      <c r="E188" s="3"/>
      <c r="F188" s="1"/>
      <c r="G188" s="95">
        <f>IF(Basic34567891011121314151617181920212223242526272829303132[[#This Row],[نوع الخدمة]]="مخالفات", 50,
IF(Basic34567891011121314151617181920212223242526272829303132[[#This Row],[نوع الخدمة]]="كاش ان",
    IF(F188&lt;=100, 18, IF(F188&lt;=250, 23, IF(F188&lt;=500, 35, IF(F188&lt;=1000, 40, F188*0.04)))),
IF(Basic34567891011121314151617181920212223242526272829303132[[#This Row],[نوع الخدمة]]="كاش اوت",
    IF(F188&lt;=100, 15, IF(F188&lt;=250, 20, IF(F188&lt;=500, 30, IF(F188&lt;=1000, 35, F188*0.035)))),
0)))</f>
        <v>0</v>
      </c>
      <c r="H188" s="95">
        <f>IF(I188="مخالفات",50,Basic34567891011121314151617181920212223242526272829303132[[#This Row],[قيمة الرسوم / العموله]]+Basic34567891011121314151617181920212223242526272829303132[[#This Row],[قيمة الشحنه]])</f>
        <v>0</v>
      </c>
      <c r="I188" s="90"/>
      <c r="J188" s="111" t="str">
        <f t="shared" si="2"/>
        <v>1.5.2026</v>
      </c>
      <c r="L188" s="117">
        <v>177</v>
      </c>
      <c r="M188" s="92"/>
    </row>
    <row r="189" spans="1:13" ht="21.6" x14ac:dyDescent="0.65">
      <c r="A189" s="199"/>
      <c r="B189" s="113">
        <v>186</v>
      </c>
      <c r="C189" s="2"/>
      <c r="D189" s="1"/>
      <c r="E189" s="3"/>
      <c r="F189" s="1"/>
      <c r="G189" s="95">
        <f>IF(Basic34567891011121314151617181920212223242526272829303132[[#This Row],[نوع الخدمة]]="مخالفات", 50,
IF(Basic34567891011121314151617181920212223242526272829303132[[#This Row],[نوع الخدمة]]="كاش ان",
    IF(F189&lt;=100, 18, IF(F189&lt;=250, 23, IF(F189&lt;=500, 35, IF(F189&lt;=1000, 40, F189*0.04)))),
IF(Basic34567891011121314151617181920212223242526272829303132[[#This Row],[نوع الخدمة]]="كاش اوت",
    IF(F189&lt;=100, 15, IF(F189&lt;=250, 20, IF(F189&lt;=500, 30, IF(F189&lt;=1000, 35, F189*0.035)))),
0)))</f>
        <v>0</v>
      </c>
      <c r="H189" s="95">
        <f>IF(I189="مخالفات",50,Basic34567891011121314151617181920212223242526272829303132[[#This Row],[قيمة الرسوم / العموله]]+Basic34567891011121314151617181920212223242526272829303132[[#This Row],[قيمة الشحنه]])</f>
        <v>0</v>
      </c>
      <c r="I189" s="90"/>
      <c r="J189" s="111" t="str">
        <f t="shared" si="2"/>
        <v>1.5.2026</v>
      </c>
      <c r="L189" s="117">
        <v>178</v>
      </c>
      <c r="M189" s="92"/>
    </row>
    <row r="190" spans="1:13" ht="21.6" x14ac:dyDescent="0.65">
      <c r="A190" s="199"/>
      <c r="B190" s="110">
        <v>187</v>
      </c>
      <c r="C190" s="2"/>
      <c r="D190" s="1"/>
      <c r="E190" s="3"/>
      <c r="F190" s="1"/>
      <c r="G190" s="95">
        <f>IF(Basic34567891011121314151617181920212223242526272829303132[[#This Row],[نوع الخدمة]]="مخالفات", 50,
IF(Basic34567891011121314151617181920212223242526272829303132[[#This Row],[نوع الخدمة]]="كاش ان",
    IF(F190&lt;=100, 18, IF(F190&lt;=250, 23, IF(F190&lt;=500, 35, IF(F190&lt;=1000, 40, F190*0.04)))),
IF(Basic34567891011121314151617181920212223242526272829303132[[#This Row],[نوع الخدمة]]="كاش اوت",
    IF(F190&lt;=100, 15, IF(F190&lt;=250, 20, IF(F190&lt;=500, 30, IF(F190&lt;=1000, 35, F190*0.035)))),
0)))</f>
        <v>0</v>
      </c>
      <c r="H190" s="95">
        <f>IF(I190="مخالفات",50,Basic34567891011121314151617181920212223242526272829303132[[#This Row],[قيمة الرسوم / العموله]]+Basic34567891011121314151617181920212223242526272829303132[[#This Row],[قيمة الشحنه]])</f>
        <v>0</v>
      </c>
      <c r="I190" s="90"/>
      <c r="J190" s="111" t="str">
        <f t="shared" si="2"/>
        <v>1.5.2026</v>
      </c>
      <c r="L190" s="117">
        <v>179</v>
      </c>
      <c r="M190" s="92"/>
    </row>
    <row r="191" spans="1:13" ht="21.6" x14ac:dyDescent="0.65">
      <c r="A191" s="199"/>
      <c r="B191" s="110">
        <v>188</v>
      </c>
      <c r="C191" s="2"/>
      <c r="D191" s="1"/>
      <c r="E191" s="3"/>
      <c r="F191" s="1"/>
      <c r="G191" s="95">
        <f>IF(Basic34567891011121314151617181920212223242526272829303132[[#This Row],[نوع الخدمة]]="مخالفات", 50,
IF(Basic34567891011121314151617181920212223242526272829303132[[#This Row],[نوع الخدمة]]="كاش ان",
    IF(F191&lt;=100, 18, IF(F191&lt;=250, 23, IF(F191&lt;=500, 35, IF(F191&lt;=1000, 40, F191*0.04)))),
IF(Basic34567891011121314151617181920212223242526272829303132[[#This Row],[نوع الخدمة]]="كاش اوت",
    IF(F191&lt;=100, 15, IF(F191&lt;=250, 20, IF(F191&lt;=500, 30, IF(F191&lt;=1000, 35, F191*0.035)))),
0)))</f>
        <v>0</v>
      </c>
      <c r="H191" s="95">
        <f>IF(I191="مخالفات",50,Basic34567891011121314151617181920212223242526272829303132[[#This Row],[قيمة الرسوم / العموله]]+Basic34567891011121314151617181920212223242526272829303132[[#This Row],[قيمة الشحنه]])</f>
        <v>0</v>
      </c>
      <c r="I191" s="90"/>
      <c r="J191" s="111" t="str">
        <f t="shared" si="2"/>
        <v>1.5.2026</v>
      </c>
      <c r="L191" s="117">
        <v>180</v>
      </c>
      <c r="M191" s="92"/>
    </row>
    <row r="192" spans="1:13" ht="21.6" x14ac:dyDescent="0.65">
      <c r="A192" s="199"/>
      <c r="B192" s="110">
        <v>189</v>
      </c>
      <c r="C192" s="2"/>
      <c r="D192" s="1"/>
      <c r="E192" s="3"/>
      <c r="F192" s="1"/>
      <c r="G192" s="95">
        <f>IF(Basic34567891011121314151617181920212223242526272829303132[[#This Row],[نوع الخدمة]]="مخالفات", 50,
IF(Basic34567891011121314151617181920212223242526272829303132[[#This Row],[نوع الخدمة]]="كاش ان",
    IF(F192&lt;=100, 18, IF(F192&lt;=250, 23, IF(F192&lt;=500, 35, IF(F192&lt;=1000, 40, F192*0.04)))),
IF(Basic34567891011121314151617181920212223242526272829303132[[#This Row],[نوع الخدمة]]="كاش اوت",
    IF(F192&lt;=100, 15, IF(F192&lt;=250, 20, IF(F192&lt;=500, 30, IF(F192&lt;=1000, 35, F192*0.035)))),
0)))</f>
        <v>0</v>
      </c>
      <c r="H192" s="95">
        <f>IF(I192="مخالفات",50,Basic34567891011121314151617181920212223242526272829303132[[#This Row],[قيمة الرسوم / العموله]]+Basic34567891011121314151617181920212223242526272829303132[[#This Row],[قيمة الشحنه]])</f>
        <v>0</v>
      </c>
      <c r="I192" s="90"/>
      <c r="J192" s="111" t="str">
        <f t="shared" si="2"/>
        <v>1.5.2026</v>
      </c>
      <c r="L192" s="117">
        <v>181</v>
      </c>
      <c r="M192" s="92"/>
    </row>
    <row r="193" spans="1:13" ht="21.6" x14ac:dyDescent="0.65">
      <c r="A193" s="199"/>
      <c r="B193" s="113">
        <v>190</v>
      </c>
      <c r="C193" s="2"/>
      <c r="D193" s="1"/>
      <c r="E193" s="3"/>
      <c r="F193" s="1"/>
      <c r="G193" s="95">
        <f>IF(Basic34567891011121314151617181920212223242526272829303132[[#This Row],[نوع الخدمة]]="مخالفات", 50,
IF(Basic34567891011121314151617181920212223242526272829303132[[#This Row],[نوع الخدمة]]="كاش ان",
    IF(F193&lt;=100, 18, IF(F193&lt;=250, 23, IF(F193&lt;=500, 35, IF(F193&lt;=1000, 40, F193*0.04)))),
IF(Basic34567891011121314151617181920212223242526272829303132[[#This Row],[نوع الخدمة]]="كاش اوت",
    IF(F193&lt;=100, 15, IF(F193&lt;=250, 20, IF(F193&lt;=500, 30, IF(F193&lt;=1000, 35, F193*0.035)))),
0)))</f>
        <v>0</v>
      </c>
      <c r="H193" s="95">
        <f>IF(I193="مخالفات",50,Basic34567891011121314151617181920212223242526272829303132[[#This Row],[قيمة الرسوم / العموله]]+Basic34567891011121314151617181920212223242526272829303132[[#This Row],[قيمة الشحنه]])</f>
        <v>0</v>
      </c>
      <c r="I193" s="90"/>
      <c r="J193" s="111" t="str">
        <f t="shared" si="2"/>
        <v>1.5.2026</v>
      </c>
      <c r="L193" s="117">
        <v>182</v>
      </c>
      <c r="M193" s="92"/>
    </row>
    <row r="194" spans="1:13" ht="21.6" x14ac:dyDescent="0.65">
      <c r="A194" s="199"/>
      <c r="B194" s="110">
        <v>191</v>
      </c>
      <c r="C194" s="2"/>
      <c r="D194" s="1"/>
      <c r="E194" s="3"/>
      <c r="F194" s="1"/>
      <c r="G194" s="95">
        <f>IF(Basic34567891011121314151617181920212223242526272829303132[[#This Row],[نوع الخدمة]]="مخالفات", 50,
IF(Basic34567891011121314151617181920212223242526272829303132[[#This Row],[نوع الخدمة]]="كاش ان",
    IF(F194&lt;=100, 18, IF(F194&lt;=250, 23, IF(F194&lt;=500, 35, IF(F194&lt;=1000, 40, F194*0.04)))),
IF(Basic34567891011121314151617181920212223242526272829303132[[#This Row],[نوع الخدمة]]="كاش اوت",
    IF(F194&lt;=100, 15, IF(F194&lt;=250, 20, IF(F194&lt;=500, 30, IF(F194&lt;=1000, 35, F194*0.035)))),
0)))</f>
        <v>0</v>
      </c>
      <c r="H194" s="95">
        <f>IF(I194="مخالفات",50,Basic34567891011121314151617181920212223242526272829303132[[#This Row],[قيمة الرسوم / العموله]]+Basic34567891011121314151617181920212223242526272829303132[[#This Row],[قيمة الشحنه]])</f>
        <v>0</v>
      </c>
      <c r="I194" s="90"/>
      <c r="J194" s="111" t="str">
        <f t="shared" si="2"/>
        <v>1.5.2026</v>
      </c>
      <c r="L194" s="117">
        <v>183</v>
      </c>
      <c r="M194" s="92"/>
    </row>
    <row r="195" spans="1:13" ht="21.6" x14ac:dyDescent="0.65">
      <c r="A195" s="199"/>
      <c r="B195" s="110">
        <v>192</v>
      </c>
      <c r="C195" s="2"/>
      <c r="D195" s="1"/>
      <c r="E195" s="3"/>
      <c r="F195" s="1"/>
      <c r="G195" s="95">
        <f>IF(Basic34567891011121314151617181920212223242526272829303132[[#This Row],[نوع الخدمة]]="مخالفات", 50,
IF(Basic34567891011121314151617181920212223242526272829303132[[#This Row],[نوع الخدمة]]="كاش ان",
    IF(F195&lt;=100, 18, IF(F195&lt;=250, 23, IF(F195&lt;=500, 35, IF(F195&lt;=1000, 40, F195*0.04)))),
IF(Basic34567891011121314151617181920212223242526272829303132[[#This Row],[نوع الخدمة]]="كاش اوت",
    IF(F195&lt;=100, 15, IF(F195&lt;=250, 20, IF(F195&lt;=500, 30, IF(F195&lt;=1000, 35, F195*0.035)))),
0)))</f>
        <v>0</v>
      </c>
      <c r="H195" s="95">
        <f>IF(I195="مخالفات",50,Basic34567891011121314151617181920212223242526272829303132[[#This Row],[قيمة الرسوم / العموله]]+Basic34567891011121314151617181920212223242526272829303132[[#This Row],[قيمة الشحنه]])</f>
        <v>0</v>
      </c>
      <c r="I195" s="90"/>
      <c r="J195" s="111" t="str">
        <f t="shared" si="2"/>
        <v>1.5.2026</v>
      </c>
      <c r="L195" s="117">
        <v>184</v>
      </c>
      <c r="M195" s="92"/>
    </row>
    <row r="196" spans="1:13" ht="21.6" x14ac:dyDescent="0.65">
      <c r="A196" s="199"/>
      <c r="B196" s="110">
        <v>193</v>
      </c>
      <c r="C196" s="2"/>
      <c r="D196" s="1"/>
      <c r="E196" s="3"/>
      <c r="F196" s="1"/>
      <c r="G196" s="95">
        <f>IF(Basic34567891011121314151617181920212223242526272829303132[[#This Row],[نوع الخدمة]]="مخالفات", 50,
IF(Basic34567891011121314151617181920212223242526272829303132[[#This Row],[نوع الخدمة]]="كاش ان",
    IF(F196&lt;=100, 18, IF(F196&lt;=250, 23, IF(F196&lt;=500, 35, IF(F196&lt;=1000, 40, F196*0.04)))),
IF(Basic34567891011121314151617181920212223242526272829303132[[#This Row],[نوع الخدمة]]="كاش اوت",
    IF(F196&lt;=100, 15, IF(F196&lt;=250, 20, IF(F196&lt;=500, 30, IF(F196&lt;=1000, 35, F196*0.035)))),
0)))</f>
        <v>0</v>
      </c>
      <c r="H196" s="95">
        <f>IF(I196="مخالفات",50,Basic34567891011121314151617181920212223242526272829303132[[#This Row],[قيمة الرسوم / العموله]]+Basic34567891011121314151617181920212223242526272829303132[[#This Row],[قيمة الشحنه]])</f>
        <v>0</v>
      </c>
      <c r="I196" s="90"/>
      <c r="J196" s="111" t="str">
        <f t="shared" ref="J196:J226" si="3">M$3</f>
        <v>1.5.2026</v>
      </c>
      <c r="L196" s="117">
        <v>185</v>
      </c>
      <c r="M196" s="92"/>
    </row>
    <row r="197" spans="1:13" ht="21.6" x14ac:dyDescent="0.65">
      <c r="A197" s="199"/>
      <c r="B197" s="113">
        <v>194</v>
      </c>
      <c r="C197" s="2"/>
      <c r="D197" s="1"/>
      <c r="E197" s="3"/>
      <c r="F197" s="1"/>
      <c r="G197" s="95">
        <f>IF(Basic34567891011121314151617181920212223242526272829303132[[#This Row],[نوع الخدمة]]="مخالفات", 50,
IF(Basic34567891011121314151617181920212223242526272829303132[[#This Row],[نوع الخدمة]]="كاش ان",
    IF(F197&lt;=100, 18, IF(F197&lt;=250, 23, IF(F197&lt;=500, 35, IF(F197&lt;=1000, 40, F197*0.04)))),
IF(Basic34567891011121314151617181920212223242526272829303132[[#This Row],[نوع الخدمة]]="كاش اوت",
    IF(F197&lt;=100, 15, IF(F197&lt;=250, 20, IF(F197&lt;=500, 30, IF(F197&lt;=1000, 35, F197*0.035)))),
0)))</f>
        <v>0</v>
      </c>
      <c r="H197" s="95">
        <f>IF(I197="مخالفات",50,Basic34567891011121314151617181920212223242526272829303132[[#This Row],[قيمة الرسوم / العموله]]+Basic34567891011121314151617181920212223242526272829303132[[#This Row],[قيمة الشحنه]])</f>
        <v>0</v>
      </c>
      <c r="I197" s="90"/>
      <c r="J197" s="111" t="str">
        <f t="shared" si="3"/>
        <v>1.5.2026</v>
      </c>
      <c r="L197" s="117">
        <v>186</v>
      </c>
      <c r="M197" s="92"/>
    </row>
    <row r="198" spans="1:13" ht="21.6" x14ac:dyDescent="0.65">
      <c r="A198" s="199"/>
      <c r="B198" s="110">
        <v>195</v>
      </c>
      <c r="C198" s="2"/>
      <c r="D198" s="1"/>
      <c r="E198" s="3"/>
      <c r="F198" s="1"/>
      <c r="G198" s="95">
        <f>IF(Basic34567891011121314151617181920212223242526272829303132[[#This Row],[نوع الخدمة]]="مخالفات", 50,
IF(Basic34567891011121314151617181920212223242526272829303132[[#This Row],[نوع الخدمة]]="كاش ان",
    IF(F198&lt;=100, 18, IF(F198&lt;=250, 23, IF(F198&lt;=500, 35, IF(F198&lt;=1000, 40, F198*0.04)))),
IF(Basic34567891011121314151617181920212223242526272829303132[[#This Row],[نوع الخدمة]]="كاش اوت",
    IF(F198&lt;=100, 15, IF(F198&lt;=250, 20, IF(F198&lt;=500, 30, IF(F198&lt;=1000, 35, F198*0.035)))),
0)))</f>
        <v>0</v>
      </c>
      <c r="H198" s="95">
        <f>IF(I198="مخالفات",50,Basic34567891011121314151617181920212223242526272829303132[[#This Row],[قيمة الرسوم / العموله]]+Basic34567891011121314151617181920212223242526272829303132[[#This Row],[قيمة الشحنه]])</f>
        <v>0</v>
      </c>
      <c r="I198" s="90"/>
      <c r="J198" s="111" t="str">
        <f t="shared" si="3"/>
        <v>1.5.2026</v>
      </c>
      <c r="L198" s="117">
        <v>187</v>
      </c>
      <c r="M198" s="92"/>
    </row>
    <row r="199" spans="1:13" ht="21.6" x14ac:dyDescent="0.65">
      <c r="A199" s="199"/>
      <c r="B199" s="110">
        <v>196</v>
      </c>
      <c r="C199" s="2"/>
      <c r="D199" s="1"/>
      <c r="E199" s="3"/>
      <c r="F199" s="1"/>
      <c r="G199" s="95">
        <f>IF(Basic34567891011121314151617181920212223242526272829303132[[#This Row],[نوع الخدمة]]="مخالفات", 50,
IF(Basic34567891011121314151617181920212223242526272829303132[[#This Row],[نوع الخدمة]]="كاش ان",
    IF(F199&lt;=100, 18, IF(F199&lt;=250, 23, IF(F199&lt;=500, 35, IF(F199&lt;=1000, 40, F199*0.04)))),
IF(Basic34567891011121314151617181920212223242526272829303132[[#This Row],[نوع الخدمة]]="كاش اوت",
    IF(F199&lt;=100, 15, IF(F199&lt;=250, 20, IF(F199&lt;=500, 30, IF(F199&lt;=1000, 35, F199*0.035)))),
0)))</f>
        <v>0</v>
      </c>
      <c r="H199" s="95">
        <f>IF(I199="مخالفات",50,Basic34567891011121314151617181920212223242526272829303132[[#This Row],[قيمة الرسوم / العموله]]+Basic34567891011121314151617181920212223242526272829303132[[#This Row],[قيمة الشحنه]])</f>
        <v>0</v>
      </c>
      <c r="I199" s="90"/>
      <c r="J199" s="111" t="str">
        <f t="shared" si="3"/>
        <v>1.5.2026</v>
      </c>
      <c r="L199" s="117">
        <v>188</v>
      </c>
      <c r="M199" s="92"/>
    </row>
    <row r="200" spans="1:13" ht="21.6" x14ac:dyDescent="0.65">
      <c r="A200" s="199"/>
      <c r="B200" s="110">
        <v>197</v>
      </c>
      <c r="C200" s="2"/>
      <c r="D200" s="1"/>
      <c r="E200" s="3"/>
      <c r="F200" s="1"/>
      <c r="G200" s="95">
        <f>IF(Basic34567891011121314151617181920212223242526272829303132[[#This Row],[نوع الخدمة]]="مخالفات", 50,
IF(Basic34567891011121314151617181920212223242526272829303132[[#This Row],[نوع الخدمة]]="كاش ان",
    IF(F200&lt;=100, 18, IF(F200&lt;=250, 23, IF(F200&lt;=500, 35, IF(F200&lt;=1000, 40, F200*0.04)))),
IF(Basic34567891011121314151617181920212223242526272829303132[[#This Row],[نوع الخدمة]]="كاش اوت",
    IF(F200&lt;=100, 15, IF(F200&lt;=250, 20, IF(F200&lt;=500, 30, IF(F200&lt;=1000, 35, F200*0.035)))),
0)))</f>
        <v>0</v>
      </c>
      <c r="H200" s="95">
        <f>IF(I200="مخالفات",50,Basic34567891011121314151617181920212223242526272829303132[[#This Row],[قيمة الرسوم / العموله]]+Basic34567891011121314151617181920212223242526272829303132[[#This Row],[قيمة الشحنه]])</f>
        <v>0</v>
      </c>
      <c r="I200" s="90"/>
      <c r="J200" s="111" t="str">
        <f t="shared" si="3"/>
        <v>1.5.2026</v>
      </c>
      <c r="L200" s="117">
        <v>189</v>
      </c>
      <c r="M200" s="92"/>
    </row>
    <row r="201" spans="1:13" ht="21.6" x14ac:dyDescent="0.65">
      <c r="A201" s="199"/>
      <c r="B201" s="113">
        <v>198</v>
      </c>
      <c r="C201" s="2"/>
      <c r="D201" s="1"/>
      <c r="E201" s="3"/>
      <c r="F201" s="1"/>
      <c r="G201" s="95">
        <f>IF(Basic34567891011121314151617181920212223242526272829303132[[#This Row],[نوع الخدمة]]="مخالفات", 50,
IF(Basic34567891011121314151617181920212223242526272829303132[[#This Row],[نوع الخدمة]]="كاش ان",
    IF(F201&lt;=100, 18, IF(F201&lt;=250, 23, IF(F201&lt;=500, 35, IF(F201&lt;=1000, 40, F201*0.04)))),
IF(Basic34567891011121314151617181920212223242526272829303132[[#This Row],[نوع الخدمة]]="كاش اوت",
    IF(F201&lt;=100, 15, IF(F201&lt;=250, 20, IF(F201&lt;=500, 30, IF(F201&lt;=1000, 35, F201*0.035)))),
0)))</f>
        <v>0</v>
      </c>
      <c r="H201" s="95">
        <f>IF(I201="مخالفات",50,Basic34567891011121314151617181920212223242526272829303132[[#This Row],[قيمة الرسوم / العموله]]+Basic34567891011121314151617181920212223242526272829303132[[#This Row],[قيمة الشحنه]])</f>
        <v>0</v>
      </c>
      <c r="I201" s="90"/>
      <c r="J201" s="111" t="str">
        <f t="shared" si="3"/>
        <v>1.5.2026</v>
      </c>
      <c r="L201" s="117">
        <v>190</v>
      </c>
      <c r="M201" s="92"/>
    </row>
    <row r="202" spans="1:13" ht="21.6" x14ac:dyDescent="0.65">
      <c r="A202" s="199"/>
      <c r="B202" s="110">
        <v>199</v>
      </c>
      <c r="C202" s="2"/>
      <c r="D202" s="1"/>
      <c r="E202" s="3"/>
      <c r="F202" s="1"/>
      <c r="G202" s="95">
        <f>IF(Basic34567891011121314151617181920212223242526272829303132[[#This Row],[نوع الخدمة]]="مخالفات", 50,
IF(Basic34567891011121314151617181920212223242526272829303132[[#This Row],[نوع الخدمة]]="كاش ان",
    IF(F202&lt;=100, 18, IF(F202&lt;=250, 23, IF(F202&lt;=500, 35, IF(F202&lt;=1000, 40, F202*0.04)))),
IF(Basic34567891011121314151617181920212223242526272829303132[[#This Row],[نوع الخدمة]]="كاش اوت",
    IF(F202&lt;=100, 15, IF(F202&lt;=250, 20, IF(F202&lt;=500, 30, IF(F202&lt;=1000, 35, F202*0.035)))),
0)))</f>
        <v>0</v>
      </c>
      <c r="H202" s="95">
        <f>IF(I202="مخالفات",50,Basic34567891011121314151617181920212223242526272829303132[[#This Row],[قيمة الرسوم / العموله]]+Basic34567891011121314151617181920212223242526272829303132[[#This Row],[قيمة الشحنه]])</f>
        <v>0</v>
      </c>
      <c r="I202" s="90"/>
      <c r="J202" s="111" t="str">
        <f t="shared" si="3"/>
        <v>1.5.2026</v>
      </c>
      <c r="L202" s="117">
        <v>191</v>
      </c>
      <c r="M202" s="92"/>
    </row>
    <row r="203" spans="1:13" ht="21.6" x14ac:dyDescent="0.65">
      <c r="A203" s="199"/>
      <c r="B203" s="110">
        <v>200</v>
      </c>
      <c r="C203" s="2"/>
      <c r="D203" s="1"/>
      <c r="E203" s="3"/>
      <c r="F203" s="1"/>
      <c r="G203" s="95">
        <f>IF(Basic34567891011121314151617181920212223242526272829303132[[#This Row],[نوع الخدمة]]="مخالفات", 50,
IF(Basic34567891011121314151617181920212223242526272829303132[[#This Row],[نوع الخدمة]]="كاش ان",
    IF(F203&lt;=100, 18, IF(F203&lt;=250, 23, IF(F203&lt;=500, 35, IF(F203&lt;=1000, 40, F203*0.04)))),
IF(Basic34567891011121314151617181920212223242526272829303132[[#This Row],[نوع الخدمة]]="كاش اوت",
    IF(F203&lt;=100, 15, IF(F203&lt;=250, 20, IF(F203&lt;=500, 30, IF(F203&lt;=1000, 35, F203*0.035)))),
0)))</f>
        <v>0</v>
      </c>
      <c r="H203" s="95">
        <f>IF(I203="مخالفات",50,Basic34567891011121314151617181920212223242526272829303132[[#This Row],[قيمة الرسوم / العموله]]+Basic34567891011121314151617181920212223242526272829303132[[#This Row],[قيمة الشحنه]])</f>
        <v>0</v>
      </c>
      <c r="I203" s="90"/>
      <c r="J203" s="111" t="str">
        <f t="shared" si="3"/>
        <v>1.5.2026</v>
      </c>
      <c r="L203" s="117">
        <v>192</v>
      </c>
      <c r="M203" s="92"/>
    </row>
    <row r="204" spans="1:13" ht="21.6" x14ac:dyDescent="0.65">
      <c r="A204" s="199"/>
      <c r="B204" s="110">
        <v>201</v>
      </c>
      <c r="C204" s="2"/>
      <c r="D204" s="1"/>
      <c r="E204" s="3"/>
      <c r="F204" s="1"/>
      <c r="G204" s="95">
        <f>IF(Basic34567891011121314151617181920212223242526272829303132[[#This Row],[نوع الخدمة]]="مخالفات", 50,
IF(Basic34567891011121314151617181920212223242526272829303132[[#This Row],[نوع الخدمة]]="كاش ان",
    IF(F204&lt;=100, 18, IF(F204&lt;=250, 23, IF(F204&lt;=500, 35, IF(F204&lt;=1000, 40, F204*0.04)))),
IF(Basic34567891011121314151617181920212223242526272829303132[[#This Row],[نوع الخدمة]]="كاش اوت",
    IF(F204&lt;=100, 15, IF(F204&lt;=250, 20, IF(F204&lt;=500, 30, IF(F204&lt;=1000, 35, F204*0.035)))),
0)))</f>
        <v>0</v>
      </c>
      <c r="H204" s="95">
        <f>IF(I204="مخالفات",50,Basic34567891011121314151617181920212223242526272829303132[[#This Row],[قيمة الرسوم / العموله]]+Basic34567891011121314151617181920212223242526272829303132[[#This Row],[قيمة الشحنه]])</f>
        <v>0</v>
      </c>
      <c r="I204" s="90"/>
      <c r="J204" s="111" t="str">
        <f t="shared" si="3"/>
        <v>1.5.2026</v>
      </c>
      <c r="L204" s="117">
        <v>193</v>
      </c>
      <c r="M204" s="92"/>
    </row>
    <row r="205" spans="1:13" ht="21.6" x14ac:dyDescent="0.65">
      <c r="A205" s="199"/>
      <c r="B205" s="113">
        <v>202</v>
      </c>
      <c r="C205" s="2"/>
      <c r="D205" s="1"/>
      <c r="E205" s="3"/>
      <c r="F205" s="1"/>
      <c r="G205" s="95">
        <f>IF(Basic34567891011121314151617181920212223242526272829303132[[#This Row],[نوع الخدمة]]="مخالفات", 50,
IF(Basic34567891011121314151617181920212223242526272829303132[[#This Row],[نوع الخدمة]]="كاش ان",
    IF(F205&lt;=100, 18, IF(F205&lt;=250, 23, IF(F205&lt;=500, 35, IF(F205&lt;=1000, 40, F205*0.04)))),
IF(Basic34567891011121314151617181920212223242526272829303132[[#This Row],[نوع الخدمة]]="كاش اوت",
    IF(F205&lt;=100, 15, IF(F205&lt;=250, 20, IF(F205&lt;=500, 30, IF(F205&lt;=1000, 35, F205*0.035)))),
0)))</f>
        <v>0</v>
      </c>
      <c r="H205" s="95">
        <f>IF(I205="مخالفات",50,Basic34567891011121314151617181920212223242526272829303132[[#This Row],[قيمة الرسوم / العموله]]+Basic34567891011121314151617181920212223242526272829303132[[#This Row],[قيمة الشحنه]])</f>
        <v>0</v>
      </c>
      <c r="I205" s="90"/>
      <c r="J205" s="111" t="str">
        <f t="shared" si="3"/>
        <v>1.5.2026</v>
      </c>
      <c r="L205" s="117">
        <v>194</v>
      </c>
      <c r="M205" s="92"/>
    </row>
    <row r="206" spans="1:13" ht="21.6" x14ac:dyDescent="0.65">
      <c r="A206" s="199"/>
      <c r="B206" s="110">
        <v>203</v>
      </c>
      <c r="C206" s="2"/>
      <c r="D206" s="1"/>
      <c r="E206" s="3"/>
      <c r="F206" s="1"/>
      <c r="G206" s="95">
        <f>IF(Basic34567891011121314151617181920212223242526272829303132[[#This Row],[نوع الخدمة]]="مخالفات", 50,
IF(Basic34567891011121314151617181920212223242526272829303132[[#This Row],[نوع الخدمة]]="كاش ان",
    IF(F206&lt;=100, 18, IF(F206&lt;=250, 23, IF(F206&lt;=500, 35, IF(F206&lt;=1000, 40, F206*0.04)))),
IF(Basic34567891011121314151617181920212223242526272829303132[[#This Row],[نوع الخدمة]]="كاش اوت",
    IF(F206&lt;=100, 15, IF(F206&lt;=250, 20, IF(F206&lt;=500, 30, IF(F206&lt;=1000, 35, F206*0.035)))),
0)))</f>
        <v>0</v>
      </c>
      <c r="H206" s="95">
        <f>IF(I206="مخالفات",50,Basic34567891011121314151617181920212223242526272829303132[[#This Row],[قيمة الرسوم / العموله]]+Basic34567891011121314151617181920212223242526272829303132[[#This Row],[قيمة الشحنه]])</f>
        <v>0</v>
      </c>
      <c r="I206" s="90"/>
      <c r="J206" s="111" t="str">
        <f t="shared" si="3"/>
        <v>1.5.2026</v>
      </c>
      <c r="L206" s="117">
        <v>195</v>
      </c>
      <c r="M206" s="92"/>
    </row>
    <row r="207" spans="1:13" ht="21.6" x14ac:dyDescent="0.65">
      <c r="A207" s="199"/>
      <c r="B207" s="110">
        <v>204</v>
      </c>
      <c r="C207" s="2"/>
      <c r="D207" s="1"/>
      <c r="E207" s="3"/>
      <c r="F207" s="1"/>
      <c r="G207" s="95">
        <f>IF(Basic34567891011121314151617181920212223242526272829303132[[#This Row],[نوع الخدمة]]="مخالفات", 50,
IF(Basic34567891011121314151617181920212223242526272829303132[[#This Row],[نوع الخدمة]]="كاش ان",
    IF(F207&lt;=100, 18, IF(F207&lt;=250, 23, IF(F207&lt;=500, 35, IF(F207&lt;=1000, 40, F207*0.04)))),
IF(Basic34567891011121314151617181920212223242526272829303132[[#This Row],[نوع الخدمة]]="كاش اوت",
    IF(F207&lt;=100, 15, IF(F207&lt;=250, 20, IF(F207&lt;=500, 30, IF(F207&lt;=1000, 35, F207*0.035)))),
0)))</f>
        <v>0</v>
      </c>
      <c r="H207" s="95">
        <f>IF(I207="مخالفات",50,Basic34567891011121314151617181920212223242526272829303132[[#This Row],[قيمة الرسوم / العموله]]+Basic34567891011121314151617181920212223242526272829303132[[#This Row],[قيمة الشحنه]])</f>
        <v>0</v>
      </c>
      <c r="I207" s="90"/>
      <c r="J207" s="111" t="str">
        <f t="shared" si="3"/>
        <v>1.5.2026</v>
      </c>
      <c r="L207" s="117">
        <v>196</v>
      </c>
      <c r="M207" s="92"/>
    </row>
    <row r="208" spans="1:13" ht="21.6" x14ac:dyDescent="0.65">
      <c r="A208" s="199"/>
      <c r="B208" s="110">
        <v>205</v>
      </c>
      <c r="C208" s="2"/>
      <c r="D208" s="1"/>
      <c r="E208" s="3"/>
      <c r="F208" s="1"/>
      <c r="G208" s="95">
        <f>IF(Basic34567891011121314151617181920212223242526272829303132[[#This Row],[نوع الخدمة]]="مخالفات", 50,
IF(Basic34567891011121314151617181920212223242526272829303132[[#This Row],[نوع الخدمة]]="كاش ان",
    IF(F208&lt;=100, 18, IF(F208&lt;=250, 23, IF(F208&lt;=500, 35, IF(F208&lt;=1000, 40, F208*0.04)))),
IF(Basic34567891011121314151617181920212223242526272829303132[[#This Row],[نوع الخدمة]]="كاش اوت",
    IF(F208&lt;=100, 15, IF(F208&lt;=250, 20, IF(F208&lt;=500, 30, IF(F208&lt;=1000, 35, F208*0.035)))),
0)))</f>
        <v>0</v>
      </c>
      <c r="H208" s="95">
        <f>IF(I208="مخالفات",50,Basic34567891011121314151617181920212223242526272829303132[[#This Row],[قيمة الرسوم / العموله]]+Basic34567891011121314151617181920212223242526272829303132[[#This Row],[قيمة الشحنه]])</f>
        <v>0</v>
      </c>
      <c r="I208" s="90"/>
      <c r="J208" s="111" t="str">
        <f t="shared" si="3"/>
        <v>1.5.2026</v>
      </c>
      <c r="L208" s="117">
        <v>197</v>
      </c>
      <c r="M208" s="92"/>
    </row>
    <row r="209" spans="1:13" ht="21.6" x14ac:dyDescent="0.65">
      <c r="A209" s="199"/>
      <c r="B209" s="113">
        <v>206</v>
      </c>
      <c r="C209" s="2"/>
      <c r="D209" s="1"/>
      <c r="E209" s="3"/>
      <c r="F209" s="1"/>
      <c r="G209" s="95">
        <f>IF(Basic34567891011121314151617181920212223242526272829303132[[#This Row],[نوع الخدمة]]="مخالفات", 50,
IF(Basic34567891011121314151617181920212223242526272829303132[[#This Row],[نوع الخدمة]]="كاش ان",
    IF(F209&lt;=100, 18, IF(F209&lt;=250, 23, IF(F209&lt;=500, 35, IF(F209&lt;=1000, 40, F209*0.04)))),
IF(Basic34567891011121314151617181920212223242526272829303132[[#This Row],[نوع الخدمة]]="كاش اوت",
    IF(F209&lt;=100, 15, IF(F209&lt;=250, 20, IF(F209&lt;=500, 30, IF(F209&lt;=1000, 35, F209*0.035)))),
0)))</f>
        <v>0</v>
      </c>
      <c r="H209" s="95">
        <f>IF(I209="مخالفات",50,Basic34567891011121314151617181920212223242526272829303132[[#This Row],[قيمة الرسوم / العموله]]+Basic34567891011121314151617181920212223242526272829303132[[#This Row],[قيمة الشحنه]])</f>
        <v>0</v>
      </c>
      <c r="I209" s="90"/>
      <c r="J209" s="111" t="str">
        <f t="shared" si="3"/>
        <v>1.5.2026</v>
      </c>
      <c r="L209" s="117">
        <v>198</v>
      </c>
      <c r="M209" s="92"/>
    </row>
    <row r="210" spans="1:13" ht="21.6" x14ac:dyDescent="0.65">
      <c r="A210" s="199"/>
      <c r="B210" s="110">
        <v>207</v>
      </c>
      <c r="C210" s="2"/>
      <c r="D210" s="1"/>
      <c r="E210" s="3"/>
      <c r="F210" s="1"/>
      <c r="G210" s="95">
        <f>IF(Basic34567891011121314151617181920212223242526272829303132[[#This Row],[نوع الخدمة]]="مخالفات", 50,
IF(Basic34567891011121314151617181920212223242526272829303132[[#This Row],[نوع الخدمة]]="كاش ان",
    IF(F210&lt;=100, 18, IF(F210&lt;=250, 23, IF(F210&lt;=500, 35, IF(F210&lt;=1000, 40, F210*0.04)))),
IF(Basic34567891011121314151617181920212223242526272829303132[[#This Row],[نوع الخدمة]]="كاش اوت",
    IF(F210&lt;=100, 15, IF(F210&lt;=250, 20, IF(F210&lt;=500, 30, IF(F210&lt;=1000, 35, F210*0.035)))),
0)))</f>
        <v>0</v>
      </c>
      <c r="H210" s="95">
        <f>IF(I210="مخالفات",50,Basic34567891011121314151617181920212223242526272829303132[[#This Row],[قيمة الرسوم / العموله]]+Basic34567891011121314151617181920212223242526272829303132[[#This Row],[قيمة الشحنه]])</f>
        <v>0</v>
      </c>
      <c r="I210" s="90"/>
      <c r="J210" s="111" t="str">
        <f t="shared" si="3"/>
        <v>1.5.2026</v>
      </c>
      <c r="L210" s="117">
        <v>199</v>
      </c>
      <c r="M210" s="92"/>
    </row>
    <row r="211" spans="1:13" ht="21.6" x14ac:dyDescent="0.65">
      <c r="A211" s="199"/>
      <c r="B211" s="110">
        <v>208</v>
      </c>
      <c r="C211" s="2"/>
      <c r="D211" s="1"/>
      <c r="E211" s="3"/>
      <c r="F211" s="1"/>
      <c r="G211" s="95">
        <f>IF(Basic34567891011121314151617181920212223242526272829303132[[#This Row],[نوع الخدمة]]="مخالفات", 50,
IF(Basic34567891011121314151617181920212223242526272829303132[[#This Row],[نوع الخدمة]]="كاش ان",
    IF(F211&lt;=100, 18, IF(F211&lt;=250, 23, IF(F211&lt;=500, 35, IF(F211&lt;=1000, 40, F211*0.04)))),
IF(Basic34567891011121314151617181920212223242526272829303132[[#This Row],[نوع الخدمة]]="كاش اوت",
    IF(F211&lt;=100, 15, IF(F211&lt;=250, 20, IF(F211&lt;=500, 30, IF(F211&lt;=1000, 35, F211*0.035)))),
0)))</f>
        <v>0</v>
      </c>
      <c r="H211" s="95">
        <f>IF(I211="مخالفات",50,Basic34567891011121314151617181920212223242526272829303132[[#This Row],[قيمة الرسوم / العموله]]+Basic34567891011121314151617181920212223242526272829303132[[#This Row],[قيمة الشحنه]])</f>
        <v>0</v>
      </c>
      <c r="I211" s="90"/>
      <c r="J211" s="111" t="str">
        <f t="shared" si="3"/>
        <v>1.5.2026</v>
      </c>
      <c r="L211" s="117">
        <v>200</v>
      </c>
      <c r="M211" s="92"/>
    </row>
    <row r="212" spans="1:13" ht="21.6" x14ac:dyDescent="0.65">
      <c r="A212" s="199"/>
      <c r="B212" s="110">
        <v>209</v>
      </c>
      <c r="C212" s="2"/>
      <c r="D212" s="1"/>
      <c r="E212" s="3"/>
      <c r="F212" s="1"/>
      <c r="G212" s="95">
        <f>IF(Basic34567891011121314151617181920212223242526272829303132[[#This Row],[نوع الخدمة]]="مخالفات", 50,
IF(Basic34567891011121314151617181920212223242526272829303132[[#This Row],[نوع الخدمة]]="كاش ان",
    IF(F212&lt;=100, 18, IF(F212&lt;=250, 23, IF(F212&lt;=500, 35, IF(F212&lt;=1000, 40, F212*0.04)))),
IF(Basic34567891011121314151617181920212223242526272829303132[[#This Row],[نوع الخدمة]]="كاش اوت",
    IF(F212&lt;=100, 15, IF(F212&lt;=250, 20, IF(F212&lt;=500, 30, IF(F212&lt;=1000, 35, F212*0.035)))),
0)))</f>
        <v>0</v>
      </c>
      <c r="H212" s="95">
        <f>IF(I212="مخالفات",50,Basic34567891011121314151617181920212223242526272829303132[[#This Row],[قيمة الرسوم / العموله]]+Basic34567891011121314151617181920212223242526272829303132[[#This Row],[قيمة الشحنه]])</f>
        <v>0</v>
      </c>
      <c r="I212" s="90"/>
      <c r="J212" s="111" t="str">
        <f t="shared" si="3"/>
        <v>1.5.2026</v>
      </c>
      <c r="L212" s="117">
        <v>201</v>
      </c>
      <c r="M212" s="92"/>
    </row>
    <row r="213" spans="1:13" ht="21.6" x14ac:dyDescent="0.65">
      <c r="A213" s="199"/>
      <c r="B213" s="113">
        <v>210</v>
      </c>
      <c r="C213" s="2"/>
      <c r="D213" s="1"/>
      <c r="E213" s="3"/>
      <c r="F213" s="1"/>
      <c r="G213" s="95">
        <f>IF(Basic34567891011121314151617181920212223242526272829303132[[#This Row],[نوع الخدمة]]="مخالفات", 50,
IF(Basic34567891011121314151617181920212223242526272829303132[[#This Row],[نوع الخدمة]]="كاش ان",
    IF(F213&lt;=100, 18, IF(F213&lt;=250, 23, IF(F213&lt;=500, 35, IF(F213&lt;=1000, 40, F213*0.04)))),
IF(Basic34567891011121314151617181920212223242526272829303132[[#This Row],[نوع الخدمة]]="كاش اوت",
    IF(F213&lt;=100, 15, IF(F213&lt;=250, 20, IF(F213&lt;=500, 30, IF(F213&lt;=1000, 35, F213*0.035)))),
0)))</f>
        <v>0</v>
      </c>
      <c r="H213" s="95">
        <f>IF(I213="مخالفات",50,Basic34567891011121314151617181920212223242526272829303132[[#This Row],[قيمة الرسوم / العموله]]+Basic34567891011121314151617181920212223242526272829303132[[#This Row],[قيمة الشحنه]])</f>
        <v>0</v>
      </c>
      <c r="I213" s="90"/>
      <c r="J213" s="111" t="str">
        <f t="shared" si="3"/>
        <v>1.5.2026</v>
      </c>
      <c r="L213" s="117">
        <v>202</v>
      </c>
      <c r="M213" s="92"/>
    </row>
    <row r="214" spans="1:13" ht="21.6" x14ac:dyDescent="0.65">
      <c r="A214" s="199"/>
      <c r="B214" s="110">
        <v>211</v>
      </c>
      <c r="C214" s="2"/>
      <c r="D214" s="1"/>
      <c r="E214" s="3"/>
      <c r="F214" s="1"/>
      <c r="G214" s="95">
        <f>IF(Basic34567891011121314151617181920212223242526272829303132[[#This Row],[نوع الخدمة]]="مخالفات", 50,
IF(Basic34567891011121314151617181920212223242526272829303132[[#This Row],[نوع الخدمة]]="كاش ان",
    IF(F214&lt;=100, 18, IF(F214&lt;=250, 23, IF(F214&lt;=500, 35, IF(F214&lt;=1000, 40, F214*0.04)))),
IF(Basic34567891011121314151617181920212223242526272829303132[[#This Row],[نوع الخدمة]]="كاش اوت",
    IF(F214&lt;=100, 15, IF(F214&lt;=250, 20, IF(F214&lt;=500, 30, IF(F214&lt;=1000, 35, F214*0.035)))),
0)))</f>
        <v>0</v>
      </c>
      <c r="H214" s="95">
        <f>IF(I214="مخالفات",50,Basic34567891011121314151617181920212223242526272829303132[[#This Row],[قيمة الرسوم / العموله]]+Basic34567891011121314151617181920212223242526272829303132[[#This Row],[قيمة الشحنه]])</f>
        <v>0</v>
      </c>
      <c r="I214" s="90"/>
      <c r="J214" s="111" t="str">
        <f t="shared" si="3"/>
        <v>1.5.2026</v>
      </c>
      <c r="L214" s="117">
        <v>203</v>
      </c>
      <c r="M214" s="92"/>
    </row>
    <row r="215" spans="1:13" ht="21.6" x14ac:dyDescent="0.65">
      <c r="A215" s="199"/>
      <c r="B215" s="110">
        <v>212</v>
      </c>
      <c r="C215" s="2"/>
      <c r="D215" s="1"/>
      <c r="E215" s="3"/>
      <c r="F215" s="1"/>
      <c r="G215" s="95">
        <f>IF(Basic34567891011121314151617181920212223242526272829303132[[#This Row],[نوع الخدمة]]="مخالفات", 50,
IF(Basic34567891011121314151617181920212223242526272829303132[[#This Row],[نوع الخدمة]]="كاش ان",
    IF(F215&lt;=100, 18, IF(F215&lt;=250, 23, IF(F215&lt;=500, 35, IF(F215&lt;=1000, 40, F215*0.04)))),
IF(Basic34567891011121314151617181920212223242526272829303132[[#This Row],[نوع الخدمة]]="كاش اوت",
    IF(F215&lt;=100, 15, IF(F215&lt;=250, 20, IF(F215&lt;=500, 30, IF(F215&lt;=1000, 35, F215*0.035)))),
0)))</f>
        <v>0</v>
      </c>
      <c r="H215" s="95">
        <f>IF(I215="مخالفات",50,Basic34567891011121314151617181920212223242526272829303132[[#This Row],[قيمة الرسوم / العموله]]+Basic34567891011121314151617181920212223242526272829303132[[#This Row],[قيمة الشحنه]])</f>
        <v>0</v>
      </c>
      <c r="I215" s="90"/>
      <c r="J215" s="111" t="str">
        <f t="shared" si="3"/>
        <v>1.5.2026</v>
      </c>
      <c r="L215" s="117">
        <v>204</v>
      </c>
      <c r="M215" s="92"/>
    </row>
    <row r="216" spans="1:13" ht="21.6" x14ac:dyDescent="0.65">
      <c r="A216" s="199"/>
      <c r="B216" s="110">
        <v>213</v>
      </c>
      <c r="C216" s="2"/>
      <c r="D216" s="1"/>
      <c r="E216" s="3"/>
      <c r="F216" s="1"/>
      <c r="G216" s="95">
        <f>IF(Basic34567891011121314151617181920212223242526272829303132[[#This Row],[نوع الخدمة]]="مخالفات", 50,
IF(Basic34567891011121314151617181920212223242526272829303132[[#This Row],[نوع الخدمة]]="كاش ان",
    IF(F216&lt;=100, 18, IF(F216&lt;=250, 23, IF(F216&lt;=500, 35, IF(F216&lt;=1000, 40, F216*0.04)))),
IF(Basic34567891011121314151617181920212223242526272829303132[[#This Row],[نوع الخدمة]]="كاش اوت",
    IF(F216&lt;=100, 15, IF(F216&lt;=250, 20, IF(F216&lt;=500, 30, IF(F216&lt;=1000, 35, F216*0.035)))),
0)))</f>
        <v>0</v>
      </c>
      <c r="H216" s="95">
        <f>IF(I216="مخالفات",50,Basic34567891011121314151617181920212223242526272829303132[[#This Row],[قيمة الرسوم / العموله]]+Basic34567891011121314151617181920212223242526272829303132[[#This Row],[قيمة الشحنه]])</f>
        <v>0</v>
      </c>
      <c r="I216" s="90"/>
      <c r="J216" s="111" t="str">
        <f t="shared" si="3"/>
        <v>1.5.2026</v>
      </c>
      <c r="L216" s="117">
        <v>205</v>
      </c>
      <c r="M216" s="92"/>
    </row>
    <row r="217" spans="1:13" ht="21.6" x14ac:dyDescent="0.65">
      <c r="A217" s="199"/>
      <c r="B217" s="113">
        <v>214</v>
      </c>
      <c r="C217" s="2"/>
      <c r="D217" s="1"/>
      <c r="E217" s="3"/>
      <c r="F217" s="1"/>
      <c r="G217" s="95">
        <f>IF(Basic34567891011121314151617181920212223242526272829303132[[#This Row],[نوع الخدمة]]="مخالفات", 50,
IF(Basic34567891011121314151617181920212223242526272829303132[[#This Row],[نوع الخدمة]]="كاش ان",
    IF(F217&lt;=100, 18, IF(F217&lt;=250, 23, IF(F217&lt;=500, 35, IF(F217&lt;=1000, 40, F217*0.04)))),
IF(Basic34567891011121314151617181920212223242526272829303132[[#This Row],[نوع الخدمة]]="كاش اوت",
    IF(F217&lt;=100, 15, IF(F217&lt;=250, 20, IF(F217&lt;=500, 30, IF(F217&lt;=1000, 35, F217*0.035)))),
0)))</f>
        <v>0</v>
      </c>
      <c r="H217" s="95">
        <f>IF(I217="مخالفات",50,Basic34567891011121314151617181920212223242526272829303132[[#This Row],[قيمة الرسوم / العموله]]+Basic34567891011121314151617181920212223242526272829303132[[#This Row],[قيمة الشحنه]])</f>
        <v>0</v>
      </c>
      <c r="I217" s="90"/>
      <c r="J217" s="111" t="str">
        <f t="shared" si="3"/>
        <v>1.5.2026</v>
      </c>
      <c r="L217" s="117">
        <v>206</v>
      </c>
      <c r="M217" s="92"/>
    </row>
    <row r="218" spans="1:13" ht="21.6" x14ac:dyDescent="0.65">
      <c r="A218" s="199"/>
      <c r="B218" s="110">
        <v>215</v>
      </c>
      <c r="C218" s="2"/>
      <c r="D218" s="1"/>
      <c r="E218" s="3"/>
      <c r="F218" s="1"/>
      <c r="G218" s="95">
        <f>IF(Basic34567891011121314151617181920212223242526272829303132[[#This Row],[نوع الخدمة]]="مخالفات", 50,
IF(Basic34567891011121314151617181920212223242526272829303132[[#This Row],[نوع الخدمة]]="كاش ان",
    IF(F218&lt;=100, 18, IF(F218&lt;=250, 23, IF(F218&lt;=500, 35, IF(F218&lt;=1000, 40, F218*0.04)))),
IF(Basic34567891011121314151617181920212223242526272829303132[[#This Row],[نوع الخدمة]]="كاش اوت",
    IF(F218&lt;=100, 15, IF(F218&lt;=250, 20, IF(F218&lt;=500, 30, IF(F218&lt;=1000, 35, F218*0.035)))),
0)))</f>
        <v>0</v>
      </c>
      <c r="H218" s="95">
        <f>IF(I218="مخالفات",50,Basic34567891011121314151617181920212223242526272829303132[[#This Row],[قيمة الرسوم / العموله]]+Basic34567891011121314151617181920212223242526272829303132[[#This Row],[قيمة الشحنه]])</f>
        <v>0</v>
      </c>
      <c r="I218" s="90"/>
      <c r="J218" s="111" t="str">
        <f t="shared" si="3"/>
        <v>1.5.2026</v>
      </c>
      <c r="L218" s="117">
        <v>207</v>
      </c>
      <c r="M218" s="92"/>
    </row>
    <row r="219" spans="1:13" ht="21.6" x14ac:dyDescent="0.65">
      <c r="A219" s="199"/>
      <c r="B219" s="110">
        <v>216</v>
      </c>
      <c r="C219" s="2"/>
      <c r="D219" s="1"/>
      <c r="E219" s="3"/>
      <c r="F219" s="1"/>
      <c r="G219" s="95">
        <f>IF(Basic34567891011121314151617181920212223242526272829303132[[#This Row],[نوع الخدمة]]="مخالفات", 50,
IF(Basic34567891011121314151617181920212223242526272829303132[[#This Row],[نوع الخدمة]]="كاش ان",
    IF(F219&lt;=100, 18, IF(F219&lt;=250, 23, IF(F219&lt;=500, 35, IF(F219&lt;=1000, 40, F219*0.04)))),
IF(Basic34567891011121314151617181920212223242526272829303132[[#This Row],[نوع الخدمة]]="كاش اوت",
    IF(F219&lt;=100, 15, IF(F219&lt;=250, 20, IF(F219&lt;=500, 30, IF(F219&lt;=1000, 35, F219*0.035)))),
0)))</f>
        <v>0</v>
      </c>
      <c r="H219" s="95">
        <f>IF(I219="مخالفات",50,Basic34567891011121314151617181920212223242526272829303132[[#This Row],[قيمة الرسوم / العموله]]+Basic34567891011121314151617181920212223242526272829303132[[#This Row],[قيمة الشحنه]])</f>
        <v>0</v>
      </c>
      <c r="I219" s="90"/>
      <c r="J219" s="111" t="str">
        <f t="shared" si="3"/>
        <v>1.5.2026</v>
      </c>
      <c r="L219" s="117">
        <v>208</v>
      </c>
      <c r="M219" s="92"/>
    </row>
    <row r="220" spans="1:13" ht="21.6" x14ac:dyDescent="0.65">
      <c r="A220" s="199"/>
      <c r="B220" s="110">
        <v>217</v>
      </c>
      <c r="C220" s="2"/>
      <c r="D220" s="1"/>
      <c r="E220" s="3"/>
      <c r="F220" s="1"/>
      <c r="G220" s="95">
        <f>IF(Basic34567891011121314151617181920212223242526272829303132[[#This Row],[نوع الخدمة]]="مخالفات", 50,
IF(Basic34567891011121314151617181920212223242526272829303132[[#This Row],[نوع الخدمة]]="كاش ان",
    IF(F220&lt;=100, 18, IF(F220&lt;=250, 23, IF(F220&lt;=500, 35, IF(F220&lt;=1000, 40, F220*0.04)))),
IF(Basic34567891011121314151617181920212223242526272829303132[[#This Row],[نوع الخدمة]]="كاش اوت",
    IF(F220&lt;=100, 15, IF(F220&lt;=250, 20, IF(F220&lt;=500, 30, IF(F220&lt;=1000, 35, F220*0.035)))),
0)))</f>
        <v>0</v>
      </c>
      <c r="H220" s="95">
        <f>IF(I220="مخالفات",50,Basic34567891011121314151617181920212223242526272829303132[[#This Row],[قيمة الرسوم / العموله]]+Basic34567891011121314151617181920212223242526272829303132[[#This Row],[قيمة الشحنه]])</f>
        <v>0</v>
      </c>
      <c r="I220" s="90"/>
      <c r="J220" s="111" t="str">
        <f t="shared" si="3"/>
        <v>1.5.2026</v>
      </c>
      <c r="L220" s="117">
        <v>209</v>
      </c>
      <c r="M220" s="92"/>
    </row>
    <row r="221" spans="1:13" ht="21.6" x14ac:dyDescent="0.65">
      <c r="A221" s="199"/>
      <c r="B221" s="113">
        <v>218</v>
      </c>
      <c r="C221" s="2"/>
      <c r="D221" s="1"/>
      <c r="E221" s="3"/>
      <c r="F221" s="1"/>
      <c r="G221" s="95">
        <f>IF(Basic34567891011121314151617181920212223242526272829303132[[#This Row],[نوع الخدمة]]="مخالفات", 50,
IF(Basic34567891011121314151617181920212223242526272829303132[[#This Row],[نوع الخدمة]]="كاش ان",
    IF(F221&lt;=100, 18, IF(F221&lt;=250, 23, IF(F221&lt;=500, 35, IF(F221&lt;=1000, 40, F221*0.04)))),
IF(Basic34567891011121314151617181920212223242526272829303132[[#This Row],[نوع الخدمة]]="كاش اوت",
    IF(F221&lt;=100, 15, IF(F221&lt;=250, 20, IF(F221&lt;=500, 30, IF(F221&lt;=1000, 35, F221*0.035)))),
0)))</f>
        <v>0</v>
      </c>
      <c r="H221" s="95">
        <f>IF(I221="مخالفات",50,Basic34567891011121314151617181920212223242526272829303132[[#This Row],[قيمة الرسوم / العموله]]+Basic34567891011121314151617181920212223242526272829303132[[#This Row],[قيمة الشحنه]])</f>
        <v>0</v>
      </c>
      <c r="I221" s="90"/>
      <c r="J221" s="111" t="str">
        <f t="shared" si="3"/>
        <v>1.5.2026</v>
      </c>
      <c r="L221" s="117">
        <v>210</v>
      </c>
      <c r="M221" s="92"/>
    </row>
    <row r="222" spans="1:13" ht="21.6" x14ac:dyDescent="0.65">
      <c r="A222" s="199"/>
      <c r="B222" s="110">
        <v>219</v>
      </c>
      <c r="C222" s="2"/>
      <c r="D222" s="1"/>
      <c r="E222" s="3"/>
      <c r="F222" s="1"/>
      <c r="G222" s="95">
        <f>IF(Basic34567891011121314151617181920212223242526272829303132[[#This Row],[نوع الخدمة]]="مخالفات", 50,
IF(Basic34567891011121314151617181920212223242526272829303132[[#This Row],[نوع الخدمة]]="كاش ان",
    IF(F222&lt;=100, 18, IF(F222&lt;=250, 23, IF(F222&lt;=500, 35, IF(F222&lt;=1000, 40, F222*0.04)))),
IF(Basic34567891011121314151617181920212223242526272829303132[[#This Row],[نوع الخدمة]]="كاش اوت",
    IF(F222&lt;=100, 15, IF(F222&lt;=250, 20, IF(F222&lt;=500, 30, IF(F222&lt;=1000, 35, F222*0.035)))),
0)))</f>
        <v>0</v>
      </c>
      <c r="H222" s="95">
        <f>IF(I222="مخالفات",50,Basic34567891011121314151617181920212223242526272829303132[[#This Row],[قيمة الرسوم / العموله]]+Basic34567891011121314151617181920212223242526272829303132[[#This Row],[قيمة الشحنه]])</f>
        <v>0</v>
      </c>
      <c r="I222" s="90"/>
      <c r="J222" s="111" t="str">
        <f t="shared" si="3"/>
        <v>1.5.2026</v>
      </c>
      <c r="L222" s="117">
        <v>211</v>
      </c>
      <c r="M222" s="92"/>
    </row>
    <row r="223" spans="1:13" ht="21.6" x14ac:dyDescent="0.65">
      <c r="A223" s="199"/>
      <c r="B223" s="110">
        <v>220</v>
      </c>
      <c r="C223" s="2"/>
      <c r="D223" s="1"/>
      <c r="E223" s="3"/>
      <c r="F223" s="1"/>
      <c r="G223" s="95">
        <f>IF(Basic34567891011121314151617181920212223242526272829303132[[#This Row],[نوع الخدمة]]="مخالفات", 50,
IF(Basic34567891011121314151617181920212223242526272829303132[[#This Row],[نوع الخدمة]]="كاش ان",
    IF(F223&lt;=100, 18, IF(F223&lt;=250, 23, IF(F223&lt;=500, 35, IF(F223&lt;=1000, 40, F223*0.04)))),
IF(Basic34567891011121314151617181920212223242526272829303132[[#This Row],[نوع الخدمة]]="كاش اوت",
    IF(F223&lt;=100, 15, IF(F223&lt;=250, 20, IF(F223&lt;=500, 30, IF(F223&lt;=1000, 35, F223*0.035)))),
0)))</f>
        <v>0</v>
      </c>
      <c r="H223" s="95">
        <f>IF(I223="مخالفات",50,Basic34567891011121314151617181920212223242526272829303132[[#This Row],[قيمة الرسوم / العموله]]+Basic34567891011121314151617181920212223242526272829303132[[#This Row],[قيمة الشحنه]])</f>
        <v>0</v>
      </c>
      <c r="I223" s="90"/>
      <c r="J223" s="111" t="str">
        <f t="shared" si="3"/>
        <v>1.5.2026</v>
      </c>
      <c r="L223" s="117">
        <v>212</v>
      </c>
      <c r="M223" s="92"/>
    </row>
    <row r="224" spans="1:13" ht="21.6" x14ac:dyDescent="0.65">
      <c r="A224" s="199"/>
      <c r="B224" s="110">
        <v>221</v>
      </c>
      <c r="C224" s="2"/>
      <c r="D224" s="1"/>
      <c r="E224" s="3"/>
      <c r="F224" s="1"/>
      <c r="G224" s="95">
        <f>IF(Basic34567891011121314151617181920212223242526272829303132[[#This Row],[نوع الخدمة]]="مخالفات", 50,
IF(Basic34567891011121314151617181920212223242526272829303132[[#This Row],[نوع الخدمة]]="كاش ان",
    IF(F224&lt;=100, 18, IF(F224&lt;=250, 23, IF(F224&lt;=500, 35, IF(F224&lt;=1000, 40, F224*0.04)))),
IF(Basic34567891011121314151617181920212223242526272829303132[[#This Row],[نوع الخدمة]]="كاش اوت",
    IF(F224&lt;=100, 15, IF(F224&lt;=250, 20, IF(F224&lt;=500, 30, IF(F224&lt;=1000, 35, F224*0.035)))),
0)))</f>
        <v>0</v>
      </c>
      <c r="H224" s="95">
        <f>IF(I224="مخالفات",50,Basic34567891011121314151617181920212223242526272829303132[[#This Row],[قيمة الرسوم / العموله]]+Basic34567891011121314151617181920212223242526272829303132[[#This Row],[قيمة الشحنه]])</f>
        <v>0</v>
      </c>
      <c r="I224" s="90"/>
      <c r="J224" s="111" t="str">
        <f t="shared" si="3"/>
        <v>1.5.2026</v>
      </c>
      <c r="L224" s="117">
        <v>213</v>
      </c>
      <c r="M224" s="92"/>
    </row>
    <row r="225" spans="1:13" ht="21.6" x14ac:dyDescent="0.65">
      <c r="A225" s="199"/>
      <c r="B225" s="113">
        <v>222</v>
      </c>
      <c r="C225" s="2"/>
      <c r="D225" s="1"/>
      <c r="E225" s="3"/>
      <c r="F225" s="1"/>
      <c r="G225" s="95">
        <f>IF(Basic34567891011121314151617181920212223242526272829303132[[#This Row],[نوع الخدمة]]="مخالفات", 50,
IF(Basic34567891011121314151617181920212223242526272829303132[[#This Row],[نوع الخدمة]]="كاش ان",
    IF(F225&lt;=100, 18, IF(F225&lt;=250, 23, IF(F225&lt;=500, 35, IF(F225&lt;=1000, 40, F225*0.04)))),
IF(Basic34567891011121314151617181920212223242526272829303132[[#This Row],[نوع الخدمة]]="كاش اوت",
    IF(F225&lt;=100, 15, IF(F225&lt;=250, 20, IF(F225&lt;=500, 30, IF(F225&lt;=1000, 35, F225*0.035)))),
0)))</f>
        <v>0</v>
      </c>
      <c r="H225" s="95">
        <f>IF(I225="مخالفات",50,Basic34567891011121314151617181920212223242526272829303132[[#This Row],[قيمة الرسوم / العموله]]+Basic34567891011121314151617181920212223242526272829303132[[#This Row],[قيمة الشحنه]])</f>
        <v>0</v>
      </c>
      <c r="I225" s="90"/>
      <c r="J225" s="111" t="str">
        <f t="shared" si="3"/>
        <v>1.5.2026</v>
      </c>
      <c r="L225" s="117">
        <v>214</v>
      </c>
      <c r="M225" s="92"/>
    </row>
    <row r="226" spans="1:13" ht="21.6" x14ac:dyDescent="0.65">
      <c r="A226" s="199"/>
      <c r="B226" s="110">
        <v>223</v>
      </c>
      <c r="C226" s="4"/>
      <c r="D226" s="5"/>
      <c r="E226" s="6"/>
      <c r="F226" s="5"/>
      <c r="G226" s="95">
        <f>IF(Basic34567891011121314151617181920212223242526272829303132[[#This Row],[نوع الخدمة]]="مخالفات", 50,
IF(Basic34567891011121314151617181920212223242526272829303132[[#This Row],[نوع الخدمة]]="كاش ان",
    IF(F226&lt;=100, 18, IF(F226&lt;=250, 23, IF(F226&lt;=500, 35, IF(F226&lt;=1000, 40, F226*0.04)))),
IF(Basic34567891011121314151617181920212223242526272829303132[[#This Row],[نوع الخدمة]]="كاش اوت",
    IF(F226&lt;=100, 15, IF(F226&lt;=250, 20, IF(F226&lt;=500, 30, IF(F226&lt;=1000, 35, F226*0.035)))),
0)))</f>
        <v>0</v>
      </c>
      <c r="H226" s="95">
        <f>IF(I226="مخالفات",50,Basic34567891011121314151617181920212223242526272829303132[[#This Row],[قيمة الرسوم / العموله]]+Basic34567891011121314151617181920212223242526272829303132[[#This Row],[قيمة الشحنه]])</f>
        <v>0</v>
      </c>
      <c r="I226" s="90"/>
      <c r="J226" s="111" t="str">
        <f t="shared" si="3"/>
        <v>1.5.2026</v>
      </c>
      <c r="L226" s="119">
        <v>215</v>
      </c>
      <c r="M226" s="93"/>
    </row>
  </sheetData>
  <sheetProtection algorithmName="SHA-512" hashValue="TYfsvV9imgyijS4VGFuqG4/ocI1jk/eQvSVi/9K2AGsoVKJQVs1en8SQS7cY8q8Q6/8ZFFZ4sWX8f5E1S8Tx1g==" saltValue="/N+vUA7eVKj8X00mOufbfg==" spinCount="100000" sheet="1" objects="1" scenarios="1"/>
  <mergeCells count="8">
    <mergeCell ref="F1:H1"/>
    <mergeCell ref="V1:X1"/>
    <mergeCell ref="R10:W10"/>
    <mergeCell ref="A4:A226"/>
    <mergeCell ref="O20:P20"/>
    <mergeCell ref="O23:P23"/>
    <mergeCell ref="O26:P26"/>
    <mergeCell ref="O19:P19"/>
  </mergeCells>
  <conditionalFormatting sqref="I4:I226">
    <cfRule type="cellIs" dxfId="123" priority="10" operator="equal">
      <formula>$BH$10</formula>
    </cfRule>
    <cfRule type="cellIs" dxfId="122" priority="11" operator="equal">
      <formula>$BH$9</formula>
    </cfRule>
    <cfRule type="cellIs" dxfId="121" priority="12" operator="equal">
      <formula>$BH$8</formula>
    </cfRule>
  </conditionalFormatting>
  <conditionalFormatting sqref="P11">
    <cfRule type="cellIs" dxfId="120" priority="1" operator="lessThan">
      <formula>0</formula>
    </cfRule>
  </conditionalFormatting>
  <conditionalFormatting sqref="R10">
    <cfRule type="dataBar" priority="4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{7022E61C-BDE3-4154-94A1-96498EEB93FA}</x14:id>
        </ext>
      </extLst>
    </cfRule>
  </conditionalFormatting>
  <conditionalFormatting sqref="T9">
    <cfRule type="dataBar" priority="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{C761EF93-2762-482B-8CD5-925EC0AFA3A9}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{61C9F615-F232-47C1-BD22-51C154BEE659}</x14:id>
        </ext>
      </extLst>
    </cfRule>
  </conditionalFormatting>
  <dataValidations count="2">
    <dataValidation type="list" allowBlank="1" showInputMessage="1" showErrorMessage="1" sqref="I4:I226" xr:uid="{00000000-0002-0000-0000-000000000000}">
      <formula1>$BH$8:$BH$10</formula1>
    </dataValidation>
    <dataValidation type="textLength" operator="equal" allowBlank="1" showInputMessage="1" showErrorMessage="1" errorTitle="يجب إخال رقم IPN صحيح 13 رقم" sqref="C1:C1048576" xr:uid="{00000000-0002-0000-0000-000001000000}">
      <formula1>13</formula1>
    </dataValidation>
  </dataValidations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022E61C-BDE3-4154-94A1-96498EEB93FA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C761EF93-2762-482B-8CD5-925EC0AFA3A9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61C9F615-F232-47C1-BD22-51C154BEE659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2000000}">
          <x14:formula1>
            <xm:f>'C:\Users\caishny\Downloads\[Caishni v3.1.xlsm]مخالفات'!#REF!</xm:f>
          </x14:formula1>
          <xm:sqref>I2:I3 I227:I1048576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226"/>
  <sheetViews>
    <sheetView showRowColHeaders="0" rightToLeft="1" zoomScale="80" zoomScaleNormal="80" workbookViewId="0">
      <selection activeCell="G29" sqref="G29"/>
    </sheetView>
  </sheetViews>
  <sheetFormatPr defaultColWidth="9.109375" defaultRowHeight="14.4" x14ac:dyDescent="0.3"/>
  <cols>
    <col min="1" max="1" width="4.109375" style="124" customWidth="1"/>
    <col min="2" max="2" width="6.5546875" style="125" bestFit="1" customWidth="1"/>
    <col min="3" max="3" width="30.5546875" style="126" customWidth="1"/>
    <col min="4" max="4" width="16.6640625" style="124" customWidth="1"/>
    <col min="5" max="5" width="18.88671875" style="157" customWidth="1"/>
    <col min="6" max="6" width="12.88671875" style="124" bestFit="1" customWidth="1"/>
    <col min="7" max="7" width="19" style="124" bestFit="1" customWidth="1"/>
    <col min="8" max="8" width="19" style="124" customWidth="1"/>
    <col min="9" max="9" width="12.44140625" style="128" bestFit="1" customWidth="1"/>
    <col min="10" max="10" width="17.5546875" style="129" customWidth="1"/>
    <col min="11" max="11" width="3.5546875" style="124" customWidth="1"/>
    <col min="12" max="12" width="13.6640625" style="124" customWidth="1"/>
    <col min="13" max="13" width="29.109375" style="124" customWidth="1"/>
    <col min="14" max="14" width="3.33203125" style="124" customWidth="1"/>
    <col min="15" max="15" width="26.5546875" style="124" bestFit="1" customWidth="1"/>
    <col min="16" max="16" width="18" style="124" customWidth="1"/>
    <col min="17" max="17" width="3.5546875" style="124" customWidth="1"/>
    <col min="18" max="19" width="21.33203125" style="124" customWidth="1"/>
    <col min="20" max="20" width="13.109375" style="124" customWidth="1"/>
    <col min="21" max="21" width="14.109375" style="124" customWidth="1"/>
    <col min="22" max="22" width="12.5546875" style="124" customWidth="1"/>
    <col min="23" max="23" width="13.6640625" style="124" customWidth="1"/>
    <col min="24" max="24" width="10.6640625" style="124" customWidth="1"/>
    <col min="25" max="16384" width="9.109375" style="124"/>
  </cols>
  <sheetData>
    <row r="1" spans="1:59" x14ac:dyDescent="0.3">
      <c r="E1" s="127">
        <f>Total!F5</f>
        <v>69</v>
      </c>
      <c r="F1" s="208" t="str">
        <f>Total!G5</f>
        <v>العبور</v>
      </c>
      <c r="G1" s="209"/>
      <c r="H1" s="210"/>
    </row>
    <row r="3" spans="1:59" ht="15.6" x14ac:dyDescent="0.3">
      <c r="B3" s="130" t="s">
        <v>0</v>
      </c>
      <c r="C3" s="131" t="s">
        <v>1</v>
      </c>
      <c r="D3" s="132" t="s">
        <v>2</v>
      </c>
      <c r="E3" s="133" t="s">
        <v>3</v>
      </c>
      <c r="F3" s="132" t="s">
        <v>4</v>
      </c>
      <c r="G3" s="132" t="s">
        <v>5</v>
      </c>
      <c r="H3" s="161" t="s">
        <v>76</v>
      </c>
      <c r="I3" s="132" t="s">
        <v>6</v>
      </c>
      <c r="J3" s="134" t="s">
        <v>7</v>
      </c>
      <c r="L3" s="135" t="s">
        <v>7</v>
      </c>
      <c r="M3" s="136" t="s">
        <v>85</v>
      </c>
      <c r="O3" s="137" t="s">
        <v>17</v>
      </c>
      <c r="P3" s="138">
        <f>M5+M6</f>
        <v>0</v>
      </c>
      <c r="S3" s="139"/>
      <c r="T3" s="139"/>
      <c r="U3" s="139"/>
      <c r="V3" s="139"/>
      <c r="W3" s="139"/>
    </row>
    <row r="4" spans="1:59" ht="21.6" x14ac:dyDescent="0.65">
      <c r="A4" s="195"/>
      <c r="B4" s="140">
        <v>1</v>
      </c>
      <c r="C4" s="8">
        <v>1111111111111</v>
      </c>
      <c r="D4" s="185" t="s">
        <v>113</v>
      </c>
      <c r="E4" s="185">
        <v>1066728387</v>
      </c>
      <c r="F4" s="185">
        <v>1000</v>
      </c>
      <c r="G4" s="141">
        <f>IF(Basic345678910111213141516171819202122232425262728293031[[#This Row],[نوع الخدمة]]="مخالفات", 50,
IF(Basic345678910111213141516171819202122232425262728293031[[#This Row],[نوع الخدمة]]="كاش ان",
    IF(F4&lt;=100, 18, IF(F4&lt;=250, 23, IF(F4&lt;=500, 35, IF(F4&lt;=1000, 40, F4*0.04)))),
IF(Basic345678910111213141516171819202122232425262728293031[[#This Row],[نوع الخدمة]]="كاش اوت",
    IF(F4&lt;=100, 15, IF(F4&lt;=250, 20, IF(F4&lt;=500, 30, IF(F4&lt;=1000, 35, F4*0.035)))),
0)))</f>
        <v>35</v>
      </c>
      <c r="H4" s="141">
        <f>IF(I4="مخالفات",50,Basic345678910111213141516171819202122232425262728293031[[#This Row],[قيمة الرسوم / العموله]]+Basic345678910111213141516171819202122232425262728293031[[#This Row],[قيمة الشحنه]])</f>
        <v>1035</v>
      </c>
      <c r="I4" s="90" t="s">
        <v>9</v>
      </c>
      <c r="J4" s="142" t="str">
        <f t="shared" ref="J4:J67" si="0">M$3</f>
        <v>2.5.2026</v>
      </c>
      <c r="L4" s="135" t="s">
        <v>26</v>
      </c>
      <c r="M4" s="90">
        <v>10000</v>
      </c>
      <c r="O4" s="137" t="s">
        <v>18</v>
      </c>
      <c r="P4" s="138">
        <f>M4</f>
        <v>10000</v>
      </c>
      <c r="S4" s="143" t="s">
        <v>22</v>
      </c>
      <c r="T4" s="143" t="s">
        <v>23</v>
      </c>
      <c r="U4" s="139"/>
      <c r="V4" s="139"/>
      <c r="W4" s="139"/>
    </row>
    <row r="5" spans="1:59" ht="21.6" x14ac:dyDescent="0.65">
      <c r="A5" s="195"/>
      <c r="B5" s="144">
        <v>2</v>
      </c>
      <c r="C5" s="8">
        <v>1111111111111</v>
      </c>
      <c r="D5" s="185" t="s">
        <v>113</v>
      </c>
      <c r="E5" s="185">
        <v>1066728387</v>
      </c>
      <c r="F5" s="185">
        <v>1000</v>
      </c>
      <c r="G5" s="141">
        <f>IF(Basic345678910111213141516171819202122232425262728293031[[#This Row],[نوع الخدمة]]="مخالفات", 50,
IF(Basic345678910111213141516171819202122232425262728293031[[#This Row],[نوع الخدمة]]="كاش ان",
    IF(F5&lt;=100, 18, IF(F5&lt;=250, 23, IF(F5&lt;=500, 35, IF(F5&lt;=1000, 40, F5*0.04)))),
IF(Basic345678910111213141516171819202122232425262728293031[[#This Row],[نوع الخدمة]]="كاش اوت",
    IF(F5&lt;=100, 15, IF(F5&lt;=250, 20, IF(F5&lt;=500, 30, IF(F5&lt;=1000, 35, F5*0.035)))),
0)))</f>
        <v>35</v>
      </c>
      <c r="H5" s="141">
        <f>IF(I5="مخالفات",50,Basic345678910111213141516171819202122232425262728293031[[#This Row],[قيمة الرسوم / العموله]]+Basic345678910111213141516171819202122232425262728293031[[#This Row],[قيمة الشحنه]])</f>
        <v>1035</v>
      </c>
      <c r="I5" s="90" t="s">
        <v>9</v>
      </c>
      <c r="J5" s="142" t="str">
        <f t="shared" si="0"/>
        <v>2.5.2026</v>
      </c>
      <c r="L5" s="135" t="s">
        <v>27</v>
      </c>
      <c r="M5" s="90"/>
      <c r="O5" s="137" t="s">
        <v>19</v>
      </c>
      <c r="P5" s="138">
        <f>SUMIF(Basic345678910111213141516171819202122232425262728293031[نوع الخدمة],"كاش ان",Basic345678910111213141516171819202122232425262728293031[قيمة الشحنه])</f>
        <v>0</v>
      </c>
      <c r="S5" s="145">
        <f>P5+P9+P12+P7</f>
        <v>18645</v>
      </c>
      <c r="T5" s="145">
        <f>P3</f>
        <v>0</v>
      </c>
    </row>
    <row r="6" spans="1:59" ht="21.6" x14ac:dyDescent="0.65">
      <c r="A6" s="195"/>
      <c r="B6" s="140">
        <v>3</v>
      </c>
      <c r="C6" s="8">
        <v>1111111111111</v>
      </c>
      <c r="D6" s="185" t="s">
        <v>113</v>
      </c>
      <c r="E6" s="185">
        <v>1066728387</v>
      </c>
      <c r="F6" s="187">
        <v>1500</v>
      </c>
      <c r="G6" s="141">
        <f>IF(Basic345678910111213141516171819202122232425262728293031[[#This Row],[نوع الخدمة]]="مخالفات", 50,
IF(Basic345678910111213141516171819202122232425262728293031[[#This Row],[نوع الخدمة]]="كاش ان",
    IF(F6&lt;=100, 18, IF(F6&lt;=250, 23, IF(F6&lt;=500, 35, IF(F6&lt;=1000, 40, F6*0.04)))),
IF(Basic345678910111213141516171819202122232425262728293031[[#This Row],[نوع الخدمة]]="كاش اوت",
    IF(F6&lt;=100, 15, IF(F6&lt;=250, 20, IF(F6&lt;=500, 30, IF(F6&lt;=1000, 35, F6*0.035)))),
0)))</f>
        <v>52.500000000000007</v>
      </c>
      <c r="H6" s="141">
        <f>IF(I6="مخالفات",50,Basic345678910111213141516171819202122232425262728293031[[#This Row],[قيمة الرسوم / العموله]]+Basic345678910111213141516171819202122232425262728293031[[#This Row],[قيمة الشحنه]])</f>
        <v>1552.5</v>
      </c>
      <c r="I6" s="90" t="s">
        <v>9</v>
      </c>
      <c r="J6" s="142" t="str">
        <f t="shared" si="0"/>
        <v>2.5.2026</v>
      </c>
      <c r="L6" s="135" t="s">
        <v>28</v>
      </c>
      <c r="M6" s="90"/>
      <c r="O6" s="137" t="s">
        <v>12</v>
      </c>
      <c r="P6" s="138">
        <f>P3*150</f>
        <v>0</v>
      </c>
    </row>
    <row r="7" spans="1:59" ht="22.2" thickBot="1" x14ac:dyDescent="0.7">
      <c r="A7" s="195"/>
      <c r="B7" s="140">
        <v>4</v>
      </c>
      <c r="C7" s="8">
        <v>1111111111111</v>
      </c>
      <c r="D7" s="185" t="s">
        <v>149</v>
      </c>
      <c r="E7" s="186">
        <v>1223911492</v>
      </c>
      <c r="F7" s="187">
        <v>0</v>
      </c>
      <c r="G7" s="141">
        <f>IF(Basic345678910111213141516171819202122232425262728293031[[#This Row],[نوع الخدمة]]="مخالفات", 50,
IF(Basic345678910111213141516171819202122232425262728293031[[#This Row],[نوع الخدمة]]="كاش ان",
    IF(F7&lt;=100, 18, IF(F7&lt;=250, 23, IF(F7&lt;=500, 35, IF(F7&lt;=1000, 40, F7*0.04)))),
IF(Basic345678910111213141516171819202122232425262728293031[[#This Row],[نوع الخدمة]]="كاش اوت",
    IF(F7&lt;=100, 15, IF(F7&lt;=250, 20, IF(F7&lt;=500, 30, IF(F7&lt;=1000, 35, F7*0.035)))),
0)))</f>
        <v>50</v>
      </c>
      <c r="H7" s="141">
        <f>IF(I7="مخالفات",50,Basic345678910111213141516171819202122232425262728293031[[#This Row],[قيمة الرسوم / العموله]]+Basic345678910111213141516171819202122232425262728293031[[#This Row],[قيمة الشحنه]])</f>
        <v>50</v>
      </c>
      <c r="I7" s="90" t="s">
        <v>10</v>
      </c>
      <c r="J7" s="142" t="str">
        <f t="shared" si="0"/>
        <v>2.5.2026</v>
      </c>
      <c r="L7" s="137" t="s">
        <v>11</v>
      </c>
      <c r="M7" s="165"/>
      <c r="O7" s="137" t="s">
        <v>74</v>
      </c>
      <c r="P7" s="138">
        <f>SUMIF(Basic345678910111213141516171819202122232425262728293031[نوع الخدمة],"مخالفات",Basic345678910111213141516171819202122232425262728293031[الاجمــــــــــالي])</f>
        <v>250</v>
      </c>
      <c r="R7" s="139"/>
      <c r="S7" s="139"/>
    </row>
    <row r="8" spans="1:59" ht="21.6" x14ac:dyDescent="0.65">
      <c r="A8" s="195"/>
      <c r="B8" s="140">
        <v>5</v>
      </c>
      <c r="C8" s="8">
        <v>1111111111111</v>
      </c>
      <c r="D8" s="187" t="s">
        <v>139</v>
      </c>
      <c r="E8" s="187">
        <v>1068799581</v>
      </c>
      <c r="F8" s="187">
        <v>0</v>
      </c>
      <c r="G8" s="141">
        <f>IF(Basic345678910111213141516171819202122232425262728293031[[#This Row],[نوع الخدمة]]="مخالفات", 50,
IF(Basic345678910111213141516171819202122232425262728293031[[#This Row],[نوع الخدمة]]="كاش ان",
    IF(F8&lt;=100, 18, IF(F8&lt;=250, 23, IF(F8&lt;=500, 35, IF(F8&lt;=1000, 40, F8*0.04)))),
IF(Basic345678910111213141516171819202122232425262728293031[[#This Row],[نوع الخدمة]]="كاش اوت",
    IF(F8&lt;=100, 15, IF(F8&lt;=250, 20, IF(F8&lt;=500, 30, IF(F8&lt;=1000, 35, F8*0.035)))),
0)))</f>
        <v>50</v>
      </c>
      <c r="H8" s="141">
        <f>IF(I8="مخالفات",50,Basic345678910111213141516171819202122232425262728293031[[#This Row],[قيمة الرسوم / العموله]]+Basic345678910111213141516171819202122232425262728293031[[#This Row],[قيمة الشحنه]])</f>
        <v>50</v>
      </c>
      <c r="I8" s="90" t="s">
        <v>10</v>
      </c>
      <c r="J8" s="142" t="str">
        <f t="shared" si="0"/>
        <v>2.5.2026</v>
      </c>
      <c r="L8" s="166" t="s">
        <v>79</v>
      </c>
      <c r="M8" s="167">
        <v>0</v>
      </c>
      <c r="O8" s="137" t="s">
        <v>11</v>
      </c>
      <c r="P8" s="138">
        <f>M7</f>
        <v>0</v>
      </c>
      <c r="R8" s="143" t="s">
        <v>72</v>
      </c>
      <c r="S8" s="143" t="s">
        <v>25</v>
      </c>
      <c r="T8" s="143" t="s">
        <v>24</v>
      </c>
      <c r="U8" s="143" t="s">
        <v>73</v>
      </c>
      <c r="V8" s="143" t="s">
        <v>25</v>
      </c>
      <c r="W8" s="143" t="s">
        <v>24</v>
      </c>
      <c r="X8" s="139"/>
      <c r="BG8" s="148" t="s">
        <v>8</v>
      </c>
    </row>
    <row r="9" spans="1:59" ht="18" customHeight="1" x14ac:dyDescent="0.65">
      <c r="A9" s="195"/>
      <c r="B9" s="144">
        <v>6</v>
      </c>
      <c r="C9" s="8">
        <v>1111111111111</v>
      </c>
      <c r="D9" s="187" t="s">
        <v>150</v>
      </c>
      <c r="E9" s="187">
        <v>1003681006</v>
      </c>
      <c r="F9" s="187">
        <v>1000</v>
      </c>
      <c r="G9" s="141">
        <f>IF(Basic345678910111213141516171819202122232425262728293031[[#This Row],[نوع الخدمة]]="مخالفات", 50,
IF(Basic345678910111213141516171819202122232425262728293031[[#This Row],[نوع الخدمة]]="كاش ان",
    IF(F9&lt;=100, 18, IF(F9&lt;=250, 23, IF(F9&lt;=500, 35, IF(F9&lt;=1000, 40, F9*0.04)))),
IF(Basic345678910111213141516171819202122232425262728293031[[#This Row],[نوع الخدمة]]="كاش اوت",
    IF(F9&lt;=100, 15, IF(F9&lt;=250, 20, IF(F9&lt;=500, 30, IF(F9&lt;=1000, 35, F9*0.035)))),
0)))</f>
        <v>35</v>
      </c>
      <c r="H9" s="141">
        <f>IF(I9="مخالفات",50,Basic345678910111213141516171819202122232425262728293031[[#This Row],[قيمة الرسوم / العموله]]+Basic345678910111213141516171819202122232425262728293031[[#This Row],[قيمة الشحنه]])</f>
        <v>1035</v>
      </c>
      <c r="I9" s="90" t="s">
        <v>9</v>
      </c>
      <c r="J9" s="142" t="str">
        <f t="shared" si="0"/>
        <v>2.5.2026</v>
      </c>
      <c r="L9" s="166" t="s">
        <v>80</v>
      </c>
      <c r="M9" s="167">
        <v>0</v>
      </c>
      <c r="O9" s="137" t="s">
        <v>20</v>
      </c>
      <c r="P9" s="138">
        <f>SUMIF(Basic345678910111213141516171819202122232425262728293031[نوع الخدمة],"كاش ان",Basic345678910111213141516171819202122232425262728293031[قيمة الرسوم / العموله])</f>
        <v>0</v>
      </c>
      <c r="R9" s="149">
        <f>Total!H5/24</f>
        <v>29166.666666666668</v>
      </c>
      <c r="S9" s="149">
        <f>S5</f>
        <v>18645</v>
      </c>
      <c r="T9" s="150">
        <f>S9/R9</f>
        <v>0.63925714285714286</v>
      </c>
      <c r="U9" s="149">
        <f>Total!K5/24</f>
        <v>2.9166666666666665</v>
      </c>
      <c r="V9" s="149">
        <f>T5</f>
        <v>0</v>
      </c>
      <c r="W9" s="150">
        <f>V9/U9</f>
        <v>0</v>
      </c>
      <c r="X9" s="139"/>
      <c r="BG9" s="148" t="s">
        <v>9</v>
      </c>
    </row>
    <row r="10" spans="1:59" ht="21.6" x14ac:dyDescent="0.65">
      <c r="A10" s="195"/>
      <c r="B10" s="140">
        <v>7</v>
      </c>
      <c r="C10" s="8">
        <v>1111111111111</v>
      </c>
      <c r="D10" s="187" t="s">
        <v>150</v>
      </c>
      <c r="E10" s="187">
        <v>1003681006</v>
      </c>
      <c r="F10" s="187">
        <v>1000</v>
      </c>
      <c r="G10" s="141">
        <f>IF(Basic345678910111213141516171819202122232425262728293031[[#This Row],[نوع الخدمة]]="مخالفات", 50,
IF(Basic345678910111213141516171819202122232425262728293031[[#This Row],[نوع الخدمة]]="كاش ان",
    IF(F10&lt;=100, 18, IF(F10&lt;=250, 23, IF(F10&lt;=500, 35, IF(F10&lt;=1000, 40, F10*0.04)))),
IF(Basic345678910111213141516171819202122232425262728293031[[#This Row],[نوع الخدمة]]="كاش اوت",
    IF(F10&lt;=100, 15, IF(F10&lt;=250, 20, IF(F10&lt;=500, 30, IF(F10&lt;=1000, 35, F10*0.035)))),
0)))</f>
        <v>35</v>
      </c>
      <c r="H10" s="141">
        <f>IF(I10="مخالفات",50,Basic345678910111213141516171819202122232425262728293031[[#This Row],[قيمة الرسوم / العموله]]+Basic345678910111213141516171819202122232425262728293031[[#This Row],[قيمة الشحنه]])</f>
        <v>1035</v>
      </c>
      <c r="I10" s="90" t="s">
        <v>9</v>
      </c>
      <c r="J10" s="142" t="str">
        <f t="shared" si="0"/>
        <v>2.5.2026</v>
      </c>
      <c r="O10" s="137" t="s">
        <v>16</v>
      </c>
      <c r="P10" s="138">
        <f>SUMIF(Basic345678910111213141516171819202122232425262728293031[نوع الخدمة],"كاش اوت",Basic345678910111213141516171819202122232425262728293031[قيمة الشحنه])</f>
        <v>17700</v>
      </c>
      <c r="R10" s="205">
        <f>(W9+T9)/2</f>
        <v>0.31962857142857143</v>
      </c>
      <c r="S10" s="206"/>
      <c r="T10" s="206"/>
      <c r="U10" s="206"/>
      <c r="V10" s="206"/>
      <c r="W10" s="207"/>
      <c r="X10" s="139"/>
      <c r="BG10" s="148" t="s">
        <v>10</v>
      </c>
    </row>
    <row r="11" spans="1:59" ht="21.6" x14ac:dyDescent="0.65">
      <c r="A11" s="195"/>
      <c r="B11" s="140">
        <v>8</v>
      </c>
      <c r="C11" s="8">
        <v>1111111111111</v>
      </c>
      <c r="D11" s="187" t="s">
        <v>150</v>
      </c>
      <c r="E11" s="187">
        <v>1003681006</v>
      </c>
      <c r="F11" s="187">
        <v>500</v>
      </c>
      <c r="G11" s="141">
        <f>IF(Basic345678910111213141516171819202122232425262728293031[[#This Row],[نوع الخدمة]]="مخالفات", 50,
IF(Basic345678910111213141516171819202122232425262728293031[[#This Row],[نوع الخدمة]]="كاش ان",
    IF(F11&lt;=100, 18, IF(F11&lt;=250, 23, IF(F11&lt;=500, 35, IF(F11&lt;=1000, 40, F11*0.04)))),
IF(Basic345678910111213141516171819202122232425262728293031[[#This Row],[نوع الخدمة]]="كاش اوت",
    IF(F11&lt;=100, 15, IF(F11&lt;=250, 20, IF(F11&lt;=500, 30, IF(F11&lt;=1000, 35, F11*0.035)))),
0)))</f>
        <v>30</v>
      </c>
      <c r="H11" s="141">
        <f>IF(I11="مخالفات",50,Basic345678910111213141516171819202122232425262728293031[[#This Row],[قيمة الرسوم / العموله]]+Basic345678910111213141516171819202122232425262728293031[[#This Row],[قيمة الشحنه]])</f>
        <v>530</v>
      </c>
      <c r="I11" s="90" t="s">
        <v>9</v>
      </c>
      <c r="J11" s="142" t="str">
        <f t="shared" si="0"/>
        <v>2.5.2026</v>
      </c>
      <c r="L11" s="169" t="s">
        <v>77</v>
      </c>
      <c r="M11" s="168" t="s">
        <v>78</v>
      </c>
      <c r="O11" s="175" t="s">
        <v>21</v>
      </c>
      <c r="P11" s="152">
        <f>(P5+P6+P9+P7+P4)-P10-P8</f>
        <v>-7450</v>
      </c>
      <c r="S11" s="139"/>
    </row>
    <row r="12" spans="1:59" ht="21.6" x14ac:dyDescent="0.65">
      <c r="A12" s="195"/>
      <c r="B12" s="140">
        <v>9</v>
      </c>
      <c r="C12" s="8">
        <v>1111111111111</v>
      </c>
      <c r="D12" s="187" t="s">
        <v>150</v>
      </c>
      <c r="E12" s="187">
        <v>1003681006</v>
      </c>
      <c r="F12" s="187">
        <v>1500</v>
      </c>
      <c r="G12" s="141">
        <f>IF(Basic345678910111213141516171819202122232425262728293031[[#This Row],[نوع الخدمة]]="مخالفات", 50,
IF(Basic345678910111213141516171819202122232425262728293031[[#This Row],[نوع الخدمة]]="كاش ان",
    IF(F12&lt;=100, 18, IF(F12&lt;=250, 23, IF(F12&lt;=500, 35, IF(F12&lt;=1000, 40, F12*0.04)))),
IF(Basic345678910111213141516171819202122232425262728293031[[#This Row],[نوع الخدمة]]="كاش اوت",
    IF(F12&lt;=100, 15, IF(F12&lt;=250, 20, IF(F12&lt;=500, 30, IF(F12&lt;=1000, 35, F12*0.035)))),
0)))</f>
        <v>52.500000000000007</v>
      </c>
      <c r="H12" s="141">
        <f>IF(I12="مخالفات",50,Basic345678910111213141516171819202122232425262728293031[[#This Row],[قيمة الرسوم / العموله]]+Basic345678910111213141516171819202122232425262728293031[[#This Row],[قيمة الشحنه]])</f>
        <v>1552.5</v>
      </c>
      <c r="I12" s="90" t="s">
        <v>9</v>
      </c>
      <c r="J12" s="142" t="str">
        <f t="shared" si="0"/>
        <v>2.5.2026</v>
      </c>
      <c r="L12" s="153">
        <v>1</v>
      </c>
      <c r="M12" s="91"/>
      <c r="O12" s="137" t="s">
        <v>29</v>
      </c>
      <c r="P12" s="138">
        <f>SUMIF(Basic345678910111213141516171819202122232425262728293031[نوع الخدمة],"كاش اوت",Basic345678910111213141516171819202122232425262728293031[الاجمــــــــــالي])</f>
        <v>18395</v>
      </c>
    </row>
    <row r="13" spans="1:59" ht="21.6" x14ac:dyDescent="0.65">
      <c r="A13" s="195"/>
      <c r="B13" s="144">
        <v>10</v>
      </c>
      <c r="C13" s="8">
        <v>1111111111111</v>
      </c>
      <c r="D13" s="187" t="s">
        <v>150</v>
      </c>
      <c r="E13" s="187">
        <v>1003681006</v>
      </c>
      <c r="F13" s="187">
        <v>1500</v>
      </c>
      <c r="G13" s="141">
        <f>IF(Basic345678910111213141516171819202122232425262728293031[[#This Row],[نوع الخدمة]]="مخالفات", 50,
IF(Basic345678910111213141516171819202122232425262728293031[[#This Row],[نوع الخدمة]]="كاش ان",
    IF(F13&lt;=100, 18, IF(F13&lt;=250, 23, IF(F13&lt;=500, 35, IF(F13&lt;=1000, 40, F13*0.04)))),
IF(Basic345678910111213141516171819202122232425262728293031[[#This Row],[نوع الخدمة]]="كاش اوت",
    IF(F13&lt;=100, 15, IF(F13&lt;=250, 20, IF(F13&lt;=500, 30, IF(F13&lt;=1000, 35, F13*0.035)))),
0)))</f>
        <v>52.500000000000007</v>
      </c>
      <c r="H13" s="141">
        <f>IF(I13="مخالفات",50,Basic345678910111213141516171819202122232425262728293031[[#This Row],[قيمة الرسوم / العموله]]+Basic345678910111213141516171819202122232425262728293031[[#This Row],[قيمة الشحنه]])</f>
        <v>1552.5</v>
      </c>
      <c r="I13" s="90" t="s">
        <v>9</v>
      </c>
      <c r="J13" s="142" t="str">
        <f t="shared" si="0"/>
        <v>2.5.2026</v>
      </c>
      <c r="L13" s="153">
        <v>2</v>
      </c>
      <c r="M13" s="92"/>
    </row>
    <row r="14" spans="1:59" ht="21.6" x14ac:dyDescent="0.65">
      <c r="A14" s="195"/>
      <c r="B14" s="140">
        <v>11</v>
      </c>
      <c r="C14" s="8">
        <v>1111111111111</v>
      </c>
      <c r="D14" s="187" t="s">
        <v>150</v>
      </c>
      <c r="E14" s="187">
        <v>1003681006</v>
      </c>
      <c r="F14" s="187">
        <v>200</v>
      </c>
      <c r="G14" s="141">
        <f>IF(Basic345678910111213141516171819202122232425262728293031[[#This Row],[نوع الخدمة]]="مخالفات", 50,
IF(Basic345678910111213141516171819202122232425262728293031[[#This Row],[نوع الخدمة]]="كاش ان",
    IF(F14&lt;=100, 18, IF(F14&lt;=250, 23, IF(F14&lt;=500, 35, IF(F14&lt;=1000, 40, F14*0.04)))),
IF(Basic345678910111213141516171819202122232425262728293031[[#This Row],[نوع الخدمة]]="كاش اوت",
    IF(F14&lt;=100, 15, IF(F14&lt;=250, 20, IF(F14&lt;=500, 30, IF(F14&lt;=1000, 35, F14*0.035)))),
0)))</f>
        <v>20</v>
      </c>
      <c r="H14" s="176">
        <f>IF(I14="مخالفات",50,Basic345678910111213141516171819202122232425262728293031[[#This Row],[قيمة الرسوم / العموله]]+Basic345678910111213141516171819202122232425262728293031[[#This Row],[قيمة الشحنه]])</f>
        <v>220</v>
      </c>
      <c r="I14" s="90" t="s">
        <v>9</v>
      </c>
      <c r="J14" s="142" t="str">
        <f t="shared" si="0"/>
        <v>2.5.2026</v>
      </c>
      <c r="L14" s="153">
        <v>3</v>
      </c>
      <c r="M14" s="92"/>
    </row>
    <row r="15" spans="1:59" ht="21.6" x14ac:dyDescent="0.65">
      <c r="A15" s="195"/>
      <c r="B15" s="140">
        <v>12</v>
      </c>
      <c r="C15" s="8">
        <v>1111111111111</v>
      </c>
      <c r="D15" s="187" t="s">
        <v>143</v>
      </c>
      <c r="E15" s="187">
        <v>100368106</v>
      </c>
      <c r="F15" s="187">
        <v>500</v>
      </c>
      <c r="G15" s="141">
        <f>IF(Basic345678910111213141516171819202122232425262728293031[[#This Row],[نوع الخدمة]]="مخالفات", 50,
IF(Basic345678910111213141516171819202122232425262728293031[[#This Row],[نوع الخدمة]]="كاش ان",
    IF(F15&lt;=100, 18, IF(F15&lt;=250, 23, IF(F15&lt;=500, 35, IF(F15&lt;=1000, 40, F15*0.04)))),
IF(Basic345678910111213141516171819202122232425262728293031[[#This Row],[نوع الخدمة]]="كاش اوت",
    IF(F15&lt;=100, 15, IF(F15&lt;=250, 20, IF(F15&lt;=500, 30, IF(F15&lt;=1000, 35, F15*0.035)))),
0)))</f>
        <v>30</v>
      </c>
      <c r="H15" s="176">
        <f>IF(I15="مخالفات",50,Basic345678910111213141516171819202122232425262728293031[[#This Row],[قيمة الرسوم / العموله]]+Basic345678910111213141516171819202122232425262728293031[[#This Row],[قيمة الشحنه]])</f>
        <v>530</v>
      </c>
      <c r="I15" s="90" t="s">
        <v>9</v>
      </c>
      <c r="J15" s="142" t="str">
        <f t="shared" si="0"/>
        <v>2.5.2026</v>
      </c>
      <c r="L15" s="153">
        <v>4</v>
      </c>
      <c r="M15" s="92"/>
      <c r="O15" s="154" t="s">
        <v>10</v>
      </c>
      <c r="P15" s="155">
        <f>COUNTIF(Basic345678910111213141516171819202122232425262728293031[نوع الخدمة],"مخالفات")</f>
        <v>5</v>
      </c>
    </row>
    <row r="16" spans="1:59" ht="21.6" x14ac:dyDescent="0.65">
      <c r="A16" s="195"/>
      <c r="B16" s="140">
        <v>13</v>
      </c>
      <c r="C16" s="8">
        <v>1111111111111</v>
      </c>
      <c r="D16" s="187" t="s">
        <v>151</v>
      </c>
      <c r="E16" s="187">
        <v>111251245</v>
      </c>
      <c r="F16" s="187">
        <v>0</v>
      </c>
      <c r="G16" s="141">
        <f>IF(Basic345678910111213141516171819202122232425262728293031[[#This Row],[نوع الخدمة]]="مخالفات", 50,
IF(Basic345678910111213141516171819202122232425262728293031[[#This Row],[نوع الخدمة]]="كاش ان",
    IF(F16&lt;=100, 18, IF(F16&lt;=250, 23, IF(F16&lt;=500, 35, IF(F16&lt;=1000, 40, F16*0.04)))),
IF(Basic345678910111213141516171819202122232425262728293031[[#This Row],[نوع الخدمة]]="كاش اوت",
    IF(F16&lt;=100, 15, IF(F16&lt;=250, 20, IF(F16&lt;=500, 30, IF(F16&lt;=1000, 35, F16*0.035)))),
0)))</f>
        <v>50</v>
      </c>
      <c r="H16" s="176">
        <f>IF(I16="مخالفات",50,Basic345678910111213141516171819202122232425262728293031[[#This Row],[قيمة الرسوم / العموله]]+Basic345678910111213141516171819202122232425262728293031[[#This Row],[قيمة الشحنه]])</f>
        <v>50</v>
      </c>
      <c r="I16" s="90" t="s">
        <v>10</v>
      </c>
      <c r="J16" s="142" t="str">
        <f t="shared" si="0"/>
        <v>2.5.2026</v>
      </c>
      <c r="L16" s="153">
        <v>5</v>
      </c>
      <c r="M16" s="92"/>
      <c r="O16" s="154" t="s">
        <v>13</v>
      </c>
      <c r="P16" s="155">
        <f>COUNTIF(Basic345678910111213141516171819202122232425262728293031[نوع الخدمة],"كاش ان")</f>
        <v>0</v>
      </c>
    </row>
    <row r="17" spans="1:20" ht="21.6" x14ac:dyDescent="0.65">
      <c r="A17" s="195"/>
      <c r="B17" s="144">
        <v>14</v>
      </c>
      <c r="C17" s="8">
        <v>1111111111111</v>
      </c>
      <c r="D17" s="187" t="s">
        <v>143</v>
      </c>
      <c r="E17" s="187">
        <v>1003681006</v>
      </c>
      <c r="F17" s="187">
        <v>500</v>
      </c>
      <c r="G17" s="141">
        <f>IF(Basic345678910111213141516171819202122232425262728293031[[#This Row],[نوع الخدمة]]="مخالفات", 50,
IF(Basic345678910111213141516171819202122232425262728293031[[#This Row],[نوع الخدمة]]="كاش ان",
    IF(F17&lt;=100, 18, IF(F17&lt;=250, 23, IF(F17&lt;=500, 35, IF(F17&lt;=1000, 40, F17*0.04)))),
IF(Basic345678910111213141516171819202122232425262728293031[[#This Row],[نوع الخدمة]]="كاش اوت",
    IF(F17&lt;=100, 15, IF(F17&lt;=250, 20, IF(F17&lt;=500, 30, IF(F17&lt;=1000, 35, F17*0.035)))),
0)))</f>
        <v>30</v>
      </c>
      <c r="H17" s="176">
        <f>IF(I17="مخالفات",50,Basic345678910111213141516171819202122232425262728293031[[#This Row],[قيمة الرسوم / العموله]]+Basic345678910111213141516171819202122232425262728293031[[#This Row],[قيمة الشحنه]])</f>
        <v>530</v>
      </c>
      <c r="I17" s="90" t="s">
        <v>9</v>
      </c>
      <c r="J17" s="142" t="str">
        <f t="shared" si="0"/>
        <v>2.5.2026</v>
      </c>
      <c r="L17" s="153">
        <v>6</v>
      </c>
      <c r="M17" s="92"/>
      <c r="O17" s="154" t="s">
        <v>14</v>
      </c>
      <c r="P17" s="155">
        <f>COUNTIF(Basic345678910111213141516171819202122232425262728293031[نوع الخدمة],"كاش اوت")</f>
        <v>19</v>
      </c>
    </row>
    <row r="18" spans="1:20" ht="21.6" x14ac:dyDescent="0.65">
      <c r="A18" s="195"/>
      <c r="B18" s="140">
        <v>15</v>
      </c>
      <c r="C18" s="8">
        <v>1111111111111</v>
      </c>
      <c r="D18" s="187" t="s">
        <v>143</v>
      </c>
      <c r="E18" s="187">
        <v>1003681006</v>
      </c>
      <c r="F18" s="187">
        <v>500</v>
      </c>
      <c r="G18" s="141">
        <f>IF(Basic345678910111213141516171819202122232425262728293031[[#This Row],[نوع الخدمة]]="مخالفات", 50,
IF(Basic345678910111213141516171819202122232425262728293031[[#This Row],[نوع الخدمة]]="كاش ان",
    IF(F18&lt;=100, 18, IF(F18&lt;=250, 23, IF(F18&lt;=500, 35, IF(F18&lt;=1000, 40, F18*0.04)))),
IF(Basic345678910111213141516171819202122232425262728293031[[#This Row],[نوع الخدمة]]="كاش اوت",
    IF(F18&lt;=100, 15, IF(F18&lt;=250, 20, IF(F18&lt;=500, 30, IF(F18&lt;=1000, 35, F18*0.035)))),
0)))</f>
        <v>30</v>
      </c>
      <c r="H18" s="176">
        <f>IF(I18="مخالفات",50,Basic345678910111213141516171819202122232425262728293031[[#This Row],[قيمة الرسوم / العموله]]+Basic345678910111213141516171819202122232425262728293031[[#This Row],[قيمة الشحنه]])</f>
        <v>530</v>
      </c>
      <c r="I18" s="90" t="s">
        <v>9</v>
      </c>
      <c r="J18" s="142" t="str">
        <f t="shared" si="0"/>
        <v>2.5.2026</v>
      </c>
      <c r="L18" s="153">
        <v>7</v>
      </c>
      <c r="M18" s="92"/>
      <c r="O18" s="154" t="s">
        <v>15</v>
      </c>
      <c r="P18" s="155">
        <f>P16+P17</f>
        <v>19</v>
      </c>
    </row>
    <row r="19" spans="1:20" ht="21.6" x14ac:dyDescent="0.65">
      <c r="A19" s="195"/>
      <c r="B19" s="140">
        <v>16</v>
      </c>
      <c r="C19" s="8">
        <v>1111111111111</v>
      </c>
      <c r="D19" s="187" t="s">
        <v>152</v>
      </c>
      <c r="E19" s="187">
        <v>1055005194</v>
      </c>
      <c r="F19" s="187">
        <v>0</v>
      </c>
      <c r="G19" s="141">
        <f>IF(Basic345678910111213141516171819202122232425262728293031[[#This Row],[نوع الخدمة]]="مخالفات", 50,
IF(Basic345678910111213141516171819202122232425262728293031[[#This Row],[نوع الخدمة]]="كاش ان",
    IF(F19&lt;=100, 18, IF(F19&lt;=250, 23, IF(F19&lt;=500, 35, IF(F19&lt;=1000, 40, F19*0.04)))),
IF(Basic345678910111213141516171819202122232425262728293031[[#This Row],[نوع الخدمة]]="كاش اوت",
    IF(F19&lt;=100, 15, IF(F19&lt;=250, 20, IF(F19&lt;=500, 30, IF(F19&lt;=1000, 35, F19*0.035)))),
0)))</f>
        <v>50</v>
      </c>
      <c r="H19" s="176">
        <f>IF(I19="مخالفات",50,Basic345678910111213141516171819202122232425262728293031[[#This Row],[قيمة الرسوم / العموله]]+Basic345678910111213141516171819202122232425262728293031[[#This Row],[قيمة الشحنه]])</f>
        <v>50</v>
      </c>
      <c r="I19" s="90" t="s">
        <v>10</v>
      </c>
      <c r="J19" s="142" t="str">
        <f t="shared" si="0"/>
        <v>2.5.2026</v>
      </c>
      <c r="L19" s="153">
        <v>8</v>
      </c>
      <c r="M19" s="92"/>
    </row>
    <row r="20" spans="1:20" ht="21.6" x14ac:dyDescent="0.65">
      <c r="A20" s="195"/>
      <c r="B20" s="140">
        <v>17</v>
      </c>
      <c r="C20" s="8">
        <v>1111111111111</v>
      </c>
      <c r="D20" s="187" t="s">
        <v>143</v>
      </c>
      <c r="E20" s="187">
        <v>1003681006</v>
      </c>
      <c r="F20" s="187">
        <v>1000</v>
      </c>
      <c r="G20" s="141">
        <f>IF(Basic345678910111213141516171819202122232425262728293031[[#This Row],[نوع الخدمة]]="مخالفات", 50,
IF(Basic345678910111213141516171819202122232425262728293031[[#This Row],[نوع الخدمة]]="كاش ان",
    IF(F20&lt;=100, 18, IF(F20&lt;=250, 23, IF(F20&lt;=500, 35, IF(F20&lt;=1000, 40, F20*0.04)))),
IF(Basic345678910111213141516171819202122232425262728293031[[#This Row],[نوع الخدمة]]="كاش اوت",
    IF(F20&lt;=100, 15, IF(F20&lt;=250, 20, IF(F20&lt;=500, 30, IF(F20&lt;=1000, 35, F20*0.035)))),
0)))</f>
        <v>35</v>
      </c>
      <c r="H20" s="176">
        <f>IF(I20="مخالفات",50,Basic345678910111213141516171819202122232425262728293031[[#This Row],[قيمة الرسوم / العموله]]+Basic345678910111213141516171819202122232425262728293031[[#This Row],[قيمة الشحنه]])</f>
        <v>1035</v>
      </c>
      <c r="I20" s="90" t="s">
        <v>9</v>
      </c>
      <c r="J20" s="142" t="str">
        <f t="shared" si="0"/>
        <v>2.5.2026</v>
      </c>
      <c r="L20" s="153">
        <v>9</v>
      </c>
      <c r="M20" s="92"/>
      <c r="O20" s="193" t="s">
        <v>30</v>
      </c>
      <c r="P20" s="194"/>
    </row>
    <row r="21" spans="1:20" ht="21.6" x14ac:dyDescent="0.65">
      <c r="A21" s="195"/>
      <c r="B21" s="144">
        <v>18</v>
      </c>
      <c r="C21" s="8">
        <v>1111111111111</v>
      </c>
      <c r="D21" s="187" t="s">
        <v>143</v>
      </c>
      <c r="E21" s="187">
        <v>1003681006</v>
      </c>
      <c r="F21" s="187">
        <v>1500</v>
      </c>
      <c r="G21" s="141">
        <f>IF(Basic345678910111213141516171819202122232425262728293031[[#This Row],[نوع الخدمة]]="مخالفات", 50,
IF(Basic345678910111213141516171819202122232425262728293031[[#This Row],[نوع الخدمة]]="كاش ان",
    IF(F21&lt;=100, 18, IF(F21&lt;=250, 23, IF(F21&lt;=500, 35, IF(F21&lt;=1000, 40, F21*0.04)))),
IF(Basic345678910111213141516171819202122232425262728293031[[#This Row],[نوع الخدمة]]="كاش اوت",
    IF(F21&lt;=100, 15, IF(F21&lt;=250, 20, IF(F21&lt;=500, 30, IF(F21&lt;=1000, 35, F21*0.035)))),
0)))</f>
        <v>52.500000000000007</v>
      </c>
      <c r="H21" s="176">
        <f>IF(I21="مخالفات",50,Basic345678910111213141516171819202122232425262728293031[[#This Row],[قيمة الرسوم / العموله]]+Basic345678910111213141516171819202122232425262728293031[[#This Row],[قيمة الشحنه]])</f>
        <v>1552.5</v>
      </c>
      <c r="I21" s="90" t="s">
        <v>9</v>
      </c>
      <c r="J21" s="142" t="str">
        <f t="shared" si="0"/>
        <v>2.5.2026</v>
      </c>
      <c r="L21" s="153">
        <v>10</v>
      </c>
      <c r="M21" s="92"/>
      <c r="O21" s="196" t="s">
        <v>31</v>
      </c>
      <c r="P21" s="197"/>
    </row>
    <row r="22" spans="1:20" ht="21.6" x14ac:dyDescent="0.65">
      <c r="A22" s="195"/>
      <c r="B22" s="140">
        <v>19</v>
      </c>
      <c r="C22" s="8">
        <v>1111111111111</v>
      </c>
      <c r="D22" s="187" t="s">
        <v>143</v>
      </c>
      <c r="E22" s="187">
        <v>1003681006</v>
      </c>
      <c r="F22" s="187">
        <v>500</v>
      </c>
      <c r="G22" s="141">
        <f>IF(Basic345678910111213141516171819202122232425262728293031[[#This Row],[نوع الخدمة]]="مخالفات", 50,
IF(Basic345678910111213141516171819202122232425262728293031[[#This Row],[نوع الخدمة]]="كاش ان",
    IF(F22&lt;=100, 18, IF(F22&lt;=250, 23, IF(F22&lt;=500, 35, IF(F22&lt;=1000, 40, F22*0.04)))),
IF(Basic345678910111213141516171819202122232425262728293031[[#This Row],[نوع الخدمة]]="كاش اوت",
    IF(F22&lt;=100, 15, IF(F22&lt;=250, 20, IF(F22&lt;=500, 30, IF(F22&lt;=1000, 35, F22*0.035)))),
0)))</f>
        <v>30</v>
      </c>
      <c r="H22" s="176">
        <f>IF(I22="مخالفات",50,Basic345678910111213141516171819202122232425262728293031[[#This Row],[قيمة الرسوم / العموله]]+Basic345678910111213141516171819202122232425262728293031[[#This Row],[قيمة الشحنه]])</f>
        <v>530</v>
      </c>
      <c r="I22" s="90" t="s">
        <v>9</v>
      </c>
      <c r="J22" s="142" t="str">
        <f t="shared" si="0"/>
        <v>2.5.2026</v>
      </c>
      <c r="L22" s="153">
        <v>11</v>
      </c>
      <c r="M22" s="92"/>
      <c r="O22" s="147" t="s">
        <v>27</v>
      </c>
      <c r="P22" s="135">
        <f>M8+'1 '!P27</f>
        <v>0</v>
      </c>
    </row>
    <row r="23" spans="1:20" ht="21.6" x14ac:dyDescent="0.65">
      <c r="A23" s="195"/>
      <c r="B23" s="140">
        <v>20</v>
      </c>
      <c r="C23" s="8">
        <v>1111111111111</v>
      </c>
      <c r="D23" s="187" t="s">
        <v>143</v>
      </c>
      <c r="E23" s="187">
        <v>1003681006</v>
      </c>
      <c r="F23" s="1">
        <v>1000</v>
      </c>
      <c r="G23" s="141">
        <f>IF(Basic345678910111213141516171819202122232425262728293031[[#This Row],[نوع الخدمة]]="مخالفات", 50,
IF(Basic345678910111213141516171819202122232425262728293031[[#This Row],[نوع الخدمة]]="كاش ان",
    IF(F23&lt;=100, 18, IF(F23&lt;=250, 23, IF(F23&lt;=500, 35, IF(F23&lt;=1000, 40, F23*0.04)))),
IF(Basic345678910111213141516171819202122232425262728293031[[#This Row],[نوع الخدمة]]="كاش اوت",
    IF(F23&lt;=100, 15, IF(F23&lt;=250, 20, IF(F23&lt;=500, 30, IF(F23&lt;=1000, 35, F23*0.035)))),
0)))</f>
        <v>35</v>
      </c>
      <c r="H23" s="176">
        <f>IF(I23="مخالفات",50,Basic345678910111213141516171819202122232425262728293031[[#This Row],[قيمة الرسوم / العموله]]+Basic345678910111213141516171819202122232425262728293031[[#This Row],[قيمة الشحنه]])</f>
        <v>1035</v>
      </c>
      <c r="I23" s="90" t="s">
        <v>9</v>
      </c>
      <c r="J23" s="142" t="str">
        <f t="shared" si="0"/>
        <v>2.5.2026</v>
      </c>
      <c r="L23" s="153">
        <v>12</v>
      </c>
      <c r="M23" s="92"/>
      <c r="O23" s="147" t="s">
        <v>28</v>
      </c>
      <c r="P23" s="135">
        <f>M9+'1 '!P28</f>
        <v>0</v>
      </c>
      <c r="S23" s="139"/>
      <c r="T23" s="139"/>
    </row>
    <row r="24" spans="1:20" ht="21.6" x14ac:dyDescent="0.65">
      <c r="A24" s="195"/>
      <c r="B24" s="140">
        <v>21</v>
      </c>
      <c r="C24" s="8">
        <v>1111111111111</v>
      </c>
      <c r="D24" s="187" t="s">
        <v>143</v>
      </c>
      <c r="E24" s="187">
        <v>1003681006</v>
      </c>
      <c r="F24" s="1">
        <v>1000</v>
      </c>
      <c r="G24" s="141">
        <f>IF(Basic345678910111213141516171819202122232425262728293031[[#This Row],[نوع الخدمة]]="مخالفات", 50,
IF(Basic345678910111213141516171819202122232425262728293031[[#This Row],[نوع الخدمة]]="كاش ان",
    IF(F24&lt;=100, 18, IF(F24&lt;=250, 23, IF(F24&lt;=500, 35, IF(F24&lt;=1000, 40, F24*0.04)))),
IF(Basic345678910111213141516171819202122232425262728293031[[#This Row],[نوع الخدمة]]="كاش اوت",
    IF(F24&lt;=100, 15, IF(F24&lt;=250, 20, IF(F24&lt;=500, 30, IF(F24&lt;=1000, 35, F24*0.035)))),
0)))</f>
        <v>35</v>
      </c>
      <c r="H24" s="176">
        <f>IF(I24="مخالفات",50,Basic345678910111213141516171819202122232425262728293031[[#This Row],[قيمة الرسوم / العموله]]+Basic345678910111213141516171819202122232425262728293031[[#This Row],[قيمة الشحنه]])</f>
        <v>1035</v>
      </c>
      <c r="I24" s="90" t="s">
        <v>9</v>
      </c>
      <c r="J24" s="142" t="str">
        <f t="shared" si="0"/>
        <v>2.5.2026</v>
      </c>
      <c r="L24" s="153">
        <v>13</v>
      </c>
      <c r="M24" s="92"/>
      <c r="O24" s="196" t="s">
        <v>32</v>
      </c>
      <c r="P24" s="197"/>
    </row>
    <row r="25" spans="1:20" ht="21.6" x14ac:dyDescent="0.65">
      <c r="A25" s="195"/>
      <c r="B25" s="144">
        <v>22</v>
      </c>
      <c r="C25" s="8">
        <v>1111111111111</v>
      </c>
      <c r="D25" s="187" t="s">
        <v>143</v>
      </c>
      <c r="E25" s="187">
        <v>1003681006</v>
      </c>
      <c r="F25" s="1">
        <v>1000</v>
      </c>
      <c r="G25" s="141">
        <f>IF(Basic345678910111213141516171819202122232425262728293031[[#This Row],[نوع الخدمة]]="مخالفات", 50,
IF(Basic345678910111213141516171819202122232425262728293031[[#This Row],[نوع الخدمة]]="كاش ان",
    IF(F25&lt;=100, 18, IF(F25&lt;=250, 23, IF(F25&lt;=500, 35, IF(F25&lt;=1000, 40, F25*0.04)))),
IF(Basic345678910111213141516171819202122232425262728293031[[#This Row],[نوع الخدمة]]="كاش اوت",
    IF(F25&lt;=100, 15, IF(F25&lt;=250, 20, IF(F25&lt;=500, 30, IF(F25&lt;=1000, 35, F25*0.035)))),
0)))</f>
        <v>35</v>
      </c>
      <c r="H25" s="176">
        <f>IF(I25="مخالفات",50,Basic345678910111213141516171819202122232425262728293031[[#This Row],[قيمة الرسوم / العموله]]+Basic345678910111213141516171819202122232425262728293031[[#This Row],[قيمة الشحنه]])</f>
        <v>1035</v>
      </c>
      <c r="I25" s="90" t="s">
        <v>9</v>
      </c>
      <c r="J25" s="142" t="str">
        <f t="shared" si="0"/>
        <v>2.5.2026</v>
      </c>
      <c r="L25" s="153">
        <v>14</v>
      </c>
      <c r="M25" s="92"/>
      <c r="O25" s="147" t="s">
        <v>27</v>
      </c>
      <c r="P25" s="135">
        <f>M5</f>
        <v>0</v>
      </c>
    </row>
    <row r="26" spans="1:20" ht="21.6" x14ac:dyDescent="0.65">
      <c r="A26" s="195"/>
      <c r="B26" s="140">
        <v>23</v>
      </c>
      <c r="C26" s="8">
        <v>1111111111111</v>
      </c>
      <c r="D26" s="187" t="s">
        <v>143</v>
      </c>
      <c r="E26" s="187">
        <v>1003681006</v>
      </c>
      <c r="F26" s="1">
        <v>1000</v>
      </c>
      <c r="G26" s="141">
        <f>IF(Basic345678910111213141516171819202122232425262728293031[[#This Row],[نوع الخدمة]]="مخالفات", 50,
IF(Basic345678910111213141516171819202122232425262728293031[[#This Row],[نوع الخدمة]]="كاش ان",
    IF(F26&lt;=100, 18, IF(F26&lt;=250, 23, IF(F26&lt;=500, 35, IF(F26&lt;=1000, 40, F26*0.04)))),
IF(Basic345678910111213141516171819202122232425262728293031[[#This Row],[نوع الخدمة]]="كاش اوت",
    IF(F26&lt;=100, 15, IF(F26&lt;=250, 20, IF(F26&lt;=500, 30, IF(F26&lt;=1000, 35, F26*0.035)))),
0)))</f>
        <v>35</v>
      </c>
      <c r="H26" s="176">
        <f>IF(I26="مخالفات",50,Basic345678910111213141516171819202122232425262728293031[[#This Row],[قيمة الرسوم / العموله]]+Basic345678910111213141516171819202122232425262728293031[[#This Row],[قيمة الشحنه]])</f>
        <v>1035</v>
      </c>
      <c r="I26" s="90" t="s">
        <v>9</v>
      </c>
      <c r="J26" s="142" t="str">
        <f t="shared" si="0"/>
        <v>2.5.2026</v>
      </c>
      <c r="L26" s="153">
        <v>15</v>
      </c>
      <c r="M26" s="92"/>
      <c r="O26" s="147" t="s">
        <v>28</v>
      </c>
      <c r="P26" s="135">
        <f>M6</f>
        <v>0</v>
      </c>
    </row>
    <row r="27" spans="1:20" ht="21.6" x14ac:dyDescent="0.65">
      <c r="A27" s="195"/>
      <c r="B27" s="140">
        <v>24</v>
      </c>
      <c r="C27" s="8">
        <v>1111111111111</v>
      </c>
      <c r="D27" s="1" t="s">
        <v>137</v>
      </c>
      <c r="E27" s="3" t="s">
        <v>114</v>
      </c>
      <c r="F27" s="1">
        <v>0</v>
      </c>
      <c r="G27" s="141">
        <f>IF(Basic345678910111213141516171819202122232425262728293031[[#This Row],[نوع الخدمة]]="مخالفات", 50,
IF(Basic345678910111213141516171819202122232425262728293031[[#This Row],[نوع الخدمة]]="كاش ان",
    IF(F27&lt;=100, 18, IF(F27&lt;=250, 23, IF(F27&lt;=500, 35, IF(F27&lt;=1000, 40, F27*0.04)))),
IF(Basic345678910111213141516171819202122232425262728293031[[#This Row],[نوع الخدمة]]="كاش اوت",
    IF(F27&lt;=100, 15, IF(F27&lt;=250, 20, IF(F27&lt;=500, 30, IF(F27&lt;=1000, 35, F27*0.035)))),
0)))</f>
        <v>50</v>
      </c>
      <c r="H27" s="176">
        <f>IF(I27="مخالفات",50,Basic345678910111213141516171819202122232425262728293031[[#This Row],[قيمة الرسوم / العموله]]+Basic345678910111213141516171819202122232425262728293031[[#This Row],[قيمة الشحنه]])</f>
        <v>50</v>
      </c>
      <c r="I27" s="90" t="s">
        <v>10</v>
      </c>
      <c r="J27" s="142" t="str">
        <f t="shared" si="0"/>
        <v>2.5.2026</v>
      </c>
      <c r="L27" s="153">
        <v>16</v>
      </c>
      <c r="M27" s="92"/>
      <c r="O27" s="196" t="s">
        <v>33</v>
      </c>
      <c r="P27" s="197"/>
    </row>
    <row r="28" spans="1:20" ht="21.6" x14ac:dyDescent="0.65">
      <c r="A28" s="195"/>
      <c r="B28" s="140">
        <v>25</v>
      </c>
      <c r="C28" s="2"/>
      <c r="D28" s="1"/>
      <c r="E28" s="3"/>
      <c r="F28" s="1"/>
      <c r="G28" s="141">
        <f>IF(Basic345678910111213141516171819202122232425262728293031[[#This Row],[نوع الخدمة]]="مخالفات", 50,
IF(Basic345678910111213141516171819202122232425262728293031[[#This Row],[نوع الخدمة]]="كاش ان",
    IF(F28&lt;=100, 18, IF(F28&lt;=250, 23, IF(F28&lt;=500, 35, IF(F28&lt;=1000, 40, F28*0.04)))),
IF(Basic345678910111213141516171819202122232425262728293031[[#This Row],[نوع الخدمة]]="كاش اوت",
    IF(F28&lt;=100, 15, IF(F28&lt;=250, 20, IF(F28&lt;=500, 30, IF(F28&lt;=1000, 35, F28*0.035)))),
0)))</f>
        <v>0</v>
      </c>
      <c r="H28" s="176">
        <f>IF(I28="مخالفات",50,Basic345678910111213141516171819202122232425262728293031[[#This Row],[قيمة الرسوم / العموله]]+Basic345678910111213141516171819202122232425262728293031[[#This Row],[قيمة الشحنه]])</f>
        <v>0</v>
      </c>
      <c r="I28" s="90"/>
      <c r="J28" s="142" t="str">
        <f t="shared" si="0"/>
        <v>2.5.2026</v>
      </c>
      <c r="L28" s="153">
        <v>17</v>
      </c>
      <c r="M28" s="92"/>
      <c r="O28" s="147" t="s">
        <v>27</v>
      </c>
      <c r="P28" s="135">
        <f>P22-P25</f>
        <v>0</v>
      </c>
    </row>
    <row r="29" spans="1:20" ht="21.6" x14ac:dyDescent="0.65">
      <c r="A29" s="195"/>
      <c r="B29" s="144">
        <v>26</v>
      </c>
      <c r="C29" s="2"/>
      <c r="D29" s="1"/>
      <c r="E29" s="3"/>
      <c r="F29" s="1"/>
      <c r="G29" s="141">
        <f>IF(Basic345678910111213141516171819202122232425262728293031[[#This Row],[نوع الخدمة]]="مخالفات", 50,
IF(Basic345678910111213141516171819202122232425262728293031[[#This Row],[نوع الخدمة]]="كاش ان",
    IF(F29&lt;=100, 18, IF(F29&lt;=250, 23, IF(F29&lt;=500, 35, IF(F29&lt;=1000, 40, F29*0.04)))),
IF(Basic345678910111213141516171819202122232425262728293031[[#This Row],[نوع الخدمة]]="كاش اوت",
    IF(F29&lt;=100, 15, IF(F29&lt;=250, 20, IF(F29&lt;=500, 30, IF(F29&lt;=1000, 35, F29*0.035)))),
0)))</f>
        <v>0</v>
      </c>
      <c r="H29" s="176">
        <f>IF(I29="مخالفات",50,Basic345678910111213141516171819202122232425262728293031[[#This Row],[قيمة الرسوم / العموله]]+Basic345678910111213141516171819202122232425262728293031[[#This Row],[قيمة الشحنه]])</f>
        <v>0</v>
      </c>
      <c r="I29" s="90"/>
      <c r="J29" s="142" t="str">
        <f t="shared" si="0"/>
        <v>2.5.2026</v>
      </c>
      <c r="L29" s="153">
        <v>18</v>
      </c>
      <c r="M29" s="92"/>
      <c r="O29" s="147" t="s">
        <v>28</v>
      </c>
      <c r="P29" s="135">
        <f>P23-P26</f>
        <v>0</v>
      </c>
    </row>
    <row r="30" spans="1:20" ht="21.6" x14ac:dyDescent="0.65">
      <c r="A30" s="195"/>
      <c r="B30" s="140">
        <v>27</v>
      </c>
      <c r="C30" s="2"/>
      <c r="D30" s="1"/>
      <c r="E30" s="3"/>
      <c r="F30" s="1"/>
      <c r="G30" s="141">
        <f>IF(Basic345678910111213141516171819202122232425262728293031[[#This Row],[نوع الخدمة]]="مخالفات", 50,
IF(Basic345678910111213141516171819202122232425262728293031[[#This Row],[نوع الخدمة]]="كاش ان",
    IF(F30&lt;=100, 18, IF(F30&lt;=250, 23, IF(F30&lt;=500, 35, IF(F30&lt;=1000, 40, F30*0.04)))),
IF(Basic345678910111213141516171819202122232425262728293031[[#This Row],[نوع الخدمة]]="كاش اوت",
    IF(F30&lt;=100, 15, IF(F30&lt;=250, 20, IF(F30&lt;=500, 30, IF(F30&lt;=1000, 35, F30*0.035)))),
0)))</f>
        <v>0</v>
      </c>
      <c r="H30" s="176">
        <f>IF(I30="مخالفات",50,Basic345678910111213141516171819202122232425262728293031[[#This Row],[قيمة الرسوم / العموله]]+Basic345678910111213141516171819202122232425262728293031[[#This Row],[قيمة الشحنه]])</f>
        <v>0</v>
      </c>
      <c r="I30" s="90"/>
      <c r="J30" s="142" t="str">
        <f t="shared" si="0"/>
        <v>2.5.2026</v>
      </c>
      <c r="L30" s="153">
        <v>19</v>
      </c>
      <c r="M30" s="92"/>
    </row>
    <row r="31" spans="1:20" ht="21.6" x14ac:dyDescent="0.65">
      <c r="A31" s="195"/>
      <c r="B31" s="140">
        <v>28</v>
      </c>
      <c r="C31" s="2"/>
      <c r="D31" s="1"/>
      <c r="E31" s="3"/>
      <c r="F31" s="1"/>
      <c r="G31" s="141">
        <f>IF(Basic345678910111213141516171819202122232425262728293031[[#This Row],[نوع الخدمة]]="مخالفات", 50,
IF(Basic345678910111213141516171819202122232425262728293031[[#This Row],[نوع الخدمة]]="كاش ان",
    IF(F31&lt;=100, 18, IF(F31&lt;=250, 23, IF(F31&lt;=500, 35, IF(F31&lt;=1000, 40, F31*0.04)))),
IF(Basic345678910111213141516171819202122232425262728293031[[#This Row],[نوع الخدمة]]="كاش اوت",
    IF(F31&lt;=100, 15, IF(F31&lt;=250, 20, IF(F31&lt;=500, 30, IF(F31&lt;=1000, 35, F31*0.035)))),
0)))</f>
        <v>0</v>
      </c>
      <c r="H31" s="176">
        <f>IF(I31="مخالفات",50,Basic345678910111213141516171819202122232425262728293031[[#This Row],[قيمة الرسوم / العموله]]+Basic345678910111213141516171819202122232425262728293031[[#This Row],[قيمة الشحنه]])</f>
        <v>0</v>
      </c>
      <c r="I31" s="90"/>
      <c r="J31" s="142" t="str">
        <f t="shared" si="0"/>
        <v>2.5.2026</v>
      </c>
      <c r="L31" s="153">
        <v>20</v>
      </c>
      <c r="M31" s="92"/>
    </row>
    <row r="32" spans="1:20" ht="21.6" x14ac:dyDescent="0.65">
      <c r="A32" s="195"/>
      <c r="B32" s="140">
        <v>29</v>
      </c>
      <c r="C32" s="2"/>
      <c r="D32" s="1"/>
      <c r="E32" s="3"/>
      <c r="F32" s="1"/>
      <c r="G32" s="141">
        <f>IF(Basic345678910111213141516171819202122232425262728293031[[#This Row],[نوع الخدمة]]="مخالفات", 50,
IF(Basic345678910111213141516171819202122232425262728293031[[#This Row],[نوع الخدمة]]="كاش ان",
    IF(F32&lt;=100, 18, IF(F32&lt;=250, 23, IF(F32&lt;=500, 35, IF(F32&lt;=1000, 40, F32*0.04)))),
IF(Basic345678910111213141516171819202122232425262728293031[[#This Row],[نوع الخدمة]]="كاش اوت",
    IF(F32&lt;=100, 15, IF(F32&lt;=250, 20, IF(F32&lt;=500, 30, IF(F32&lt;=1000, 35, F32*0.035)))),
0)))</f>
        <v>0</v>
      </c>
      <c r="H32" s="176">
        <f>IF(I32="مخالفات",50,Basic345678910111213141516171819202122232425262728293031[[#This Row],[قيمة الرسوم / العموله]]+Basic345678910111213141516171819202122232425262728293031[[#This Row],[قيمة الشحنه]])</f>
        <v>0</v>
      </c>
      <c r="I32" s="90"/>
      <c r="J32" s="142" t="str">
        <f t="shared" si="0"/>
        <v>2.5.2026</v>
      </c>
      <c r="L32" s="153">
        <v>21</v>
      </c>
      <c r="M32" s="92"/>
    </row>
    <row r="33" spans="1:13" ht="21.6" x14ac:dyDescent="0.65">
      <c r="A33" s="195"/>
      <c r="B33" s="144">
        <v>30</v>
      </c>
      <c r="C33" s="2"/>
      <c r="D33" s="1"/>
      <c r="E33" s="3"/>
      <c r="F33" s="1"/>
      <c r="G33" s="141">
        <f>IF(Basic345678910111213141516171819202122232425262728293031[[#This Row],[نوع الخدمة]]="مخالفات", 50,
IF(Basic345678910111213141516171819202122232425262728293031[[#This Row],[نوع الخدمة]]="كاش ان",
    IF(F33&lt;=100, 18, IF(F33&lt;=250, 23, IF(F33&lt;=500, 35, IF(F33&lt;=1000, 40, F33*0.04)))),
IF(Basic345678910111213141516171819202122232425262728293031[[#This Row],[نوع الخدمة]]="كاش اوت",
    IF(F33&lt;=100, 15, IF(F33&lt;=250, 20, IF(F33&lt;=500, 30, IF(F33&lt;=1000, 35, F33*0.035)))),
0)))</f>
        <v>0</v>
      </c>
      <c r="H33" s="176">
        <f>IF(I33="مخالفات",50,Basic345678910111213141516171819202122232425262728293031[[#This Row],[قيمة الرسوم / العموله]]+Basic345678910111213141516171819202122232425262728293031[[#This Row],[قيمة الشحنه]])</f>
        <v>0</v>
      </c>
      <c r="I33" s="90"/>
      <c r="J33" s="142" t="str">
        <f t="shared" si="0"/>
        <v>2.5.2026</v>
      </c>
      <c r="L33" s="153">
        <v>22</v>
      </c>
      <c r="M33" s="92"/>
    </row>
    <row r="34" spans="1:13" ht="21.6" x14ac:dyDescent="0.65">
      <c r="A34" s="195"/>
      <c r="B34" s="140">
        <v>31</v>
      </c>
      <c r="C34" s="2"/>
      <c r="D34" s="1"/>
      <c r="E34" s="3"/>
      <c r="F34" s="1"/>
      <c r="G34" s="141">
        <f>IF(Basic345678910111213141516171819202122232425262728293031[[#This Row],[نوع الخدمة]]="مخالفات", 50,
IF(Basic345678910111213141516171819202122232425262728293031[[#This Row],[نوع الخدمة]]="كاش ان",
    IF(F34&lt;=100, 18, IF(F34&lt;=250, 23, IF(F34&lt;=500, 35, IF(F34&lt;=1000, 40, F34*0.04)))),
IF(Basic345678910111213141516171819202122232425262728293031[[#This Row],[نوع الخدمة]]="كاش اوت",
    IF(F34&lt;=100, 15, IF(F34&lt;=250, 20, IF(F34&lt;=500, 30, IF(F34&lt;=1000, 35, F34*0.035)))),
0)))</f>
        <v>0</v>
      </c>
      <c r="H34" s="176">
        <f>IF(I34="مخالفات",50,Basic345678910111213141516171819202122232425262728293031[[#This Row],[قيمة الرسوم / العموله]]+Basic345678910111213141516171819202122232425262728293031[[#This Row],[قيمة الشحنه]])</f>
        <v>0</v>
      </c>
      <c r="I34" s="90"/>
      <c r="J34" s="142" t="str">
        <f t="shared" si="0"/>
        <v>2.5.2026</v>
      </c>
      <c r="L34" s="153">
        <v>23</v>
      </c>
      <c r="M34" s="92"/>
    </row>
    <row r="35" spans="1:13" ht="21.6" x14ac:dyDescent="0.65">
      <c r="A35" s="195"/>
      <c r="B35" s="140">
        <v>32</v>
      </c>
      <c r="C35" s="2"/>
      <c r="D35" s="1"/>
      <c r="E35" s="3"/>
      <c r="F35" s="1"/>
      <c r="G35" s="141">
        <f>IF(Basic345678910111213141516171819202122232425262728293031[[#This Row],[نوع الخدمة]]="مخالفات", 50,
IF(Basic345678910111213141516171819202122232425262728293031[[#This Row],[نوع الخدمة]]="كاش ان",
    IF(F35&lt;=100, 18, IF(F35&lt;=250, 23, IF(F35&lt;=500, 35, IF(F35&lt;=1000, 40, F35*0.04)))),
IF(Basic345678910111213141516171819202122232425262728293031[[#This Row],[نوع الخدمة]]="كاش اوت",
    IF(F35&lt;=100, 15, IF(F35&lt;=250, 20, IF(F35&lt;=500, 30, IF(F35&lt;=1000, 35, F35*0.035)))),
0)))</f>
        <v>0</v>
      </c>
      <c r="H35" s="176">
        <f>IF(I35="مخالفات",50,Basic345678910111213141516171819202122232425262728293031[[#This Row],[قيمة الرسوم / العموله]]+Basic345678910111213141516171819202122232425262728293031[[#This Row],[قيمة الشحنه]])</f>
        <v>0</v>
      </c>
      <c r="I35" s="90"/>
      <c r="J35" s="142" t="str">
        <f t="shared" si="0"/>
        <v>2.5.2026</v>
      </c>
      <c r="L35" s="153">
        <v>24</v>
      </c>
      <c r="M35" s="92"/>
    </row>
    <row r="36" spans="1:13" ht="21.6" x14ac:dyDescent="0.65">
      <c r="A36" s="195"/>
      <c r="B36" s="140">
        <v>33</v>
      </c>
      <c r="C36" s="2"/>
      <c r="D36" s="1"/>
      <c r="E36" s="3"/>
      <c r="F36" s="1"/>
      <c r="G36" s="141">
        <f>IF(Basic345678910111213141516171819202122232425262728293031[[#This Row],[نوع الخدمة]]="مخالفات", 50,
IF(Basic345678910111213141516171819202122232425262728293031[[#This Row],[نوع الخدمة]]="كاش ان",
    IF(F36&lt;=100, 18, IF(F36&lt;=250, 23, IF(F36&lt;=500, 35, IF(F36&lt;=1000, 40, F36*0.04)))),
IF(Basic345678910111213141516171819202122232425262728293031[[#This Row],[نوع الخدمة]]="كاش اوت",
    IF(F36&lt;=100, 15, IF(F36&lt;=250, 20, IF(F36&lt;=500, 30, IF(F36&lt;=1000, 35, F36*0.035)))),
0)))</f>
        <v>0</v>
      </c>
      <c r="H36" s="176">
        <f>IF(I36="مخالفات",50,Basic345678910111213141516171819202122232425262728293031[[#This Row],[قيمة الرسوم / العموله]]+Basic345678910111213141516171819202122232425262728293031[[#This Row],[قيمة الشحنه]])</f>
        <v>0</v>
      </c>
      <c r="I36" s="90"/>
      <c r="J36" s="142" t="str">
        <f t="shared" si="0"/>
        <v>2.5.2026</v>
      </c>
      <c r="L36" s="153">
        <v>25</v>
      </c>
      <c r="M36" s="92"/>
    </row>
    <row r="37" spans="1:13" ht="21.6" x14ac:dyDescent="0.65">
      <c r="A37" s="195"/>
      <c r="B37" s="144">
        <v>34</v>
      </c>
      <c r="C37" s="2"/>
      <c r="D37" s="1"/>
      <c r="E37" s="3"/>
      <c r="F37" s="1"/>
      <c r="G37" s="141">
        <f>IF(Basic345678910111213141516171819202122232425262728293031[[#This Row],[نوع الخدمة]]="مخالفات", 50,
IF(Basic345678910111213141516171819202122232425262728293031[[#This Row],[نوع الخدمة]]="كاش ان",
    IF(F37&lt;=100, 18, IF(F37&lt;=250, 23, IF(F37&lt;=500, 35, IF(F37&lt;=1000, 40, F37*0.04)))),
IF(Basic345678910111213141516171819202122232425262728293031[[#This Row],[نوع الخدمة]]="كاش اوت",
    IF(F37&lt;=100, 15, IF(F37&lt;=250, 20, IF(F37&lt;=500, 30, IF(F37&lt;=1000, 35, F37*0.035)))),
0)))</f>
        <v>0</v>
      </c>
      <c r="H37" s="176">
        <f>IF(I37="مخالفات",50,Basic345678910111213141516171819202122232425262728293031[[#This Row],[قيمة الرسوم / العموله]]+Basic345678910111213141516171819202122232425262728293031[[#This Row],[قيمة الشحنه]])</f>
        <v>0</v>
      </c>
      <c r="I37" s="90"/>
      <c r="J37" s="142" t="str">
        <f t="shared" si="0"/>
        <v>2.5.2026</v>
      </c>
      <c r="L37" s="153">
        <v>26</v>
      </c>
      <c r="M37" s="92"/>
    </row>
    <row r="38" spans="1:13" ht="21.6" x14ac:dyDescent="0.65">
      <c r="A38" s="195"/>
      <c r="B38" s="140">
        <v>35</v>
      </c>
      <c r="C38" s="2"/>
      <c r="D38" s="1"/>
      <c r="E38" s="3"/>
      <c r="F38" s="1"/>
      <c r="G38" s="141">
        <f>IF(Basic345678910111213141516171819202122232425262728293031[[#This Row],[نوع الخدمة]]="مخالفات", 50,
IF(Basic345678910111213141516171819202122232425262728293031[[#This Row],[نوع الخدمة]]="كاش ان",
    IF(F38&lt;=100, 18, IF(F38&lt;=250, 23, IF(F38&lt;=500, 35, IF(F38&lt;=1000, 40, F38*0.04)))),
IF(Basic345678910111213141516171819202122232425262728293031[[#This Row],[نوع الخدمة]]="كاش اوت",
    IF(F38&lt;=100, 15, IF(F38&lt;=250, 20, IF(F38&lt;=500, 30, IF(F38&lt;=1000, 35, F38*0.035)))),
0)))</f>
        <v>0</v>
      </c>
      <c r="H38" s="176">
        <f>IF(I38="مخالفات",50,Basic345678910111213141516171819202122232425262728293031[[#This Row],[قيمة الرسوم / العموله]]+Basic345678910111213141516171819202122232425262728293031[[#This Row],[قيمة الشحنه]])</f>
        <v>0</v>
      </c>
      <c r="I38" s="90"/>
      <c r="J38" s="142" t="str">
        <f t="shared" si="0"/>
        <v>2.5.2026</v>
      </c>
      <c r="L38" s="153">
        <v>27</v>
      </c>
      <c r="M38" s="92"/>
    </row>
    <row r="39" spans="1:13" ht="21.6" x14ac:dyDescent="0.65">
      <c r="A39" s="195"/>
      <c r="B39" s="140">
        <v>36</v>
      </c>
      <c r="C39" s="2"/>
      <c r="D39" s="1"/>
      <c r="E39" s="3"/>
      <c r="F39" s="1"/>
      <c r="G39" s="141">
        <f>IF(Basic345678910111213141516171819202122232425262728293031[[#This Row],[نوع الخدمة]]="مخالفات", 50,
IF(Basic345678910111213141516171819202122232425262728293031[[#This Row],[نوع الخدمة]]="كاش ان",
    IF(F39&lt;=100, 18, IF(F39&lt;=250, 23, IF(F39&lt;=500, 35, IF(F39&lt;=1000, 40, F39*0.04)))),
IF(Basic345678910111213141516171819202122232425262728293031[[#This Row],[نوع الخدمة]]="كاش اوت",
    IF(F39&lt;=100, 15, IF(F39&lt;=250, 20, IF(F39&lt;=500, 30, IF(F39&lt;=1000, 35, F39*0.035)))),
0)))</f>
        <v>0</v>
      </c>
      <c r="H39" s="176">
        <f>IF(I39="مخالفات",50,Basic345678910111213141516171819202122232425262728293031[[#This Row],[قيمة الرسوم / العموله]]+Basic345678910111213141516171819202122232425262728293031[[#This Row],[قيمة الشحنه]])</f>
        <v>0</v>
      </c>
      <c r="I39" s="90"/>
      <c r="J39" s="142" t="str">
        <f t="shared" si="0"/>
        <v>2.5.2026</v>
      </c>
      <c r="L39" s="153">
        <v>28</v>
      </c>
      <c r="M39" s="92"/>
    </row>
    <row r="40" spans="1:13" ht="21.6" x14ac:dyDescent="0.65">
      <c r="A40" s="195"/>
      <c r="B40" s="140">
        <v>37</v>
      </c>
      <c r="C40" s="2"/>
      <c r="D40" s="1"/>
      <c r="E40" s="3"/>
      <c r="F40" s="1"/>
      <c r="G40" s="141">
        <f>IF(Basic345678910111213141516171819202122232425262728293031[[#This Row],[نوع الخدمة]]="مخالفات", 50,
IF(Basic345678910111213141516171819202122232425262728293031[[#This Row],[نوع الخدمة]]="كاش ان",
    IF(F40&lt;=100, 18, IF(F40&lt;=250, 23, IF(F40&lt;=500, 35, IF(F40&lt;=1000, 40, F40*0.04)))),
IF(Basic345678910111213141516171819202122232425262728293031[[#This Row],[نوع الخدمة]]="كاش اوت",
    IF(F40&lt;=100, 15, IF(F40&lt;=250, 20, IF(F40&lt;=500, 30, IF(F40&lt;=1000, 35, F40*0.035)))),
0)))</f>
        <v>0</v>
      </c>
      <c r="H40" s="176">
        <f>IF(I40="مخالفات",50,Basic345678910111213141516171819202122232425262728293031[[#This Row],[قيمة الرسوم / العموله]]+Basic345678910111213141516171819202122232425262728293031[[#This Row],[قيمة الشحنه]])</f>
        <v>0</v>
      </c>
      <c r="I40" s="90"/>
      <c r="J40" s="142" t="str">
        <f t="shared" si="0"/>
        <v>2.5.2026</v>
      </c>
      <c r="L40" s="153">
        <v>29</v>
      </c>
      <c r="M40" s="92"/>
    </row>
    <row r="41" spans="1:13" ht="21.6" x14ac:dyDescent="0.65">
      <c r="A41" s="195"/>
      <c r="B41" s="144">
        <v>38</v>
      </c>
      <c r="C41" s="2"/>
      <c r="D41" s="1"/>
      <c r="E41" s="3"/>
      <c r="F41" s="1"/>
      <c r="G41" s="141">
        <f>IF(Basic345678910111213141516171819202122232425262728293031[[#This Row],[نوع الخدمة]]="مخالفات", 50,
IF(Basic345678910111213141516171819202122232425262728293031[[#This Row],[نوع الخدمة]]="كاش ان",
    IF(F41&lt;=100, 18, IF(F41&lt;=250, 23, IF(F41&lt;=500, 35, IF(F41&lt;=1000, 40, F41*0.04)))),
IF(Basic345678910111213141516171819202122232425262728293031[[#This Row],[نوع الخدمة]]="كاش اوت",
    IF(F41&lt;=100, 15, IF(F41&lt;=250, 20, IF(F41&lt;=500, 30, IF(F41&lt;=1000, 35, F41*0.035)))),
0)))</f>
        <v>0</v>
      </c>
      <c r="H41" s="176">
        <f>IF(I41="مخالفات",50,Basic345678910111213141516171819202122232425262728293031[[#This Row],[قيمة الرسوم / العموله]]+Basic345678910111213141516171819202122232425262728293031[[#This Row],[قيمة الشحنه]])</f>
        <v>0</v>
      </c>
      <c r="I41" s="90"/>
      <c r="J41" s="142" t="str">
        <f t="shared" si="0"/>
        <v>2.5.2026</v>
      </c>
      <c r="L41" s="153">
        <v>30</v>
      </c>
      <c r="M41" s="92"/>
    </row>
    <row r="42" spans="1:13" ht="21.6" x14ac:dyDescent="0.65">
      <c r="A42" s="195"/>
      <c r="B42" s="140">
        <v>39</v>
      </c>
      <c r="C42" s="2"/>
      <c r="D42" s="1"/>
      <c r="E42" s="3"/>
      <c r="F42" s="1"/>
      <c r="G42" s="141">
        <f>IF(Basic345678910111213141516171819202122232425262728293031[[#This Row],[نوع الخدمة]]="مخالفات", 50,
IF(Basic345678910111213141516171819202122232425262728293031[[#This Row],[نوع الخدمة]]="كاش ان",
    IF(F42&lt;=100, 18, IF(F42&lt;=250, 23, IF(F42&lt;=500, 35, IF(F42&lt;=1000, 40, F42*0.04)))),
IF(Basic345678910111213141516171819202122232425262728293031[[#This Row],[نوع الخدمة]]="كاش اوت",
    IF(F42&lt;=100, 15, IF(F42&lt;=250, 20, IF(F42&lt;=500, 30, IF(F42&lt;=1000, 35, F42*0.035)))),
0)))</f>
        <v>0</v>
      </c>
      <c r="H42" s="176">
        <f>IF(I42="مخالفات",50,Basic345678910111213141516171819202122232425262728293031[[#This Row],[قيمة الرسوم / العموله]]+Basic345678910111213141516171819202122232425262728293031[[#This Row],[قيمة الشحنه]])</f>
        <v>0</v>
      </c>
      <c r="I42" s="90"/>
      <c r="J42" s="142" t="str">
        <f t="shared" si="0"/>
        <v>2.5.2026</v>
      </c>
      <c r="L42" s="153">
        <v>31</v>
      </c>
      <c r="M42" s="92"/>
    </row>
    <row r="43" spans="1:13" ht="21.6" x14ac:dyDescent="0.65">
      <c r="A43" s="195"/>
      <c r="B43" s="140">
        <v>40</v>
      </c>
      <c r="C43" s="2"/>
      <c r="D43" s="1"/>
      <c r="E43" s="3"/>
      <c r="F43" s="1"/>
      <c r="G43" s="141">
        <f>IF(Basic345678910111213141516171819202122232425262728293031[[#This Row],[نوع الخدمة]]="مخالفات", 50,
IF(Basic345678910111213141516171819202122232425262728293031[[#This Row],[نوع الخدمة]]="كاش ان",
    IF(F43&lt;=100, 18, IF(F43&lt;=250, 23, IF(F43&lt;=500, 35, IF(F43&lt;=1000, 40, F43*0.04)))),
IF(Basic345678910111213141516171819202122232425262728293031[[#This Row],[نوع الخدمة]]="كاش اوت",
    IF(F43&lt;=100, 15, IF(F43&lt;=250, 20, IF(F43&lt;=500, 30, IF(F43&lt;=1000, 35, F43*0.035)))),
0)))</f>
        <v>0</v>
      </c>
      <c r="H43" s="176">
        <f>IF(I43="مخالفات",50,Basic345678910111213141516171819202122232425262728293031[[#This Row],[قيمة الرسوم / العموله]]+Basic345678910111213141516171819202122232425262728293031[[#This Row],[قيمة الشحنه]])</f>
        <v>0</v>
      </c>
      <c r="I43" s="90"/>
      <c r="J43" s="142" t="str">
        <f t="shared" si="0"/>
        <v>2.5.2026</v>
      </c>
      <c r="L43" s="153">
        <v>32</v>
      </c>
      <c r="M43" s="92"/>
    </row>
    <row r="44" spans="1:13" ht="21.6" x14ac:dyDescent="0.65">
      <c r="A44" s="195"/>
      <c r="B44" s="140">
        <v>41</v>
      </c>
      <c r="C44" s="2"/>
      <c r="D44" s="1"/>
      <c r="E44" s="3"/>
      <c r="F44" s="1"/>
      <c r="G44" s="141">
        <f>IF(Basic345678910111213141516171819202122232425262728293031[[#This Row],[نوع الخدمة]]="مخالفات", 50,
IF(Basic345678910111213141516171819202122232425262728293031[[#This Row],[نوع الخدمة]]="كاش ان",
    IF(F44&lt;=100, 18, IF(F44&lt;=250, 23, IF(F44&lt;=500, 35, IF(F44&lt;=1000, 40, F44*0.04)))),
IF(Basic345678910111213141516171819202122232425262728293031[[#This Row],[نوع الخدمة]]="كاش اوت",
    IF(F44&lt;=100, 15, IF(F44&lt;=250, 20, IF(F44&lt;=500, 30, IF(F44&lt;=1000, 35, F44*0.035)))),
0)))</f>
        <v>0</v>
      </c>
      <c r="H44" s="176">
        <f>IF(I44="مخالفات",50,Basic345678910111213141516171819202122232425262728293031[[#This Row],[قيمة الرسوم / العموله]]+Basic345678910111213141516171819202122232425262728293031[[#This Row],[قيمة الشحنه]])</f>
        <v>0</v>
      </c>
      <c r="I44" s="90"/>
      <c r="J44" s="142" t="str">
        <f t="shared" si="0"/>
        <v>2.5.2026</v>
      </c>
      <c r="L44" s="153">
        <v>33</v>
      </c>
      <c r="M44" s="92"/>
    </row>
    <row r="45" spans="1:13" ht="21.6" x14ac:dyDescent="0.65">
      <c r="A45" s="195"/>
      <c r="B45" s="144">
        <v>42</v>
      </c>
      <c r="C45" s="2"/>
      <c r="D45" s="1"/>
      <c r="E45" s="3"/>
      <c r="F45" s="1"/>
      <c r="G45" s="141">
        <f>IF(Basic345678910111213141516171819202122232425262728293031[[#This Row],[نوع الخدمة]]="مخالفات", 50,
IF(Basic345678910111213141516171819202122232425262728293031[[#This Row],[نوع الخدمة]]="كاش ان",
    IF(F45&lt;=100, 18, IF(F45&lt;=250, 23, IF(F45&lt;=500, 35, IF(F45&lt;=1000, 40, F45*0.04)))),
IF(Basic345678910111213141516171819202122232425262728293031[[#This Row],[نوع الخدمة]]="كاش اوت",
    IF(F45&lt;=100, 15, IF(F45&lt;=250, 20, IF(F45&lt;=500, 30, IF(F45&lt;=1000, 35, F45*0.035)))),
0)))</f>
        <v>0</v>
      </c>
      <c r="H45" s="176">
        <f>IF(I45="مخالفات",50,Basic345678910111213141516171819202122232425262728293031[[#This Row],[قيمة الرسوم / العموله]]+Basic345678910111213141516171819202122232425262728293031[[#This Row],[قيمة الشحنه]])</f>
        <v>0</v>
      </c>
      <c r="I45" s="90"/>
      <c r="J45" s="142" t="str">
        <f t="shared" si="0"/>
        <v>2.5.2026</v>
      </c>
      <c r="L45" s="153">
        <v>34</v>
      </c>
      <c r="M45" s="92"/>
    </row>
    <row r="46" spans="1:13" ht="21.6" x14ac:dyDescent="0.65">
      <c r="A46" s="195"/>
      <c r="B46" s="140">
        <v>43</v>
      </c>
      <c r="C46" s="2"/>
      <c r="D46" s="1"/>
      <c r="E46" s="3"/>
      <c r="F46" s="1"/>
      <c r="G46" s="141">
        <f>IF(Basic345678910111213141516171819202122232425262728293031[[#This Row],[نوع الخدمة]]="مخالفات", 50,
IF(Basic345678910111213141516171819202122232425262728293031[[#This Row],[نوع الخدمة]]="كاش ان",
    IF(F46&lt;=100, 18, IF(F46&lt;=250, 23, IF(F46&lt;=500, 35, IF(F46&lt;=1000, 40, F46*0.04)))),
IF(Basic345678910111213141516171819202122232425262728293031[[#This Row],[نوع الخدمة]]="كاش اوت",
    IF(F46&lt;=100, 15, IF(F46&lt;=250, 20, IF(F46&lt;=500, 30, IF(F46&lt;=1000, 35, F46*0.035)))),
0)))</f>
        <v>0</v>
      </c>
      <c r="H46" s="176">
        <f>IF(I46="مخالفات",50,Basic345678910111213141516171819202122232425262728293031[[#This Row],[قيمة الرسوم / العموله]]+Basic345678910111213141516171819202122232425262728293031[[#This Row],[قيمة الشحنه]])</f>
        <v>0</v>
      </c>
      <c r="I46" s="90"/>
      <c r="J46" s="142" t="str">
        <f t="shared" si="0"/>
        <v>2.5.2026</v>
      </c>
      <c r="L46" s="153">
        <v>35</v>
      </c>
      <c r="M46" s="92"/>
    </row>
    <row r="47" spans="1:13" ht="21.6" x14ac:dyDescent="0.65">
      <c r="A47" s="195"/>
      <c r="B47" s="140">
        <v>44</v>
      </c>
      <c r="C47" s="2"/>
      <c r="D47" s="1"/>
      <c r="E47" s="3"/>
      <c r="F47" s="1"/>
      <c r="G47" s="141">
        <f>IF(Basic345678910111213141516171819202122232425262728293031[[#This Row],[نوع الخدمة]]="مخالفات", 50,
IF(Basic345678910111213141516171819202122232425262728293031[[#This Row],[نوع الخدمة]]="كاش ان",
    IF(F47&lt;=100, 18, IF(F47&lt;=250, 23, IF(F47&lt;=500, 35, IF(F47&lt;=1000, 40, F47*0.04)))),
IF(Basic345678910111213141516171819202122232425262728293031[[#This Row],[نوع الخدمة]]="كاش اوت",
    IF(F47&lt;=100, 15, IF(F47&lt;=250, 20, IF(F47&lt;=500, 30, IF(F47&lt;=1000, 35, F47*0.035)))),
0)))</f>
        <v>0</v>
      </c>
      <c r="H47" s="176">
        <f>IF(I47="مخالفات",50,Basic345678910111213141516171819202122232425262728293031[[#This Row],[قيمة الرسوم / العموله]]+Basic345678910111213141516171819202122232425262728293031[[#This Row],[قيمة الشحنه]])</f>
        <v>0</v>
      </c>
      <c r="I47" s="90"/>
      <c r="J47" s="142" t="str">
        <f t="shared" si="0"/>
        <v>2.5.2026</v>
      </c>
      <c r="L47" s="153">
        <v>36</v>
      </c>
      <c r="M47" s="92"/>
    </row>
    <row r="48" spans="1:13" ht="21.6" x14ac:dyDescent="0.65">
      <c r="A48" s="195"/>
      <c r="B48" s="140">
        <v>45</v>
      </c>
      <c r="C48" s="2"/>
      <c r="D48" s="1"/>
      <c r="E48" s="3"/>
      <c r="F48" s="1"/>
      <c r="G48" s="141">
        <f>IF(Basic345678910111213141516171819202122232425262728293031[[#This Row],[نوع الخدمة]]="مخالفات", 50,
IF(Basic345678910111213141516171819202122232425262728293031[[#This Row],[نوع الخدمة]]="كاش ان",
    IF(F48&lt;=100, 18, IF(F48&lt;=250, 23, IF(F48&lt;=500, 35, IF(F48&lt;=1000, 40, F48*0.04)))),
IF(Basic345678910111213141516171819202122232425262728293031[[#This Row],[نوع الخدمة]]="كاش اوت",
    IF(F48&lt;=100, 15, IF(F48&lt;=250, 20, IF(F48&lt;=500, 30, IF(F48&lt;=1000, 35, F48*0.035)))),
0)))</f>
        <v>0</v>
      </c>
      <c r="H48" s="176">
        <f>IF(I48="مخالفات",50,Basic345678910111213141516171819202122232425262728293031[[#This Row],[قيمة الرسوم / العموله]]+Basic345678910111213141516171819202122232425262728293031[[#This Row],[قيمة الشحنه]])</f>
        <v>0</v>
      </c>
      <c r="I48" s="90"/>
      <c r="J48" s="142" t="str">
        <f t="shared" si="0"/>
        <v>2.5.2026</v>
      </c>
      <c r="L48" s="153">
        <v>37</v>
      </c>
      <c r="M48" s="92"/>
    </row>
    <row r="49" spans="1:13" ht="21.6" x14ac:dyDescent="0.65">
      <c r="A49" s="195"/>
      <c r="B49" s="144">
        <v>46</v>
      </c>
      <c r="C49" s="2"/>
      <c r="D49" s="1"/>
      <c r="E49" s="3"/>
      <c r="F49" s="1"/>
      <c r="G49" s="141">
        <f>IF(Basic345678910111213141516171819202122232425262728293031[[#This Row],[نوع الخدمة]]="مخالفات", 50,
IF(Basic345678910111213141516171819202122232425262728293031[[#This Row],[نوع الخدمة]]="كاش ان",
    IF(F49&lt;=100, 18, IF(F49&lt;=250, 23, IF(F49&lt;=500, 35, IF(F49&lt;=1000, 40, F49*0.04)))),
IF(Basic345678910111213141516171819202122232425262728293031[[#This Row],[نوع الخدمة]]="كاش اوت",
    IF(F49&lt;=100, 15, IF(F49&lt;=250, 20, IF(F49&lt;=500, 30, IF(F49&lt;=1000, 35, F49*0.035)))),
0)))</f>
        <v>0</v>
      </c>
      <c r="H49" s="176">
        <f>IF(I49="مخالفات",50,Basic345678910111213141516171819202122232425262728293031[[#This Row],[قيمة الرسوم / العموله]]+Basic345678910111213141516171819202122232425262728293031[[#This Row],[قيمة الشحنه]])</f>
        <v>0</v>
      </c>
      <c r="I49" s="90"/>
      <c r="J49" s="142" t="str">
        <f t="shared" si="0"/>
        <v>2.5.2026</v>
      </c>
      <c r="L49" s="153">
        <v>38</v>
      </c>
      <c r="M49" s="92"/>
    </row>
    <row r="50" spans="1:13" ht="21.6" x14ac:dyDescent="0.65">
      <c r="A50" s="195"/>
      <c r="B50" s="140">
        <v>47</v>
      </c>
      <c r="C50" s="2"/>
      <c r="D50" s="1"/>
      <c r="E50" s="3"/>
      <c r="F50" s="1"/>
      <c r="G50" s="141">
        <f>IF(Basic345678910111213141516171819202122232425262728293031[[#This Row],[نوع الخدمة]]="مخالفات", 50,
IF(Basic345678910111213141516171819202122232425262728293031[[#This Row],[نوع الخدمة]]="كاش ان",
    IF(F50&lt;=100, 18, IF(F50&lt;=250, 23, IF(F50&lt;=500, 35, IF(F50&lt;=1000, 40, F50*0.04)))),
IF(Basic345678910111213141516171819202122232425262728293031[[#This Row],[نوع الخدمة]]="كاش اوت",
    IF(F50&lt;=100, 15, IF(F50&lt;=250, 20, IF(F50&lt;=500, 30, IF(F50&lt;=1000, 35, F50*0.035)))),
0)))</f>
        <v>0</v>
      </c>
      <c r="H50" s="176">
        <f>IF(I50="مخالفات",50,Basic345678910111213141516171819202122232425262728293031[[#This Row],[قيمة الرسوم / العموله]]+Basic345678910111213141516171819202122232425262728293031[[#This Row],[قيمة الشحنه]])</f>
        <v>0</v>
      </c>
      <c r="I50" s="90"/>
      <c r="J50" s="142" t="str">
        <f t="shared" si="0"/>
        <v>2.5.2026</v>
      </c>
      <c r="L50" s="153">
        <v>39</v>
      </c>
      <c r="M50" s="92"/>
    </row>
    <row r="51" spans="1:13" ht="21.6" x14ac:dyDescent="0.65">
      <c r="A51" s="195"/>
      <c r="B51" s="140">
        <v>48</v>
      </c>
      <c r="C51" s="2"/>
      <c r="D51" s="1"/>
      <c r="E51" s="3"/>
      <c r="F51" s="1"/>
      <c r="G51" s="141">
        <f>IF(Basic345678910111213141516171819202122232425262728293031[[#This Row],[نوع الخدمة]]="مخالفات", 50,
IF(Basic345678910111213141516171819202122232425262728293031[[#This Row],[نوع الخدمة]]="كاش ان",
    IF(F51&lt;=100, 18, IF(F51&lt;=250, 23, IF(F51&lt;=500, 35, IF(F51&lt;=1000, 40, F51*0.04)))),
IF(Basic345678910111213141516171819202122232425262728293031[[#This Row],[نوع الخدمة]]="كاش اوت",
    IF(F51&lt;=100, 15, IF(F51&lt;=250, 20, IF(F51&lt;=500, 30, IF(F51&lt;=1000, 35, F51*0.035)))),
0)))</f>
        <v>0</v>
      </c>
      <c r="H51" s="176">
        <f>IF(I51="مخالفات",50,Basic345678910111213141516171819202122232425262728293031[[#This Row],[قيمة الرسوم / العموله]]+Basic345678910111213141516171819202122232425262728293031[[#This Row],[قيمة الشحنه]])</f>
        <v>0</v>
      </c>
      <c r="I51" s="90"/>
      <c r="J51" s="142" t="str">
        <f t="shared" si="0"/>
        <v>2.5.2026</v>
      </c>
      <c r="L51" s="153">
        <v>40</v>
      </c>
      <c r="M51" s="92"/>
    </row>
    <row r="52" spans="1:13" ht="21.6" x14ac:dyDescent="0.65">
      <c r="A52" s="195"/>
      <c r="B52" s="140">
        <v>49</v>
      </c>
      <c r="C52" s="2"/>
      <c r="D52" s="1"/>
      <c r="E52" s="3"/>
      <c r="F52" s="1"/>
      <c r="G52" s="141">
        <f>IF(Basic345678910111213141516171819202122232425262728293031[[#This Row],[نوع الخدمة]]="مخالفات", 50,
IF(Basic345678910111213141516171819202122232425262728293031[[#This Row],[نوع الخدمة]]="كاش ان",
    IF(F52&lt;=100, 18, IF(F52&lt;=250, 23, IF(F52&lt;=500, 35, IF(F52&lt;=1000, 40, F52*0.04)))),
IF(Basic345678910111213141516171819202122232425262728293031[[#This Row],[نوع الخدمة]]="كاش اوت",
    IF(F52&lt;=100, 15, IF(F52&lt;=250, 20, IF(F52&lt;=500, 30, IF(F52&lt;=1000, 35, F52*0.035)))),
0)))</f>
        <v>0</v>
      </c>
      <c r="H52" s="176">
        <f>IF(I52="مخالفات",50,Basic345678910111213141516171819202122232425262728293031[[#This Row],[قيمة الرسوم / العموله]]+Basic345678910111213141516171819202122232425262728293031[[#This Row],[قيمة الشحنه]])</f>
        <v>0</v>
      </c>
      <c r="I52" s="90"/>
      <c r="J52" s="142" t="str">
        <f t="shared" si="0"/>
        <v>2.5.2026</v>
      </c>
      <c r="L52" s="153">
        <v>41</v>
      </c>
      <c r="M52" s="92"/>
    </row>
    <row r="53" spans="1:13" ht="21.6" x14ac:dyDescent="0.65">
      <c r="A53" s="195"/>
      <c r="B53" s="144">
        <v>50</v>
      </c>
      <c r="C53" s="2"/>
      <c r="D53" s="1"/>
      <c r="E53" s="3"/>
      <c r="F53" s="1"/>
      <c r="G53" s="141">
        <f>IF(Basic345678910111213141516171819202122232425262728293031[[#This Row],[نوع الخدمة]]="مخالفات", 50,
IF(Basic345678910111213141516171819202122232425262728293031[[#This Row],[نوع الخدمة]]="كاش ان",
    IF(F53&lt;=100, 18, IF(F53&lt;=250, 23, IF(F53&lt;=500, 35, IF(F53&lt;=1000, 40, F53*0.04)))),
IF(Basic345678910111213141516171819202122232425262728293031[[#This Row],[نوع الخدمة]]="كاش اوت",
    IF(F53&lt;=100, 15, IF(F53&lt;=250, 20, IF(F53&lt;=500, 30, IF(F53&lt;=1000, 35, F53*0.035)))),
0)))</f>
        <v>0</v>
      </c>
      <c r="H53" s="176">
        <f>IF(I53="مخالفات",50,Basic345678910111213141516171819202122232425262728293031[[#This Row],[قيمة الرسوم / العموله]]+Basic345678910111213141516171819202122232425262728293031[[#This Row],[قيمة الشحنه]])</f>
        <v>0</v>
      </c>
      <c r="I53" s="90"/>
      <c r="J53" s="142" t="str">
        <f t="shared" si="0"/>
        <v>2.5.2026</v>
      </c>
      <c r="L53" s="153">
        <v>42</v>
      </c>
      <c r="M53" s="92"/>
    </row>
    <row r="54" spans="1:13" ht="21.6" x14ac:dyDescent="0.65">
      <c r="A54" s="195"/>
      <c r="B54" s="140">
        <v>51</v>
      </c>
      <c r="C54" s="2"/>
      <c r="D54" s="1"/>
      <c r="E54" s="3"/>
      <c r="F54" s="1"/>
      <c r="G54" s="141">
        <f>IF(Basic345678910111213141516171819202122232425262728293031[[#This Row],[نوع الخدمة]]="مخالفات", 50,
IF(Basic345678910111213141516171819202122232425262728293031[[#This Row],[نوع الخدمة]]="كاش ان",
    IF(F54&lt;=100, 18, IF(F54&lt;=250, 23, IF(F54&lt;=500, 35, IF(F54&lt;=1000, 40, F54*0.04)))),
IF(Basic345678910111213141516171819202122232425262728293031[[#This Row],[نوع الخدمة]]="كاش اوت",
    IF(F54&lt;=100, 15, IF(F54&lt;=250, 20, IF(F54&lt;=500, 30, IF(F54&lt;=1000, 35, F54*0.035)))),
0)))</f>
        <v>0</v>
      </c>
      <c r="H54" s="176">
        <f>IF(I54="مخالفات",50,Basic345678910111213141516171819202122232425262728293031[[#This Row],[قيمة الرسوم / العموله]]+Basic345678910111213141516171819202122232425262728293031[[#This Row],[قيمة الشحنه]])</f>
        <v>0</v>
      </c>
      <c r="I54" s="90"/>
      <c r="J54" s="142" t="str">
        <f t="shared" si="0"/>
        <v>2.5.2026</v>
      </c>
      <c r="L54" s="153">
        <v>43</v>
      </c>
      <c r="M54" s="92"/>
    </row>
    <row r="55" spans="1:13" ht="21.6" x14ac:dyDescent="0.65">
      <c r="A55" s="195"/>
      <c r="B55" s="140">
        <v>52</v>
      </c>
      <c r="C55" s="2"/>
      <c r="D55" s="1"/>
      <c r="E55" s="3"/>
      <c r="F55" s="1"/>
      <c r="G55" s="141">
        <f>IF(Basic345678910111213141516171819202122232425262728293031[[#This Row],[نوع الخدمة]]="مخالفات", 50,
IF(Basic345678910111213141516171819202122232425262728293031[[#This Row],[نوع الخدمة]]="كاش ان",
    IF(F55&lt;=100, 18, IF(F55&lt;=250, 23, IF(F55&lt;=500, 35, IF(F55&lt;=1000, 40, F55*0.04)))),
IF(Basic345678910111213141516171819202122232425262728293031[[#This Row],[نوع الخدمة]]="كاش اوت",
    IF(F55&lt;=100, 15, IF(F55&lt;=250, 20, IF(F55&lt;=500, 30, IF(F55&lt;=1000, 35, F55*0.035)))),
0)))</f>
        <v>0</v>
      </c>
      <c r="H55" s="176">
        <f>IF(I55="مخالفات",50,Basic345678910111213141516171819202122232425262728293031[[#This Row],[قيمة الرسوم / العموله]]+Basic345678910111213141516171819202122232425262728293031[[#This Row],[قيمة الشحنه]])</f>
        <v>0</v>
      </c>
      <c r="I55" s="90"/>
      <c r="J55" s="142" t="str">
        <f t="shared" si="0"/>
        <v>2.5.2026</v>
      </c>
      <c r="L55" s="153">
        <v>44</v>
      </c>
      <c r="M55" s="92"/>
    </row>
    <row r="56" spans="1:13" ht="21.6" x14ac:dyDescent="0.65">
      <c r="A56" s="195"/>
      <c r="B56" s="140">
        <v>53</v>
      </c>
      <c r="C56" s="2"/>
      <c r="D56" s="1"/>
      <c r="E56" s="3"/>
      <c r="F56" s="1"/>
      <c r="G56" s="141">
        <f>IF(Basic345678910111213141516171819202122232425262728293031[[#This Row],[نوع الخدمة]]="مخالفات", 50,
IF(Basic345678910111213141516171819202122232425262728293031[[#This Row],[نوع الخدمة]]="كاش ان",
    IF(F56&lt;=100, 18, IF(F56&lt;=250, 23, IF(F56&lt;=500, 35, IF(F56&lt;=1000, 40, F56*0.04)))),
IF(Basic345678910111213141516171819202122232425262728293031[[#This Row],[نوع الخدمة]]="كاش اوت",
    IF(F56&lt;=100, 15, IF(F56&lt;=250, 20, IF(F56&lt;=500, 30, IF(F56&lt;=1000, 35, F56*0.035)))),
0)))</f>
        <v>0</v>
      </c>
      <c r="H56" s="176">
        <f>IF(I56="مخالفات",50,Basic345678910111213141516171819202122232425262728293031[[#This Row],[قيمة الرسوم / العموله]]+Basic345678910111213141516171819202122232425262728293031[[#This Row],[قيمة الشحنه]])</f>
        <v>0</v>
      </c>
      <c r="I56" s="90"/>
      <c r="J56" s="142" t="str">
        <f t="shared" si="0"/>
        <v>2.5.2026</v>
      </c>
      <c r="L56" s="153">
        <v>45</v>
      </c>
      <c r="M56" s="92"/>
    </row>
    <row r="57" spans="1:13" ht="21.6" x14ac:dyDescent="0.65">
      <c r="A57" s="195"/>
      <c r="B57" s="144">
        <v>54</v>
      </c>
      <c r="C57" s="2"/>
      <c r="D57" s="1"/>
      <c r="E57" s="3"/>
      <c r="F57" s="1"/>
      <c r="G57" s="141">
        <f>IF(Basic345678910111213141516171819202122232425262728293031[[#This Row],[نوع الخدمة]]="مخالفات", 50,
IF(Basic345678910111213141516171819202122232425262728293031[[#This Row],[نوع الخدمة]]="كاش ان",
    IF(F57&lt;=100, 18, IF(F57&lt;=250, 23, IF(F57&lt;=500, 35, IF(F57&lt;=1000, 40, F57*0.04)))),
IF(Basic345678910111213141516171819202122232425262728293031[[#This Row],[نوع الخدمة]]="كاش اوت",
    IF(F57&lt;=100, 15, IF(F57&lt;=250, 20, IF(F57&lt;=500, 30, IF(F57&lt;=1000, 35, F57*0.035)))),
0)))</f>
        <v>0</v>
      </c>
      <c r="H57" s="176">
        <f>IF(I57="مخالفات",50,Basic345678910111213141516171819202122232425262728293031[[#This Row],[قيمة الرسوم / العموله]]+Basic345678910111213141516171819202122232425262728293031[[#This Row],[قيمة الشحنه]])</f>
        <v>0</v>
      </c>
      <c r="I57" s="90"/>
      <c r="J57" s="142" t="str">
        <f t="shared" si="0"/>
        <v>2.5.2026</v>
      </c>
      <c r="L57" s="153">
        <v>46</v>
      </c>
      <c r="M57" s="92"/>
    </row>
    <row r="58" spans="1:13" ht="21.6" x14ac:dyDescent="0.65">
      <c r="A58" s="195"/>
      <c r="B58" s="140">
        <v>55</v>
      </c>
      <c r="C58" s="2"/>
      <c r="D58" s="1"/>
      <c r="E58" s="3"/>
      <c r="F58" s="1"/>
      <c r="G58" s="141">
        <f>IF(Basic345678910111213141516171819202122232425262728293031[[#This Row],[نوع الخدمة]]="مخالفات", 50,
IF(Basic345678910111213141516171819202122232425262728293031[[#This Row],[نوع الخدمة]]="كاش ان",
    IF(F58&lt;=100, 18, IF(F58&lt;=250, 23, IF(F58&lt;=500, 35, IF(F58&lt;=1000, 40, F58*0.04)))),
IF(Basic345678910111213141516171819202122232425262728293031[[#This Row],[نوع الخدمة]]="كاش اوت",
    IF(F58&lt;=100, 15, IF(F58&lt;=250, 20, IF(F58&lt;=500, 30, IF(F58&lt;=1000, 35, F58*0.035)))),
0)))</f>
        <v>0</v>
      </c>
      <c r="H58" s="176">
        <f>IF(I58="مخالفات",50,Basic345678910111213141516171819202122232425262728293031[[#This Row],[قيمة الرسوم / العموله]]+Basic345678910111213141516171819202122232425262728293031[[#This Row],[قيمة الشحنه]])</f>
        <v>0</v>
      </c>
      <c r="I58" s="90"/>
      <c r="J58" s="142" t="str">
        <f t="shared" si="0"/>
        <v>2.5.2026</v>
      </c>
      <c r="L58" s="153">
        <v>47</v>
      </c>
      <c r="M58" s="92"/>
    </row>
    <row r="59" spans="1:13" ht="21.6" x14ac:dyDescent="0.65">
      <c r="A59" s="195"/>
      <c r="B59" s="140">
        <v>56</v>
      </c>
      <c r="C59" s="2"/>
      <c r="D59" s="1"/>
      <c r="E59" s="3"/>
      <c r="F59" s="1"/>
      <c r="G59" s="141">
        <f>IF(Basic345678910111213141516171819202122232425262728293031[[#This Row],[نوع الخدمة]]="مخالفات", 50,
IF(Basic345678910111213141516171819202122232425262728293031[[#This Row],[نوع الخدمة]]="كاش ان",
    IF(F59&lt;=100, 18, IF(F59&lt;=250, 23, IF(F59&lt;=500, 35, IF(F59&lt;=1000, 40, F59*0.04)))),
IF(Basic345678910111213141516171819202122232425262728293031[[#This Row],[نوع الخدمة]]="كاش اوت",
    IF(F59&lt;=100, 15, IF(F59&lt;=250, 20, IF(F59&lt;=500, 30, IF(F59&lt;=1000, 35, F59*0.035)))),
0)))</f>
        <v>0</v>
      </c>
      <c r="H59" s="176">
        <f>IF(I59="مخالفات",50,Basic345678910111213141516171819202122232425262728293031[[#This Row],[قيمة الرسوم / العموله]]+Basic345678910111213141516171819202122232425262728293031[[#This Row],[قيمة الشحنه]])</f>
        <v>0</v>
      </c>
      <c r="I59" s="90"/>
      <c r="J59" s="142" t="str">
        <f t="shared" si="0"/>
        <v>2.5.2026</v>
      </c>
      <c r="L59" s="153">
        <v>48</v>
      </c>
      <c r="M59" s="92"/>
    </row>
    <row r="60" spans="1:13" ht="21.6" x14ac:dyDescent="0.65">
      <c r="A60" s="195"/>
      <c r="B60" s="140">
        <v>57</v>
      </c>
      <c r="C60" s="2"/>
      <c r="D60" s="1"/>
      <c r="E60" s="3"/>
      <c r="F60" s="1"/>
      <c r="G60" s="141">
        <f>IF(Basic345678910111213141516171819202122232425262728293031[[#This Row],[نوع الخدمة]]="مخالفات", 50,
IF(Basic345678910111213141516171819202122232425262728293031[[#This Row],[نوع الخدمة]]="كاش ان",
    IF(F60&lt;=100, 18, IF(F60&lt;=250, 23, IF(F60&lt;=500, 35, IF(F60&lt;=1000, 40, F60*0.04)))),
IF(Basic345678910111213141516171819202122232425262728293031[[#This Row],[نوع الخدمة]]="كاش اوت",
    IF(F60&lt;=100, 15, IF(F60&lt;=250, 20, IF(F60&lt;=500, 30, IF(F60&lt;=1000, 35, F60*0.035)))),
0)))</f>
        <v>0</v>
      </c>
      <c r="H60" s="176">
        <f>IF(I60="مخالفات",50,Basic345678910111213141516171819202122232425262728293031[[#This Row],[قيمة الرسوم / العموله]]+Basic345678910111213141516171819202122232425262728293031[[#This Row],[قيمة الشحنه]])</f>
        <v>0</v>
      </c>
      <c r="I60" s="90"/>
      <c r="J60" s="142" t="str">
        <f t="shared" si="0"/>
        <v>2.5.2026</v>
      </c>
      <c r="L60" s="153">
        <v>49</v>
      </c>
      <c r="M60" s="92"/>
    </row>
    <row r="61" spans="1:13" ht="21.6" x14ac:dyDescent="0.65">
      <c r="A61" s="195"/>
      <c r="B61" s="144">
        <v>58</v>
      </c>
      <c r="C61" s="2"/>
      <c r="D61" s="1"/>
      <c r="E61" s="3"/>
      <c r="F61" s="1"/>
      <c r="G61" s="141">
        <f>IF(Basic345678910111213141516171819202122232425262728293031[[#This Row],[نوع الخدمة]]="مخالفات", 50,
IF(Basic345678910111213141516171819202122232425262728293031[[#This Row],[نوع الخدمة]]="كاش ان",
    IF(F61&lt;=100, 18, IF(F61&lt;=250, 23, IF(F61&lt;=500, 35, IF(F61&lt;=1000, 40, F61*0.04)))),
IF(Basic345678910111213141516171819202122232425262728293031[[#This Row],[نوع الخدمة]]="كاش اوت",
    IF(F61&lt;=100, 15, IF(F61&lt;=250, 20, IF(F61&lt;=500, 30, IF(F61&lt;=1000, 35, F61*0.035)))),
0)))</f>
        <v>0</v>
      </c>
      <c r="H61" s="176">
        <f>IF(I61="مخالفات",50,Basic345678910111213141516171819202122232425262728293031[[#This Row],[قيمة الرسوم / العموله]]+Basic345678910111213141516171819202122232425262728293031[[#This Row],[قيمة الشحنه]])</f>
        <v>0</v>
      </c>
      <c r="I61" s="90"/>
      <c r="J61" s="142" t="str">
        <f t="shared" si="0"/>
        <v>2.5.2026</v>
      </c>
      <c r="L61" s="153">
        <v>50</v>
      </c>
      <c r="M61" s="92"/>
    </row>
    <row r="62" spans="1:13" ht="21.6" x14ac:dyDescent="0.65">
      <c r="A62" s="195"/>
      <c r="B62" s="140">
        <v>59</v>
      </c>
      <c r="C62" s="2"/>
      <c r="D62" s="1"/>
      <c r="E62" s="3"/>
      <c r="F62" s="1"/>
      <c r="G62" s="141">
        <f>IF(Basic345678910111213141516171819202122232425262728293031[[#This Row],[نوع الخدمة]]="مخالفات", 50,
IF(Basic345678910111213141516171819202122232425262728293031[[#This Row],[نوع الخدمة]]="كاش ان",
    IF(F62&lt;=100, 18, IF(F62&lt;=250, 23, IF(F62&lt;=500, 35, IF(F62&lt;=1000, 40, F62*0.04)))),
IF(Basic345678910111213141516171819202122232425262728293031[[#This Row],[نوع الخدمة]]="كاش اوت",
    IF(F62&lt;=100, 15, IF(F62&lt;=250, 20, IF(F62&lt;=500, 30, IF(F62&lt;=1000, 35, F62*0.035)))),
0)))</f>
        <v>0</v>
      </c>
      <c r="H62" s="176">
        <f>IF(I62="مخالفات",50,Basic345678910111213141516171819202122232425262728293031[[#This Row],[قيمة الرسوم / العموله]]+Basic345678910111213141516171819202122232425262728293031[[#This Row],[قيمة الشحنه]])</f>
        <v>0</v>
      </c>
      <c r="I62" s="90"/>
      <c r="J62" s="142" t="str">
        <f t="shared" si="0"/>
        <v>2.5.2026</v>
      </c>
      <c r="L62" s="153">
        <v>51</v>
      </c>
      <c r="M62" s="92"/>
    </row>
    <row r="63" spans="1:13" ht="21.6" x14ac:dyDescent="0.65">
      <c r="A63" s="195"/>
      <c r="B63" s="140">
        <v>60</v>
      </c>
      <c r="C63" s="2"/>
      <c r="D63" s="1"/>
      <c r="E63" s="3"/>
      <c r="F63" s="1"/>
      <c r="G63" s="141">
        <f>IF(Basic345678910111213141516171819202122232425262728293031[[#This Row],[نوع الخدمة]]="مخالفات", 50,
IF(Basic345678910111213141516171819202122232425262728293031[[#This Row],[نوع الخدمة]]="كاش ان",
    IF(F63&lt;=100, 18, IF(F63&lt;=250, 23, IF(F63&lt;=500, 35, IF(F63&lt;=1000, 40, F63*0.04)))),
IF(Basic345678910111213141516171819202122232425262728293031[[#This Row],[نوع الخدمة]]="كاش اوت",
    IF(F63&lt;=100, 15, IF(F63&lt;=250, 20, IF(F63&lt;=500, 30, IF(F63&lt;=1000, 35, F63*0.035)))),
0)))</f>
        <v>0</v>
      </c>
      <c r="H63" s="176">
        <f>IF(I63="مخالفات",50,Basic345678910111213141516171819202122232425262728293031[[#This Row],[قيمة الرسوم / العموله]]+Basic345678910111213141516171819202122232425262728293031[[#This Row],[قيمة الشحنه]])</f>
        <v>0</v>
      </c>
      <c r="I63" s="90"/>
      <c r="J63" s="142" t="str">
        <f t="shared" si="0"/>
        <v>2.5.2026</v>
      </c>
      <c r="L63" s="153">
        <v>52</v>
      </c>
      <c r="M63" s="92"/>
    </row>
    <row r="64" spans="1:13" ht="21.6" x14ac:dyDescent="0.65">
      <c r="A64" s="195"/>
      <c r="B64" s="140">
        <v>61</v>
      </c>
      <c r="C64" s="2"/>
      <c r="D64" s="1"/>
      <c r="E64" s="3"/>
      <c r="F64" s="1"/>
      <c r="G64" s="141">
        <f>IF(Basic345678910111213141516171819202122232425262728293031[[#This Row],[نوع الخدمة]]="مخالفات", 50,
IF(Basic345678910111213141516171819202122232425262728293031[[#This Row],[نوع الخدمة]]="كاش ان",
    IF(F64&lt;=100, 18, IF(F64&lt;=250, 23, IF(F64&lt;=500, 35, IF(F64&lt;=1000, 40, F64*0.04)))),
IF(Basic345678910111213141516171819202122232425262728293031[[#This Row],[نوع الخدمة]]="كاش اوت",
    IF(F64&lt;=100, 15, IF(F64&lt;=250, 20, IF(F64&lt;=500, 30, IF(F64&lt;=1000, 35, F64*0.035)))),
0)))</f>
        <v>0</v>
      </c>
      <c r="H64" s="176">
        <f>IF(I64="مخالفات",50,Basic345678910111213141516171819202122232425262728293031[[#This Row],[قيمة الرسوم / العموله]]+Basic345678910111213141516171819202122232425262728293031[[#This Row],[قيمة الشحنه]])</f>
        <v>0</v>
      </c>
      <c r="I64" s="90"/>
      <c r="J64" s="142" t="str">
        <f t="shared" si="0"/>
        <v>2.5.2026</v>
      </c>
      <c r="L64" s="153">
        <v>53</v>
      </c>
      <c r="M64" s="92"/>
    </row>
    <row r="65" spans="1:13" ht="21.6" x14ac:dyDescent="0.65">
      <c r="A65" s="195"/>
      <c r="B65" s="144">
        <v>62</v>
      </c>
      <c r="C65" s="2"/>
      <c r="D65" s="1"/>
      <c r="E65" s="3"/>
      <c r="F65" s="1"/>
      <c r="G65" s="141">
        <f>IF(Basic345678910111213141516171819202122232425262728293031[[#This Row],[نوع الخدمة]]="مخالفات", 50,
IF(Basic345678910111213141516171819202122232425262728293031[[#This Row],[نوع الخدمة]]="كاش ان",
    IF(F65&lt;=100, 18, IF(F65&lt;=250, 23, IF(F65&lt;=500, 35, IF(F65&lt;=1000, 40, F65*0.04)))),
IF(Basic345678910111213141516171819202122232425262728293031[[#This Row],[نوع الخدمة]]="كاش اوت",
    IF(F65&lt;=100, 15, IF(F65&lt;=250, 20, IF(F65&lt;=500, 30, IF(F65&lt;=1000, 35, F65*0.035)))),
0)))</f>
        <v>0</v>
      </c>
      <c r="H65" s="176">
        <f>IF(I65="مخالفات",50,Basic345678910111213141516171819202122232425262728293031[[#This Row],[قيمة الرسوم / العموله]]+Basic345678910111213141516171819202122232425262728293031[[#This Row],[قيمة الشحنه]])</f>
        <v>0</v>
      </c>
      <c r="I65" s="90"/>
      <c r="J65" s="142" t="str">
        <f t="shared" si="0"/>
        <v>2.5.2026</v>
      </c>
      <c r="L65" s="153">
        <v>54</v>
      </c>
      <c r="M65" s="92"/>
    </row>
    <row r="66" spans="1:13" ht="21.6" x14ac:dyDescent="0.65">
      <c r="A66" s="195"/>
      <c r="B66" s="140">
        <v>63</v>
      </c>
      <c r="C66" s="2"/>
      <c r="D66" s="1"/>
      <c r="E66" s="3"/>
      <c r="F66" s="1"/>
      <c r="G66" s="141">
        <f>IF(Basic345678910111213141516171819202122232425262728293031[[#This Row],[نوع الخدمة]]="مخالفات", 50,
IF(Basic345678910111213141516171819202122232425262728293031[[#This Row],[نوع الخدمة]]="كاش ان",
    IF(F66&lt;=100, 18, IF(F66&lt;=250, 23, IF(F66&lt;=500, 35, IF(F66&lt;=1000, 40, F66*0.04)))),
IF(Basic345678910111213141516171819202122232425262728293031[[#This Row],[نوع الخدمة]]="كاش اوت",
    IF(F66&lt;=100, 15, IF(F66&lt;=250, 20, IF(F66&lt;=500, 30, IF(F66&lt;=1000, 35, F66*0.035)))),
0)))</f>
        <v>0</v>
      </c>
      <c r="H66" s="176">
        <f>IF(I66="مخالفات",50,Basic345678910111213141516171819202122232425262728293031[[#This Row],[قيمة الرسوم / العموله]]+Basic345678910111213141516171819202122232425262728293031[[#This Row],[قيمة الشحنه]])</f>
        <v>0</v>
      </c>
      <c r="I66" s="90"/>
      <c r="J66" s="142" t="str">
        <f t="shared" si="0"/>
        <v>2.5.2026</v>
      </c>
      <c r="L66" s="153">
        <v>55</v>
      </c>
      <c r="M66" s="92"/>
    </row>
    <row r="67" spans="1:13" ht="21.6" x14ac:dyDescent="0.65">
      <c r="A67" s="195"/>
      <c r="B67" s="140">
        <v>64</v>
      </c>
      <c r="C67" s="2"/>
      <c r="D67" s="1"/>
      <c r="E67" s="3"/>
      <c r="F67" s="1"/>
      <c r="G67" s="141">
        <f>IF(Basic345678910111213141516171819202122232425262728293031[[#This Row],[نوع الخدمة]]="مخالفات", 50,
IF(Basic345678910111213141516171819202122232425262728293031[[#This Row],[نوع الخدمة]]="كاش ان",
    IF(F67&lt;=100, 18, IF(F67&lt;=250, 23, IF(F67&lt;=500, 35, IF(F67&lt;=1000, 40, F67*0.04)))),
IF(Basic345678910111213141516171819202122232425262728293031[[#This Row],[نوع الخدمة]]="كاش اوت",
    IF(F67&lt;=100, 15, IF(F67&lt;=250, 20, IF(F67&lt;=500, 30, IF(F67&lt;=1000, 35, F67*0.035)))),
0)))</f>
        <v>0</v>
      </c>
      <c r="H67" s="176">
        <f>IF(I67="مخالفات",50,Basic345678910111213141516171819202122232425262728293031[[#This Row],[قيمة الرسوم / العموله]]+Basic345678910111213141516171819202122232425262728293031[[#This Row],[قيمة الشحنه]])</f>
        <v>0</v>
      </c>
      <c r="I67" s="90"/>
      <c r="J67" s="142" t="str">
        <f t="shared" si="0"/>
        <v>2.5.2026</v>
      </c>
      <c r="L67" s="153">
        <v>56</v>
      </c>
      <c r="M67" s="92"/>
    </row>
    <row r="68" spans="1:13" ht="21.6" x14ac:dyDescent="0.65">
      <c r="A68" s="195"/>
      <c r="B68" s="140">
        <v>65</v>
      </c>
      <c r="C68" s="2"/>
      <c r="D68" s="1"/>
      <c r="E68" s="3"/>
      <c r="F68" s="1"/>
      <c r="G68" s="141">
        <f>IF(Basic345678910111213141516171819202122232425262728293031[[#This Row],[نوع الخدمة]]="مخالفات", 50,
IF(Basic345678910111213141516171819202122232425262728293031[[#This Row],[نوع الخدمة]]="كاش ان",
    IF(F68&lt;=100, 18, IF(F68&lt;=250, 23, IF(F68&lt;=500, 35, IF(F68&lt;=1000, 40, F68*0.04)))),
IF(Basic345678910111213141516171819202122232425262728293031[[#This Row],[نوع الخدمة]]="كاش اوت",
    IF(F68&lt;=100, 15, IF(F68&lt;=250, 20, IF(F68&lt;=500, 30, IF(F68&lt;=1000, 35, F68*0.035)))),
0)))</f>
        <v>0</v>
      </c>
      <c r="H68" s="176">
        <f>IF(I68="مخالفات",50,Basic345678910111213141516171819202122232425262728293031[[#This Row],[قيمة الرسوم / العموله]]+Basic345678910111213141516171819202122232425262728293031[[#This Row],[قيمة الشحنه]])</f>
        <v>0</v>
      </c>
      <c r="I68" s="90"/>
      <c r="J68" s="142" t="str">
        <f t="shared" ref="J68:J131" si="1">M$3</f>
        <v>2.5.2026</v>
      </c>
      <c r="L68" s="153">
        <v>57</v>
      </c>
      <c r="M68" s="92"/>
    </row>
    <row r="69" spans="1:13" ht="21.6" x14ac:dyDescent="0.65">
      <c r="A69" s="195"/>
      <c r="B69" s="144">
        <v>66</v>
      </c>
      <c r="C69" s="2"/>
      <c r="D69" s="1"/>
      <c r="E69" s="3"/>
      <c r="F69" s="1"/>
      <c r="G69" s="141">
        <f>IF(Basic345678910111213141516171819202122232425262728293031[[#This Row],[نوع الخدمة]]="مخالفات", 50,
IF(Basic345678910111213141516171819202122232425262728293031[[#This Row],[نوع الخدمة]]="كاش ان",
    IF(F69&lt;=100, 18, IF(F69&lt;=250, 23, IF(F69&lt;=500, 35, IF(F69&lt;=1000, 40, F69*0.04)))),
IF(Basic345678910111213141516171819202122232425262728293031[[#This Row],[نوع الخدمة]]="كاش اوت",
    IF(F69&lt;=100, 15, IF(F69&lt;=250, 20, IF(F69&lt;=500, 30, IF(F69&lt;=1000, 35, F69*0.035)))),
0)))</f>
        <v>0</v>
      </c>
      <c r="H69" s="176">
        <f>IF(I69="مخالفات",50,Basic345678910111213141516171819202122232425262728293031[[#This Row],[قيمة الرسوم / العموله]]+Basic345678910111213141516171819202122232425262728293031[[#This Row],[قيمة الشحنه]])</f>
        <v>0</v>
      </c>
      <c r="I69" s="90"/>
      <c r="J69" s="142" t="str">
        <f t="shared" si="1"/>
        <v>2.5.2026</v>
      </c>
      <c r="L69" s="153">
        <v>58</v>
      </c>
      <c r="M69" s="92"/>
    </row>
    <row r="70" spans="1:13" ht="21.6" x14ac:dyDescent="0.65">
      <c r="A70" s="195"/>
      <c r="B70" s="140">
        <v>67</v>
      </c>
      <c r="C70" s="2"/>
      <c r="D70" s="1"/>
      <c r="E70" s="3"/>
      <c r="F70" s="1"/>
      <c r="G70" s="141">
        <f>IF(Basic345678910111213141516171819202122232425262728293031[[#This Row],[نوع الخدمة]]="مخالفات", 50,
IF(Basic345678910111213141516171819202122232425262728293031[[#This Row],[نوع الخدمة]]="كاش ان",
    IF(F70&lt;=100, 18, IF(F70&lt;=250, 23, IF(F70&lt;=500, 35, IF(F70&lt;=1000, 40, F70*0.04)))),
IF(Basic345678910111213141516171819202122232425262728293031[[#This Row],[نوع الخدمة]]="كاش اوت",
    IF(F70&lt;=100, 15, IF(F70&lt;=250, 20, IF(F70&lt;=500, 30, IF(F70&lt;=1000, 35, F70*0.035)))),
0)))</f>
        <v>0</v>
      </c>
      <c r="H70" s="176">
        <f>IF(I70="مخالفات",50,Basic345678910111213141516171819202122232425262728293031[[#This Row],[قيمة الرسوم / العموله]]+Basic345678910111213141516171819202122232425262728293031[[#This Row],[قيمة الشحنه]])</f>
        <v>0</v>
      </c>
      <c r="I70" s="90"/>
      <c r="J70" s="142" t="str">
        <f t="shared" si="1"/>
        <v>2.5.2026</v>
      </c>
      <c r="L70" s="153">
        <v>59</v>
      </c>
      <c r="M70" s="92"/>
    </row>
    <row r="71" spans="1:13" ht="21.6" x14ac:dyDescent="0.65">
      <c r="A71" s="195"/>
      <c r="B71" s="140">
        <v>68</v>
      </c>
      <c r="C71" s="2"/>
      <c r="D71" s="1"/>
      <c r="E71" s="3"/>
      <c r="F71" s="1"/>
      <c r="G71" s="141">
        <f>IF(Basic345678910111213141516171819202122232425262728293031[[#This Row],[نوع الخدمة]]="مخالفات", 50,
IF(Basic345678910111213141516171819202122232425262728293031[[#This Row],[نوع الخدمة]]="كاش ان",
    IF(F71&lt;=100, 18, IF(F71&lt;=250, 23, IF(F71&lt;=500, 35, IF(F71&lt;=1000, 40, F71*0.04)))),
IF(Basic345678910111213141516171819202122232425262728293031[[#This Row],[نوع الخدمة]]="كاش اوت",
    IF(F71&lt;=100, 15, IF(F71&lt;=250, 20, IF(F71&lt;=500, 30, IF(F71&lt;=1000, 35, F71*0.035)))),
0)))</f>
        <v>0</v>
      </c>
      <c r="H71" s="176">
        <f>IF(I71="مخالفات",50,Basic345678910111213141516171819202122232425262728293031[[#This Row],[قيمة الرسوم / العموله]]+Basic345678910111213141516171819202122232425262728293031[[#This Row],[قيمة الشحنه]])</f>
        <v>0</v>
      </c>
      <c r="I71" s="90"/>
      <c r="J71" s="142" t="str">
        <f t="shared" si="1"/>
        <v>2.5.2026</v>
      </c>
      <c r="L71" s="153">
        <v>60</v>
      </c>
      <c r="M71" s="92"/>
    </row>
    <row r="72" spans="1:13" ht="21.6" x14ac:dyDescent="0.65">
      <c r="A72" s="195"/>
      <c r="B72" s="140">
        <v>69</v>
      </c>
      <c r="C72" s="2"/>
      <c r="D72" s="1"/>
      <c r="E72" s="3"/>
      <c r="F72" s="1"/>
      <c r="G72" s="141">
        <f>IF(Basic345678910111213141516171819202122232425262728293031[[#This Row],[نوع الخدمة]]="مخالفات", 50,
IF(Basic345678910111213141516171819202122232425262728293031[[#This Row],[نوع الخدمة]]="كاش ان",
    IF(F72&lt;=100, 18, IF(F72&lt;=250, 23, IF(F72&lt;=500, 35, IF(F72&lt;=1000, 40, F72*0.04)))),
IF(Basic345678910111213141516171819202122232425262728293031[[#This Row],[نوع الخدمة]]="كاش اوت",
    IF(F72&lt;=100, 15, IF(F72&lt;=250, 20, IF(F72&lt;=500, 30, IF(F72&lt;=1000, 35, F72*0.035)))),
0)))</f>
        <v>0</v>
      </c>
      <c r="H72" s="176">
        <f>IF(I72="مخالفات",50,Basic345678910111213141516171819202122232425262728293031[[#This Row],[قيمة الرسوم / العموله]]+Basic345678910111213141516171819202122232425262728293031[[#This Row],[قيمة الشحنه]])</f>
        <v>0</v>
      </c>
      <c r="I72" s="90"/>
      <c r="J72" s="142" t="str">
        <f t="shared" si="1"/>
        <v>2.5.2026</v>
      </c>
      <c r="L72" s="153">
        <v>61</v>
      </c>
      <c r="M72" s="92"/>
    </row>
    <row r="73" spans="1:13" ht="21.6" x14ac:dyDescent="0.65">
      <c r="A73" s="195"/>
      <c r="B73" s="144">
        <v>70</v>
      </c>
      <c r="C73" s="2"/>
      <c r="D73" s="1"/>
      <c r="E73" s="3"/>
      <c r="F73" s="1"/>
      <c r="G73" s="141">
        <f>IF(Basic345678910111213141516171819202122232425262728293031[[#This Row],[نوع الخدمة]]="مخالفات", 50,
IF(Basic345678910111213141516171819202122232425262728293031[[#This Row],[نوع الخدمة]]="كاش ان",
    IF(F73&lt;=100, 18, IF(F73&lt;=250, 23, IF(F73&lt;=500, 35, IF(F73&lt;=1000, 40, F73*0.04)))),
IF(Basic345678910111213141516171819202122232425262728293031[[#This Row],[نوع الخدمة]]="كاش اوت",
    IF(F73&lt;=100, 15, IF(F73&lt;=250, 20, IF(F73&lt;=500, 30, IF(F73&lt;=1000, 35, F73*0.035)))),
0)))</f>
        <v>0</v>
      </c>
      <c r="H73" s="176">
        <f>IF(I73="مخالفات",50,Basic345678910111213141516171819202122232425262728293031[[#This Row],[قيمة الرسوم / العموله]]+Basic345678910111213141516171819202122232425262728293031[[#This Row],[قيمة الشحنه]])</f>
        <v>0</v>
      </c>
      <c r="I73" s="90"/>
      <c r="J73" s="142" t="str">
        <f t="shared" si="1"/>
        <v>2.5.2026</v>
      </c>
      <c r="L73" s="153">
        <v>62</v>
      </c>
      <c r="M73" s="92"/>
    </row>
    <row r="74" spans="1:13" ht="21.6" x14ac:dyDescent="0.65">
      <c r="A74" s="195"/>
      <c r="B74" s="140">
        <v>71</v>
      </c>
      <c r="C74" s="2"/>
      <c r="D74" s="1"/>
      <c r="E74" s="3"/>
      <c r="F74" s="1"/>
      <c r="G74" s="141">
        <f>IF(Basic345678910111213141516171819202122232425262728293031[[#This Row],[نوع الخدمة]]="مخالفات", 50,
IF(Basic345678910111213141516171819202122232425262728293031[[#This Row],[نوع الخدمة]]="كاش ان",
    IF(F74&lt;=100, 18, IF(F74&lt;=250, 23, IF(F74&lt;=500, 35, IF(F74&lt;=1000, 40, F74*0.04)))),
IF(Basic345678910111213141516171819202122232425262728293031[[#This Row],[نوع الخدمة]]="كاش اوت",
    IF(F74&lt;=100, 15, IF(F74&lt;=250, 20, IF(F74&lt;=500, 30, IF(F74&lt;=1000, 35, F74*0.035)))),
0)))</f>
        <v>0</v>
      </c>
      <c r="H74" s="176">
        <f>IF(I74="مخالفات",50,Basic345678910111213141516171819202122232425262728293031[[#This Row],[قيمة الرسوم / العموله]]+Basic345678910111213141516171819202122232425262728293031[[#This Row],[قيمة الشحنه]])</f>
        <v>0</v>
      </c>
      <c r="I74" s="90"/>
      <c r="J74" s="142" t="str">
        <f t="shared" si="1"/>
        <v>2.5.2026</v>
      </c>
      <c r="L74" s="153">
        <v>63</v>
      </c>
      <c r="M74" s="92"/>
    </row>
    <row r="75" spans="1:13" ht="21.6" x14ac:dyDescent="0.65">
      <c r="A75" s="195"/>
      <c r="B75" s="140">
        <v>72</v>
      </c>
      <c r="C75" s="2"/>
      <c r="D75" s="1"/>
      <c r="E75" s="3"/>
      <c r="F75" s="1"/>
      <c r="G75" s="141">
        <f>IF(Basic345678910111213141516171819202122232425262728293031[[#This Row],[نوع الخدمة]]="مخالفات", 50,
IF(Basic345678910111213141516171819202122232425262728293031[[#This Row],[نوع الخدمة]]="كاش ان",
    IF(F75&lt;=100, 18, IF(F75&lt;=250, 23, IF(F75&lt;=500, 35, IF(F75&lt;=1000, 40, F75*0.04)))),
IF(Basic345678910111213141516171819202122232425262728293031[[#This Row],[نوع الخدمة]]="كاش اوت",
    IF(F75&lt;=100, 15, IF(F75&lt;=250, 20, IF(F75&lt;=500, 30, IF(F75&lt;=1000, 35, F75*0.035)))),
0)))</f>
        <v>0</v>
      </c>
      <c r="H75" s="176">
        <f>IF(I75="مخالفات",50,Basic345678910111213141516171819202122232425262728293031[[#This Row],[قيمة الرسوم / العموله]]+Basic345678910111213141516171819202122232425262728293031[[#This Row],[قيمة الشحنه]])</f>
        <v>0</v>
      </c>
      <c r="I75" s="90"/>
      <c r="J75" s="142" t="str">
        <f t="shared" si="1"/>
        <v>2.5.2026</v>
      </c>
      <c r="L75" s="153">
        <v>64</v>
      </c>
      <c r="M75" s="92"/>
    </row>
    <row r="76" spans="1:13" ht="21.6" x14ac:dyDescent="0.65">
      <c r="A76" s="195"/>
      <c r="B76" s="140">
        <v>73</v>
      </c>
      <c r="C76" s="2"/>
      <c r="D76" s="1"/>
      <c r="E76" s="3"/>
      <c r="F76" s="1"/>
      <c r="G76" s="141">
        <f>IF(Basic345678910111213141516171819202122232425262728293031[[#This Row],[نوع الخدمة]]="مخالفات", 50,
IF(Basic345678910111213141516171819202122232425262728293031[[#This Row],[نوع الخدمة]]="كاش ان",
    IF(F76&lt;=100, 18, IF(F76&lt;=250, 23, IF(F76&lt;=500, 35, IF(F76&lt;=1000, 40, F76*0.04)))),
IF(Basic345678910111213141516171819202122232425262728293031[[#This Row],[نوع الخدمة]]="كاش اوت",
    IF(F76&lt;=100, 15, IF(F76&lt;=250, 20, IF(F76&lt;=500, 30, IF(F76&lt;=1000, 35, F76*0.035)))),
0)))</f>
        <v>0</v>
      </c>
      <c r="H76" s="176">
        <f>IF(I76="مخالفات",50,Basic345678910111213141516171819202122232425262728293031[[#This Row],[قيمة الرسوم / العموله]]+Basic345678910111213141516171819202122232425262728293031[[#This Row],[قيمة الشحنه]])</f>
        <v>0</v>
      </c>
      <c r="I76" s="90"/>
      <c r="J76" s="142" t="str">
        <f t="shared" si="1"/>
        <v>2.5.2026</v>
      </c>
      <c r="L76" s="153">
        <v>65</v>
      </c>
      <c r="M76" s="92"/>
    </row>
    <row r="77" spans="1:13" ht="21.6" x14ac:dyDescent="0.65">
      <c r="A77" s="195"/>
      <c r="B77" s="144">
        <v>74</v>
      </c>
      <c r="C77" s="2"/>
      <c r="D77" s="1"/>
      <c r="E77" s="3"/>
      <c r="F77" s="1"/>
      <c r="G77" s="141">
        <f>IF(Basic345678910111213141516171819202122232425262728293031[[#This Row],[نوع الخدمة]]="مخالفات", 50,
IF(Basic345678910111213141516171819202122232425262728293031[[#This Row],[نوع الخدمة]]="كاش ان",
    IF(F77&lt;=100, 18, IF(F77&lt;=250, 23, IF(F77&lt;=500, 35, IF(F77&lt;=1000, 40, F77*0.04)))),
IF(Basic345678910111213141516171819202122232425262728293031[[#This Row],[نوع الخدمة]]="كاش اوت",
    IF(F77&lt;=100, 15, IF(F77&lt;=250, 20, IF(F77&lt;=500, 30, IF(F77&lt;=1000, 35, F77*0.035)))),
0)))</f>
        <v>0</v>
      </c>
      <c r="H77" s="176">
        <f>IF(I77="مخالفات",50,Basic345678910111213141516171819202122232425262728293031[[#This Row],[قيمة الرسوم / العموله]]+Basic345678910111213141516171819202122232425262728293031[[#This Row],[قيمة الشحنه]])</f>
        <v>0</v>
      </c>
      <c r="I77" s="90"/>
      <c r="J77" s="142" t="str">
        <f t="shared" si="1"/>
        <v>2.5.2026</v>
      </c>
      <c r="L77" s="153">
        <v>66</v>
      </c>
      <c r="M77" s="92"/>
    </row>
    <row r="78" spans="1:13" ht="21.6" x14ac:dyDescent="0.65">
      <c r="A78" s="195"/>
      <c r="B78" s="140">
        <v>75</v>
      </c>
      <c r="C78" s="2"/>
      <c r="D78" s="1"/>
      <c r="E78" s="3"/>
      <c r="F78" s="1"/>
      <c r="G78" s="141">
        <f>IF(Basic345678910111213141516171819202122232425262728293031[[#This Row],[نوع الخدمة]]="مخالفات", 50,
IF(Basic345678910111213141516171819202122232425262728293031[[#This Row],[نوع الخدمة]]="كاش ان",
    IF(F78&lt;=100, 18, IF(F78&lt;=250, 23, IF(F78&lt;=500, 35, IF(F78&lt;=1000, 40, F78*0.04)))),
IF(Basic345678910111213141516171819202122232425262728293031[[#This Row],[نوع الخدمة]]="كاش اوت",
    IF(F78&lt;=100, 15, IF(F78&lt;=250, 20, IF(F78&lt;=500, 30, IF(F78&lt;=1000, 35, F78*0.035)))),
0)))</f>
        <v>0</v>
      </c>
      <c r="H78" s="176">
        <f>IF(I78="مخالفات",50,Basic345678910111213141516171819202122232425262728293031[[#This Row],[قيمة الرسوم / العموله]]+Basic345678910111213141516171819202122232425262728293031[[#This Row],[قيمة الشحنه]])</f>
        <v>0</v>
      </c>
      <c r="I78" s="90"/>
      <c r="J78" s="142" t="str">
        <f t="shared" si="1"/>
        <v>2.5.2026</v>
      </c>
      <c r="L78" s="153">
        <v>67</v>
      </c>
      <c r="M78" s="92"/>
    </row>
    <row r="79" spans="1:13" ht="21.6" x14ac:dyDescent="0.65">
      <c r="A79" s="195"/>
      <c r="B79" s="140">
        <v>76</v>
      </c>
      <c r="C79" s="2"/>
      <c r="D79" s="1"/>
      <c r="E79" s="3"/>
      <c r="F79" s="1"/>
      <c r="G79" s="141">
        <f>IF(Basic345678910111213141516171819202122232425262728293031[[#This Row],[نوع الخدمة]]="مخالفات", 50,
IF(Basic345678910111213141516171819202122232425262728293031[[#This Row],[نوع الخدمة]]="كاش ان",
    IF(F79&lt;=100, 18, IF(F79&lt;=250, 23, IF(F79&lt;=500, 35, IF(F79&lt;=1000, 40, F79*0.04)))),
IF(Basic345678910111213141516171819202122232425262728293031[[#This Row],[نوع الخدمة]]="كاش اوت",
    IF(F79&lt;=100, 15, IF(F79&lt;=250, 20, IF(F79&lt;=500, 30, IF(F79&lt;=1000, 35, F79*0.035)))),
0)))</f>
        <v>0</v>
      </c>
      <c r="H79" s="176">
        <f>IF(I79="مخالفات",50,Basic345678910111213141516171819202122232425262728293031[[#This Row],[قيمة الرسوم / العموله]]+Basic345678910111213141516171819202122232425262728293031[[#This Row],[قيمة الشحنه]])</f>
        <v>0</v>
      </c>
      <c r="I79" s="90"/>
      <c r="J79" s="142" t="str">
        <f t="shared" si="1"/>
        <v>2.5.2026</v>
      </c>
      <c r="L79" s="153">
        <v>68</v>
      </c>
      <c r="M79" s="92"/>
    </row>
    <row r="80" spans="1:13" ht="21.6" x14ac:dyDescent="0.65">
      <c r="A80" s="195"/>
      <c r="B80" s="140">
        <v>77</v>
      </c>
      <c r="C80" s="2"/>
      <c r="D80" s="1"/>
      <c r="E80" s="3"/>
      <c r="F80" s="1"/>
      <c r="G80" s="141">
        <f>IF(Basic345678910111213141516171819202122232425262728293031[[#This Row],[نوع الخدمة]]="مخالفات", 50,
IF(Basic345678910111213141516171819202122232425262728293031[[#This Row],[نوع الخدمة]]="كاش ان",
    IF(F80&lt;=100, 18, IF(F80&lt;=250, 23, IF(F80&lt;=500, 35, IF(F80&lt;=1000, 40, F80*0.04)))),
IF(Basic345678910111213141516171819202122232425262728293031[[#This Row],[نوع الخدمة]]="كاش اوت",
    IF(F80&lt;=100, 15, IF(F80&lt;=250, 20, IF(F80&lt;=500, 30, IF(F80&lt;=1000, 35, F80*0.035)))),
0)))</f>
        <v>0</v>
      </c>
      <c r="H80" s="176">
        <f>IF(I80="مخالفات",50,Basic345678910111213141516171819202122232425262728293031[[#This Row],[قيمة الرسوم / العموله]]+Basic345678910111213141516171819202122232425262728293031[[#This Row],[قيمة الشحنه]])</f>
        <v>0</v>
      </c>
      <c r="I80" s="90"/>
      <c r="J80" s="142" t="str">
        <f t="shared" si="1"/>
        <v>2.5.2026</v>
      </c>
      <c r="L80" s="153">
        <v>69</v>
      </c>
      <c r="M80" s="92"/>
    </row>
    <row r="81" spans="1:13" ht="21.6" x14ac:dyDescent="0.65">
      <c r="A81" s="195"/>
      <c r="B81" s="144">
        <v>78</v>
      </c>
      <c r="C81" s="2"/>
      <c r="D81" s="1"/>
      <c r="E81" s="3"/>
      <c r="F81" s="1"/>
      <c r="G81" s="141">
        <f>IF(Basic345678910111213141516171819202122232425262728293031[[#This Row],[نوع الخدمة]]="مخالفات", 50,
IF(Basic345678910111213141516171819202122232425262728293031[[#This Row],[نوع الخدمة]]="كاش ان",
    IF(F81&lt;=100, 18, IF(F81&lt;=250, 23, IF(F81&lt;=500, 35, IF(F81&lt;=1000, 40, F81*0.04)))),
IF(Basic345678910111213141516171819202122232425262728293031[[#This Row],[نوع الخدمة]]="كاش اوت",
    IF(F81&lt;=100, 15, IF(F81&lt;=250, 20, IF(F81&lt;=500, 30, IF(F81&lt;=1000, 35, F81*0.035)))),
0)))</f>
        <v>0</v>
      </c>
      <c r="H81" s="176">
        <f>IF(I81="مخالفات",50,Basic345678910111213141516171819202122232425262728293031[[#This Row],[قيمة الرسوم / العموله]]+Basic345678910111213141516171819202122232425262728293031[[#This Row],[قيمة الشحنه]])</f>
        <v>0</v>
      </c>
      <c r="I81" s="90"/>
      <c r="J81" s="142" t="str">
        <f t="shared" si="1"/>
        <v>2.5.2026</v>
      </c>
      <c r="L81" s="153">
        <v>70</v>
      </c>
      <c r="M81" s="92"/>
    </row>
    <row r="82" spans="1:13" ht="21.6" x14ac:dyDescent="0.65">
      <c r="A82" s="195"/>
      <c r="B82" s="140">
        <v>79</v>
      </c>
      <c r="C82" s="2"/>
      <c r="D82" s="1"/>
      <c r="E82" s="3"/>
      <c r="F82" s="1"/>
      <c r="G82" s="141">
        <f>IF(Basic345678910111213141516171819202122232425262728293031[[#This Row],[نوع الخدمة]]="مخالفات", 50,
IF(Basic345678910111213141516171819202122232425262728293031[[#This Row],[نوع الخدمة]]="كاش ان",
    IF(F82&lt;=100, 18, IF(F82&lt;=250, 23, IF(F82&lt;=500, 35, IF(F82&lt;=1000, 40, F82*0.04)))),
IF(Basic345678910111213141516171819202122232425262728293031[[#This Row],[نوع الخدمة]]="كاش اوت",
    IF(F82&lt;=100, 15, IF(F82&lt;=250, 20, IF(F82&lt;=500, 30, IF(F82&lt;=1000, 35, F82*0.035)))),
0)))</f>
        <v>0</v>
      </c>
      <c r="H82" s="176">
        <f>IF(I82="مخالفات",50,Basic345678910111213141516171819202122232425262728293031[[#This Row],[قيمة الرسوم / العموله]]+Basic345678910111213141516171819202122232425262728293031[[#This Row],[قيمة الشحنه]])</f>
        <v>0</v>
      </c>
      <c r="I82" s="90"/>
      <c r="J82" s="142" t="str">
        <f t="shared" si="1"/>
        <v>2.5.2026</v>
      </c>
      <c r="L82" s="153">
        <v>71</v>
      </c>
      <c r="M82" s="92"/>
    </row>
    <row r="83" spans="1:13" ht="21.6" x14ac:dyDescent="0.65">
      <c r="A83" s="195"/>
      <c r="B83" s="140">
        <v>80</v>
      </c>
      <c r="C83" s="2"/>
      <c r="D83" s="1"/>
      <c r="E83" s="3"/>
      <c r="F83" s="1"/>
      <c r="G83" s="141">
        <f>IF(Basic345678910111213141516171819202122232425262728293031[[#This Row],[نوع الخدمة]]="مخالفات", 50,
IF(Basic345678910111213141516171819202122232425262728293031[[#This Row],[نوع الخدمة]]="كاش ان",
    IF(F83&lt;=100, 18, IF(F83&lt;=250, 23, IF(F83&lt;=500, 35, IF(F83&lt;=1000, 40, F83*0.04)))),
IF(Basic345678910111213141516171819202122232425262728293031[[#This Row],[نوع الخدمة]]="كاش اوت",
    IF(F83&lt;=100, 15, IF(F83&lt;=250, 20, IF(F83&lt;=500, 30, IF(F83&lt;=1000, 35, F83*0.035)))),
0)))</f>
        <v>0</v>
      </c>
      <c r="H83" s="176">
        <f>IF(I83="مخالفات",50,Basic345678910111213141516171819202122232425262728293031[[#This Row],[قيمة الرسوم / العموله]]+Basic345678910111213141516171819202122232425262728293031[[#This Row],[قيمة الشحنه]])</f>
        <v>0</v>
      </c>
      <c r="I83" s="90"/>
      <c r="J83" s="142" t="str">
        <f t="shared" si="1"/>
        <v>2.5.2026</v>
      </c>
      <c r="L83" s="153">
        <v>72</v>
      </c>
      <c r="M83" s="92"/>
    </row>
    <row r="84" spans="1:13" ht="21.6" x14ac:dyDescent="0.65">
      <c r="A84" s="195"/>
      <c r="B84" s="140">
        <v>81</v>
      </c>
      <c r="C84" s="2"/>
      <c r="D84" s="1"/>
      <c r="E84" s="3"/>
      <c r="F84" s="1"/>
      <c r="G84" s="141">
        <f>IF(Basic345678910111213141516171819202122232425262728293031[[#This Row],[نوع الخدمة]]="مخالفات", 50,
IF(Basic345678910111213141516171819202122232425262728293031[[#This Row],[نوع الخدمة]]="كاش ان",
    IF(F84&lt;=100, 18, IF(F84&lt;=250, 23, IF(F84&lt;=500, 35, IF(F84&lt;=1000, 40, F84*0.04)))),
IF(Basic345678910111213141516171819202122232425262728293031[[#This Row],[نوع الخدمة]]="كاش اوت",
    IF(F84&lt;=100, 15, IF(F84&lt;=250, 20, IF(F84&lt;=500, 30, IF(F84&lt;=1000, 35, F84*0.035)))),
0)))</f>
        <v>0</v>
      </c>
      <c r="H84" s="176">
        <f>IF(I84="مخالفات",50,Basic345678910111213141516171819202122232425262728293031[[#This Row],[قيمة الرسوم / العموله]]+Basic345678910111213141516171819202122232425262728293031[[#This Row],[قيمة الشحنه]])</f>
        <v>0</v>
      </c>
      <c r="I84" s="90"/>
      <c r="J84" s="142" t="str">
        <f t="shared" si="1"/>
        <v>2.5.2026</v>
      </c>
      <c r="L84" s="153">
        <v>73</v>
      </c>
      <c r="M84" s="92"/>
    </row>
    <row r="85" spans="1:13" ht="21.6" x14ac:dyDescent="0.65">
      <c r="A85" s="195"/>
      <c r="B85" s="144">
        <v>82</v>
      </c>
      <c r="C85" s="2"/>
      <c r="D85" s="1"/>
      <c r="E85" s="3"/>
      <c r="F85" s="1"/>
      <c r="G85" s="141">
        <f>IF(Basic345678910111213141516171819202122232425262728293031[[#This Row],[نوع الخدمة]]="مخالفات", 50,
IF(Basic345678910111213141516171819202122232425262728293031[[#This Row],[نوع الخدمة]]="كاش ان",
    IF(F85&lt;=100, 18, IF(F85&lt;=250, 23, IF(F85&lt;=500, 35, IF(F85&lt;=1000, 40, F85*0.04)))),
IF(Basic345678910111213141516171819202122232425262728293031[[#This Row],[نوع الخدمة]]="كاش اوت",
    IF(F85&lt;=100, 15, IF(F85&lt;=250, 20, IF(F85&lt;=500, 30, IF(F85&lt;=1000, 35, F85*0.035)))),
0)))</f>
        <v>0</v>
      </c>
      <c r="H85" s="176">
        <f>IF(I85="مخالفات",50,Basic345678910111213141516171819202122232425262728293031[[#This Row],[قيمة الرسوم / العموله]]+Basic345678910111213141516171819202122232425262728293031[[#This Row],[قيمة الشحنه]])</f>
        <v>0</v>
      </c>
      <c r="I85" s="90"/>
      <c r="J85" s="142" t="str">
        <f t="shared" si="1"/>
        <v>2.5.2026</v>
      </c>
      <c r="L85" s="153">
        <v>74</v>
      </c>
      <c r="M85" s="92"/>
    </row>
    <row r="86" spans="1:13" ht="21.6" x14ac:dyDescent="0.65">
      <c r="A86" s="195"/>
      <c r="B86" s="140">
        <v>83</v>
      </c>
      <c r="C86" s="2"/>
      <c r="D86" s="1"/>
      <c r="E86" s="3"/>
      <c r="F86" s="1"/>
      <c r="G86" s="141">
        <f>IF(Basic345678910111213141516171819202122232425262728293031[[#This Row],[نوع الخدمة]]="مخالفات", 50,
IF(Basic345678910111213141516171819202122232425262728293031[[#This Row],[نوع الخدمة]]="كاش ان",
    IF(F86&lt;=100, 18, IF(F86&lt;=250, 23, IF(F86&lt;=500, 35, IF(F86&lt;=1000, 40, F86*0.04)))),
IF(Basic345678910111213141516171819202122232425262728293031[[#This Row],[نوع الخدمة]]="كاش اوت",
    IF(F86&lt;=100, 15, IF(F86&lt;=250, 20, IF(F86&lt;=500, 30, IF(F86&lt;=1000, 35, F86*0.035)))),
0)))</f>
        <v>0</v>
      </c>
      <c r="H86" s="176">
        <f>IF(I86="مخالفات",50,Basic345678910111213141516171819202122232425262728293031[[#This Row],[قيمة الرسوم / العموله]]+Basic345678910111213141516171819202122232425262728293031[[#This Row],[قيمة الشحنه]])</f>
        <v>0</v>
      </c>
      <c r="I86" s="90"/>
      <c r="J86" s="142" t="str">
        <f t="shared" si="1"/>
        <v>2.5.2026</v>
      </c>
      <c r="L86" s="153">
        <v>75</v>
      </c>
      <c r="M86" s="92"/>
    </row>
    <row r="87" spans="1:13" ht="21.6" x14ac:dyDescent="0.65">
      <c r="A87" s="195"/>
      <c r="B87" s="140">
        <v>84</v>
      </c>
      <c r="C87" s="2"/>
      <c r="D87" s="1"/>
      <c r="E87" s="3"/>
      <c r="F87" s="1"/>
      <c r="G87" s="141">
        <f>IF(Basic345678910111213141516171819202122232425262728293031[[#This Row],[نوع الخدمة]]="مخالفات", 50,
IF(Basic345678910111213141516171819202122232425262728293031[[#This Row],[نوع الخدمة]]="كاش ان",
    IF(F87&lt;=100, 18, IF(F87&lt;=250, 23, IF(F87&lt;=500, 35, IF(F87&lt;=1000, 40, F87*0.04)))),
IF(Basic345678910111213141516171819202122232425262728293031[[#This Row],[نوع الخدمة]]="كاش اوت",
    IF(F87&lt;=100, 15, IF(F87&lt;=250, 20, IF(F87&lt;=500, 30, IF(F87&lt;=1000, 35, F87*0.035)))),
0)))</f>
        <v>0</v>
      </c>
      <c r="H87" s="176">
        <f>IF(I87="مخالفات",50,Basic345678910111213141516171819202122232425262728293031[[#This Row],[قيمة الرسوم / العموله]]+Basic345678910111213141516171819202122232425262728293031[[#This Row],[قيمة الشحنه]])</f>
        <v>0</v>
      </c>
      <c r="I87" s="90"/>
      <c r="J87" s="142" t="str">
        <f t="shared" si="1"/>
        <v>2.5.2026</v>
      </c>
      <c r="L87" s="153">
        <v>76</v>
      </c>
      <c r="M87" s="92"/>
    </row>
    <row r="88" spans="1:13" ht="21.6" x14ac:dyDescent="0.65">
      <c r="A88" s="195"/>
      <c r="B88" s="140">
        <v>85</v>
      </c>
      <c r="C88" s="2"/>
      <c r="D88" s="1"/>
      <c r="E88" s="3"/>
      <c r="F88" s="1"/>
      <c r="G88" s="141">
        <f>IF(Basic345678910111213141516171819202122232425262728293031[[#This Row],[نوع الخدمة]]="مخالفات", 50,
IF(Basic345678910111213141516171819202122232425262728293031[[#This Row],[نوع الخدمة]]="كاش ان",
    IF(F88&lt;=100, 18, IF(F88&lt;=250, 23, IF(F88&lt;=500, 35, IF(F88&lt;=1000, 40, F88*0.04)))),
IF(Basic345678910111213141516171819202122232425262728293031[[#This Row],[نوع الخدمة]]="كاش اوت",
    IF(F88&lt;=100, 15, IF(F88&lt;=250, 20, IF(F88&lt;=500, 30, IF(F88&lt;=1000, 35, F88*0.035)))),
0)))</f>
        <v>0</v>
      </c>
      <c r="H88" s="176">
        <f>IF(I88="مخالفات",50,Basic345678910111213141516171819202122232425262728293031[[#This Row],[قيمة الرسوم / العموله]]+Basic345678910111213141516171819202122232425262728293031[[#This Row],[قيمة الشحنه]])</f>
        <v>0</v>
      </c>
      <c r="I88" s="90"/>
      <c r="J88" s="142" t="str">
        <f t="shared" si="1"/>
        <v>2.5.2026</v>
      </c>
      <c r="L88" s="153">
        <v>77</v>
      </c>
      <c r="M88" s="92"/>
    </row>
    <row r="89" spans="1:13" ht="21.6" x14ac:dyDescent="0.65">
      <c r="A89" s="195"/>
      <c r="B89" s="144">
        <v>86</v>
      </c>
      <c r="C89" s="2"/>
      <c r="D89" s="1"/>
      <c r="E89" s="3"/>
      <c r="F89" s="1"/>
      <c r="G89" s="141">
        <f>IF(Basic345678910111213141516171819202122232425262728293031[[#This Row],[نوع الخدمة]]="مخالفات", 50,
IF(Basic345678910111213141516171819202122232425262728293031[[#This Row],[نوع الخدمة]]="كاش ان",
    IF(F89&lt;=100, 18, IF(F89&lt;=250, 23, IF(F89&lt;=500, 35, IF(F89&lt;=1000, 40, F89*0.04)))),
IF(Basic345678910111213141516171819202122232425262728293031[[#This Row],[نوع الخدمة]]="كاش اوت",
    IF(F89&lt;=100, 15, IF(F89&lt;=250, 20, IF(F89&lt;=500, 30, IF(F89&lt;=1000, 35, F89*0.035)))),
0)))</f>
        <v>0</v>
      </c>
      <c r="H89" s="176">
        <f>IF(I89="مخالفات",50,Basic345678910111213141516171819202122232425262728293031[[#This Row],[قيمة الرسوم / العموله]]+Basic345678910111213141516171819202122232425262728293031[[#This Row],[قيمة الشحنه]])</f>
        <v>0</v>
      </c>
      <c r="I89" s="90"/>
      <c r="J89" s="142" t="str">
        <f t="shared" si="1"/>
        <v>2.5.2026</v>
      </c>
      <c r="L89" s="153">
        <v>78</v>
      </c>
      <c r="M89" s="92"/>
    </row>
    <row r="90" spans="1:13" ht="21.6" x14ac:dyDescent="0.65">
      <c r="A90" s="195"/>
      <c r="B90" s="140">
        <v>87</v>
      </c>
      <c r="C90" s="2"/>
      <c r="D90" s="1"/>
      <c r="E90" s="3"/>
      <c r="F90" s="1"/>
      <c r="G90" s="141">
        <f>IF(Basic345678910111213141516171819202122232425262728293031[[#This Row],[نوع الخدمة]]="مخالفات", 50,
IF(Basic345678910111213141516171819202122232425262728293031[[#This Row],[نوع الخدمة]]="كاش ان",
    IF(F90&lt;=100, 18, IF(F90&lt;=250, 23, IF(F90&lt;=500, 35, IF(F90&lt;=1000, 40, F90*0.04)))),
IF(Basic345678910111213141516171819202122232425262728293031[[#This Row],[نوع الخدمة]]="كاش اوت",
    IF(F90&lt;=100, 15, IF(F90&lt;=250, 20, IF(F90&lt;=500, 30, IF(F90&lt;=1000, 35, F90*0.035)))),
0)))</f>
        <v>0</v>
      </c>
      <c r="H90" s="176">
        <f>IF(I90="مخالفات",50,Basic345678910111213141516171819202122232425262728293031[[#This Row],[قيمة الرسوم / العموله]]+Basic345678910111213141516171819202122232425262728293031[[#This Row],[قيمة الشحنه]])</f>
        <v>0</v>
      </c>
      <c r="I90" s="90"/>
      <c r="J90" s="142" t="str">
        <f t="shared" si="1"/>
        <v>2.5.2026</v>
      </c>
      <c r="L90" s="153">
        <v>79</v>
      </c>
      <c r="M90" s="92"/>
    </row>
    <row r="91" spans="1:13" ht="21.6" x14ac:dyDescent="0.65">
      <c r="A91" s="195"/>
      <c r="B91" s="140">
        <v>88</v>
      </c>
      <c r="C91" s="2"/>
      <c r="D91" s="1"/>
      <c r="E91" s="3"/>
      <c r="F91" s="1"/>
      <c r="G91" s="141">
        <f>IF(Basic345678910111213141516171819202122232425262728293031[[#This Row],[نوع الخدمة]]="مخالفات", 50,
IF(Basic345678910111213141516171819202122232425262728293031[[#This Row],[نوع الخدمة]]="كاش ان",
    IF(F91&lt;=100, 18, IF(F91&lt;=250, 23, IF(F91&lt;=500, 35, IF(F91&lt;=1000, 40, F91*0.04)))),
IF(Basic345678910111213141516171819202122232425262728293031[[#This Row],[نوع الخدمة]]="كاش اوت",
    IF(F91&lt;=100, 15, IF(F91&lt;=250, 20, IF(F91&lt;=500, 30, IF(F91&lt;=1000, 35, F91*0.035)))),
0)))</f>
        <v>0</v>
      </c>
      <c r="H91" s="176">
        <f>IF(I91="مخالفات",50,Basic345678910111213141516171819202122232425262728293031[[#This Row],[قيمة الرسوم / العموله]]+Basic345678910111213141516171819202122232425262728293031[[#This Row],[قيمة الشحنه]])</f>
        <v>0</v>
      </c>
      <c r="I91" s="90"/>
      <c r="J91" s="142" t="str">
        <f t="shared" si="1"/>
        <v>2.5.2026</v>
      </c>
      <c r="L91" s="153">
        <v>80</v>
      </c>
      <c r="M91" s="92"/>
    </row>
    <row r="92" spans="1:13" ht="21.6" x14ac:dyDescent="0.65">
      <c r="A92" s="195"/>
      <c r="B92" s="140">
        <v>89</v>
      </c>
      <c r="C92" s="2"/>
      <c r="D92" s="1"/>
      <c r="E92" s="3"/>
      <c r="F92" s="1"/>
      <c r="G92" s="141">
        <f>IF(Basic345678910111213141516171819202122232425262728293031[[#This Row],[نوع الخدمة]]="مخالفات", 50,
IF(Basic345678910111213141516171819202122232425262728293031[[#This Row],[نوع الخدمة]]="كاش ان",
    IF(F92&lt;=100, 18, IF(F92&lt;=250, 23, IF(F92&lt;=500, 35, IF(F92&lt;=1000, 40, F92*0.04)))),
IF(Basic345678910111213141516171819202122232425262728293031[[#This Row],[نوع الخدمة]]="كاش اوت",
    IF(F92&lt;=100, 15, IF(F92&lt;=250, 20, IF(F92&lt;=500, 30, IF(F92&lt;=1000, 35, F92*0.035)))),
0)))</f>
        <v>0</v>
      </c>
      <c r="H92" s="176">
        <f>IF(I92="مخالفات",50,Basic345678910111213141516171819202122232425262728293031[[#This Row],[قيمة الرسوم / العموله]]+Basic345678910111213141516171819202122232425262728293031[[#This Row],[قيمة الشحنه]])</f>
        <v>0</v>
      </c>
      <c r="I92" s="90"/>
      <c r="J92" s="142" t="str">
        <f t="shared" si="1"/>
        <v>2.5.2026</v>
      </c>
      <c r="L92" s="153">
        <v>81</v>
      </c>
      <c r="M92" s="92"/>
    </row>
    <row r="93" spans="1:13" ht="21.6" x14ac:dyDescent="0.65">
      <c r="A93" s="195"/>
      <c r="B93" s="144">
        <v>90</v>
      </c>
      <c r="C93" s="2"/>
      <c r="D93" s="1"/>
      <c r="E93" s="3"/>
      <c r="F93" s="1"/>
      <c r="G93" s="141">
        <f>IF(Basic345678910111213141516171819202122232425262728293031[[#This Row],[نوع الخدمة]]="مخالفات", 50,
IF(Basic345678910111213141516171819202122232425262728293031[[#This Row],[نوع الخدمة]]="كاش ان",
    IF(F93&lt;=100, 18, IF(F93&lt;=250, 23, IF(F93&lt;=500, 35, IF(F93&lt;=1000, 40, F93*0.04)))),
IF(Basic345678910111213141516171819202122232425262728293031[[#This Row],[نوع الخدمة]]="كاش اوت",
    IF(F93&lt;=100, 15, IF(F93&lt;=250, 20, IF(F93&lt;=500, 30, IF(F93&lt;=1000, 35, F93*0.035)))),
0)))</f>
        <v>0</v>
      </c>
      <c r="H93" s="176">
        <f>IF(I93="مخالفات",50,Basic345678910111213141516171819202122232425262728293031[[#This Row],[قيمة الرسوم / العموله]]+Basic345678910111213141516171819202122232425262728293031[[#This Row],[قيمة الشحنه]])</f>
        <v>0</v>
      </c>
      <c r="I93" s="90"/>
      <c r="J93" s="142" t="str">
        <f t="shared" si="1"/>
        <v>2.5.2026</v>
      </c>
      <c r="L93" s="153">
        <v>82</v>
      </c>
      <c r="M93" s="92"/>
    </row>
    <row r="94" spans="1:13" ht="21.6" x14ac:dyDescent="0.65">
      <c r="A94" s="195"/>
      <c r="B94" s="140">
        <v>91</v>
      </c>
      <c r="C94" s="2"/>
      <c r="D94" s="1"/>
      <c r="E94" s="3"/>
      <c r="F94" s="1"/>
      <c r="G94" s="141">
        <f>IF(Basic345678910111213141516171819202122232425262728293031[[#This Row],[نوع الخدمة]]="مخالفات", 50,
IF(Basic345678910111213141516171819202122232425262728293031[[#This Row],[نوع الخدمة]]="كاش ان",
    IF(F94&lt;=100, 18, IF(F94&lt;=250, 23, IF(F94&lt;=500, 35, IF(F94&lt;=1000, 40, F94*0.04)))),
IF(Basic345678910111213141516171819202122232425262728293031[[#This Row],[نوع الخدمة]]="كاش اوت",
    IF(F94&lt;=100, 15, IF(F94&lt;=250, 20, IF(F94&lt;=500, 30, IF(F94&lt;=1000, 35, F94*0.035)))),
0)))</f>
        <v>0</v>
      </c>
      <c r="H94" s="176">
        <f>IF(I94="مخالفات",50,Basic345678910111213141516171819202122232425262728293031[[#This Row],[قيمة الرسوم / العموله]]+Basic345678910111213141516171819202122232425262728293031[[#This Row],[قيمة الشحنه]])</f>
        <v>0</v>
      </c>
      <c r="I94" s="90"/>
      <c r="J94" s="142" t="str">
        <f t="shared" si="1"/>
        <v>2.5.2026</v>
      </c>
      <c r="L94" s="153">
        <v>83</v>
      </c>
      <c r="M94" s="92"/>
    </row>
    <row r="95" spans="1:13" ht="21.6" x14ac:dyDescent="0.65">
      <c r="A95" s="195"/>
      <c r="B95" s="140">
        <v>92</v>
      </c>
      <c r="C95" s="2"/>
      <c r="D95" s="1"/>
      <c r="E95" s="3"/>
      <c r="F95" s="1"/>
      <c r="G95" s="141">
        <f>IF(Basic345678910111213141516171819202122232425262728293031[[#This Row],[نوع الخدمة]]="مخالفات", 50,
IF(Basic345678910111213141516171819202122232425262728293031[[#This Row],[نوع الخدمة]]="كاش ان",
    IF(F95&lt;=100, 18, IF(F95&lt;=250, 23, IF(F95&lt;=500, 35, IF(F95&lt;=1000, 40, F95*0.04)))),
IF(Basic345678910111213141516171819202122232425262728293031[[#This Row],[نوع الخدمة]]="كاش اوت",
    IF(F95&lt;=100, 15, IF(F95&lt;=250, 20, IF(F95&lt;=500, 30, IF(F95&lt;=1000, 35, F95*0.035)))),
0)))</f>
        <v>0</v>
      </c>
      <c r="H95" s="176">
        <f>IF(I95="مخالفات",50,Basic345678910111213141516171819202122232425262728293031[[#This Row],[قيمة الرسوم / العموله]]+Basic345678910111213141516171819202122232425262728293031[[#This Row],[قيمة الشحنه]])</f>
        <v>0</v>
      </c>
      <c r="I95" s="90"/>
      <c r="J95" s="142" t="str">
        <f t="shared" si="1"/>
        <v>2.5.2026</v>
      </c>
      <c r="L95" s="153">
        <v>84</v>
      </c>
      <c r="M95" s="92"/>
    </row>
    <row r="96" spans="1:13" ht="21.6" x14ac:dyDescent="0.65">
      <c r="A96" s="195"/>
      <c r="B96" s="140">
        <v>93</v>
      </c>
      <c r="C96" s="2"/>
      <c r="D96" s="1"/>
      <c r="E96" s="3"/>
      <c r="F96" s="1"/>
      <c r="G96" s="141">
        <f>IF(Basic345678910111213141516171819202122232425262728293031[[#This Row],[نوع الخدمة]]="مخالفات", 50,
IF(Basic345678910111213141516171819202122232425262728293031[[#This Row],[نوع الخدمة]]="كاش ان",
    IF(F96&lt;=100, 18, IF(F96&lt;=250, 23, IF(F96&lt;=500, 35, IF(F96&lt;=1000, 40, F96*0.04)))),
IF(Basic345678910111213141516171819202122232425262728293031[[#This Row],[نوع الخدمة]]="كاش اوت",
    IF(F96&lt;=100, 15, IF(F96&lt;=250, 20, IF(F96&lt;=500, 30, IF(F96&lt;=1000, 35, F96*0.035)))),
0)))</f>
        <v>0</v>
      </c>
      <c r="H96" s="176">
        <f>IF(I96="مخالفات",50,Basic345678910111213141516171819202122232425262728293031[[#This Row],[قيمة الرسوم / العموله]]+Basic345678910111213141516171819202122232425262728293031[[#This Row],[قيمة الشحنه]])</f>
        <v>0</v>
      </c>
      <c r="I96" s="90"/>
      <c r="J96" s="142" t="str">
        <f t="shared" si="1"/>
        <v>2.5.2026</v>
      </c>
      <c r="L96" s="153">
        <v>85</v>
      </c>
      <c r="M96" s="92"/>
    </row>
    <row r="97" spans="1:13" ht="21.6" x14ac:dyDescent="0.65">
      <c r="A97" s="195"/>
      <c r="B97" s="144">
        <v>94</v>
      </c>
      <c r="C97" s="2"/>
      <c r="D97" s="1"/>
      <c r="E97" s="3"/>
      <c r="F97" s="1"/>
      <c r="G97" s="141">
        <f>IF(Basic345678910111213141516171819202122232425262728293031[[#This Row],[نوع الخدمة]]="مخالفات", 50,
IF(Basic345678910111213141516171819202122232425262728293031[[#This Row],[نوع الخدمة]]="كاش ان",
    IF(F97&lt;=100, 18, IF(F97&lt;=250, 23, IF(F97&lt;=500, 35, IF(F97&lt;=1000, 40, F97*0.04)))),
IF(Basic345678910111213141516171819202122232425262728293031[[#This Row],[نوع الخدمة]]="كاش اوت",
    IF(F97&lt;=100, 15, IF(F97&lt;=250, 20, IF(F97&lt;=500, 30, IF(F97&lt;=1000, 35, F97*0.035)))),
0)))</f>
        <v>0</v>
      </c>
      <c r="H97" s="176">
        <f>IF(I97="مخالفات",50,Basic345678910111213141516171819202122232425262728293031[[#This Row],[قيمة الرسوم / العموله]]+Basic345678910111213141516171819202122232425262728293031[[#This Row],[قيمة الشحنه]])</f>
        <v>0</v>
      </c>
      <c r="I97" s="90"/>
      <c r="J97" s="142" t="str">
        <f t="shared" si="1"/>
        <v>2.5.2026</v>
      </c>
      <c r="L97" s="153">
        <v>86</v>
      </c>
      <c r="M97" s="92"/>
    </row>
    <row r="98" spans="1:13" ht="21.6" x14ac:dyDescent="0.65">
      <c r="A98" s="195"/>
      <c r="B98" s="140">
        <v>95</v>
      </c>
      <c r="C98" s="2"/>
      <c r="D98" s="1"/>
      <c r="E98" s="3"/>
      <c r="F98" s="1"/>
      <c r="G98" s="141">
        <f>IF(Basic345678910111213141516171819202122232425262728293031[[#This Row],[نوع الخدمة]]="مخالفات", 50,
IF(Basic345678910111213141516171819202122232425262728293031[[#This Row],[نوع الخدمة]]="كاش ان",
    IF(F98&lt;=100, 18, IF(F98&lt;=250, 23, IF(F98&lt;=500, 35, IF(F98&lt;=1000, 40, F98*0.04)))),
IF(Basic345678910111213141516171819202122232425262728293031[[#This Row],[نوع الخدمة]]="كاش اوت",
    IF(F98&lt;=100, 15, IF(F98&lt;=250, 20, IF(F98&lt;=500, 30, IF(F98&lt;=1000, 35, F98*0.035)))),
0)))</f>
        <v>0</v>
      </c>
      <c r="H98" s="176">
        <f>IF(I98="مخالفات",50,Basic345678910111213141516171819202122232425262728293031[[#This Row],[قيمة الرسوم / العموله]]+Basic345678910111213141516171819202122232425262728293031[[#This Row],[قيمة الشحنه]])</f>
        <v>0</v>
      </c>
      <c r="I98" s="90"/>
      <c r="J98" s="142" t="str">
        <f t="shared" si="1"/>
        <v>2.5.2026</v>
      </c>
      <c r="L98" s="153">
        <v>87</v>
      </c>
      <c r="M98" s="92"/>
    </row>
    <row r="99" spans="1:13" ht="21.6" x14ac:dyDescent="0.65">
      <c r="A99" s="195"/>
      <c r="B99" s="140">
        <v>96</v>
      </c>
      <c r="C99" s="2"/>
      <c r="D99" s="1"/>
      <c r="E99" s="3"/>
      <c r="F99" s="1"/>
      <c r="G99" s="141">
        <f>IF(Basic345678910111213141516171819202122232425262728293031[[#This Row],[نوع الخدمة]]="مخالفات", 50,
IF(Basic345678910111213141516171819202122232425262728293031[[#This Row],[نوع الخدمة]]="كاش ان",
    IF(F99&lt;=100, 18, IF(F99&lt;=250, 23, IF(F99&lt;=500, 35, IF(F99&lt;=1000, 40, F99*0.04)))),
IF(Basic345678910111213141516171819202122232425262728293031[[#This Row],[نوع الخدمة]]="كاش اوت",
    IF(F99&lt;=100, 15, IF(F99&lt;=250, 20, IF(F99&lt;=500, 30, IF(F99&lt;=1000, 35, F99*0.035)))),
0)))</f>
        <v>0</v>
      </c>
      <c r="H99" s="176">
        <f>IF(I99="مخالفات",50,Basic345678910111213141516171819202122232425262728293031[[#This Row],[قيمة الرسوم / العموله]]+Basic345678910111213141516171819202122232425262728293031[[#This Row],[قيمة الشحنه]])</f>
        <v>0</v>
      </c>
      <c r="I99" s="90"/>
      <c r="J99" s="142" t="str">
        <f t="shared" si="1"/>
        <v>2.5.2026</v>
      </c>
      <c r="L99" s="153">
        <v>88</v>
      </c>
      <c r="M99" s="92"/>
    </row>
    <row r="100" spans="1:13" ht="21.6" x14ac:dyDescent="0.65">
      <c r="A100" s="195"/>
      <c r="B100" s="140">
        <v>97</v>
      </c>
      <c r="C100" s="2"/>
      <c r="D100" s="1"/>
      <c r="E100" s="3"/>
      <c r="F100" s="1"/>
      <c r="G100" s="141">
        <f>IF(Basic345678910111213141516171819202122232425262728293031[[#This Row],[نوع الخدمة]]="مخالفات", 50,
IF(Basic345678910111213141516171819202122232425262728293031[[#This Row],[نوع الخدمة]]="كاش ان",
    IF(F100&lt;=100, 18, IF(F100&lt;=250, 23, IF(F100&lt;=500, 35, IF(F100&lt;=1000, 40, F100*0.04)))),
IF(Basic345678910111213141516171819202122232425262728293031[[#This Row],[نوع الخدمة]]="كاش اوت",
    IF(F100&lt;=100, 15, IF(F100&lt;=250, 20, IF(F100&lt;=500, 30, IF(F100&lt;=1000, 35, F100*0.035)))),
0)))</f>
        <v>0</v>
      </c>
      <c r="H100" s="176">
        <f>IF(I100="مخالفات",50,Basic345678910111213141516171819202122232425262728293031[[#This Row],[قيمة الرسوم / العموله]]+Basic345678910111213141516171819202122232425262728293031[[#This Row],[قيمة الشحنه]])</f>
        <v>0</v>
      </c>
      <c r="I100" s="90"/>
      <c r="J100" s="142" t="str">
        <f t="shared" si="1"/>
        <v>2.5.2026</v>
      </c>
      <c r="L100" s="153">
        <v>89</v>
      </c>
      <c r="M100" s="92"/>
    </row>
    <row r="101" spans="1:13" ht="21.6" x14ac:dyDescent="0.65">
      <c r="A101" s="195"/>
      <c r="B101" s="144">
        <v>98</v>
      </c>
      <c r="C101" s="2"/>
      <c r="D101" s="1"/>
      <c r="E101" s="3"/>
      <c r="F101" s="1"/>
      <c r="G101" s="141">
        <f>IF(Basic345678910111213141516171819202122232425262728293031[[#This Row],[نوع الخدمة]]="مخالفات", 50,
IF(Basic345678910111213141516171819202122232425262728293031[[#This Row],[نوع الخدمة]]="كاش ان",
    IF(F101&lt;=100, 18, IF(F101&lt;=250, 23, IF(F101&lt;=500, 35, IF(F101&lt;=1000, 40, F101*0.04)))),
IF(Basic345678910111213141516171819202122232425262728293031[[#This Row],[نوع الخدمة]]="كاش اوت",
    IF(F101&lt;=100, 15, IF(F101&lt;=250, 20, IF(F101&lt;=500, 30, IF(F101&lt;=1000, 35, F101*0.035)))),
0)))</f>
        <v>0</v>
      </c>
      <c r="H101" s="176">
        <f>IF(I101="مخالفات",50,Basic345678910111213141516171819202122232425262728293031[[#This Row],[قيمة الرسوم / العموله]]+Basic345678910111213141516171819202122232425262728293031[[#This Row],[قيمة الشحنه]])</f>
        <v>0</v>
      </c>
      <c r="I101" s="90"/>
      <c r="J101" s="142" t="str">
        <f t="shared" si="1"/>
        <v>2.5.2026</v>
      </c>
      <c r="L101" s="153">
        <v>90</v>
      </c>
      <c r="M101" s="92"/>
    </row>
    <row r="102" spans="1:13" ht="21.6" x14ac:dyDescent="0.65">
      <c r="A102" s="195"/>
      <c r="B102" s="140">
        <v>99</v>
      </c>
      <c r="C102" s="2"/>
      <c r="D102" s="1"/>
      <c r="E102" s="3"/>
      <c r="F102" s="1"/>
      <c r="G102" s="141">
        <f>IF(Basic345678910111213141516171819202122232425262728293031[[#This Row],[نوع الخدمة]]="مخالفات", 50,
IF(Basic345678910111213141516171819202122232425262728293031[[#This Row],[نوع الخدمة]]="كاش ان",
    IF(F102&lt;=100, 18, IF(F102&lt;=250, 23, IF(F102&lt;=500, 35, IF(F102&lt;=1000, 40, F102*0.04)))),
IF(Basic345678910111213141516171819202122232425262728293031[[#This Row],[نوع الخدمة]]="كاش اوت",
    IF(F102&lt;=100, 15, IF(F102&lt;=250, 20, IF(F102&lt;=500, 30, IF(F102&lt;=1000, 35, F102*0.035)))),
0)))</f>
        <v>0</v>
      </c>
      <c r="H102" s="176">
        <f>IF(I102="مخالفات",50,Basic345678910111213141516171819202122232425262728293031[[#This Row],[قيمة الرسوم / العموله]]+Basic345678910111213141516171819202122232425262728293031[[#This Row],[قيمة الشحنه]])</f>
        <v>0</v>
      </c>
      <c r="I102" s="90"/>
      <c r="J102" s="142" t="str">
        <f t="shared" si="1"/>
        <v>2.5.2026</v>
      </c>
      <c r="L102" s="153">
        <v>91</v>
      </c>
      <c r="M102" s="92"/>
    </row>
    <row r="103" spans="1:13" ht="21.6" x14ac:dyDescent="0.65">
      <c r="A103" s="195"/>
      <c r="B103" s="140">
        <v>100</v>
      </c>
      <c r="C103" s="2"/>
      <c r="D103" s="1"/>
      <c r="E103" s="3"/>
      <c r="F103" s="1"/>
      <c r="G103" s="141">
        <f>IF(Basic345678910111213141516171819202122232425262728293031[[#This Row],[نوع الخدمة]]="مخالفات", 50,
IF(Basic345678910111213141516171819202122232425262728293031[[#This Row],[نوع الخدمة]]="كاش ان",
    IF(F103&lt;=100, 18, IF(F103&lt;=250, 23, IF(F103&lt;=500, 35, IF(F103&lt;=1000, 40, F103*0.04)))),
IF(Basic345678910111213141516171819202122232425262728293031[[#This Row],[نوع الخدمة]]="كاش اوت",
    IF(F103&lt;=100, 15, IF(F103&lt;=250, 20, IF(F103&lt;=500, 30, IF(F103&lt;=1000, 35, F103*0.035)))),
0)))</f>
        <v>0</v>
      </c>
      <c r="H103" s="176">
        <f>IF(I103="مخالفات",50,Basic345678910111213141516171819202122232425262728293031[[#This Row],[قيمة الرسوم / العموله]]+Basic345678910111213141516171819202122232425262728293031[[#This Row],[قيمة الشحنه]])</f>
        <v>0</v>
      </c>
      <c r="I103" s="90"/>
      <c r="J103" s="142" t="str">
        <f t="shared" si="1"/>
        <v>2.5.2026</v>
      </c>
      <c r="L103" s="153">
        <v>92</v>
      </c>
      <c r="M103" s="92"/>
    </row>
    <row r="104" spans="1:13" ht="21.6" x14ac:dyDescent="0.65">
      <c r="A104" s="195"/>
      <c r="B104" s="140">
        <v>101</v>
      </c>
      <c r="C104" s="2"/>
      <c r="D104" s="1"/>
      <c r="E104" s="3"/>
      <c r="F104" s="1"/>
      <c r="G104" s="141">
        <f>IF(Basic345678910111213141516171819202122232425262728293031[[#This Row],[نوع الخدمة]]="مخالفات", 50,
IF(Basic345678910111213141516171819202122232425262728293031[[#This Row],[نوع الخدمة]]="كاش ان",
    IF(F104&lt;=100, 18, IF(F104&lt;=250, 23, IF(F104&lt;=500, 35, IF(F104&lt;=1000, 40, F104*0.04)))),
IF(Basic345678910111213141516171819202122232425262728293031[[#This Row],[نوع الخدمة]]="كاش اوت",
    IF(F104&lt;=100, 15, IF(F104&lt;=250, 20, IF(F104&lt;=500, 30, IF(F104&lt;=1000, 35, F104*0.035)))),
0)))</f>
        <v>0</v>
      </c>
      <c r="H104" s="176">
        <f>IF(I104="مخالفات",50,Basic345678910111213141516171819202122232425262728293031[[#This Row],[قيمة الرسوم / العموله]]+Basic345678910111213141516171819202122232425262728293031[[#This Row],[قيمة الشحنه]])</f>
        <v>0</v>
      </c>
      <c r="I104" s="90"/>
      <c r="J104" s="142" t="str">
        <f t="shared" si="1"/>
        <v>2.5.2026</v>
      </c>
      <c r="L104" s="153">
        <v>93</v>
      </c>
      <c r="M104" s="92"/>
    </row>
    <row r="105" spans="1:13" ht="21.6" x14ac:dyDescent="0.65">
      <c r="A105" s="195"/>
      <c r="B105" s="144">
        <v>102</v>
      </c>
      <c r="C105" s="2"/>
      <c r="D105" s="1"/>
      <c r="E105" s="3"/>
      <c r="F105" s="1"/>
      <c r="G105" s="141">
        <f>IF(Basic345678910111213141516171819202122232425262728293031[[#This Row],[نوع الخدمة]]="مخالفات", 50,
IF(Basic345678910111213141516171819202122232425262728293031[[#This Row],[نوع الخدمة]]="كاش ان",
    IF(F105&lt;=100, 18, IF(F105&lt;=250, 23, IF(F105&lt;=500, 35, IF(F105&lt;=1000, 40, F105*0.04)))),
IF(Basic345678910111213141516171819202122232425262728293031[[#This Row],[نوع الخدمة]]="كاش اوت",
    IF(F105&lt;=100, 15, IF(F105&lt;=250, 20, IF(F105&lt;=500, 30, IF(F105&lt;=1000, 35, F105*0.035)))),
0)))</f>
        <v>0</v>
      </c>
      <c r="H105" s="176">
        <f>IF(I105="مخالفات",50,Basic345678910111213141516171819202122232425262728293031[[#This Row],[قيمة الرسوم / العموله]]+Basic345678910111213141516171819202122232425262728293031[[#This Row],[قيمة الشحنه]])</f>
        <v>0</v>
      </c>
      <c r="I105" s="90"/>
      <c r="J105" s="142" t="str">
        <f t="shared" si="1"/>
        <v>2.5.2026</v>
      </c>
      <c r="L105" s="153">
        <v>94</v>
      </c>
      <c r="M105" s="92"/>
    </row>
    <row r="106" spans="1:13" ht="21.6" x14ac:dyDescent="0.65">
      <c r="A106" s="195"/>
      <c r="B106" s="140">
        <v>103</v>
      </c>
      <c r="C106" s="2"/>
      <c r="D106" s="1"/>
      <c r="E106" s="3"/>
      <c r="F106" s="1"/>
      <c r="G106" s="141">
        <f>IF(Basic345678910111213141516171819202122232425262728293031[[#This Row],[نوع الخدمة]]="مخالفات", 50,
IF(Basic345678910111213141516171819202122232425262728293031[[#This Row],[نوع الخدمة]]="كاش ان",
    IF(F106&lt;=100, 18, IF(F106&lt;=250, 23, IF(F106&lt;=500, 35, IF(F106&lt;=1000, 40, F106*0.04)))),
IF(Basic345678910111213141516171819202122232425262728293031[[#This Row],[نوع الخدمة]]="كاش اوت",
    IF(F106&lt;=100, 15, IF(F106&lt;=250, 20, IF(F106&lt;=500, 30, IF(F106&lt;=1000, 35, F106*0.035)))),
0)))</f>
        <v>0</v>
      </c>
      <c r="H106" s="176">
        <f>IF(I106="مخالفات",50,Basic345678910111213141516171819202122232425262728293031[[#This Row],[قيمة الرسوم / العموله]]+Basic345678910111213141516171819202122232425262728293031[[#This Row],[قيمة الشحنه]])</f>
        <v>0</v>
      </c>
      <c r="I106" s="90"/>
      <c r="J106" s="142" t="str">
        <f t="shared" si="1"/>
        <v>2.5.2026</v>
      </c>
      <c r="L106" s="153">
        <v>95</v>
      </c>
      <c r="M106" s="92"/>
    </row>
    <row r="107" spans="1:13" ht="21.6" x14ac:dyDescent="0.65">
      <c r="A107" s="195"/>
      <c r="B107" s="140">
        <v>104</v>
      </c>
      <c r="C107" s="2"/>
      <c r="D107" s="1"/>
      <c r="E107" s="3"/>
      <c r="F107" s="1"/>
      <c r="G107" s="141">
        <f>IF(Basic345678910111213141516171819202122232425262728293031[[#This Row],[نوع الخدمة]]="مخالفات", 50,
IF(Basic345678910111213141516171819202122232425262728293031[[#This Row],[نوع الخدمة]]="كاش ان",
    IF(F107&lt;=100, 18, IF(F107&lt;=250, 23, IF(F107&lt;=500, 35, IF(F107&lt;=1000, 40, F107*0.04)))),
IF(Basic345678910111213141516171819202122232425262728293031[[#This Row],[نوع الخدمة]]="كاش اوت",
    IF(F107&lt;=100, 15, IF(F107&lt;=250, 20, IF(F107&lt;=500, 30, IF(F107&lt;=1000, 35, F107*0.035)))),
0)))</f>
        <v>0</v>
      </c>
      <c r="H107" s="176">
        <f>IF(I107="مخالفات",50,Basic345678910111213141516171819202122232425262728293031[[#This Row],[قيمة الرسوم / العموله]]+Basic345678910111213141516171819202122232425262728293031[[#This Row],[قيمة الشحنه]])</f>
        <v>0</v>
      </c>
      <c r="I107" s="90"/>
      <c r="J107" s="142" t="str">
        <f t="shared" si="1"/>
        <v>2.5.2026</v>
      </c>
      <c r="L107" s="153">
        <v>96</v>
      </c>
      <c r="M107" s="92"/>
    </row>
    <row r="108" spans="1:13" ht="21.6" x14ac:dyDescent="0.65">
      <c r="A108" s="195"/>
      <c r="B108" s="140">
        <v>105</v>
      </c>
      <c r="C108" s="2"/>
      <c r="D108" s="1"/>
      <c r="E108" s="3"/>
      <c r="F108" s="1"/>
      <c r="G108" s="141">
        <f>IF(Basic345678910111213141516171819202122232425262728293031[[#This Row],[نوع الخدمة]]="مخالفات", 50,
IF(Basic345678910111213141516171819202122232425262728293031[[#This Row],[نوع الخدمة]]="كاش ان",
    IF(F108&lt;=100, 18, IF(F108&lt;=250, 23, IF(F108&lt;=500, 35, IF(F108&lt;=1000, 40, F108*0.04)))),
IF(Basic345678910111213141516171819202122232425262728293031[[#This Row],[نوع الخدمة]]="كاش اوت",
    IF(F108&lt;=100, 15, IF(F108&lt;=250, 20, IF(F108&lt;=500, 30, IF(F108&lt;=1000, 35, F108*0.035)))),
0)))</f>
        <v>0</v>
      </c>
      <c r="H108" s="176">
        <f>IF(I108="مخالفات",50,Basic345678910111213141516171819202122232425262728293031[[#This Row],[قيمة الرسوم / العموله]]+Basic345678910111213141516171819202122232425262728293031[[#This Row],[قيمة الشحنه]])</f>
        <v>0</v>
      </c>
      <c r="I108" s="90"/>
      <c r="J108" s="142" t="str">
        <f t="shared" si="1"/>
        <v>2.5.2026</v>
      </c>
      <c r="L108" s="153">
        <v>97</v>
      </c>
      <c r="M108" s="92"/>
    </row>
    <row r="109" spans="1:13" ht="21.6" x14ac:dyDescent="0.65">
      <c r="A109" s="195"/>
      <c r="B109" s="144">
        <v>106</v>
      </c>
      <c r="C109" s="2"/>
      <c r="D109" s="1"/>
      <c r="E109" s="3"/>
      <c r="F109" s="1"/>
      <c r="G109" s="141">
        <f>IF(Basic345678910111213141516171819202122232425262728293031[[#This Row],[نوع الخدمة]]="مخالفات", 50,
IF(Basic345678910111213141516171819202122232425262728293031[[#This Row],[نوع الخدمة]]="كاش ان",
    IF(F109&lt;=100, 18, IF(F109&lt;=250, 23, IF(F109&lt;=500, 35, IF(F109&lt;=1000, 40, F109*0.04)))),
IF(Basic345678910111213141516171819202122232425262728293031[[#This Row],[نوع الخدمة]]="كاش اوت",
    IF(F109&lt;=100, 15, IF(F109&lt;=250, 20, IF(F109&lt;=500, 30, IF(F109&lt;=1000, 35, F109*0.035)))),
0)))</f>
        <v>0</v>
      </c>
      <c r="H109" s="176">
        <f>IF(I109="مخالفات",50,Basic345678910111213141516171819202122232425262728293031[[#This Row],[قيمة الرسوم / العموله]]+Basic345678910111213141516171819202122232425262728293031[[#This Row],[قيمة الشحنه]])</f>
        <v>0</v>
      </c>
      <c r="I109" s="90"/>
      <c r="J109" s="142" t="str">
        <f t="shared" si="1"/>
        <v>2.5.2026</v>
      </c>
      <c r="L109" s="153">
        <v>98</v>
      </c>
      <c r="M109" s="92"/>
    </row>
    <row r="110" spans="1:13" ht="21.6" x14ac:dyDescent="0.65">
      <c r="A110" s="195"/>
      <c r="B110" s="140">
        <v>107</v>
      </c>
      <c r="C110" s="2"/>
      <c r="D110" s="1"/>
      <c r="E110" s="3"/>
      <c r="F110" s="1"/>
      <c r="G110" s="141">
        <f>IF(Basic345678910111213141516171819202122232425262728293031[[#This Row],[نوع الخدمة]]="مخالفات", 50,
IF(Basic345678910111213141516171819202122232425262728293031[[#This Row],[نوع الخدمة]]="كاش ان",
    IF(F110&lt;=100, 18, IF(F110&lt;=250, 23, IF(F110&lt;=500, 35, IF(F110&lt;=1000, 40, F110*0.04)))),
IF(Basic345678910111213141516171819202122232425262728293031[[#This Row],[نوع الخدمة]]="كاش اوت",
    IF(F110&lt;=100, 15, IF(F110&lt;=250, 20, IF(F110&lt;=500, 30, IF(F110&lt;=1000, 35, F110*0.035)))),
0)))</f>
        <v>0</v>
      </c>
      <c r="H110" s="176">
        <f>IF(I110="مخالفات",50,Basic345678910111213141516171819202122232425262728293031[[#This Row],[قيمة الرسوم / العموله]]+Basic345678910111213141516171819202122232425262728293031[[#This Row],[قيمة الشحنه]])</f>
        <v>0</v>
      </c>
      <c r="I110" s="90"/>
      <c r="J110" s="142" t="str">
        <f t="shared" si="1"/>
        <v>2.5.2026</v>
      </c>
      <c r="L110" s="153">
        <v>99</v>
      </c>
      <c r="M110" s="92"/>
    </row>
    <row r="111" spans="1:13" ht="21.6" x14ac:dyDescent="0.65">
      <c r="A111" s="195"/>
      <c r="B111" s="140">
        <v>108</v>
      </c>
      <c r="C111" s="2"/>
      <c r="D111" s="1"/>
      <c r="E111" s="3"/>
      <c r="F111" s="1"/>
      <c r="G111" s="141">
        <f>IF(Basic345678910111213141516171819202122232425262728293031[[#This Row],[نوع الخدمة]]="مخالفات", 50,
IF(Basic345678910111213141516171819202122232425262728293031[[#This Row],[نوع الخدمة]]="كاش ان",
    IF(F111&lt;=100, 18, IF(F111&lt;=250, 23, IF(F111&lt;=500, 35, IF(F111&lt;=1000, 40, F111*0.04)))),
IF(Basic345678910111213141516171819202122232425262728293031[[#This Row],[نوع الخدمة]]="كاش اوت",
    IF(F111&lt;=100, 15, IF(F111&lt;=250, 20, IF(F111&lt;=500, 30, IF(F111&lt;=1000, 35, F111*0.035)))),
0)))</f>
        <v>0</v>
      </c>
      <c r="H111" s="176">
        <f>IF(I111="مخالفات",50,Basic345678910111213141516171819202122232425262728293031[[#This Row],[قيمة الرسوم / العموله]]+Basic345678910111213141516171819202122232425262728293031[[#This Row],[قيمة الشحنه]])</f>
        <v>0</v>
      </c>
      <c r="I111" s="90"/>
      <c r="J111" s="142" t="str">
        <f t="shared" si="1"/>
        <v>2.5.2026</v>
      </c>
      <c r="L111" s="153">
        <v>100</v>
      </c>
      <c r="M111" s="92"/>
    </row>
    <row r="112" spans="1:13" ht="21.6" x14ac:dyDescent="0.65">
      <c r="A112" s="195"/>
      <c r="B112" s="140">
        <v>109</v>
      </c>
      <c r="C112" s="2"/>
      <c r="D112" s="1"/>
      <c r="E112" s="3"/>
      <c r="F112" s="1"/>
      <c r="G112" s="141">
        <f>IF(Basic345678910111213141516171819202122232425262728293031[[#This Row],[نوع الخدمة]]="مخالفات", 50,
IF(Basic345678910111213141516171819202122232425262728293031[[#This Row],[نوع الخدمة]]="كاش ان",
    IF(F112&lt;=100, 18, IF(F112&lt;=250, 23, IF(F112&lt;=500, 35, IF(F112&lt;=1000, 40, F112*0.04)))),
IF(Basic345678910111213141516171819202122232425262728293031[[#This Row],[نوع الخدمة]]="كاش اوت",
    IF(F112&lt;=100, 15, IF(F112&lt;=250, 20, IF(F112&lt;=500, 30, IF(F112&lt;=1000, 35, F112*0.035)))),
0)))</f>
        <v>0</v>
      </c>
      <c r="H112" s="176">
        <f>IF(I112="مخالفات",50,Basic345678910111213141516171819202122232425262728293031[[#This Row],[قيمة الرسوم / العموله]]+Basic345678910111213141516171819202122232425262728293031[[#This Row],[قيمة الشحنه]])</f>
        <v>0</v>
      </c>
      <c r="I112" s="90"/>
      <c r="J112" s="142" t="str">
        <f t="shared" si="1"/>
        <v>2.5.2026</v>
      </c>
      <c r="L112" s="153">
        <v>101</v>
      </c>
      <c r="M112" s="92"/>
    </row>
    <row r="113" spans="1:13" ht="21.6" x14ac:dyDescent="0.65">
      <c r="A113" s="195"/>
      <c r="B113" s="144">
        <v>110</v>
      </c>
      <c r="C113" s="2"/>
      <c r="D113" s="1"/>
      <c r="E113" s="3"/>
      <c r="F113" s="1"/>
      <c r="G113" s="141">
        <f>IF(Basic345678910111213141516171819202122232425262728293031[[#This Row],[نوع الخدمة]]="مخالفات", 50,
IF(Basic345678910111213141516171819202122232425262728293031[[#This Row],[نوع الخدمة]]="كاش ان",
    IF(F113&lt;=100, 18, IF(F113&lt;=250, 23, IF(F113&lt;=500, 35, IF(F113&lt;=1000, 40, F113*0.04)))),
IF(Basic345678910111213141516171819202122232425262728293031[[#This Row],[نوع الخدمة]]="كاش اوت",
    IF(F113&lt;=100, 15, IF(F113&lt;=250, 20, IF(F113&lt;=500, 30, IF(F113&lt;=1000, 35, F113*0.035)))),
0)))</f>
        <v>0</v>
      </c>
      <c r="H113" s="176">
        <f>IF(I113="مخالفات",50,Basic345678910111213141516171819202122232425262728293031[[#This Row],[قيمة الرسوم / العموله]]+Basic345678910111213141516171819202122232425262728293031[[#This Row],[قيمة الشحنه]])</f>
        <v>0</v>
      </c>
      <c r="I113" s="90"/>
      <c r="J113" s="142" t="str">
        <f t="shared" si="1"/>
        <v>2.5.2026</v>
      </c>
      <c r="L113" s="153">
        <v>102</v>
      </c>
      <c r="M113" s="92"/>
    </row>
    <row r="114" spans="1:13" ht="21.6" x14ac:dyDescent="0.65">
      <c r="A114" s="195"/>
      <c r="B114" s="140">
        <v>111</v>
      </c>
      <c r="C114" s="2"/>
      <c r="D114" s="1"/>
      <c r="E114" s="3"/>
      <c r="F114" s="1"/>
      <c r="G114" s="141">
        <f>IF(Basic345678910111213141516171819202122232425262728293031[[#This Row],[نوع الخدمة]]="مخالفات", 50,
IF(Basic345678910111213141516171819202122232425262728293031[[#This Row],[نوع الخدمة]]="كاش ان",
    IF(F114&lt;=100, 18, IF(F114&lt;=250, 23, IF(F114&lt;=500, 35, IF(F114&lt;=1000, 40, F114*0.04)))),
IF(Basic345678910111213141516171819202122232425262728293031[[#This Row],[نوع الخدمة]]="كاش اوت",
    IF(F114&lt;=100, 15, IF(F114&lt;=250, 20, IF(F114&lt;=500, 30, IF(F114&lt;=1000, 35, F114*0.035)))),
0)))</f>
        <v>0</v>
      </c>
      <c r="H114" s="176">
        <f>IF(I114="مخالفات",50,Basic345678910111213141516171819202122232425262728293031[[#This Row],[قيمة الرسوم / العموله]]+Basic345678910111213141516171819202122232425262728293031[[#This Row],[قيمة الشحنه]])</f>
        <v>0</v>
      </c>
      <c r="I114" s="90"/>
      <c r="J114" s="142" t="str">
        <f t="shared" si="1"/>
        <v>2.5.2026</v>
      </c>
      <c r="L114" s="153">
        <v>103</v>
      </c>
      <c r="M114" s="92"/>
    </row>
    <row r="115" spans="1:13" ht="21.6" x14ac:dyDescent="0.65">
      <c r="A115" s="195"/>
      <c r="B115" s="140">
        <v>112</v>
      </c>
      <c r="C115" s="2"/>
      <c r="D115" s="1"/>
      <c r="E115" s="3"/>
      <c r="F115" s="1"/>
      <c r="G115" s="141">
        <f>IF(Basic345678910111213141516171819202122232425262728293031[[#This Row],[نوع الخدمة]]="مخالفات", 50,
IF(Basic345678910111213141516171819202122232425262728293031[[#This Row],[نوع الخدمة]]="كاش ان",
    IF(F115&lt;=100, 18, IF(F115&lt;=250, 23, IF(F115&lt;=500, 35, IF(F115&lt;=1000, 40, F115*0.04)))),
IF(Basic345678910111213141516171819202122232425262728293031[[#This Row],[نوع الخدمة]]="كاش اوت",
    IF(F115&lt;=100, 15, IF(F115&lt;=250, 20, IF(F115&lt;=500, 30, IF(F115&lt;=1000, 35, F115*0.035)))),
0)))</f>
        <v>0</v>
      </c>
      <c r="H115" s="176">
        <f>IF(I115="مخالفات",50,Basic345678910111213141516171819202122232425262728293031[[#This Row],[قيمة الرسوم / العموله]]+Basic345678910111213141516171819202122232425262728293031[[#This Row],[قيمة الشحنه]])</f>
        <v>0</v>
      </c>
      <c r="I115" s="90"/>
      <c r="J115" s="142" t="str">
        <f t="shared" si="1"/>
        <v>2.5.2026</v>
      </c>
      <c r="L115" s="153">
        <v>104</v>
      </c>
      <c r="M115" s="92"/>
    </row>
    <row r="116" spans="1:13" ht="21.6" x14ac:dyDescent="0.65">
      <c r="A116" s="195"/>
      <c r="B116" s="140">
        <v>113</v>
      </c>
      <c r="C116" s="2"/>
      <c r="D116" s="1"/>
      <c r="E116" s="3"/>
      <c r="F116" s="1"/>
      <c r="G116" s="141">
        <f>IF(Basic345678910111213141516171819202122232425262728293031[[#This Row],[نوع الخدمة]]="مخالفات", 50,
IF(Basic345678910111213141516171819202122232425262728293031[[#This Row],[نوع الخدمة]]="كاش ان",
    IF(F116&lt;=100, 18, IF(F116&lt;=250, 23, IF(F116&lt;=500, 35, IF(F116&lt;=1000, 40, F116*0.04)))),
IF(Basic345678910111213141516171819202122232425262728293031[[#This Row],[نوع الخدمة]]="كاش اوت",
    IF(F116&lt;=100, 15, IF(F116&lt;=250, 20, IF(F116&lt;=500, 30, IF(F116&lt;=1000, 35, F116*0.035)))),
0)))</f>
        <v>0</v>
      </c>
      <c r="H116" s="176">
        <f>IF(I116="مخالفات",50,Basic345678910111213141516171819202122232425262728293031[[#This Row],[قيمة الرسوم / العموله]]+Basic345678910111213141516171819202122232425262728293031[[#This Row],[قيمة الشحنه]])</f>
        <v>0</v>
      </c>
      <c r="I116" s="90"/>
      <c r="J116" s="142" t="str">
        <f t="shared" si="1"/>
        <v>2.5.2026</v>
      </c>
      <c r="L116" s="153">
        <v>105</v>
      </c>
      <c r="M116" s="92"/>
    </row>
    <row r="117" spans="1:13" ht="21.6" x14ac:dyDescent="0.65">
      <c r="A117" s="195"/>
      <c r="B117" s="144">
        <v>114</v>
      </c>
      <c r="C117" s="2"/>
      <c r="D117" s="1"/>
      <c r="E117" s="3"/>
      <c r="F117" s="1"/>
      <c r="G117" s="141">
        <f>IF(Basic345678910111213141516171819202122232425262728293031[[#This Row],[نوع الخدمة]]="مخالفات", 50,
IF(Basic345678910111213141516171819202122232425262728293031[[#This Row],[نوع الخدمة]]="كاش ان",
    IF(F117&lt;=100, 18, IF(F117&lt;=250, 23, IF(F117&lt;=500, 35, IF(F117&lt;=1000, 40, F117*0.04)))),
IF(Basic345678910111213141516171819202122232425262728293031[[#This Row],[نوع الخدمة]]="كاش اوت",
    IF(F117&lt;=100, 15, IF(F117&lt;=250, 20, IF(F117&lt;=500, 30, IF(F117&lt;=1000, 35, F117*0.035)))),
0)))</f>
        <v>0</v>
      </c>
      <c r="H117" s="176">
        <f>IF(I117="مخالفات",50,Basic345678910111213141516171819202122232425262728293031[[#This Row],[قيمة الرسوم / العموله]]+Basic345678910111213141516171819202122232425262728293031[[#This Row],[قيمة الشحنه]])</f>
        <v>0</v>
      </c>
      <c r="I117" s="90"/>
      <c r="J117" s="142" t="str">
        <f t="shared" si="1"/>
        <v>2.5.2026</v>
      </c>
      <c r="L117" s="153">
        <v>106</v>
      </c>
      <c r="M117" s="92"/>
    </row>
    <row r="118" spans="1:13" ht="21.6" x14ac:dyDescent="0.65">
      <c r="A118" s="195"/>
      <c r="B118" s="140">
        <v>115</v>
      </c>
      <c r="C118" s="2"/>
      <c r="D118" s="1"/>
      <c r="E118" s="3"/>
      <c r="F118" s="1"/>
      <c r="G118" s="141">
        <f>IF(Basic345678910111213141516171819202122232425262728293031[[#This Row],[نوع الخدمة]]="مخالفات", 50,
IF(Basic345678910111213141516171819202122232425262728293031[[#This Row],[نوع الخدمة]]="كاش ان",
    IF(F118&lt;=100, 18, IF(F118&lt;=250, 23, IF(F118&lt;=500, 35, IF(F118&lt;=1000, 40, F118*0.04)))),
IF(Basic345678910111213141516171819202122232425262728293031[[#This Row],[نوع الخدمة]]="كاش اوت",
    IF(F118&lt;=100, 15, IF(F118&lt;=250, 20, IF(F118&lt;=500, 30, IF(F118&lt;=1000, 35, F118*0.035)))),
0)))</f>
        <v>0</v>
      </c>
      <c r="H118" s="176">
        <f>IF(I118="مخالفات",50,Basic345678910111213141516171819202122232425262728293031[[#This Row],[قيمة الرسوم / العموله]]+Basic345678910111213141516171819202122232425262728293031[[#This Row],[قيمة الشحنه]])</f>
        <v>0</v>
      </c>
      <c r="I118" s="90"/>
      <c r="J118" s="142" t="str">
        <f t="shared" si="1"/>
        <v>2.5.2026</v>
      </c>
      <c r="L118" s="153">
        <v>107</v>
      </c>
      <c r="M118" s="92"/>
    </row>
    <row r="119" spans="1:13" ht="21.6" x14ac:dyDescent="0.65">
      <c r="A119" s="195"/>
      <c r="B119" s="140">
        <v>116</v>
      </c>
      <c r="C119" s="2"/>
      <c r="D119" s="1"/>
      <c r="E119" s="3"/>
      <c r="F119" s="1"/>
      <c r="G119" s="141">
        <f>IF(Basic345678910111213141516171819202122232425262728293031[[#This Row],[نوع الخدمة]]="مخالفات", 50,
IF(Basic345678910111213141516171819202122232425262728293031[[#This Row],[نوع الخدمة]]="كاش ان",
    IF(F119&lt;=100, 18, IF(F119&lt;=250, 23, IF(F119&lt;=500, 35, IF(F119&lt;=1000, 40, F119*0.04)))),
IF(Basic345678910111213141516171819202122232425262728293031[[#This Row],[نوع الخدمة]]="كاش اوت",
    IF(F119&lt;=100, 15, IF(F119&lt;=250, 20, IF(F119&lt;=500, 30, IF(F119&lt;=1000, 35, F119*0.035)))),
0)))</f>
        <v>0</v>
      </c>
      <c r="H119" s="176">
        <f>IF(I119="مخالفات",50,Basic345678910111213141516171819202122232425262728293031[[#This Row],[قيمة الرسوم / العموله]]+Basic345678910111213141516171819202122232425262728293031[[#This Row],[قيمة الشحنه]])</f>
        <v>0</v>
      </c>
      <c r="I119" s="90"/>
      <c r="J119" s="142" t="str">
        <f t="shared" si="1"/>
        <v>2.5.2026</v>
      </c>
      <c r="L119" s="153">
        <v>108</v>
      </c>
      <c r="M119" s="92"/>
    </row>
    <row r="120" spans="1:13" ht="21.6" x14ac:dyDescent="0.65">
      <c r="A120" s="195"/>
      <c r="B120" s="140">
        <v>117</v>
      </c>
      <c r="C120" s="2"/>
      <c r="D120" s="1"/>
      <c r="E120" s="3"/>
      <c r="F120" s="1"/>
      <c r="G120" s="141">
        <f>IF(Basic345678910111213141516171819202122232425262728293031[[#This Row],[نوع الخدمة]]="مخالفات", 50,
IF(Basic345678910111213141516171819202122232425262728293031[[#This Row],[نوع الخدمة]]="كاش ان",
    IF(F120&lt;=100, 18, IF(F120&lt;=250, 23, IF(F120&lt;=500, 35, IF(F120&lt;=1000, 40, F120*0.04)))),
IF(Basic345678910111213141516171819202122232425262728293031[[#This Row],[نوع الخدمة]]="كاش اوت",
    IF(F120&lt;=100, 15, IF(F120&lt;=250, 20, IF(F120&lt;=500, 30, IF(F120&lt;=1000, 35, F120*0.035)))),
0)))</f>
        <v>0</v>
      </c>
      <c r="H120" s="176">
        <f>IF(I120="مخالفات",50,Basic345678910111213141516171819202122232425262728293031[[#This Row],[قيمة الرسوم / العموله]]+Basic345678910111213141516171819202122232425262728293031[[#This Row],[قيمة الشحنه]])</f>
        <v>0</v>
      </c>
      <c r="I120" s="90"/>
      <c r="J120" s="142" t="str">
        <f t="shared" si="1"/>
        <v>2.5.2026</v>
      </c>
      <c r="L120" s="153">
        <v>109</v>
      </c>
      <c r="M120" s="92"/>
    </row>
    <row r="121" spans="1:13" ht="21.6" x14ac:dyDescent="0.65">
      <c r="A121" s="195"/>
      <c r="B121" s="144">
        <v>118</v>
      </c>
      <c r="C121" s="2"/>
      <c r="D121" s="1"/>
      <c r="E121" s="3"/>
      <c r="F121" s="1"/>
      <c r="G121" s="141">
        <f>IF(Basic345678910111213141516171819202122232425262728293031[[#This Row],[نوع الخدمة]]="مخالفات", 50,
IF(Basic345678910111213141516171819202122232425262728293031[[#This Row],[نوع الخدمة]]="كاش ان",
    IF(F121&lt;=100, 18, IF(F121&lt;=250, 23, IF(F121&lt;=500, 35, IF(F121&lt;=1000, 40, F121*0.04)))),
IF(Basic345678910111213141516171819202122232425262728293031[[#This Row],[نوع الخدمة]]="كاش اوت",
    IF(F121&lt;=100, 15, IF(F121&lt;=250, 20, IF(F121&lt;=500, 30, IF(F121&lt;=1000, 35, F121*0.035)))),
0)))</f>
        <v>0</v>
      </c>
      <c r="H121" s="176">
        <f>IF(I121="مخالفات",50,Basic345678910111213141516171819202122232425262728293031[[#This Row],[قيمة الرسوم / العموله]]+Basic345678910111213141516171819202122232425262728293031[[#This Row],[قيمة الشحنه]])</f>
        <v>0</v>
      </c>
      <c r="I121" s="90"/>
      <c r="J121" s="142" t="str">
        <f t="shared" si="1"/>
        <v>2.5.2026</v>
      </c>
      <c r="L121" s="153">
        <v>110</v>
      </c>
      <c r="M121" s="92"/>
    </row>
    <row r="122" spans="1:13" ht="21.6" x14ac:dyDescent="0.65">
      <c r="A122" s="195"/>
      <c r="B122" s="140">
        <v>119</v>
      </c>
      <c r="C122" s="2"/>
      <c r="D122" s="1"/>
      <c r="E122" s="3"/>
      <c r="F122" s="1"/>
      <c r="G122" s="141">
        <f>IF(Basic345678910111213141516171819202122232425262728293031[[#This Row],[نوع الخدمة]]="مخالفات", 50,
IF(Basic345678910111213141516171819202122232425262728293031[[#This Row],[نوع الخدمة]]="كاش ان",
    IF(F122&lt;=100, 18, IF(F122&lt;=250, 23, IF(F122&lt;=500, 35, IF(F122&lt;=1000, 40, F122*0.04)))),
IF(Basic345678910111213141516171819202122232425262728293031[[#This Row],[نوع الخدمة]]="كاش اوت",
    IF(F122&lt;=100, 15, IF(F122&lt;=250, 20, IF(F122&lt;=500, 30, IF(F122&lt;=1000, 35, F122*0.035)))),
0)))</f>
        <v>0</v>
      </c>
      <c r="H122" s="176">
        <f>IF(I122="مخالفات",50,Basic345678910111213141516171819202122232425262728293031[[#This Row],[قيمة الرسوم / العموله]]+Basic345678910111213141516171819202122232425262728293031[[#This Row],[قيمة الشحنه]])</f>
        <v>0</v>
      </c>
      <c r="I122" s="90"/>
      <c r="J122" s="142" t="str">
        <f t="shared" si="1"/>
        <v>2.5.2026</v>
      </c>
      <c r="L122" s="153">
        <v>111</v>
      </c>
      <c r="M122" s="92"/>
    </row>
    <row r="123" spans="1:13" ht="21.6" x14ac:dyDescent="0.65">
      <c r="A123" s="195"/>
      <c r="B123" s="140">
        <v>120</v>
      </c>
      <c r="C123" s="2"/>
      <c r="D123" s="1"/>
      <c r="E123" s="3"/>
      <c r="F123" s="1"/>
      <c r="G123" s="141">
        <f>IF(Basic345678910111213141516171819202122232425262728293031[[#This Row],[نوع الخدمة]]="مخالفات", 50,
IF(Basic345678910111213141516171819202122232425262728293031[[#This Row],[نوع الخدمة]]="كاش ان",
    IF(F123&lt;=100, 18, IF(F123&lt;=250, 23, IF(F123&lt;=500, 35, IF(F123&lt;=1000, 40, F123*0.04)))),
IF(Basic345678910111213141516171819202122232425262728293031[[#This Row],[نوع الخدمة]]="كاش اوت",
    IF(F123&lt;=100, 15, IF(F123&lt;=250, 20, IF(F123&lt;=500, 30, IF(F123&lt;=1000, 35, F123*0.035)))),
0)))</f>
        <v>0</v>
      </c>
      <c r="H123" s="176">
        <f>IF(I123="مخالفات",50,Basic345678910111213141516171819202122232425262728293031[[#This Row],[قيمة الرسوم / العموله]]+Basic345678910111213141516171819202122232425262728293031[[#This Row],[قيمة الشحنه]])</f>
        <v>0</v>
      </c>
      <c r="I123" s="90"/>
      <c r="J123" s="142" t="str">
        <f t="shared" si="1"/>
        <v>2.5.2026</v>
      </c>
      <c r="L123" s="153">
        <v>112</v>
      </c>
      <c r="M123" s="92"/>
    </row>
    <row r="124" spans="1:13" ht="21.6" x14ac:dyDescent="0.65">
      <c r="A124" s="195"/>
      <c r="B124" s="140">
        <v>121</v>
      </c>
      <c r="C124" s="2"/>
      <c r="D124" s="1"/>
      <c r="E124" s="3"/>
      <c r="F124" s="1"/>
      <c r="G124" s="141">
        <f>IF(Basic345678910111213141516171819202122232425262728293031[[#This Row],[نوع الخدمة]]="مخالفات", 50,
IF(Basic345678910111213141516171819202122232425262728293031[[#This Row],[نوع الخدمة]]="كاش ان",
    IF(F124&lt;=100, 18, IF(F124&lt;=250, 23, IF(F124&lt;=500, 35, IF(F124&lt;=1000, 40, F124*0.04)))),
IF(Basic345678910111213141516171819202122232425262728293031[[#This Row],[نوع الخدمة]]="كاش اوت",
    IF(F124&lt;=100, 15, IF(F124&lt;=250, 20, IF(F124&lt;=500, 30, IF(F124&lt;=1000, 35, F124*0.035)))),
0)))</f>
        <v>0</v>
      </c>
      <c r="H124" s="176">
        <f>IF(I124="مخالفات",50,Basic345678910111213141516171819202122232425262728293031[[#This Row],[قيمة الرسوم / العموله]]+Basic345678910111213141516171819202122232425262728293031[[#This Row],[قيمة الشحنه]])</f>
        <v>0</v>
      </c>
      <c r="I124" s="90"/>
      <c r="J124" s="142" t="str">
        <f t="shared" si="1"/>
        <v>2.5.2026</v>
      </c>
      <c r="L124" s="153">
        <v>113</v>
      </c>
      <c r="M124" s="92"/>
    </row>
    <row r="125" spans="1:13" ht="21.6" x14ac:dyDescent="0.65">
      <c r="A125" s="195"/>
      <c r="B125" s="144">
        <v>122</v>
      </c>
      <c r="C125" s="2"/>
      <c r="D125" s="1"/>
      <c r="E125" s="3"/>
      <c r="F125" s="1"/>
      <c r="G125" s="141">
        <f>IF(Basic345678910111213141516171819202122232425262728293031[[#This Row],[نوع الخدمة]]="مخالفات", 50,
IF(Basic345678910111213141516171819202122232425262728293031[[#This Row],[نوع الخدمة]]="كاش ان",
    IF(F125&lt;=100, 18, IF(F125&lt;=250, 23, IF(F125&lt;=500, 35, IF(F125&lt;=1000, 40, F125*0.04)))),
IF(Basic345678910111213141516171819202122232425262728293031[[#This Row],[نوع الخدمة]]="كاش اوت",
    IF(F125&lt;=100, 15, IF(F125&lt;=250, 20, IF(F125&lt;=500, 30, IF(F125&lt;=1000, 35, F125*0.035)))),
0)))</f>
        <v>0</v>
      </c>
      <c r="H125" s="176">
        <f>IF(I125="مخالفات",50,Basic345678910111213141516171819202122232425262728293031[[#This Row],[قيمة الرسوم / العموله]]+Basic345678910111213141516171819202122232425262728293031[[#This Row],[قيمة الشحنه]])</f>
        <v>0</v>
      </c>
      <c r="I125" s="90"/>
      <c r="J125" s="142" t="str">
        <f t="shared" si="1"/>
        <v>2.5.2026</v>
      </c>
      <c r="L125" s="153">
        <v>114</v>
      </c>
      <c r="M125" s="92"/>
    </row>
    <row r="126" spans="1:13" ht="21.6" x14ac:dyDescent="0.65">
      <c r="A126" s="195"/>
      <c r="B126" s="140">
        <v>123</v>
      </c>
      <c r="C126" s="2"/>
      <c r="D126" s="1"/>
      <c r="E126" s="3"/>
      <c r="F126" s="1"/>
      <c r="G126" s="141">
        <f>IF(Basic345678910111213141516171819202122232425262728293031[[#This Row],[نوع الخدمة]]="مخالفات", 50,
IF(Basic345678910111213141516171819202122232425262728293031[[#This Row],[نوع الخدمة]]="كاش ان",
    IF(F126&lt;=100, 18, IF(F126&lt;=250, 23, IF(F126&lt;=500, 35, IF(F126&lt;=1000, 40, F126*0.04)))),
IF(Basic345678910111213141516171819202122232425262728293031[[#This Row],[نوع الخدمة]]="كاش اوت",
    IF(F126&lt;=100, 15, IF(F126&lt;=250, 20, IF(F126&lt;=500, 30, IF(F126&lt;=1000, 35, F126*0.035)))),
0)))</f>
        <v>0</v>
      </c>
      <c r="H126" s="176">
        <f>IF(I126="مخالفات",50,Basic345678910111213141516171819202122232425262728293031[[#This Row],[قيمة الرسوم / العموله]]+Basic345678910111213141516171819202122232425262728293031[[#This Row],[قيمة الشحنه]])</f>
        <v>0</v>
      </c>
      <c r="I126" s="90"/>
      <c r="J126" s="142" t="str">
        <f t="shared" si="1"/>
        <v>2.5.2026</v>
      </c>
      <c r="L126" s="153">
        <v>115</v>
      </c>
      <c r="M126" s="92"/>
    </row>
    <row r="127" spans="1:13" ht="21.6" x14ac:dyDescent="0.65">
      <c r="A127" s="195"/>
      <c r="B127" s="140">
        <v>124</v>
      </c>
      <c r="C127" s="2"/>
      <c r="D127" s="1"/>
      <c r="E127" s="3"/>
      <c r="F127" s="1"/>
      <c r="G127" s="141">
        <f>IF(Basic345678910111213141516171819202122232425262728293031[[#This Row],[نوع الخدمة]]="مخالفات", 50,
IF(Basic345678910111213141516171819202122232425262728293031[[#This Row],[نوع الخدمة]]="كاش ان",
    IF(F127&lt;=100, 18, IF(F127&lt;=250, 23, IF(F127&lt;=500, 35, IF(F127&lt;=1000, 40, F127*0.04)))),
IF(Basic345678910111213141516171819202122232425262728293031[[#This Row],[نوع الخدمة]]="كاش اوت",
    IF(F127&lt;=100, 15, IF(F127&lt;=250, 20, IF(F127&lt;=500, 30, IF(F127&lt;=1000, 35, F127*0.035)))),
0)))</f>
        <v>0</v>
      </c>
      <c r="H127" s="176">
        <f>IF(I127="مخالفات",50,Basic345678910111213141516171819202122232425262728293031[[#This Row],[قيمة الرسوم / العموله]]+Basic345678910111213141516171819202122232425262728293031[[#This Row],[قيمة الشحنه]])</f>
        <v>0</v>
      </c>
      <c r="I127" s="90"/>
      <c r="J127" s="142" t="str">
        <f t="shared" si="1"/>
        <v>2.5.2026</v>
      </c>
      <c r="L127" s="153">
        <v>116</v>
      </c>
      <c r="M127" s="92"/>
    </row>
    <row r="128" spans="1:13" ht="21.6" x14ac:dyDescent="0.65">
      <c r="A128" s="195"/>
      <c r="B128" s="140">
        <v>125</v>
      </c>
      <c r="C128" s="2"/>
      <c r="D128" s="1"/>
      <c r="E128" s="3"/>
      <c r="F128" s="1"/>
      <c r="G128" s="141">
        <f>IF(Basic345678910111213141516171819202122232425262728293031[[#This Row],[نوع الخدمة]]="مخالفات", 50,
IF(Basic345678910111213141516171819202122232425262728293031[[#This Row],[نوع الخدمة]]="كاش ان",
    IF(F128&lt;=100, 18, IF(F128&lt;=250, 23, IF(F128&lt;=500, 35, IF(F128&lt;=1000, 40, F128*0.04)))),
IF(Basic345678910111213141516171819202122232425262728293031[[#This Row],[نوع الخدمة]]="كاش اوت",
    IF(F128&lt;=100, 15, IF(F128&lt;=250, 20, IF(F128&lt;=500, 30, IF(F128&lt;=1000, 35, F128*0.035)))),
0)))</f>
        <v>0</v>
      </c>
      <c r="H128" s="176">
        <f>IF(I128="مخالفات",50,Basic345678910111213141516171819202122232425262728293031[[#This Row],[قيمة الرسوم / العموله]]+Basic345678910111213141516171819202122232425262728293031[[#This Row],[قيمة الشحنه]])</f>
        <v>0</v>
      </c>
      <c r="I128" s="90"/>
      <c r="J128" s="142" t="str">
        <f t="shared" si="1"/>
        <v>2.5.2026</v>
      </c>
      <c r="L128" s="153">
        <v>117</v>
      </c>
      <c r="M128" s="92"/>
    </row>
    <row r="129" spans="1:13" ht="21.6" x14ac:dyDescent="0.65">
      <c r="A129" s="195"/>
      <c r="B129" s="144">
        <v>126</v>
      </c>
      <c r="C129" s="2"/>
      <c r="D129" s="1"/>
      <c r="E129" s="3"/>
      <c r="F129" s="1"/>
      <c r="G129" s="141">
        <f>IF(Basic345678910111213141516171819202122232425262728293031[[#This Row],[نوع الخدمة]]="مخالفات", 50,
IF(Basic345678910111213141516171819202122232425262728293031[[#This Row],[نوع الخدمة]]="كاش ان",
    IF(F129&lt;=100, 18, IF(F129&lt;=250, 23, IF(F129&lt;=500, 35, IF(F129&lt;=1000, 40, F129*0.04)))),
IF(Basic345678910111213141516171819202122232425262728293031[[#This Row],[نوع الخدمة]]="كاش اوت",
    IF(F129&lt;=100, 15, IF(F129&lt;=250, 20, IF(F129&lt;=500, 30, IF(F129&lt;=1000, 35, F129*0.035)))),
0)))</f>
        <v>0</v>
      </c>
      <c r="H129" s="176">
        <f>IF(I129="مخالفات",50,Basic345678910111213141516171819202122232425262728293031[[#This Row],[قيمة الرسوم / العموله]]+Basic345678910111213141516171819202122232425262728293031[[#This Row],[قيمة الشحنه]])</f>
        <v>0</v>
      </c>
      <c r="I129" s="90"/>
      <c r="J129" s="142" t="str">
        <f t="shared" si="1"/>
        <v>2.5.2026</v>
      </c>
      <c r="L129" s="153">
        <v>118</v>
      </c>
      <c r="M129" s="92"/>
    </row>
    <row r="130" spans="1:13" ht="21.6" x14ac:dyDescent="0.65">
      <c r="A130" s="195"/>
      <c r="B130" s="140">
        <v>127</v>
      </c>
      <c r="C130" s="2"/>
      <c r="D130" s="1"/>
      <c r="E130" s="3"/>
      <c r="F130" s="1"/>
      <c r="G130" s="141">
        <f>IF(Basic345678910111213141516171819202122232425262728293031[[#This Row],[نوع الخدمة]]="مخالفات", 50,
IF(Basic345678910111213141516171819202122232425262728293031[[#This Row],[نوع الخدمة]]="كاش ان",
    IF(F130&lt;=100, 18, IF(F130&lt;=250, 23, IF(F130&lt;=500, 35, IF(F130&lt;=1000, 40, F130*0.04)))),
IF(Basic345678910111213141516171819202122232425262728293031[[#This Row],[نوع الخدمة]]="كاش اوت",
    IF(F130&lt;=100, 15, IF(F130&lt;=250, 20, IF(F130&lt;=500, 30, IF(F130&lt;=1000, 35, F130*0.035)))),
0)))</f>
        <v>0</v>
      </c>
      <c r="H130" s="176">
        <f>IF(I130="مخالفات",50,Basic345678910111213141516171819202122232425262728293031[[#This Row],[قيمة الرسوم / العموله]]+Basic345678910111213141516171819202122232425262728293031[[#This Row],[قيمة الشحنه]])</f>
        <v>0</v>
      </c>
      <c r="I130" s="90"/>
      <c r="J130" s="142" t="str">
        <f t="shared" si="1"/>
        <v>2.5.2026</v>
      </c>
      <c r="L130" s="153">
        <v>119</v>
      </c>
      <c r="M130" s="92"/>
    </row>
    <row r="131" spans="1:13" ht="21.6" x14ac:dyDescent="0.65">
      <c r="A131" s="195"/>
      <c r="B131" s="140">
        <v>128</v>
      </c>
      <c r="C131" s="2"/>
      <c r="D131" s="1"/>
      <c r="E131" s="3"/>
      <c r="F131" s="1"/>
      <c r="G131" s="141">
        <f>IF(Basic345678910111213141516171819202122232425262728293031[[#This Row],[نوع الخدمة]]="مخالفات", 50,
IF(Basic345678910111213141516171819202122232425262728293031[[#This Row],[نوع الخدمة]]="كاش ان",
    IF(F131&lt;=100, 18, IF(F131&lt;=250, 23, IF(F131&lt;=500, 35, IF(F131&lt;=1000, 40, F131*0.04)))),
IF(Basic345678910111213141516171819202122232425262728293031[[#This Row],[نوع الخدمة]]="كاش اوت",
    IF(F131&lt;=100, 15, IF(F131&lt;=250, 20, IF(F131&lt;=500, 30, IF(F131&lt;=1000, 35, F131*0.035)))),
0)))</f>
        <v>0</v>
      </c>
      <c r="H131" s="176">
        <f>IF(I131="مخالفات",50,Basic345678910111213141516171819202122232425262728293031[[#This Row],[قيمة الرسوم / العموله]]+Basic345678910111213141516171819202122232425262728293031[[#This Row],[قيمة الشحنه]])</f>
        <v>0</v>
      </c>
      <c r="I131" s="90"/>
      <c r="J131" s="142" t="str">
        <f t="shared" si="1"/>
        <v>2.5.2026</v>
      </c>
      <c r="L131" s="153">
        <v>120</v>
      </c>
      <c r="M131" s="92"/>
    </row>
    <row r="132" spans="1:13" ht="21.6" x14ac:dyDescent="0.65">
      <c r="A132" s="195"/>
      <c r="B132" s="140">
        <v>129</v>
      </c>
      <c r="C132" s="2"/>
      <c r="D132" s="1"/>
      <c r="E132" s="3"/>
      <c r="F132" s="1"/>
      <c r="G132" s="141">
        <f>IF(Basic345678910111213141516171819202122232425262728293031[[#This Row],[نوع الخدمة]]="مخالفات", 50,
IF(Basic345678910111213141516171819202122232425262728293031[[#This Row],[نوع الخدمة]]="كاش ان",
    IF(F132&lt;=100, 18, IF(F132&lt;=250, 23, IF(F132&lt;=500, 35, IF(F132&lt;=1000, 40, F132*0.04)))),
IF(Basic345678910111213141516171819202122232425262728293031[[#This Row],[نوع الخدمة]]="كاش اوت",
    IF(F132&lt;=100, 15, IF(F132&lt;=250, 20, IF(F132&lt;=500, 30, IF(F132&lt;=1000, 35, F132*0.035)))),
0)))</f>
        <v>0</v>
      </c>
      <c r="H132" s="176">
        <f>IF(I132="مخالفات",50,Basic345678910111213141516171819202122232425262728293031[[#This Row],[قيمة الرسوم / العموله]]+Basic345678910111213141516171819202122232425262728293031[[#This Row],[قيمة الشحنه]])</f>
        <v>0</v>
      </c>
      <c r="I132" s="90"/>
      <c r="J132" s="142" t="str">
        <f t="shared" ref="J132:J195" si="2">M$3</f>
        <v>2.5.2026</v>
      </c>
      <c r="L132" s="153">
        <v>121</v>
      </c>
      <c r="M132" s="92"/>
    </row>
    <row r="133" spans="1:13" ht="21.6" x14ac:dyDescent="0.65">
      <c r="A133" s="195"/>
      <c r="B133" s="144">
        <v>130</v>
      </c>
      <c r="C133" s="2"/>
      <c r="D133" s="1"/>
      <c r="E133" s="3"/>
      <c r="F133" s="1"/>
      <c r="G133" s="141">
        <f>IF(Basic345678910111213141516171819202122232425262728293031[[#This Row],[نوع الخدمة]]="مخالفات", 50,
IF(Basic345678910111213141516171819202122232425262728293031[[#This Row],[نوع الخدمة]]="كاش ان",
    IF(F133&lt;=100, 18, IF(F133&lt;=250, 23, IF(F133&lt;=500, 35, IF(F133&lt;=1000, 40, F133*0.04)))),
IF(Basic345678910111213141516171819202122232425262728293031[[#This Row],[نوع الخدمة]]="كاش اوت",
    IF(F133&lt;=100, 15, IF(F133&lt;=250, 20, IF(F133&lt;=500, 30, IF(F133&lt;=1000, 35, F133*0.035)))),
0)))</f>
        <v>0</v>
      </c>
      <c r="H133" s="176">
        <f>IF(I133="مخالفات",50,Basic345678910111213141516171819202122232425262728293031[[#This Row],[قيمة الرسوم / العموله]]+Basic345678910111213141516171819202122232425262728293031[[#This Row],[قيمة الشحنه]])</f>
        <v>0</v>
      </c>
      <c r="I133" s="90"/>
      <c r="J133" s="142" t="str">
        <f t="shared" si="2"/>
        <v>2.5.2026</v>
      </c>
      <c r="L133" s="153">
        <v>122</v>
      </c>
      <c r="M133" s="92"/>
    </row>
    <row r="134" spans="1:13" ht="21.6" x14ac:dyDescent="0.65">
      <c r="A134" s="195"/>
      <c r="B134" s="140">
        <v>131</v>
      </c>
      <c r="C134" s="2"/>
      <c r="D134" s="1"/>
      <c r="E134" s="3"/>
      <c r="F134" s="1"/>
      <c r="G134" s="141">
        <f>IF(Basic345678910111213141516171819202122232425262728293031[[#This Row],[نوع الخدمة]]="مخالفات", 50,
IF(Basic345678910111213141516171819202122232425262728293031[[#This Row],[نوع الخدمة]]="كاش ان",
    IF(F134&lt;=100, 18, IF(F134&lt;=250, 23, IF(F134&lt;=500, 35, IF(F134&lt;=1000, 40, F134*0.04)))),
IF(Basic345678910111213141516171819202122232425262728293031[[#This Row],[نوع الخدمة]]="كاش اوت",
    IF(F134&lt;=100, 15, IF(F134&lt;=250, 20, IF(F134&lt;=500, 30, IF(F134&lt;=1000, 35, F134*0.035)))),
0)))</f>
        <v>0</v>
      </c>
      <c r="H134" s="176">
        <f>IF(I134="مخالفات",50,Basic345678910111213141516171819202122232425262728293031[[#This Row],[قيمة الرسوم / العموله]]+Basic345678910111213141516171819202122232425262728293031[[#This Row],[قيمة الشحنه]])</f>
        <v>0</v>
      </c>
      <c r="I134" s="90"/>
      <c r="J134" s="142" t="str">
        <f t="shared" si="2"/>
        <v>2.5.2026</v>
      </c>
      <c r="L134" s="153">
        <v>123</v>
      </c>
      <c r="M134" s="92"/>
    </row>
    <row r="135" spans="1:13" ht="21.6" x14ac:dyDescent="0.65">
      <c r="A135" s="195"/>
      <c r="B135" s="140">
        <v>132</v>
      </c>
      <c r="C135" s="2"/>
      <c r="D135" s="1"/>
      <c r="E135" s="3"/>
      <c r="F135" s="1"/>
      <c r="G135" s="141">
        <f>IF(Basic345678910111213141516171819202122232425262728293031[[#This Row],[نوع الخدمة]]="مخالفات", 50,
IF(Basic345678910111213141516171819202122232425262728293031[[#This Row],[نوع الخدمة]]="كاش ان",
    IF(F135&lt;=100, 18, IF(F135&lt;=250, 23, IF(F135&lt;=500, 35, IF(F135&lt;=1000, 40, F135*0.04)))),
IF(Basic345678910111213141516171819202122232425262728293031[[#This Row],[نوع الخدمة]]="كاش اوت",
    IF(F135&lt;=100, 15, IF(F135&lt;=250, 20, IF(F135&lt;=500, 30, IF(F135&lt;=1000, 35, F135*0.035)))),
0)))</f>
        <v>0</v>
      </c>
      <c r="H135" s="176">
        <f>IF(I135="مخالفات",50,Basic345678910111213141516171819202122232425262728293031[[#This Row],[قيمة الرسوم / العموله]]+Basic345678910111213141516171819202122232425262728293031[[#This Row],[قيمة الشحنه]])</f>
        <v>0</v>
      </c>
      <c r="I135" s="90"/>
      <c r="J135" s="142" t="str">
        <f t="shared" si="2"/>
        <v>2.5.2026</v>
      </c>
      <c r="L135" s="153">
        <v>124</v>
      </c>
      <c r="M135" s="92"/>
    </row>
    <row r="136" spans="1:13" ht="21.6" x14ac:dyDescent="0.65">
      <c r="A136" s="195"/>
      <c r="B136" s="140">
        <v>133</v>
      </c>
      <c r="C136" s="2"/>
      <c r="D136" s="1"/>
      <c r="E136" s="3"/>
      <c r="F136" s="1"/>
      <c r="G136" s="141">
        <f>IF(Basic345678910111213141516171819202122232425262728293031[[#This Row],[نوع الخدمة]]="مخالفات", 50,
IF(Basic345678910111213141516171819202122232425262728293031[[#This Row],[نوع الخدمة]]="كاش ان",
    IF(F136&lt;=100, 18, IF(F136&lt;=250, 23, IF(F136&lt;=500, 35, IF(F136&lt;=1000, 40, F136*0.04)))),
IF(Basic345678910111213141516171819202122232425262728293031[[#This Row],[نوع الخدمة]]="كاش اوت",
    IF(F136&lt;=100, 15, IF(F136&lt;=250, 20, IF(F136&lt;=500, 30, IF(F136&lt;=1000, 35, F136*0.035)))),
0)))</f>
        <v>0</v>
      </c>
      <c r="H136" s="176">
        <f>IF(I136="مخالفات",50,Basic345678910111213141516171819202122232425262728293031[[#This Row],[قيمة الرسوم / العموله]]+Basic345678910111213141516171819202122232425262728293031[[#This Row],[قيمة الشحنه]])</f>
        <v>0</v>
      </c>
      <c r="I136" s="90"/>
      <c r="J136" s="142" t="str">
        <f t="shared" si="2"/>
        <v>2.5.2026</v>
      </c>
      <c r="L136" s="153">
        <v>125</v>
      </c>
      <c r="M136" s="92"/>
    </row>
    <row r="137" spans="1:13" ht="21.6" x14ac:dyDescent="0.65">
      <c r="A137" s="195"/>
      <c r="B137" s="144">
        <v>134</v>
      </c>
      <c r="C137" s="2"/>
      <c r="D137" s="1"/>
      <c r="E137" s="3"/>
      <c r="F137" s="1"/>
      <c r="G137" s="141">
        <f>IF(Basic345678910111213141516171819202122232425262728293031[[#This Row],[نوع الخدمة]]="مخالفات", 50,
IF(Basic345678910111213141516171819202122232425262728293031[[#This Row],[نوع الخدمة]]="كاش ان",
    IF(F137&lt;=100, 18, IF(F137&lt;=250, 23, IF(F137&lt;=500, 35, IF(F137&lt;=1000, 40, F137*0.04)))),
IF(Basic345678910111213141516171819202122232425262728293031[[#This Row],[نوع الخدمة]]="كاش اوت",
    IF(F137&lt;=100, 15, IF(F137&lt;=250, 20, IF(F137&lt;=500, 30, IF(F137&lt;=1000, 35, F137*0.035)))),
0)))</f>
        <v>0</v>
      </c>
      <c r="H137" s="176">
        <f>IF(I137="مخالفات",50,Basic345678910111213141516171819202122232425262728293031[[#This Row],[قيمة الرسوم / العموله]]+Basic345678910111213141516171819202122232425262728293031[[#This Row],[قيمة الشحنه]])</f>
        <v>0</v>
      </c>
      <c r="I137" s="90"/>
      <c r="J137" s="142" t="str">
        <f t="shared" si="2"/>
        <v>2.5.2026</v>
      </c>
      <c r="L137" s="153">
        <v>126</v>
      </c>
      <c r="M137" s="92"/>
    </row>
    <row r="138" spans="1:13" ht="21.6" x14ac:dyDescent="0.65">
      <c r="A138" s="195"/>
      <c r="B138" s="140">
        <v>135</v>
      </c>
      <c r="C138" s="2"/>
      <c r="D138" s="1"/>
      <c r="E138" s="3"/>
      <c r="F138" s="1"/>
      <c r="G138" s="141">
        <f>IF(Basic345678910111213141516171819202122232425262728293031[[#This Row],[نوع الخدمة]]="مخالفات", 50,
IF(Basic345678910111213141516171819202122232425262728293031[[#This Row],[نوع الخدمة]]="كاش ان",
    IF(F138&lt;=100, 18, IF(F138&lt;=250, 23, IF(F138&lt;=500, 35, IF(F138&lt;=1000, 40, F138*0.04)))),
IF(Basic345678910111213141516171819202122232425262728293031[[#This Row],[نوع الخدمة]]="كاش اوت",
    IF(F138&lt;=100, 15, IF(F138&lt;=250, 20, IF(F138&lt;=500, 30, IF(F138&lt;=1000, 35, F138*0.035)))),
0)))</f>
        <v>0</v>
      </c>
      <c r="H138" s="176">
        <f>IF(I138="مخالفات",50,Basic345678910111213141516171819202122232425262728293031[[#This Row],[قيمة الرسوم / العموله]]+Basic345678910111213141516171819202122232425262728293031[[#This Row],[قيمة الشحنه]])</f>
        <v>0</v>
      </c>
      <c r="I138" s="90"/>
      <c r="J138" s="142" t="str">
        <f t="shared" si="2"/>
        <v>2.5.2026</v>
      </c>
      <c r="L138" s="153">
        <v>127</v>
      </c>
      <c r="M138" s="92"/>
    </row>
    <row r="139" spans="1:13" ht="21.6" x14ac:dyDescent="0.65">
      <c r="A139" s="195"/>
      <c r="B139" s="140">
        <v>136</v>
      </c>
      <c r="C139" s="2"/>
      <c r="D139" s="1"/>
      <c r="E139" s="3"/>
      <c r="F139" s="1"/>
      <c r="G139" s="141">
        <f>IF(Basic345678910111213141516171819202122232425262728293031[[#This Row],[نوع الخدمة]]="مخالفات", 50,
IF(Basic345678910111213141516171819202122232425262728293031[[#This Row],[نوع الخدمة]]="كاش ان",
    IF(F139&lt;=100, 18, IF(F139&lt;=250, 23, IF(F139&lt;=500, 35, IF(F139&lt;=1000, 40, F139*0.04)))),
IF(Basic345678910111213141516171819202122232425262728293031[[#This Row],[نوع الخدمة]]="كاش اوت",
    IF(F139&lt;=100, 15, IF(F139&lt;=250, 20, IF(F139&lt;=500, 30, IF(F139&lt;=1000, 35, F139*0.035)))),
0)))</f>
        <v>0</v>
      </c>
      <c r="H139" s="176">
        <f>IF(I139="مخالفات",50,Basic345678910111213141516171819202122232425262728293031[[#This Row],[قيمة الرسوم / العموله]]+Basic345678910111213141516171819202122232425262728293031[[#This Row],[قيمة الشحنه]])</f>
        <v>0</v>
      </c>
      <c r="I139" s="90"/>
      <c r="J139" s="142" t="str">
        <f t="shared" si="2"/>
        <v>2.5.2026</v>
      </c>
      <c r="L139" s="153">
        <v>128</v>
      </c>
      <c r="M139" s="92"/>
    </row>
    <row r="140" spans="1:13" ht="21.6" x14ac:dyDescent="0.65">
      <c r="A140" s="195"/>
      <c r="B140" s="140">
        <v>137</v>
      </c>
      <c r="C140" s="2"/>
      <c r="D140" s="1"/>
      <c r="E140" s="3"/>
      <c r="F140" s="1"/>
      <c r="G140" s="141">
        <f>IF(Basic345678910111213141516171819202122232425262728293031[[#This Row],[نوع الخدمة]]="مخالفات", 50,
IF(Basic345678910111213141516171819202122232425262728293031[[#This Row],[نوع الخدمة]]="كاش ان",
    IF(F140&lt;=100, 18, IF(F140&lt;=250, 23, IF(F140&lt;=500, 35, IF(F140&lt;=1000, 40, F140*0.04)))),
IF(Basic345678910111213141516171819202122232425262728293031[[#This Row],[نوع الخدمة]]="كاش اوت",
    IF(F140&lt;=100, 15, IF(F140&lt;=250, 20, IF(F140&lt;=500, 30, IF(F140&lt;=1000, 35, F140*0.035)))),
0)))</f>
        <v>0</v>
      </c>
      <c r="H140" s="176">
        <f>IF(I140="مخالفات",50,Basic345678910111213141516171819202122232425262728293031[[#This Row],[قيمة الرسوم / العموله]]+Basic345678910111213141516171819202122232425262728293031[[#This Row],[قيمة الشحنه]])</f>
        <v>0</v>
      </c>
      <c r="I140" s="90"/>
      <c r="J140" s="142" t="str">
        <f t="shared" si="2"/>
        <v>2.5.2026</v>
      </c>
      <c r="L140" s="153">
        <v>129</v>
      </c>
      <c r="M140" s="92"/>
    </row>
    <row r="141" spans="1:13" ht="21.6" x14ac:dyDescent="0.65">
      <c r="A141" s="195"/>
      <c r="B141" s="144">
        <v>138</v>
      </c>
      <c r="C141" s="2"/>
      <c r="D141" s="1"/>
      <c r="E141" s="3"/>
      <c r="F141" s="1"/>
      <c r="G141" s="141">
        <f>IF(Basic345678910111213141516171819202122232425262728293031[[#This Row],[نوع الخدمة]]="مخالفات", 50,
IF(Basic345678910111213141516171819202122232425262728293031[[#This Row],[نوع الخدمة]]="كاش ان",
    IF(F141&lt;=100, 18, IF(F141&lt;=250, 23, IF(F141&lt;=500, 35, IF(F141&lt;=1000, 40, F141*0.04)))),
IF(Basic345678910111213141516171819202122232425262728293031[[#This Row],[نوع الخدمة]]="كاش اوت",
    IF(F141&lt;=100, 15, IF(F141&lt;=250, 20, IF(F141&lt;=500, 30, IF(F141&lt;=1000, 35, F141*0.035)))),
0)))</f>
        <v>0</v>
      </c>
      <c r="H141" s="176">
        <f>IF(I141="مخالفات",50,Basic345678910111213141516171819202122232425262728293031[[#This Row],[قيمة الرسوم / العموله]]+Basic345678910111213141516171819202122232425262728293031[[#This Row],[قيمة الشحنه]])</f>
        <v>0</v>
      </c>
      <c r="I141" s="90"/>
      <c r="J141" s="142" t="str">
        <f t="shared" si="2"/>
        <v>2.5.2026</v>
      </c>
      <c r="L141" s="153">
        <v>130</v>
      </c>
      <c r="M141" s="92"/>
    </row>
    <row r="142" spans="1:13" ht="21.6" x14ac:dyDescent="0.65">
      <c r="A142" s="195"/>
      <c r="B142" s="140">
        <v>139</v>
      </c>
      <c r="C142" s="2"/>
      <c r="D142" s="1"/>
      <c r="E142" s="3"/>
      <c r="F142" s="1"/>
      <c r="G142" s="141">
        <f>IF(Basic345678910111213141516171819202122232425262728293031[[#This Row],[نوع الخدمة]]="مخالفات", 50,
IF(Basic345678910111213141516171819202122232425262728293031[[#This Row],[نوع الخدمة]]="كاش ان",
    IF(F142&lt;=100, 18, IF(F142&lt;=250, 23, IF(F142&lt;=500, 35, IF(F142&lt;=1000, 40, F142*0.04)))),
IF(Basic345678910111213141516171819202122232425262728293031[[#This Row],[نوع الخدمة]]="كاش اوت",
    IF(F142&lt;=100, 15, IF(F142&lt;=250, 20, IF(F142&lt;=500, 30, IF(F142&lt;=1000, 35, F142*0.035)))),
0)))</f>
        <v>0</v>
      </c>
      <c r="H142" s="176">
        <f>IF(I142="مخالفات",50,Basic345678910111213141516171819202122232425262728293031[[#This Row],[قيمة الرسوم / العموله]]+Basic345678910111213141516171819202122232425262728293031[[#This Row],[قيمة الشحنه]])</f>
        <v>0</v>
      </c>
      <c r="I142" s="90"/>
      <c r="J142" s="142" t="str">
        <f t="shared" si="2"/>
        <v>2.5.2026</v>
      </c>
      <c r="L142" s="153">
        <v>131</v>
      </c>
      <c r="M142" s="92"/>
    </row>
    <row r="143" spans="1:13" ht="21.6" x14ac:dyDescent="0.65">
      <c r="A143" s="195"/>
      <c r="B143" s="140">
        <v>140</v>
      </c>
      <c r="C143" s="2"/>
      <c r="D143" s="1"/>
      <c r="E143" s="3"/>
      <c r="F143" s="1"/>
      <c r="G143" s="141">
        <f>IF(Basic345678910111213141516171819202122232425262728293031[[#This Row],[نوع الخدمة]]="مخالفات", 50,
IF(Basic345678910111213141516171819202122232425262728293031[[#This Row],[نوع الخدمة]]="كاش ان",
    IF(F143&lt;=100, 18, IF(F143&lt;=250, 23, IF(F143&lt;=500, 35, IF(F143&lt;=1000, 40, F143*0.04)))),
IF(Basic345678910111213141516171819202122232425262728293031[[#This Row],[نوع الخدمة]]="كاش اوت",
    IF(F143&lt;=100, 15, IF(F143&lt;=250, 20, IF(F143&lt;=500, 30, IF(F143&lt;=1000, 35, F143*0.035)))),
0)))</f>
        <v>0</v>
      </c>
      <c r="H143" s="176">
        <f>IF(I143="مخالفات",50,Basic345678910111213141516171819202122232425262728293031[[#This Row],[قيمة الرسوم / العموله]]+Basic345678910111213141516171819202122232425262728293031[[#This Row],[قيمة الشحنه]])</f>
        <v>0</v>
      </c>
      <c r="I143" s="90"/>
      <c r="J143" s="142" t="str">
        <f t="shared" si="2"/>
        <v>2.5.2026</v>
      </c>
      <c r="L143" s="153">
        <v>132</v>
      </c>
      <c r="M143" s="92"/>
    </row>
    <row r="144" spans="1:13" ht="21.6" x14ac:dyDescent="0.65">
      <c r="A144" s="195"/>
      <c r="B144" s="140">
        <v>141</v>
      </c>
      <c r="C144" s="2"/>
      <c r="D144" s="1"/>
      <c r="E144" s="3"/>
      <c r="F144" s="1"/>
      <c r="G144" s="141">
        <f>IF(Basic345678910111213141516171819202122232425262728293031[[#This Row],[نوع الخدمة]]="مخالفات", 50,
IF(Basic345678910111213141516171819202122232425262728293031[[#This Row],[نوع الخدمة]]="كاش ان",
    IF(F144&lt;=100, 18, IF(F144&lt;=250, 23, IF(F144&lt;=500, 35, IF(F144&lt;=1000, 40, F144*0.04)))),
IF(Basic345678910111213141516171819202122232425262728293031[[#This Row],[نوع الخدمة]]="كاش اوت",
    IF(F144&lt;=100, 15, IF(F144&lt;=250, 20, IF(F144&lt;=500, 30, IF(F144&lt;=1000, 35, F144*0.035)))),
0)))</f>
        <v>0</v>
      </c>
      <c r="H144" s="176">
        <f>IF(I144="مخالفات",50,Basic345678910111213141516171819202122232425262728293031[[#This Row],[قيمة الرسوم / العموله]]+Basic345678910111213141516171819202122232425262728293031[[#This Row],[قيمة الشحنه]])</f>
        <v>0</v>
      </c>
      <c r="I144" s="90"/>
      <c r="J144" s="142" t="str">
        <f t="shared" si="2"/>
        <v>2.5.2026</v>
      </c>
      <c r="L144" s="153">
        <v>133</v>
      </c>
      <c r="M144" s="92"/>
    </row>
    <row r="145" spans="1:13" ht="21.6" x14ac:dyDescent="0.65">
      <c r="A145" s="195"/>
      <c r="B145" s="144">
        <v>142</v>
      </c>
      <c r="C145" s="2"/>
      <c r="D145" s="1"/>
      <c r="E145" s="3"/>
      <c r="F145" s="1"/>
      <c r="G145" s="141">
        <f>IF(Basic345678910111213141516171819202122232425262728293031[[#This Row],[نوع الخدمة]]="مخالفات", 50,
IF(Basic345678910111213141516171819202122232425262728293031[[#This Row],[نوع الخدمة]]="كاش ان",
    IF(F145&lt;=100, 18, IF(F145&lt;=250, 23, IF(F145&lt;=500, 35, IF(F145&lt;=1000, 40, F145*0.04)))),
IF(Basic345678910111213141516171819202122232425262728293031[[#This Row],[نوع الخدمة]]="كاش اوت",
    IF(F145&lt;=100, 15, IF(F145&lt;=250, 20, IF(F145&lt;=500, 30, IF(F145&lt;=1000, 35, F145*0.035)))),
0)))</f>
        <v>0</v>
      </c>
      <c r="H145" s="176">
        <f>IF(I145="مخالفات",50,Basic345678910111213141516171819202122232425262728293031[[#This Row],[قيمة الرسوم / العموله]]+Basic345678910111213141516171819202122232425262728293031[[#This Row],[قيمة الشحنه]])</f>
        <v>0</v>
      </c>
      <c r="I145" s="90"/>
      <c r="J145" s="142" t="str">
        <f t="shared" si="2"/>
        <v>2.5.2026</v>
      </c>
      <c r="L145" s="153">
        <v>134</v>
      </c>
      <c r="M145" s="92"/>
    </row>
    <row r="146" spans="1:13" ht="21.6" x14ac:dyDescent="0.65">
      <c r="A146" s="195"/>
      <c r="B146" s="140">
        <v>143</v>
      </c>
      <c r="C146" s="2"/>
      <c r="D146" s="1"/>
      <c r="E146" s="3"/>
      <c r="F146" s="1"/>
      <c r="G146" s="141">
        <f>IF(Basic345678910111213141516171819202122232425262728293031[[#This Row],[نوع الخدمة]]="مخالفات", 50,
IF(Basic345678910111213141516171819202122232425262728293031[[#This Row],[نوع الخدمة]]="كاش ان",
    IF(F146&lt;=100, 18, IF(F146&lt;=250, 23, IF(F146&lt;=500, 35, IF(F146&lt;=1000, 40, F146*0.04)))),
IF(Basic345678910111213141516171819202122232425262728293031[[#This Row],[نوع الخدمة]]="كاش اوت",
    IF(F146&lt;=100, 15, IF(F146&lt;=250, 20, IF(F146&lt;=500, 30, IF(F146&lt;=1000, 35, F146*0.035)))),
0)))</f>
        <v>0</v>
      </c>
      <c r="H146" s="176">
        <f>IF(I146="مخالفات",50,Basic345678910111213141516171819202122232425262728293031[[#This Row],[قيمة الرسوم / العموله]]+Basic345678910111213141516171819202122232425262728293031[[#This Row],[قيمة الشحنه]])</f>
        <v>0</v>
      </c>
      <c r="I146" s="90"/>
      <c r="J146" s="142" t="str">
        <f t="shared" si="2"/>
        <v>2.5.2026</v>
      </c>
      <c r="L146" s="153">
        <v>135</v>
      </c>
      <c r="M146" s="92"/>
    </row>
    <row r="147" spans="1:13" ht="21.6" x14ac:dyDescent="0.65">
      <c r="A147" s="195"/>
      <c r="B147" s="140">
        <v>144</v>
      </c>
      <c r="C147" s="2"/>
      <c r="D147" s="1"/>
      <c r="E147" s="3"/>
      <c r="F147" s="1"/>
      <c r="G147" s="141">
        <f>IF(Basic345678910111213141516171819202122232425262728293031[[#This Row],[نوع الخدمة]]="مخالفات", 50,
IF(Basic345678910111213141516171819202122232425262728293031[[#This Row],[نوع الخدمة]]="كاش ان",
    IF(F147&lt;=100, 18, IF(F147&lt;=250, 23, IF(F147&lt;=500, 35, IF(F147&lt;=1000, 40, F147*0.04)))),
IF(Basic345678910111213141516171819202122232425262728293031[[#This Row],[نوع الخدمة]]="كاش اوت",
    IF(F147&lt;=100, 15, IF(F147&lt;=250, 20, IF(F147&lt;=500, 30, IF(F147&lt;=1000, 35, F147*0.035)))),
0)))</f>
        <v>0</v>
      </c>
      <c r="H147" s="176">
        <f>IF(I147="مخالفات",50,Basic345678910111213141516171819202122232425262728293031[[#This Row],[قيمة الرسوم / العموله]]+Basic345678910111213141516171819202122232425262728293031[[#This Row],[قيمة الشحنه]])</f>
        <v>0</v>
      </c>
      <c r="I147" s="90"/>
      <c r="J147" s="142" t="str">
        <f t="shared" si="2"/>
        <v>2.5.2026</v>
      </c>
      <c r="L147" s="153">
        <v>136</v>
      </c>
      <c r="M147" s="92"/>
    </row>
    <row r="148" spans="1:13" ht="21.6" x14ac:dyDescent="0.65">
      <c r="A148" s="195"/>
      <c r="B148" s="140">
        <v>145</v>
      </c>
      <c r="C148" s="2"/>
      <c r="D148" s="1"/>
      <c r="E148" s="3"/>
      <c r="F148" s="1"/>
      <c r="G148" s="141">
        <f>IF(Basic345678910111213141516171819202122232425262728293031[[#This Row],[نوع الخدمة]]="مخالفات", 50,
IF(Basic345678910111213141516171819202122232425262728293031[[#This Row],[نوع الخدمة]]="كاش ان",
    IF(F148&lt;=100, 18, IF(F148&lt;=250, 23, IF(F148&lt;=500, 35, IF(F148&lt;=1000, 40, F148*0.04)))),
IF(Basic345678910111213141516171819202122232425262728293031[[#This Row],[نوع الخدمة]]="كاش اوت",
    IF(F148&lt;=100, 15, IF(F148&lt;=250, 20, IF(F148&lt;=500, 30, IF(F148&lt;=1000, 35, F148*0.035)))),
0)))</f>
        <v>0</v>
      </c>
      <c r="H148" s="176">
        <f>IF(I148="مخالفات",50,Basic345678910111213141516171819202122232425262728293031[[#This Row],[قيمة الرسوم / العموله]]+Basic345678910111213141516171819202122232425262728293031[[#This Row],[قيمة الشحنه]])</f>
        <v>0</v>
      </c>
      <c r="I148" s="90"/>
      <c r="J148" s="142" t="str">
        <f t="shared" si="2"/>
        <v>2.5.2026</v>
      </c>
      <c r="L148" s="153">
        <v>137</v>
      </c>
      <c r="M148" s="92"/>
    </row>
    <row r="149" spans="1:13" ht="21.6" x14ac:dyDescent="0.65">
      <c r="A149" s="195"/>
      <c r="B149" s="144">
        <v>146</v>
      </c>
      <c r="C149" s="2"/>
      <c r="D149" s="1"/>
      <c r="E149" s="3"/>
      <c r="F149" s="1"/>
      <c r="G149" s="141">
        <f>IF(Basic345678910111213141516171819202122232425262728293031[[#This Row],[نوع الخدمة]]="مخالفات", 50,
IF(Basic345678910111213141516171819202122232425262728293031[[#This Row],[نوع الخدمة]]="كاش ان",
    IF(F149&lt;=100, 18, IF(F149&lt;=250, 23, IF(F149&lt;=500, 35, IF(F149&lt;=1000, 40, F149*0.04)))),
IF(Basic345678910111213141516171819202122232425262728293031[[#This Row],[نوع الخدمة]]="كاش اوت",
    IF(F149&lt;=100, 15, IF(F149&lt;=250, 20, IF(F149&lt;=500, 30, IF(F149&lt;=1000, 35, F149*0.035)))),
0)))</f>
        <v>0</v>
      </c>
      <c r="H149" s="176">
        <f>IF(I149="مخالفات",50,Basic345678910111213141516171819202122232425262728293031[[#This Row],[قيمة الرسوم / العموله]]+Basic345678910111213141516171819202122232425262728293031[[#This Row],[قيمة الشحنه]])</f>
        <v>0</v>
      </c>
      <c r="I149" s="90"/>
      <c r="J149" s="142" t="str">
        <f t="shared" si="2"/>
        <v>2.5.2026</v>
      </c>
      <c r="L149" s="153">
        <v>138</v>
      </c>
      <c r="M149" s="92"/>
    </row>
    <row r="150" spans="1:13" ht="21.6" x14ac:dyDescent="0.65">
      <c r="A150" s="195"/>
      <c r="B150" s="140">
        <v>147</v>
      </c>
      <c r="C150" s="2"/>
      <c r="D150" s="1"/>
      <c r="E150" s="3"/>
      <c r="F150" s="1"/>
      <c r="G150" s="141">
        <f>IF(Basic345678910111213141516171819202122232425262728293031[[#This Row],[نوع الخدمة]]="مخالفات", 50,
IF(Basic345678910111213141516171819202122232425262728293031[[#This Row],[نوع الخدمة]]="كاش ان",
    IF(F150&lt;=100, 18, IF(F150&lt;=250, 23, IF(F150&lt;=500, 35, IF(F150&lt;=1000, 40, F150*0.04)))),
IF(Basic345678910111213141516171819202122232425262728293031[[#This Row],[نوع الخدمة]]="كاش اوت",
    IF(F150&lt;=100, 15, IF(F150&lt;=250, 20, IF(F150&lt;=500, 30, IF(F150&lt;=1000, 35, F150*0.035)))),
0)))</f>
        <v>0</v>
      </c>
      <c r="H150" s="176">
        <f>IF(I150="مخالفات",50,Basic345678910111213141516171819202122232425262728293031[[#This Row],[قيمة الرسوم / العموله]]+Basic345678910111213141516171819202122232425262728293031[[#This Row],[قيمة الشحنه]])</f>
        <v>0</v>
      </c>
      <c r="I150" s="90"/>
      <c r="J150" s="142" t="str">
        <f t="shared" si="2"/>
        <v>2.5.2026</v>
      </c>
      <c r="L150" s="153">
        <v>139</v>
      </c>
      <c r="M150" s="92"/>
    </row>
    <row r="151" spans="1:13" ht="21.6" x14ac:dyDescent="0.65">
      <c r="A151" s="195"/>
      <c r="B151" s="140">
        <v>148</v>
      </c>
      <c r="C151" s="2"/>
      <c r="D151" s="1"/>
      <c r="E151" s="3"/>
      <c r="F151" s="1"/>
      <c r="G151" s="141">
        <f>IF(Basic345678910111213141516171819202122232425262728293031[[#This Row],[نوع الخدمة]]="مخالفات", 50,
IF(Basic345678910111213141516171819202122232425262728293031[[#This Row],[نوع الخدمة]]="كاش ان",
    IF(F151&lt;=100, 18, IF(F151&lt;=250, 23, IF(F151&lt;=500, 35, IF(F151&lt;=1000, 40, F151*0.04)))),
IF(Basic345678910111213141516171819202122232425262728293031[[#This Row],[نوع الخدمة]]="كاش اوت",
    IF(F151&lt;=100, 15, IF(F151&lt;=250, 20, IF(F151&lt;=500, 30, IF(F151&lt;=1000, 35, F151*0.035)))),
0)))</f>
        <v>0</v>
      </c>
      <c r="H151" s="176">
        <f>IF(I151="مخالفات",50,Basic345678910111213141516171819202122232425262728293031[[#This Row],[قيمة الرسوم / العموله]]+Basic345678910111213141516171819202122232425262728293031[[#This Row],[قيمة الشحنه]])</f>
        <v>0</v>
      </c>
      <c r="I151" s="90"/>
      <c r="J151" s="142" t="str">
        <f t="shared" si="2"/>
        <v>2.5.2026</v>
      </c>
      <c r="L151" s="153">
        <v>140</v>
      </c>
      <c r="M151" s="92"/>
    </row>
    <row r="152" spans="1:13" ht="21.6" x14ac:dyDescent="0.65">
      <c r="A152" s="195"/>
      <c r="B152" s="140">
        <v>149</v>
      </c>
      <c r="C152" s="2"/>
      <c r="D152" s="1"/>
      <c r="E152" s="3"/>
      <c r="F152" s="1"/>
      <c r="G152" s="141">
        <f>IF(Basic345678910111213141516171819202122232425262728293031[[#This Row],[نوع الخدمة]]="مخالفات", 50,
IF(Basic345678910111213141516171819202122232425262728293031[[#This Row],[نوع الخدمة]]="كاش ان",
    IF(F152&lt;=100, 18, IF(F152&lt;=250, 23, IF(F152&lt;=500, 35, IF(F152&lt;=1000, 40, F152*0.04)))),
IF(Basic345678910111213141516171819202122232425262728293031[[#This Row],[نوع الخدمة]]="كاش اوت",
    IF(F152&lt;=100, 15, IF(F152&lt;=250, 20, IF(F152&lt;=500, 30, IF(F152&lt;=1000, 35, F152*0.035)))),
0)))</f>
        <v>0</v>
      </c>
      <c r="H152" s="176">
        <f>IF(I152="مخالفات",50,Basic345678910111213141516171819202122232425262728293031[[#This Row],[قيمة الرسوم / العموله]]+Basic345678910111213141516171819202122232425262728293031[[#This Row],[قيمة الشحنه]])</f>
        <v>0</v>
      </c>
      <c r="I152" s="90"/>
      <c r="J152" s="142" t="str">
        <f t="shared" si="2"/>
        <v>2.5.2026</v>
      </c>
      <c r="L152" s="153">
        <v>141</v>
      </c>
      <c r="M152" s="92"/>
    </row>
    <row r="153" spans="1:13" ht="21.6" x14ac:dyDescent="0.65">
      <c r="A153" s="195"/>
      <c r="B153" s="144">
        <v>150</v>
      </c>
      <c r="C153" s="2"/>
      <c r="D153" s="1"/>
      <c r="E153" s="3"/>
      <c r="F153" s="1"/>
      <c r="G153" s="141">
        <f>IF(Basic345678910111213141516171819202122232425262728293031[[#This Row],[نوع الخدمة]]="مخالفات", 50,
IF(Basic345678910111213141516171819202122232425262728293031[[#This Row],[نوع الخدمة]]="كاش ان",
    IF(F153&lt;=100, 18, IF(F153&lt;=250, 23, IF(F153&lt;=500, 35, IF(F153&lt;=1000, 40, F153*0.04)))),
IF(Basic345678910111213141516171819202122232425262728293031[[#This Row],[نوع الخدمة]]="كاش اوت",
    IF(F153&lt;=100, 15, IF(F153&lt;=250, 20, IF(F153&lt;=500, 30, IF(F153&lt;=1000, 35, F153*0.035)))),
0)))</f>
        <v>0</v>
      </c>
      <c r="H153" s="176">
        <f>IF(I153="مخالفات",50,Basic345678910111213141516171819202122232425262728293031[[#This Row],[قيمة الرسوم / العموله]]+Basic345678910111213141516171819202122232425262728293031[[#This Row],[قيمة الشحنه]])</f>
        <v>0</v>
      </c>
      <c r="I153" s="90"/>
      <c r="J153" s="142" t="str">
        <f t="shared" si="2"/>
        <v>2.5.2026</v>
      </c>
      <c r="L153" s="153">
        <v>142</v>
      </c>
      <c r="M153" s="92"/>
    </row>
    <row r="154" spans="1:13" ht="21.6" x14ac:dyDescent="0.65">
      <c r="A154" s="195"/>
      <c r="B154" s="140">
        <v>151</v>
      </c>
      <c r="C154" s="2"/>
      <c r="D154" s="1"/>
      <c r="E154" s="3"/>
      <c r="F154" s="1"/>
      <c r="G154" s="141">
        <f>IF(Basic345678910111213141516171819202122232425262728293031[[#This Row],[نوع الخدمة]]="مخالفات", 50,
IF(Basic345678910111213141516171819202122232425262728293031[[#This Row],[نوع الخدمة]]="كاش ان",
    IF(F154&lt;=100, 18, IF(F154&lt;=250, 23, IF(F154&lt;=500, 35, IF(F154&lt;=1000, 40, F154*0.04)))),
IF(Basic345678910111213141516171819202122232425262728293031[[#This Row],[نوع الخدمة]]="كاش اوت",
    IF(F154&lt;=100, 15, IF(F154&lt;=250, 20, IF(F154&lt;=500, 30, IF(F154&lt;=1000, 35, F154*0.035)))),
0)))</f>
        <v>0</v>
      </c>
      <c r="H154" s="176">
        <f>IF(I154="مخالفات",50,Basic345678910111213141516171819202122232425262728293031[[#This Row],[قيمة الرسوم / العموله]]+Basic345678910111213141516171819202122232425262728293031[[#This Row],[قيمة الشحنه]])</f>
        <v>0</v>
      </c>
      <c r="I154" s="90"/>
      <c r="J154" s="142" t="str">
        <f t="shared" si="2"/>
        <v>2.5.2026</v>
      </c>
      <c r="L154" s="153">
        <v>143</v>
      </c>
      <c r="M154" s="92"/>
    </row>
    <row r="155" spans="1:13" ht="21.6" x14ac:dyDescent="0.65">
      <c r="A155" s="195"/>
      <c r="B155" s="140">
        <v>152</v>
      </c>
      <c r="C155" s="2"/>
      <c r="D155" s="1"/>
      <c r="E155" s="3"/>
      <c r="F155" s="1"/>
      <c r="G155" s="141">
        <f>IF(Basic345678910111213141516171819202122232425262728293031[[#This Row],[نوع الخدمة]]="مخالفات", 50,
IF(Basic345678910111213141516171819202122232425262728293031[[#This Row],[نوع الخدمة]]="كاش ان",
    IF(F155&lt;=100, 18, IF(F155&lt;=250, 23, IF(F155&lt;=500, 35, IF(F155&lt;=1000, 40, F155*0.04)))),
IF(Basic345678910111213141516171819202122232425262728293031[[#This Row],[نوع الخدمة]]="كاش اوت",
    IF(F155&lt;=100, 15, IF(F155&lt;=250, 20, IF(F155&lt;=500, 30, IF(F155&lt;=1000, 35, F155*0.035)))),
0)))</f>
        <v>0</v>
      </c>
      <c r="H155" s="176">
        <f>IF(I155="مخالفات",50,Basic345678910111213141516171819202122232425262728293031[[#This Row],[قيمة الرسوم / العموله]]+Basic345678910111213141516171819202122232425262728293031[[#This Row],[قيمة الشحنه]])</f>
        <v>0</v>
      </c>
      <c r="I155" s="90"/>
      <c r="J155" s="142" t="str">
        <f t="shared" si="2"/>
        <v>2.5.2026</v>
      </c>
      <c r="L155" s="153">
        <v>144</v>
      </c>
      <c r="M155" s="92"/>
    </row>
    <row r="156" spans="1:13" ht="21.6" x14ac:dyDescent="0.65">
      <c r="A156" s="195"/>
      <c r="B156" s="140">
        <v>153</v>
      </c>
      <c r="C156" s="2"/>
      <c r="D156" s="1"/>
      <c r="E156" s="3"/>
      <c r="F156" s="1"/>
      <c r="G156" s="141">
        <f>IF(Basic345678910111213141516171819202122232425262728293031[[#This Row],[نوع الخدمة]]="مخالفات", 50,
IF(Basic345678910111213141516171819202122232425262728293031[[#This Row],[نوع الخدمة]]="كاش ان",
    IF(F156&lt;=100, 18, IF(F156&lt;=250, 23, IF(F156&lt;=500, 35, IF(F156&lt;=1000, 40, F156*0.04)))),
IF(Basic345678910111213141516171819202122232425262728293031[[#This Row],[نوع الخدمة]]="كاش اوت",
    IF(F156&lt;=100, 15, IF(F156&lt;=250, 20, IF(F156&lt;=500, 30, IF(F156&lt;=1000, 35, F156*0.035)))),
0)))</f>
        <v>0</v>
      </c>
      <c r="H156" s="176">
        <f>IF(I156="مخالفات",50,Basic345678910111213141516171819202122232425262728293031[[#This Row],[قيمة الرسوم / العموله]]+Basic345678910111213141516171819202122232425262728293031[[#This Row],[قيمة الشحنه]])</f>
        <v>0</v>
      </c>
      <c r="I156" s="90"/>
      <c r="J156" s="142" t="str">
        <f t="shared" si="2"/>
        <v>2.5.2026</v>
      </c>
      <c r="L156" s="153">
        <v>145</v>
      </c>
      <c r="M156" s="92"/>
    </row>
    <row r="157" spans="1:13" ht="21.6" x14ac:dyDescent="0.65">
      <c r="A157" s="195"/>
      <c r="B157" s="144">
        <v>154</v>
      </c>
      <c r="C157" s="2"/>
      <c r="D157" s="1"/>
      <c r="E157" s="3"/>
      <c r="F157" s="1"/>
      <c r="G157" s="141">
        <f>IF(Basic345678910111213141516171819202122232425262728293031[[#This Row],[نوع الخدمة]]="مخالفات", 50,
IF(Basic345678910111213141516171819202122232425262728293031[[#This Row],[نوع الخدمة]]="كاش ان",
    IF(F157&lt;=100, 18, IF(F157&lt;=250, 23, IF(F157&lt;=500, 35, IF(F157&lt;=1000, 40, F157*0.04)))),
IF(Basic345678910111213141516171819202122232425262728293031[[#This Row],[نوع الخدمة]]="كاش اوت",
    IF(F157&lt;=100, 15, IF(F157&lt;=250, 20, IF(F157&lt;=500, 30, IF(F157&lt;=1000, 35, F157*0.035)))),
0)))</f>
        <v>0</v>
      </c>
      <c r="H157" s="176">
        <f>IF(I157="مخالفات",50,Basic345678910111213141516171819202122232425262728293031[[#This Row],[قيمة الرسوم / العموله]]+Basic345678910111213141516171819202122232425262728293031[[#This Row],[قيمة الشحنه]])</f>
        <v>0</v>
      </c>
      <c r="I157" s="90"/>
      <c r="J157" s="142" t="str">
        <f t="shared" si="2"/>
        <v>2.5.2026</v>
      </c>
      <c r="L157" s="153">
        <v>146</v>
      </c>
      <c r="M157" s="92"/>
    </row>
    <row r="158" spans="1:13" ht="21.6" x14ac:dyDescent="0.65">
      <c r="A158" s="195"/>
      <c r="B158" s="140">
        <v>155</v>
      </c>
      <c r="C158" s="2"/>
      <c r="D158" s="1"/>
      <c r="E158" s="3"/>
      <c r="F158" s="1"/>
      <c r="G158" s="141">
        <f>IF(Basic345678910111213141516171819202122232425262728293031[[#This Row],[نوع الخدمة]]="مخالفات", 50,
IF(Basic345678910111213141516171819202122232425262728293031[[#This Row],[نوع الخدمة]]="كاش ان",
    IF(F158&lt;=100, 18, IF(F158&lt;=250, 23, IF(F158&lt;=500, 35, IF(F158&lt;=1000, 40, F158*0.04)))),
IF(Basic345678910111213141516171819202122232425262728293031[[#This Row],[نوع الخدمة]]="كاش اوت",
    IF(F158&lt;=100, 15, IF(F158&lt;=250, 20, IF(F158&lt;=500, 30, IF(F158&lt;=1000, 35, F158*0.035)))),
0)))</f>
        <v>0</v>
      </c>
      <c r="H158" s="176">
        <f>IF(I158="مخالفات",50,Basic345678910111213141516171819202122232425262728293031[[#This Row],[قيمة الرسوم / العموله]]+Basic345678910111213141516171819202122232425262728293031[[#This Row],[قيمة الشحنه]])</f>
        <v>0</v>
      </c>
      <c r="I158" s="90"/>
      <c r="J158" s="142" t="str">
        <f t="shared" si="2"/>
        <v>2.5.2026</v>
      </c>
      <c r="L158" s="153">
        <v>147</v>
      </c>
      <c r="M158" s="92"/>
    </row>
    <row r="159" spans="1:13" ht="21.6" x14ac:dyDescent="0.65">
      <c r="A159" s="195"/>
      <c r="B159" s="140">
        <v>156</v>
      </c>
      <c r="C159" s="2"/>
      <c r="D159" s="1"/>
      <c r="E159" s="3"/>
      <c r="F159" s="1"/>
      <c r="G159" s="141">
        <f>IF(Basic345678910111213141516171819202122232425262728293031[[#This Row],[نوع الخدمة]]="مخالفات", 50,
IF(Basic345678910111213141516171819202122232425262728293031[[#This Row],[نوع الخدمة]]="كاش ان",
    IF(F159&lt;=100, 18, IF(F159&lt;=250, 23, IF(F159&lt;=500, 35, IF(F159&lt;=1000, 40, F159*0.04)))),
IF(Basic345678910111213141516171819202122232425262728293031[[#This Row],[نوع الخدمة]]="كاش اوت",
    IF(F159&lt;=100, 15, IF(F159&lt;=250, 20, IF(F159&lt;=500, 30, IF(F159&lt;=1000, 35, F159*0.035)))),
0)))</f>
        <v>0</v>
      </c>
      <c r="H159" s="176">
        <f>IF(I159="مخالفات",50,Basic345678910111213141516171819202122232425262728293031[[#This Row],[قيمة الرسوم / العموله]]+Basic345678910111213141516171819202122232425262728293031[[#This Row],[قيمة الشحنه]])</f>
        <v>0</v>
      </c>
      <c r="I159" s="90"/>
      <c r="J159" s="142" t="str">
        <f t="shared" si="2"/>
        <v>2.5.2026</v>
      </c>
      <c r="L159" s="153">
        <v>148</v>
      </c>
      <c r="M159" s="92"/>
    </row>
    <row r="160" spans="1:13" ht="21.6" x14ac:dyDescent="0.65">
      <c r="A160" s="195"/>
      <c r="B160" s="140">
        <v>157</v>
      </c>
      <c r="C160" s="2"/>
      <c r="D160" s="1"/>
      <c r="E160" s="3"/>
      <c r="F160" s="1"/>
      <c r="G160" s="141">
        <f>IF(Basic345678910111213141516171819202122232425262728293031[[#This Row],[نوع الخدمة]]="مخالفات", 50,
IF(Basic345678910111213141516171819202122232425262728293031[[#This Row],[نوع الخدمة]]="كاش ان",
    IF(F160&lt;=100, 18, IF(F160&lt;=250, 23, IF(F160&lt;=500, 35, IF(F160&lt;=1000, 40, F160*0.04)))),
IF(Basic345678910111213141516171819202122232425262728293031[[#This Row],[نوع الخدمة]]="كاش اوت",
    IF(F160&lt;=100, 15, IF(F160&lt;=250, 20, IF(F160&lt;=500, 30, IF(F160&lt;=1000, 35, F160*0.035)))),
0)))</f>
        <v>0</v>
      </c>
      <c r="H160" s="176">
        <f>IF(I160="مخالفات",50,Basic345678910111213141516171819202122232425262728293031[[#This Row],[قيمة الرسوم / العموله]]+Basic345678910111213141516171819202122232425262728293031[[#This Row],[قيمة الشحنه]])</f>
        <v>0</v>
      </c>
      <c r="I160" s="90"/>
      <c r="J160" s="142" t="str">
        <f t="shared" si="2"/>
        <v>2.5.2026</v>
      </c>
      <c r="L160" s="153">
        <v>149</v>
      </c>
      <c r="M160" s="92"/>
    </row>
    <row r="161" spans="1:13" ht="21.6" x14ac:dyDescent="0.65">
      <c r="A161" s="195"/>
      <c r="B161" s="144">
        <v>158</v>
      </c>
      <c r="C161" s="2"/>
      <c r="D161" s="1"/>
      <c r="E161" s="3"/>
      <c r="F161" s="1"/>
      <c r="G161" s="141">
        <f>IF(Basic345678910111213141516171819202122232425262728293031[[#This Row],[نوع الخدمة]]="مخالفات", 50,
IF(Basic345678910111213141516171819202122232425262728293031[[#This Row],[نوع الخدمة]]="كاش ان",
    IF(F161&lt;=100, 18, IF(F161&lt;=250, 23, IF(F161&lt;=500, 35, IF(F161&lt;=1000, 40, F161*0.04)))),
IF(Basic345678910111213141516171819202122232425262728293031[[#This Row],[نوع الخدمة]]="كاش اوت",
    IF(F161&lt;=100, 15, IF(F161&lt;=250, 20, IF(F161&lt;=500, 30, IF(F161&lt;=1000, 35, F161*0.035)))),
0)))</f>
        <v>0</v>
      </c>
      <c r="H161" s="176">
        <f>IF(I161="مخالفات",50,Basic345678910111213141516171819202122232425262728293031[[#This Row],[قيمة الرسوم / العموله]]+Basic345678910111213141516171819202122232425262728293031[[#This Row],[قيمة الشحنه]])</f>
        <v>0</v>
      </c>
      <c r="I161" s="90"/>
      <c r="J161" s="142" t="str">
        <f t="shared" si="2"/>
        <v>2.5.2026</v>
      </c>
      <c r="L161" s="153">
        <v>150</v>
      </c>
      <c r="M161" s="92"/>
    </row>
    <row r="162" spans="1:13" ht="21.6" x14ac:dyDescent="0.65">
      <c r="A162" s="195"/>
      <c r="B162" s="140">
        <v>159</v>
      </c>
      <c r="C162" s="2"/>
      <c r="D162" s="1"/>
      <c r="E162" s="3"/>
      <c r="F162" s="1"/>
      <c r="G162" s="141">
        <f>IF(Basic345678910111213141516171819202122232425262728293031[[#This Row],[نوع الخدمة]]="مخالفات", 50,
IF(Basic345678910111213141516171819202122232425262728293031[[#This Row],[نوع الخدمة]]="كاش ان",
    IF(F162&lt;=100, 18, IF(F162&lt;=250, 23, IF(F162&lt;=500, 35, IF(F162&lt;=1000, 40, F162*0.04)))),
IF(Basic345678910111213141516171819202122232425262728293031[[#This Row],[نوع الخدمة]]="كاش اوت",
    IF(F162&lt;=100, 15, IF(F162&lt;=250, 20, IF(F162&lt;=500, 30, IF(F162&lt;=1000, 35, F162*0.035)))),
0)))</f>
        <v>0</v>
      </c>
      <c r="H162" s="176">
        <f>IF(I162="مخالفات",50,Basic345678910111213141516171819202122232425262728293031[[#This Row],[قيمة الرسوم / العموله]]+Basic345678910111213141516171819202122232425262728293031[[#This Row],[قيمة الشحنه]])</f>
        <v>0</v>
      </c>
      <c r="I162" s="90"/>
      <c r="J162" s="142" t="str">
        <f t="shared" si="2"/>
        <v>2.5.2026</v>
      </c>
      <c r="L162" s="153">
        <v>151</v>
      </c>
      <c r="M162" s="92"/>
    </row>
    <row r="163" spans="1:13" ht="21.6" x14ac:dyDescent="0.65">
      <c r="A163" s="195"/>
      <c r="B163" s="140">
        <v>160</v>
      </c>
      <c r="C163" s="2"/>
      <c r="D163" s="1"/>
      <c r="E163" s="3"/>
      <c r="F163" s="1"/>
      <c r="G163" s="141">
        <f>IF(Basic345678910111213141516171819202122232425262728293031[[#This Row],[نوع الخدمة]]="مخالفات", 50,
IF(Basic345678910111213141516171819202122232425262728293031[[#This Row],[نوع الخدمة]]="كاش ان",
    IF(F163&lt;=100, 18, IF(F163&lt;=250, 23, IF(F163&lt;=500, 35, IF(F163&lt;=1000, 40, F163*0.04)))),
IF(Basic345678910111213141516171819202122232425262728293031[[#This Row],[نوع الخدمة]]="كاش اوت",
    IF(F163&lt;=100, 15, IF(F163&lt;=250, 20, IF(F163&lt;=500, 30, IF(F163&lt;=1000, 35, F163*0.035)))),
0)))</f>
        <v>0</v>
      </c>
      <c r="H163" s="176">
        <f>IF(I163="مخالفات",50,Basic345678910111213141516171819202122232425262728293031[[#This Row],[قيمة الرسوم / العموله]]+Basic345678910111213141516171819202122232425262728293031[[#This Row],[قيمة الشحنه]])</f>
        <v>0</v>
      </c>
      <c r="I163" s="90"/>
      <c r="J163" s="142" t="str">
        <f t="shared" si="2"/>
        <v>2.5.2026</v>
      </c>
      <c r="L163" s="153">
        <v>152</v>
      </c>
      <c r="M163" s="92"/>
    </row>
    <row r="164" spans="1:13" ht="21.6" x14ac:dyDescent="0.65">
      <c r="A164" s="195"/>
      <c r="B164" s="140">
        <v>161</v>
      </c>
      <c r="C164" s="2"/>
      <c r="D164" s="1"/>
      <c r="E164" s="3"/>
      <c r="F164" s="1"/>
      <c r="G164" s="141">
        <f>IF(Basic345678910111213141516171819202122232425262728293031[[#This Row],[نوع الخدمة]]="مخالفات", 50,
IF(Basic345678910111213141516171819202122232425262728293031[[#This Row],[نوع الخدمة]]="كاش ان",
    IF(F164&lt;=100, 18, IF(F164&lt;=250, 23, IF(F164&lt;=500, 35, IF(F164&lt;=1000, 40, F164*0.04)))),
IF(Basic345678910111213141516171819202122232425262728293031[[#This Row],[نوع الخدمة]]="كاش اوت",
    IF(F164&lt;=100, 15, IF(F164&lt;=250, 20, IF(F164&lt;=500, 30, IF(F164&lt;=1000, 35, F164*0.035)))),
0)))</f>
        <v>0</v>
      </c>
      <c r="H164" s="176">
        <f>IF(I164="مخالفات",50,Basic345678910111213141516171819202122232425262728293031[[#This Row],[قيمة الرسوم / العموله]]+Basic345678910111213141516171819202122232425262728293031[[#This Row],[قيمة الشحنه]])</f>
        <v>0</v>
      </c>
      <c r="I164" s="90"/>
      <c r="J164" s="142" t="str">
        <f t="shared" si="2"/>
        <v>2.5.2026</v>
      </c>
      <c r="L164" s="153">
        <v>153</v>
      </c>
      <c r="M164" s="92"/>
    </row>
    <row r="165" spans="1:13" ht="21.6" x14ac:dyDescent="0.65">
      <c r="A165" s="195"/>
      <c r="B165" s="144">
        <v>162</v>
      </c>
      <c r="C165" s="2"/>
      <c r="D165" s="1"/>
      <c r="E165" s="3"/>
      <c r="F165" s="1"/>
      <c r="G165" s="141">
        <f>IF(Basic345678910111213141516171819202122232425262728293031[[#This Row],[نوع الخدمة]]="مخالفات", 50,
IF(Basic345678910111213141516171819202122232425262728293031[[#This Row],[نوع الخدمة]]="كاش ان",
    IF(F165&lt;=100, 18, IF(F165&lt;=250, 23, IF(F165&lt;=500, 35, IF(F165&lt;=1000, 40, F165*0.04)))),
IF(Basic345678910111213141516171819202122232425262728293031[[#This Row],[نوع الخدمة]]="كاش اوت",
    IF(F165&lt;=100, 15, IF(F165&lt;=250, 20, IF(F165&lt;=500, 30, IF(F165&lt;=1000, 35, F165*0.035)))),
0)))</f>
        <v>0</v>
      </c>
      <c r="H165" s="176">
        <f>IF(I165="مخالفات",50,Basic345678910111213141516171819202122232425262728293031[[#This Row],[قيمة الرسوم / العموله]]+Basic345678910111213141516171819202122232425262728293031[[#This Row],[قيمة الشحنه]])</f>
        <v>0</v>
      </c>
      <c r="I165" s="90"/>
      <c r="J165" s="142" t="str">
        <f t="shared" si="2"/>
        <v>2.5.2026</v>
      </c>
      <c r="L165" s="153">
        <v>154</v>
      </c>
      <c r="M165" s="92"/>
    </row>
    <row r="166" spans="1:13" ht="21.6" x14ac:dyDescent="0.65">
      <c r="A166" s="195"/>
      <c r="B166" s="140">
        <v>163</v>
      </c>
      <c r="C166" s="2"/>
      <c r="D166" s="1"/>
      <c r="E166" s="3"/>
      <c r="F166" s="1"/>
      <c r="G166" s="141">
        <f>IF(Basic345678910111213141516171819202122232425262728293031[[#This Row],[نوع الخدمة]]="مخالفات", 50,
IF(Basic345678910111213141516171819202122232425262728293031[[#This Row],[نوع الخدمة]]="كاش ان",
    IF(F166&lt;=100, 18, IF(F166&lt;=250, 23, IF(F166&lt;=500, 35, IF(F166&lt;=1000, 40, F166*0.04)))),
IF(Basic345678910111213141516171819202122232425262728293031[[#This Row],[نوع الخدمة]]="كاش اوت",
    IF(F166&lt;=100, 15, IF(F166&lt;=250, 20, IF(F166&lt;=500, 30, IF(F166&lt;=1000, 35, F166*0.035)))),
0)))</f>
        <v>0</v>
      </c>
      <c r="H166" s="176">
        <f>IF(I166="مخالفات",50,Basic345678910111213141516171819202122232425262728293031[[#This Row],[قيمة الرسوم / العموله]]+Basic345678910111213141516171819202122232425262728293031[[#This Row],[قيمة الشحنه]])</f>
        <v>0</v>
      </c>
      <c r="I166" s="90"/>
      <c r="J166" s="142" t="str">
        <f t="shared" si="2"/>
        <v>2.5.2026</v>
      </c>
      <c r="L166" s="153">
        <v>155</v>
      </c>
      <c r="M166" s="92"/>
    </row>
    <row r="167" spans="1:13" ht="21.6" x14ac:dyDescent="0.65">
      <c r="A167" s="195"/>
      <c r="B167" s="140">
        <v>164</v>
      </c>
      <c r="C167" s="2"/>
      <c r="D167" s="1"/>
      <c r="E167" s="3"/>
      <c r="F167" s="1"/>
      <c r="G167" s="141">
        <f>IF(Basic345678910111213141516171819202122232425262728293031[[#This Row],[نوع الخدمة]]="مخالفات", 50,
IF(Basic345678910111213141516171819202122232425262728293031[[#This Row],[نوع الخدمة]]="كاش ان",
    IF(F167&lt;=100, 18, IF(F167&lt;=250, 23, IF(F167&lt;=500, 35, IF(F167&lt;=1000, 40, F167*0.04)))),
IF(Basic345678910111213141516171819202122232425262728293031[[#This Row],[نوع الخدمة]]="كاش اوت",
    IF(F167&lt;=100, 15, IF(F167&lt;=250, 20, IF(F167&lt;=500, 30, IF(F167&lt;=1000, 35, F167*0.035)))),
0)))</f>
        <v>0</v>
      </c>
      <c r="H167" s="176">
        <f>IF(I167="مخالفات",50,Basic345678910111213141516171819202122232425262728293031[[#This Row],[قيمة الرسوم / العموله]]+Basic345678910111213141516171819202122232425262728293031[[#This Row],[قيمة الشحنه]])</f>
        <v>0</v>
      </c>
      <c r="I167" s="90"/>
      <c r="J167" s="142" t="str">
        <f t="shared" si="2"/>
        <v>2.5.2026</v>
      </c>
      <c r="L167" s="153">
        <v>156</v>
      </c>
      <c r="M167" s="92"/>
    </row>
    <row r="168" spans="1:13" ht="21.6" x14ac:dyDescent="0.65">
      <c r="A168" s="195"/>
      <c r="B168" s="140">
        <v>165</v>
      </c>
      <c r="C168" s="2"/>
      <c r="D168" s="1"/>
      <c r="E168" s="3"/>
      <c r="F168" s="1"/>
      <c r="G168" s="141">
        <f>IF(Basic345678910111213141516171819202122232425262728293031[[#This Row],[نوع الخدمة]]="مخالفات", 50,
IF(Basic345678910111213141516171819202122232425262728293031[[#This Row],[نوع الخدمة]]="كاش ان",
    IF(F168&lt;=100, 18, IF(F168&lt;=250, 23, IF(F168&lt;=500, 35, IF(F168&lt;=1000, 40, F168*0.04)))),
IF(Basic345678910111213141516171819202122232425262728293031[[#This Row],[نوع الخدمة]]="كاش اوت",
    IF(F168&lt;=100, 15, IF(F168&lt;=250, 20, IF(F168&lt;=500, 30, IF(F168&lt;=1000, 35, F168*0.035)))),
0)))</f>
        <v>0</v>
      </c>
      <c r="H168" s="176">
        <f>IF(I168="مخالفات",50,Basic345678910111213141516171819202122232425262728293031[[#This Row],[قيمة الرسوم / العموله]]+Basic345678910111213141516171819202122232425262728293031[[#This Row],[قيمة الشحنه]])</f>
        <v>0</v>
      </c>
      <c r="I168" s="90"/>
      <c r="J168" s="142" t="str">
        <f t="shared" si="2"/>
        <v>2.5.2026</v>
      </c>
      <c r="L168" s="153">
        <v>157</v>
      </c>
      <c r="M168" s="92"/>
    </row>
    <row r="169" spans="1:13" ht="21.6" x14ac:dyDescent="0.65">
      <c r="A169" s="195"/>
      <c r="B169" s="144">
        <v>166</v>
      </c>
      <c r="C169" s="2"/>
      <c r="D169" s="1"/>
      <c r="E169" s="3"/>
      <c r="F169" s="1"/>
      <c r="G169" s="141">
        <f>IF(Basic345678910111213141516171819202122232425262728293031[[#This Row],[نوع الخدمة]]="مخالفات", 50,
IF(Basic345678910111213141516171819202122232425262728293031[[#This Row],[نوع الخدمة]]="كاش ان",
    IF(F169&lt;=100, 18, IF(F169&lt;=250, 23, IF(F169&lt;=500, 35, IF(F169&lt;=1000, 40, F169*0.04)))),
IF(Basic345678910111213141516171819202122232425262728293031[[#This Row],[نوع الخدمة]]="كاش اوت",
    IF(F169&lt;=100, 15, IF(F169&lt;=250, 20, IF(F169&lt;=500, 30, IF(F169&lt;=1000, 35, F169*0.035)))),
0)))</f>
        <v>0</v>
      </c>
      <c r="H169" s="176">
        <f>IF(I169="مخالفات",50,Basic345678910111213141516171819202122232425262728293031[[#This Row],[قيمة الرسوم / العموله]]+Basic345678910111213141516171819202122232425262728293031[[#This Row],[قيمة الشحنه]])</f>
        <v>0</v>
      </c>
      <c r="I169" s="90"/>
      <c r="J169" s="142" t="str">
        <f t="shared" si="2"/>
        <v>2.5.2026</v>
      </c>
      <c r="L169" s="153">
        <v>158</v>
      </c>
      <c r="M169" s="92"/>
    </row>
    <row r="170" spans="1:13" ht="21.6" x14ac:dyDescent="0.65">
      <c r="A170" s="195"/>
      <c r="B170" s="140">
        <v>167</v>
      </c>
      <c r="C170" s="2"/>
      <c r="D170" s="1"/>
      <c r="E170" s="3"/>
      <c r="F170" s="1"/>
      <c r="G170" s="141">
        <f>IF(Basic345678910111213141516171819202122232425262728293031[[#This Row],[نوع الخدمة]]="مخالفات", 50,
IF(Basic345678910111213141516171819202122232425262728293031[[#This Row],[نوع الخدمة]]="كاش ان",
    IF(F170&lt;=100, 18, IF(F170&lt;=250, 23, IF(F170&lt;=500, 35, IF(F170&lt;=1000, 40, F170*0.04)))),
IF(Basic345678910111213141516171819202122232425262728293031[[#This Row],[نوع الخدمة]]="كاش اوت",
    IF(F170&lt;=100, 15, IF(F170&lt;=250, 20, IF(F170&lt;=500, 30, IF(F170&lt;=1000, 35, F170*0.035)))),
0)))</f>
        <v>0</v>
      </c>
      <c r="H170" s="176">
        <f>IF(I170="مخالفات",50,Basic345678910111213141516171819202122232425262728293031[[#This Row],[قيمة الرسوم / العموله]]+Basic345678910111213141516171819202122232425262728293031[[#This Row],[قيمة الشحنه]])</f>
        <v>0</v>
      </c>
      <c r="I170" s="90"/>
      <c r="J170" s="142" t="str">
        <f t="shared" si="2"/>
        <v>2.5.2026</v>
      </c>
      <c r="L170" s="153">
        <v>159</v>
      </c>
      <c r="M170" s="92"/>
    </row>
    <row r="171" spans="1:13" ht="21.6" x14ac:dyDescent="0.65">
      <c r="A171" s="195"/>
      <c r="B171" s="140">
        <v>168</v>
      </c>
      <c r="C171" s="2"/>
      <c r="D171" s="1"/>
      <c r="E171" s="3"/>
      <c r="F171" s="1"/>
      <c r="G171" s="141">
        <f>IF(Basic345678910111213141516171819202122232425262728293031[[#This Row],[نوع الخدمة]]="مخالفات", 50,
IF(Basic345678910111213141516171819202122232425262728293031[[#This Row],[نوع الخدمة]]="كاش ان",
    IF(F171&lt;=100, 18, IF(F171&lt;=250, 23, IF(F171&lt;=500, 35, IF(F171&lt;=1000, 40, F171*0.04)))),
IF(Basic345678910111213141516171819202122232425262728293031[[#This Row],[نوع الخدمة]]="كاش اوت",
    IF(F171&lt;=100, 15, IF(F171&lt;=250, 20, IF(F171&lt;=500, 30, IF(F171&lt;=1000, 35, F171*0.035)))),
0)))</f>
        <v>0</v>
      </c>
      <c r="H171" s="176">
        <f>IF(I171="مخالفات",50,Basic345678910111213141516171819202122232425262728293031[[#This Row],[قيمة الرسوم / العموله]]+Basic345678910111213141516171819202122232425262728293031[[#This Row],[قيمة الشحنه]])</f>
        <v>0</v>
      </c>
      <c r="I171" s="90"/>
      <c r="J171" s="142" t="str">
        <f t="shared" si="2"/>
        <v>2.5.2026</v>
      </c>
      <c r="L171" s="153">
        <v>160</v>
      </c>
      <c r="M171" s="92"/>
    </row>
    <row r="172" spans="1:13" ht="21.6" x14ac:dyDescent="0.65">
      <c r="A172" s="195"/>
      <c r="B172" s="140">
        <v>169</v>
      </c>
      <c r="C172" s="2"/>
      <c r="D172" s="1"/>
      <c r="E172" s="3"/>
      <c r="F172" s="1"/>
      <c r="G172" s="141">
        <f>IF(Basic345678910111213141516171819202122232425262728293031[[#This Row],[نوع الخدمة]]="مخالفات", 50,
IF(Basic345678910111213141516171819202122232425262728293031[[#This Row],[نوع الخدمة]]="كاش ان",
    IF(F172&lt;=100, 18, IF(F172&lt;=250, 23, IF(F172&lt;=500, 35, IF(F172&lt;=1000, 40, F172*0.04)))),
IF(Basic345678910111213141516171819202122232425262728293031[[#This Row],[نوع الخدمة]]="كاش اوت",
    IF(F172&lt;=100, 15, IF(F172&lt;=250, 20, IF(F172&lt;=500, 30, IF(F172&lt;=1000, 35, F172*0.035)))),
0)))</f>
        <v>0</v>
      </c>
      <c r="H172" s="176">
        <f>IF(I172="مخالفات",50,Basic345678910111213141516171819202122232425262728293031[[#This Row],[قيمة الرسوم / العموله]]+Basic345678910111213141516171819202122232425262728293031[[#This Row],[قيمة الشحنه]])</f>
        <v>0</v>
      </c>
      <c r="I172" s="90"/>
      <c r="J172" s="142" t="str">
        <f t="shared" si="2"/>
        <v>2.5.2026</v>
      </c>
      <c r="L172" s="153">
        <v>161</v>
      </c>
      <c r="M172" s="92"/>
    </row>
    <row r="173" spans="1:13" ht="21.6" x14ac:dyDescent="0.65">
      <c r="A173" s="195"/>
      <c r="B173" s="144">
        <v>170</v>
      </c>
      <c r="C173" s="2"/>
      <c r="D173" s="1"/>
      <c r="E173" s="3"/>
      <c r="F173" s="1"/>
      <c r="G173" s="141">
        <f>IF(Basic345678910111213141516171819202122232425262728293031[[#This Row],[نوع الخدمة]]="مخالفات", 50,
IF(Basic345678910111213141516171819202122232425262728293031[[#This Row],[نوع الخدمة]]="كاش ان",
    IF(F173&lt;=100, 18, IF(F173&lt;=250, 23, IF(F173&lt;=500, 35, IF(F173&lt;=1000, 40, F173*0.04)))),
IF(Basic345678910111213141516171819202122232425262728293031[[#This Row],[نوع الخدمة]]="كاش اوت",
    IF(F173&lt;=100, 15, IF(F173&lt;=250, 20, IF(F173&lt;=500, 30, IF(F173&lt;=1000, 35, F173*0.035)))),
0)))</f>
        <v>0</v>
      </c>
      <c r="H173" s="176">
        <f>IF(I173="مخالفات",50,Basic345678910111213141516171819202122232425262728293031[[#This Row],[قيمة الرسوم / العموله]]+Basic345678910111213141516171819202122232425262728293031[[#This Row],[قيمة الشحنه]])</f>
        <v>0</v>
      </c>
      <c r="I173" s="90"/>
      <c r="J173" s="142" t="str">
        <f t="shared" si="2"/>
        <v>2.5.2026</v>
      </c>
      <c r="L173" s="153">
        <v>162</v>
      </c>
      <c r="M173" s="92"/>
    </row>
    <row r="174" spans="1:13" ht="21.6" x14ac:dyDescent="0.65">
      <c r="A174" s="195"/>
      <c r="B174" s="140">
        <v>171</v>
      </c>
      <c r="C174" s="2"/>
      <c r="D174" s="1"/>
      <c r="E174" s="3"/>
      <c r="F174" s="1"/>
      <c r="G174" s="141">
        <f>IF(Basic345678910111213141516171819202122232425262728293031[[#This Row],[نوع الخدمة]]="مخالفات", 50,
IF(Basic345678910111213141516171819202122232425262728293031[[#This Row],[نوع الخدمة]]="كاش ان",
    IF(F174&lt;=100, 18, IF(F174&lt;=250, 23, IF(F174&lt;=500, 35, IF(F174&lt;=1000, 40, F174*0.04)))),
IF(Basic345678910111213141516171819202122232425262728293031[[#This Row],[نوع الخدمة]]="كاش اوت",
    IF(F174&lt;=100, 15, IF(F174&lt;=250, 20, IF(F174&lt;=500, 30, IF(F174&lt;=1000, 35, F174*0.035)))),
0)))</f>
        <v>0</v>
      </c>
      <c r="H174" s="176">
        <f>IF(I174="مخالفات",50,Basic345678910111213141516171819202122232425262728293031[[#This Row],[قيمة الرسوم / العموله]]+Basic345678910111213141516171819202122232425262728293031[[#This Row],[قيمة الشحنه]])</f>
        <v>0</v>
      </c>
      <c r="I174" s="90"/>
      <c r="J174" s="142" t="str">
        <f t="shared" si="2"/>
        <v>2.5.2026</v>
      </c>
      <c r="L174" s="153">
        <v>163</v>
      </c>
      <c r="M174" s="92"/>
    </row>
    <row r="175" spans="1:13" ht="21.6" x14ac:dyDescent="0.65">
      <c r="A175" s="195"/>
      <c r="B175" s="140">
        <v>172</v>
      </c>
      <c r="C175" s="2"/>
      <c r="D175" s="1"/>
      <c r="E175" s="3"/>
      <c r="F175" s="1"/>
      <c r="G175" s="141">
        <f>IF(Basic345678910111213141516171819202122232425262728293031[[#This Row],[نوع الخدمة]]="مخالفات", 50,
IF(Basic345678910111213141516171819202122232425262728293031[[#This Row],[نوع الخدمة]]="كاش ان",
    IF(F175&lt;=100, 18, IF(F175&lt;=250, 23, IF(F175&lt;=500, 35, IF(F175&lt;=1000, 40, F175*0.04)))),
IF(Basic345678910111213141516171819202122232425262728293031[[#This Row],[نوع الخدمة]]="كاش اوت",
    IF(F175&lt;=100, 15, IF(F175&lt;=250, 20, IF(F175&lt;=500, 30, IF(F175&lt;=1000, 35, F175*0.035)))),
0)))</f>
        <v>0</v>
      </c>
      <c r="H175" s="176">
        <f>IF(I175="مخالفات",50,Basic345678910111213141516171819202122232425262728293031[[#This Row],[قيمة الرسوم / العموله]]+Basic345678910111213141516171819202122232425262728293031[[#This Row],[قيمة الشحنه]])</f>
        <v>0</v>
      </c>
      <c r="I175" s="90"/>
      <c r="J175" s="142" t="str">
        <f t="shared" si="2"/>
        <v>2.5.2026</v>
      </c>
      <c r="L175" s="153">
        <v>164</v>
      </c>
      <c r="M175" s="92"/>
    </row>
    <row r="176" spans="1:13" ht="21.6" x14ac:dyDescent="0.65">
      <c r="A176" s="195"/>
      <c r="B176" s="140">
        <v>173</v>
      </c>
      <c r="C176" s="2"/>
      <c r="D176" s="1"/>
      <c r="E176" s="3"/>
      <c r="F176" s="1"/>
      <c r="G176" s="141">
        <f>IF(Basic345678910111213141516171819202122232425262728293031[[#This Row],[نوع الخدمة]]="مخالفات", 50,
IF(Basic345678910111213141516171819202122232425262728293031[[#This Row],[نوع الخدمة]]="كاش ان",
    IF(F176&lt;=100, 18, IF(F176&lt;=250, 23, IF(F176&lt;=500, 35, IF(F176&lt;=1000, 40, F176*0.04)))),
IF(Basic345678910111213141516171819202122232425262728293031[[#This Row],[نوع الخدمة]]="كاش اوت",
    IF(F176&lt;=100, 15, IF(F176&lt;=250, 20, IF(F176&lt;=500, 30, IF(F176&lt;=1000, 35, F176*0.035)))),
0)))</f>
        <v>0</v>
      </c>
      <c r="H176" s="176">
        <f>IF(I176="مخالفات",50,Basic345678910111213141516171819202122232425262728293031[[#This Row],[قيمة الرسوم / العموله]]+Basic345678910111213141516171819202122232425262728293031[[#This Row],[قيمة الشحنه]])</f>
        <v>0</v>
      </c>
      <c r="I176" s="90"/>
      <c r="J176" s="142" t="str">
        <f t="shared" si="2"/>
        <v>2.5.2026</v>
      </c>
      <c r="L176" s="153">
        <v>165</v>
      </c>
      <c r="M176" s="92"/>
    </row>
    <row r="177" spans="1:13" ht="21.6" x14ac:dyDescent="0.65">
      <c r="A177" s="195"/>
      <c r="B177" s="144">
        <v>174</v>
      </c>
      <c r="C177" s="2"/>
      <c r="D177" s="1"/>
      <c r="E177" s="3"/>
      <c r="F177" s="1"/>
      <c r="G177" s="141">
        <f>IF(Basic345678910111213141516171819202122232425262728293031[[#This Row],[نوع الخدمة]]="مخالفات", 50,
IF(Basic345678910111213141516171819202122232425262728293031[[#This Row],[نوع الخدمة]]="كاش ان",
    IF(F177&lt;=100, 18, IF(F177&lt;=250, 23, IF(F177&lt;=500, 35, IF(F177&lt;=1000, 40, F177*0.04)))),
IF(Basic345678910111213141516171819202122232425262728293031[[#This Row],[نوع الخدمة]]="كاش اوت",
    IF(F177&lt;=100, 15, IF(F177&lt;=250, 20, IF(F177&lt;=500, 30, IF(F177&lt;=1000, 35, F177*0.035)))),
0)))</f>
        <v>0</v>
      </c>
      <c r="H177" s="176">
        <f>IF(I177="مخالفات",50,Basic345678910111213141516171819202122232425262728293031[[#This Row],[قيمة الرسوم / العموله]]+Basic345678910111213141516171819202122232425262728293031[[#This Row],[قيمة الشحنه]])</f>
        <v>0</v>
      </c>
      <c r="I177" s="90"/>
      <c r="J177" s="142" t="str">
        <f t="shared" si="2"/>
        <v>2.5.2026</v>
      </c>
      <c r="L177" s="153">
        <v>166</v>
      </c>
      <c r="M177" s="92"/>
    </row>
    <row r="178" spans="1:13" ht="21.6" x14ac:dyDescent="0.65">
      <c r="A178" s="195"/>
      <c r="B178" s="140">
        <v>175</v>
      </c>
      <c r="C178" s="2"/>
      <c r="D178" s="1"/>
      <c r="E178" s="3"/>
      <c r="F178" s="1"/>
      <c r="G178" s="141">
        <f>IF(Basic345678910111213141516171819202122232425262728293031[[#This Row],[نوع الخدمة]]="مخالفات", 50,
IF(Basic345678910111213141516171819202122232425262728293031[[#This Row],[نوع الخدمة]]="كاش ان",
    IF(F178&lt;=100, 18, IF(F178&lt;=250, 23, IF(F178&lt;=500, 35, IF(F178&lt;=1000, 40, F178*0.04)))),
IF(Basic345678910111213141516171819202122232425262728293031[[#This Row],[نوع الخدمة]]="كاش اوت",
    IF(F178&lt;=100, 15, IF(F178&lt;=250, 20, IF(F178&lt;=500, 30, IF(F178&lt;=1000, 35, F178*0.035)))),
0)))</f>
        <v>0</v>
      </c>
      <c r="H178" s="176">
        <f>IF(I178="مخالفات",50,Basic345678910111213141516171819202122232425262728293031[[#This Row],[قيمة الرسوم / العموله]]+Basic345678910111213141516171819202122232425262728293031[[#This Row],[قيمة الشحنه]])</f>
        <v>0</v>
      </c>
      <c r="I178" s="90"/>
      <c r="J178" s="142" t="str">
        <f t="shared" si="2"/>
        <v>2.5.2026</v>
      </c>
      <c r="L178" s="153">
        <v>167</v>
      </c>
      <c r="M178" s="92"/>
    </row>
    <row r="179" spans="1:13" ht="21.6" x14ac:dyDescent="0.65">
      <c r="A179" s="195"/>
      <c r="B179" s="140">
        <v>176</v>
      </c>
      <c r="C179" s="2"/>
      <c r="D179" s="1"/>
      <c r="E179" s="3"/>
      <c r="F179" s="1"/>
      <c r="G179" s="141">
        <f>IF(Basic345678910111213141516171819202122232425262728293031[[#This Row],[نوع الخدمة]]="مخالفات", 50,
IF(Basic345678910111213141516171819202122232425262728293031[[#This Row],[نوع الخدمة]]="كاش ان",
    IF(F179&lt;=100, 18, IF(F179&lt;=250, 23, IF(F179&lt;=500, 35, IF(F179&lt;=1000, 40, F179*0.04)))),
IF(Basic345678910111213141516171819202122232425262728293031[[#This Row],[نوع الخدمة]]="كاش اوت",
    IF(F179&lt;=100, 15, IF(F179&lt;=250, 20, IF(F179&lt;=500, 30, IF(F179&lt;=1000, 35, F179*0.035)))),
0)))</f>
        <v>0</v>
      </c>
      <c r="H179" s="176">
        <f>IF(I179="مخالفات",50,Basic345678910111213141516171819202122232425262728293031[[#This Row],[قيمة الرسوم / العموله]]+Basic345678910111213141516171819202122232425262728293031[[#This Row],[قيمة الشحنه]])</f>
        <v>0</v>
      </c>
      <c r="I179" s="90"/>
      <c r="J179" s="142" t="str">
        <f t="shared" si="2"/>
        <v>2.5.2026</v>
      </c>
      <c r="L179" s="153">
        <v>168</v>
      </c>
      <c r="M179" s="92"/>
    </row>
    <row r="180" spans="1:13" ht="21.6" x14ac:dyDescent="0.65">
      <c r="A180" s="195"/>
      <c r="B180" s="140">
        <v>177</v>
      </c>
      <c r="C180" s="2"/>
      <c r="D180" s="1"/>
      <c r="E180" s="3"/>
      <c r="F180" s="1"/>
      <c r="G180" s="141">
        <f>IF(Basic345678910111213141516171819202122232425262728293031[[#This Row],[نوع الخدمة]]="مخالفات", 50,
IF(Basic345678910111213141516171819202122232425262728293031[[#This Row],[نوع الخدمة]]="كاش ان",
    IF(F180&lt;=100, 18, IF(F180&lt;=250, 23, IF(F180&lt;=500, 35, IF(F180&lt;=1000, 40, F180*0.04)))),
IF(Basic345678910111213141516171819202122232425262728293031[[#This Row],[نوع الخدمة]]="كاش اوت",
    IF(F180&lt;=100, 15, IF(F180&lt;=250, 20, IF(F180&lt;=500, 30, IF(F180&lt;=1000, 35, F180*0.035)))),
0)))</f>
        <v>0</v>
      </c>
      <c r="H180" s="176">
        <f>IF(I180="مخالفات",50,Basic345678910111213141516171819202122232425262728293031[[#This Row],[قيمة الرسوم / العموله]]+Basic345678910111213141516171819202122232425262728293031[[#This Row],[قيمة الشحنه]])</f>
        <v>0</v>
      </c>
      <c r="I180" s="90"/>
      <c r="J180" s="142" t="str">
        <f t="shared" si="2"/>
        <v>2.5.2026</v>
      </c>
      <c r="L180" s="153">
        <v>169</v>
      </c>
      <c r="M180" s="92"/>
    </row>
    <row r="181" spans="1:13" ht="21.6" x14ac:dyDescent="0.65">
      <c r="A181" s="195"/>
      <c r="B181" s="144">
        <v>178</v>
      </c>
      <c r="C181" s="2"/>
      <c r="D181" s="1"/>
      <c r="E181" s="3"/>
      <c r="F181" s="1"/>
      <c r="G181" s="141">
        <f>IF(Basic345678910111213141516171819202122232425262728293031[[#This Row],[نوع الخدمة]]="مخالفات", 50,
IF(Basic345678910111213141516171819202122232425262728293031[[#This Row],[نوع الخدمة]]="كاش ان",
    IF(F181&lt;=100, 18, IF(F181&lt;=250, 23, IF(F181&lt;=500, 35, IF(F181&lt;=1000, 40, F181*0.04)))),
IF(Basic345678910111213141516171819202122232425262728293031[[#This Row],[نوع الخدمة]]="كاش اوت",
    IF(F181&lt;=100, 15, IF(F181&lt;=250, 20, IF(F181&lt;=500, 30, IF(F181&lt;=1000, 35, F181*0.035)))),
0)))</f>
        <v>0</v>
      </c>
      <c r="H181" s="176">
        <f>IF(I181="مخالفات",50,Basic345678910111213141516171819202122232425262728293031[[#This Row],[قيمة الرسوم / العموله]]+Basic345678910111213141516171819202122232425262728293031[[#This Row],[قيمة الشحنه]])</f>
        <v>0</v>
      </c>
      <c r="I181" s="90"/>
      <c r="J181" s="142" t="str">
        <f t="shared" si="2"/>
        <v>2.5.2026</v>
      </c>
      <c r="L181" s="153">
        <v>170</v>
      </c>
      <c r="M181" s="92"/>
    </row>
    <row r="182" spans="1:13" ht="21.6" x14ac:dyDescent="0.65">
      <c r="A182" s="195"/>
      <c r="B182" s="140">
        <v>179</v>
      </c>
      <c r="C182" s="2"/>
      <c r="D182" s="1"/>
      <c r="E182" s="3"/>
      <c r="F182" s="1"/>
      <c r="G182" s="141">
        <f>IF(Basic345678910111213141516171819202122232425262728293031[[#This Row],[نوع الخدمة]]="مخالفات", 50,
IF(Basic345678910111213141516171819202122232425262728293031[[#This Row],[نوع الخدمة]]="كاش ان",
    IF(F182&lt;=100, 18, IF(F182&lt;=250, 23, IF(F182&lt;=500, 35, IF(F182&lt;=1000, 40, F182*0.04)))),
IF(Basic345678910111213141516171819202122232425262728293031[[#This Row],[نوع الخدمة]]="كاش اوت",
    IF(F182&lt;=100, 15, IF(F182&lt;=250, 20, IF(F182&lt;=500, 30, IF(F182&lt;=1000, 35, F182*0.035)))),
0)))</f>
        <v>0</v>
      </c>
      <c r="H182" s="176">
        <f>IF(I182="مخالفات",50,Basic345678910111213141516171819202122232425262728293031[[#This Row],[قيمة الرسوم / العموله]]+Basic345678910111213141516171819202122232425262728293031[[#This Row],[قيمة الشحنه]])</f>
        <v>0</v>
      </c>
      <c r="I182" s="90"/>
      <c r="J182" s="142" t="str">
        <f t="shared" si="2"/>
        <v>2.5.2026</v>
      </c>
      <c r="L182" s="153">
        <v>171</v>
      </c>
      <c r="M182" s="92"/>
    </row>
    <row r="183" spans="1:13" ht="21.6" x14ac:dyDescent="0.65">
      <c r="A183" s="195"/>
      <c r="B183" s="140">
        <v>180</v>
      </c>
      <c r="C183" s="2"/>
      <c r="D183" s="1"/>
      <c r="E183" s="3"/>
      <c r="F183" s="1"/>
      <c r="G183" s="141">
        <f>IF(Basic345678910111213141516171819202122232425262728293031[[#This Row],[نوع الخدمة]]="مخالفات", 50,
IF(Basic345678910111213141516171819202122232425262728293031[[#This Row],[نوع الخدمة]]="كاش ان",
    IF(F183&lt;=100, 18, IF(F183&lt;=250, 23, IF(F183&lt;=500, 35, IF(F183&lt;=1000, 40, F183*0.04)))),
IF(Basic345678910111213141516171819202122232425262728293031[[#This Row],[نوع الخدمة]]="كاش اوت",
    IF(F183&lt;=100, 15, IF(F183&lt;=250, 20, IF(F183&lt;=500, 30, IF(F183&lt;=1000, 35, F183*0.035)))),
0)))</f>
        <v>0</v>
      </c>
      <c r="H183" s="176">
        <f>IF(I183="مخالفات",50,Basic345678910111213141516171819202122232425262728293031[[#This Row],[قيمة الرسوم / العموله]]+Basic345678910111213141516171819202122232425262728293031[[#This Row],[قيمة الشحنه]])</f>
        <v>0</v>
      </c>
      <c r="I183" s="90"/>
      <c r="J183" s="142" t="str">
        <f t="shared" si="2"/>
        <v>2.5.2026</v>
      </c>
      <c r="L183" s="153">
        <v>172</v>
      </c>
      <c r="M183" s="92"/>
    </row>
    <row r="184" spans="1:13" ht="21.6" x14ac:dyDescent="0.65">
      <c r="A184" s="195"/>
      <c r="B184" s="140">
        <v>181</v>
      </c>
      <c r="C184" s="2"/>
      <c r="D184" s="1"/>
      <c r="E184" s="3"/>
      <c r="F184" s="1"/>
      <c r="G184" s="141">
        <f>IF(Basic345678910111213141516171819202122232425262728293031[[#This Row],[نوع الخدمة]]="مخالفات", 50,
IF(Basic345678910111213141516171819202122232425262728293031[[#This Row],[نوع الخدمة]]="كاش ان",
    IF(F184&lt;=100, 18, IF(F184&lt;=250, 23, IF(F184&lt;=500, 35, IF(F184&lt;=1000, 40, F184*0.04)))),
IF(Basic345678910111213141516171819202122232425262728293031[[#This Row],[نوع الخدمة]]="كاش اوت",
    IF(F184&lt;=100, 15, IF(F184&lt;=250, 20, IF(F184&lt;=500, 30, IF(F184&lt;=1000, 35, F184*0.035)))),
0)))</f>
        <v>0</v>
      </c>
      <c r="H184" s="176">
        <f>IF(I184="مخالفات",50,Basic345678910111213141516171819202122232425262728293031[[#This Row],[قيمة الرسوم / العموله]]+Basic345678910111213141516171819202122232425262728293031[[#This Row],[قيمة الشحنه]])</f>
        <v>0</v>
      </c>
      <c r="I184" s="90"/>
      <c r="J184" s="142" t="str">
        <f t="shared" si="2"/>
        <v>2.5.2026</v>
      </c>
      <c r="L184" s="153">
        <v>173</v>
      </c>
      <c r="M184" s="92"/>
    </row>
    <row r="185" spans="1:13" ht="21.6" x14ac:dyDescent="0.65">
      <c r="A185" s="195"/>
      <c r="B185" s="144">
        <v>182</v>
      </c>
      <c r="C185" s="2"/>
      <c r="D185" s="1"/>
      <c r="E185" s="3"/>
      <c r="F185" s="1"/>
      <c r="G185" s="141">
        <f>IF(Basic345678910111213141516171819202122232425262728293031[[#This Row],[نوع الخدمة]]="مخالفات", 50,
IF(Basic345678910111213141516171819202122232425262728293031[[#This Row],[نوع الخدمة]]="كاش ان",
    IF(F185&lt;=100, 18, IF(F185&lt;=250, 23, IF(F185&lt;=500, 35, IF(F185&lt;=1000, 40, F185*0.04)))),
IF(Basic345678910111213141516171819202122232425262728293031[[#This Row],[نوع الخدمة]]="كاش اوت",
    IF(F185&lt;=100, 15, IF(F185&lt;=250, 20, IF(F185&lt;=500, 30, IF(F185&lt;=1000, 35, F185*0.035)))),
0)))</f>
        <v>0</v>
      </c>
      <c r="H185" s="176">
        <f>IF(I185="مخالفات",50,Basic345678910111213141516171819202122232425262728293031[[#This Row],[قيمة الرسوم / العموله]]+Basic345678910111213141516171819202122232425262728293031[[#This Row],[قيمة الشحنه]])</f>
        <v>0</v>
      </c>
      <c r="I185" s="90"/>
      <c r="J185" s="142" t="str">
        <f t="shared" si="2"/>
        <v>2.5.2026</v>
      </c>
      <c r="L185" s="153">
        <v>174</v>
      </c>
      <c r="M185" s="92"/>
    </row>
    <row r="186" spans="1:13" ht="21.6" x14ac:dyDescent="0.65">
      <c r="A186" s="195"/>
      <c r="B186" s="140">
        <v>183</v>
      </c>
      <c r="C186" s="2"/>
      <c r="D186" s="1"/>
      <c r="E186" s="3"/>
      <c r="F186" s="1"/>
      <c r="G186" s="141">
        <f>IF(Basic345678910111213141516171819202122232425262728293031[[#This Row],[نوع الخدمة]]="مخالفات", 50,
IF(Basic345678910111213141516171819202122232425262728293031[[#This Row],[نوع الخدمة]]="كاش ان",
    IF(F186&lt;=100, 18, IF(F186&lt;=250, 23, IF(F186&lt;=500, 35, IF(F186&lt;=1000, 40, F186*0.04)))),
IF(Basic345678910111213141516171819202122232425262728293031[[#This Row],[نوع الخدمة]]="كاش اوت",
    IF(F186&lt;=100, 15, IF(F186&lt;=250, 20, IF(F186&lt;=500, 30, IF(F186&lt;=1000, 35, F186*0.035)))),
0)))</f>
        <v>0</v>
      </c>
      <c r="H186" s="176">
        <f>IF(I186="مخالفات",50,Basic345678910111213141516171819202122232425262728293031[[#This Row],[قيمة الرسوم / العموله]]+Basic345678910111213141516171819202122232425262728293031[[#This Row],[قيمة الشحنه]])</f>
        <v>0</v>
      </c>
      <c r="I186" s="90"/>
      <c r="J186" s="142" t="str">
        <f t="shared" si="2"/>
        <v>2.5.2026</v>
      </c>
      <c r="L186" s="153">
        <v>175</v>
      </c>
      <c r="M186" s="92"/>
    </row>
    <row r="187" spans="1:13" ht="21.6" x14ac:dyDescent="0.65">
      <c r="A187" s="195"/>
      <c r="B187" s="140">
        <v>184</v>
      </c>
      <c r="C187" s="2"/>
      <c r="D187" s="1"/>
      <c r="E187" s="3"/>
      <c r="F187" s="1"/>
      <c r="G187" s="141">
        <f>IF(Basic345678910111213141516171819202122232425262728293031[[#This Row],[نوع الخدمة]]="مخالفات", 50,
IF(Basic345678910111213141516171819202122232425262728293031[[#This Row],[نوع الخدمة]]="كاش ان",
    IF(F187&lt;=100, 18, IF(F187&lt;=250, 23, IF(F187&lt;=500, 35, IF(F187&lt;=1000, 40, F187*0.04)))),
IF(Basic345678910111213141516171819202122232425262728293031[[#This Row],[نوع الخدمة]]="كاش اوت",
    IF(F187&lt;=100, 15, IF(F187&lt;=250, 20, IF(F187&lt;=500, 30, IF(F187&lt;=1000, 35, F187*0.035)))),
0)))</f>
        <v>0</v>
      </c>
      <c r="H187" s="176">
        <f>IF(I187="مخالفات",50,Basic345678910111213141516171819202122232425262728293031[[#This Row],[قيمة الرسوم / العموله]]+Basic345678910111213141516171819202122232425262728293031[[#This Row],[قيمة الشحنه]])</f>
        <v>0</v>
      </c>
      <c r="I187" s="90"/>
      <c r="J187" s="142" t="str">
        <f t="shared" si="2"/>
        <v>2.5.2026</v>
      </c>
      <c r="L187" s="153">
        <v>176</v>
      </c>
      <c r="M187" s="92"/>
    </row>
    <row r="188" spans="1:13" ht="21.6" x14ac:dyDescent="0.65">
      <c r="A188" s="195"/>
      <c r="B188" s="140">
        <v>185</v>
      </c>
      <c r="C188" s="2"/>
      <c r="D188" s="1"/>
      <c r="E188" s="3"/>
      <c r="F188" s="1"/>
      <c r="G188" s="141">
        <f>IF(Basic345678910111213141516171819202122232425262728293031[[#This Row],[نوع الخدمة]]="مخالفات", 50,
IF(Basic345678910111213141516171819202122232425262728293031[[#This Row],[نوع الخدمة]]="كاش ان",
    IF(F188&lt;=100, 18, IF(F188&lt;=250, 23, IF(F188&lt;=500, 35, IF(F188&lt;=1000, 40, F188*0.04)))),
IF(Basic345678910111213141516171819202122232425262728293031[[#This Row],[نوع الخدمة]]="كاش اوت",
    IF(F188&lt;=100, 15, IF(F188&lt;=250, 20, IF(F188&lt;=500, 30, IF(F188&lt;=1000, 35, F188*0.035)))),
0)))</f>
        <v>0</v>
      </c>
      <c r="H188" s="176">
        <f>IF(I188="مخالفات",50,Basic345678910111213141516171819202122232425262728293031[[#This Row],[قيمة الرسوم / العموله]]+Basic345678910111213141516171819202122232425262728293031[[#This Row],[قيمة الشحنه]])</f>
        <v>0</v>
      </c>
      <c r="I188" s="90"/>
      <c r="J188" s="142" t="str">
        <f t="shared" si="2"/>
        <v>2.5.2026</v>
      </c>
      <c r="L188" s="153">
        <v>177</v>
      </c>
      <c r="M188" s="92"/>
    </row>
    <row r="189" spans="1:13" ht="21.6" x14ac:dyDescent="0.65">
      <c r="A189" s="195"/>
      <c r="B189" s="144">
        <v>186</v>
      </c>
      <c r="C189" s="2"/>
      <c r="D189" s="1"/>
      <c r="E189" s="3"/>
      <c r="F189" s="1"/>
      <c r="G189" s="141">
        <f>IF(Basic345678910111213141516171819202122232425262728293031[[#This Row],[نوع الخدمة]]="مخالفات", 50,
IF(Basic345678910111213141516171819202122232425262728293031[[#This Row],[نوع الخدمة]]="كاش ان",
    IF(F189&lt;=100, 18, IF(F189&lt;=250, 23, IF(F189&lt;=500, 35, IF(F189&lt;=1000, 40, F189*0.04)))),
IF(Basic345678910111213141516171819202122232425262728293031[[#This Row],[نوع الخدمة]]="كاش اوت",
    IF(F189&lt;=100, 15, IF(F189&lt;=250, 20, IF(F189&lt;=500, 30, IF(F189&lt;=1000, 35, F189*0.035)))),
0)))</f>
        <v>0</v>
      </c>
      <c r="H189" s="176">
        <f>IF(I189="مخالفات",50,Basic345678910111213141516171819202122232425262728293031[[#This Row],[قيمة الرسوم / العموله]]+Basic345678910111213141516171819202122232425262728293031[[#This Row],[قيمة الشحنه]])</f>
        <v>0</v>
      </c>
      <c r="I189" s="90"/>
      <c r="J189" s="142" t="str">
        <f t="shared" si="2"/>
        <v>2.5.2026</v>
      </c>
      <c r="L189" s="153">
        <v>178</v>
      </c>
      <c r="M189" s="92"/>
    </row>
    <row r="190" spans="1:13" ht="21.6" x14ac:dyDescent="0.65">
      <c r="A190" s="195"/>
      <c r="B190" s="140">
        <v>187</v>
      </c>
      <c r="C190" s="2"/>
      <c r="D190" s="1"/>
      <c r="E190" s="3"/>
      <c r="F190" s="1"/>
      <c r="G190" s="141">
        <f>IF(Basic345678910111213141516171819202122232425262728293031[[#This Row],[نوع الخدمة]]="مخالفات", 50,
IF(Basic345678910111213141516171819202122232425262728293031[[#This Row],[نوع الخدمة]]="كاش ان",
    IF(F190&lt;=100, 18, IF(F190&lt;=250, 23, IF(F190&lt;=500, 35, IF(F190&lt;=1000, 40, F190*0.04)))),
IF(Basic345678910111213141516171819202122232425262728293031[[#This Row],[نوع الخدمة]]="كاش اوت",
    IF(F190&lt;=100, 15, IF(F190&lt;=250, 20, IF(F190&lt;=500, 30, IF(F190&lt;=1000, 35, F190*0.035)))),
0)))</f>
        <v>0</v>
      </c>
      <c r="H190" s="176">
        <f>IF(I190="مخالفات",50,Basic345678910111213141516171819202122232425262728293031[[#This Row],[قيمة الرسوم / العموله]]+Basic345678910111213141516171819202122232425262728293031[[#This Row],[قيمة الشحنه]])</f>
        <v>0</v>
      </c>
      <c r="I190" s="90"/>
      <c r="J190" s="142" t="str">
        <f t="shared" si="2"/>
        <v>2.5.2026</v>
      </c>
      <c r="L190" s="153">
        <v>179</v>
      </c>
      <c r="M190" s="92"/>
    </row>
    <row r="191" spans="1:13" ht="21.6" x14ac:dyDescent="0.65">
      <c r="A191" s="195"/>
      <c r="B191" s="140">
        <v>188</v>
      </c>
      <c r="C191" s="2"/>
      <c r="D191" s="1"/>
      <c r="E191" s="3"/>
      <c r="F191" s="1"/>
      <c r="G191" s="141">
        <f>IF(Basic345678910111213141516171819202122232425262728293031[[#This Row],[نوع الخدمة]]="مخالفات", 50,
IF(Basic345678910111213141516171819202122232425262728293031[[#This Row],[نوع الخدمة]]="كاش ان",
    IF(F191&lt;=100, 18, IF(F191&lt;=250, 23, IF(F191&lt;=500, 35, IF(F191&lt;=1000, 40, F191*0.04)))),
IF(Basic345678910111213141516171819202122232425262728293031[[#This Row],[نوع الخدمة]]="كاش اوت",
    IF(F191&lt;=100, 15, IF(F191&lt;=250, 20, IF(F191&lt;=500, 30, IF(F191&lt;=1000, 35, F191*0.035)))),
0)))</f>
        <v>0</v>
      </c>
      <c r="H191" s="176">
        <f>IF(I191="مخالفات",50,Basic345678910111213141516171819202122232425262728293031[[#This Row],[قيمة الرسوم / العموله]]+Basic345678910111213141516171819202122232425262728293031[[#This Row],[قيمة الشحنه]])</f>
        <v>0</v>
      </c>
      <c r="I191" s="90"/>
      <c r="J191" s="142" t="str">
        <f t="shared" si="2"/>
        <v>2.5.2026</v>
      </c>
      <c r="L191" s="153">
        <v>180</v>
      </c>
      <c r="M191" s="92"/>
    </row>
    <row r="192" spans="1:13" ht="21.6" x14ac:dyDescent="0.65">
      <c r="A192" s="195"/>
      <c r="B192" s="140">
        <v>189</v>
      </c>
      <c r="C192" s="2"/>
      <c r="D192" s="1"/>
      <c r="E192" s="3"/>
      <c r="F192" s="1"/>
      <c r="G192" s="141">
        <f>IF(Basic345678910111213141516171819202122232425262728293031[[#This Row],[نوع الخدمة]]="مخالفات", 50,
IF(Basic345678910111213141516171819202122232425262728293031[[#This Row],[نوع الخدمة]]="كاش ان",
    IF(F192&lt;=100, 18, IF(F192&lt;=250, 23, IF(F192&lt;=500, 35, IF(F192&lt;=1000, 40, F192*0.04)))),
IF(Basic345678910111213141516171819202122232425262728293031[[#This Row],[نوع الخدمة]]="كاش اوت",
    IF(F192&lt;=100, 15, IF(F192&lt;=250, 20, IF(F192&lt;=500, 30, IF(F192&lt;=1000, 35, F192*0.035)))),
0)))</f>
        <v>0</v>
      </c>
      <c r="H192" s="176">
        <f>IF(I192="مخالفات",50,Basic345678910111213141516171819202122232425262728293031[[#This Row],[قيمة الرسوم / العموله]]+Basic345678910111213141516171819202122232425262728293031[[#This Row],[قيمة الشحنه]])</f>
        <v>0</v>
      </c>
      <c r="I192" s="90"/>
      <c r="J192" s="142" t="str">
        <f t="shared" si="2"/>
        <v>2.5.2026</v>
      </c>
      <c r="L192" s="153">
        <v>181</v>
      </c>
      <c r="M192" s="92"/>
    </row>
    <row r="193" spans="1:13" ht="21.6" x14ac:dyDescent="0.65">
      <c r="A193" s="195"/>
      <c r="B193" s="144">
        <v>190</v>
      </c>
      <c r="C193" s="2"/>
      <c r="D193" s="1"/>
      <c r="E193" s="3"/>
      <c r="F193" s="1"/>
      <c r="G193" s="141">
        <f>IF(Basic345678910111213141516171819202122232425262728293031[[#This Row],[نوع الخدمة]]="مخالفات", 50,
IF(Basic345678910111213141516171819202122232425262728293031[[#This Row],[نوع الخدمة]]="كاش ان",
    IF(F193&lt;=100, 18, IF(F193&lt;=250, 23, IF(F193&lt;=500, 35, IF(F193&lt;=1000, 40, F193*0.04)))),
IF(Basic345678910111213141516171819202122232425262728293031[[#This Row],[نوع الخدمة]]="كاش اوت",
    IF(F193&lt;=100, 15, IF(F193&lt;=250, 20, IF(F193&lt;=500, 30, IF(F193&lt;=1000, 35, F193*0.035)))),
0)))</f>
        <v>0</v>
      </c>
      <c r="H193" s="176">
        <f>IF(I193="مخالفات",50,Basic345678910111213141516171819202122232425262728293031[[#This Row],[قيمة الرسوم / العموله]]+Basic345678910111213141516171819202122232425262728293031[[#This Row],[قيمة الشحنه]])</f>
        <v>0</v>
      </c>
      <c r="I193" s="90"/>
      <c r="J193" s="142" t="str">
        <f t="shared" si="2"/>
        <v>2.5.2026</v>
      </c>
      <c r="L193" s="153">
        <v>182</v>
      </c>
      <c r="M193" s="92"/>
    </row>
    <row r="194" spans="1:13" ht="21.6" x14ac:dyDescent="0.65">
      <c r="A194" s="195"/>
      <c r="B194" s="140">
        <v>191</v>
      </c>
      <c r="C194" s="2"/>
      <c r="D194" s="1"/>
      <c r="E194" s="3"/>
      <c r="F194" s="1"/>
      <c r="G194" s="141">
        <f>IF(Basic345678910111213141516171819202122232425262728293031[[#This Row],[نوع الخدمة]]="مخالفات", 50,
IF(Basic345678910111213141516171819202122232425262728293031[[#This Row],[نوع الخدمة]]="كاش ان",
    IF(F194&lt;=100, 18, IF(F194&lt;=250, 23, IF(F194&lt;=500, 35, IF(F194&lt;=1000, 40, F194*0.04)))),
IF(Basic345678910111213141516171819202122232425262728293031[[#This Row],[نوع الخدمة]]="كاش اوت",
    IF(F194&lt;=100, 15, IF(F194&lt;=250, 20, IF(F194&lt;=500, 30, IF(F194&lt;=1000, 35, F194*0.035)))),
0)))</f>
        <v>0</v>
      </c>
      <c r="H194" s="176">
        <f>IF(I194="مخالفات",50,Basic345678910111213141516171819202122232425262728293031[[#This Row],[قيمة الرسوم / العموله]]+Basic345678910111213141516171819202122232425262728293031[[#This Row],[قيمة الشحنه]])</f>
        <v>0</v>
      </c>
      <c r="I194" s="90"/>
      <c r="J194" s="142" t="str">
        <f t="shared" si="2"/>
        <v>2.5.2026</v>
      </c>
      <c r="L194" s="153">
        <v>183</v>
      </c>
      <c r="M194" s="92"/>
    </row>
    <row r="195" spans="1:13" ht="21.6" x14ac:dyDescent="0.65">
      <c r="A195" s="195"/>
      <c r="B195" s="140">
        <v>192</v>
      </c>
      <c r="C195" s="2"/>
      <c r="D195" s="1"/>
      <c r="E195" s="3"/>
      <c r="F195" s="1"/>
      <c r="G195" s="141">
        <f>IF(Basic345678910111213141516171819202122232425262728293031[[#This Row],[نوع الخدمة]]="مخالفات", 50,
IF(Basic345678910111213141516171819202122232425262728293031[[#This Row],[نوع الخدمة]]="كاش ان",
    IF(F195&lt;=100, 18, IF(F195&lt;=250, 23, IF(F195&lt;=500, 35, IF(F195&lt;=1000, 40, F195*0.04)))),
IF(Basic345678910111213141516171819202122232425262728293031[[#This Row],[نوع الخدمة]]="كاش اوت",
    IF(F195&lt;=100, 15, IF(F195&lt;=250, 20, IF(F195&lt;=500, 30, IF(F195&lt;=1000, 35, F195*0.035)))),
0)))</f>
        <v>0</v>
      </c>
      <c r="H195" s="176">
        <f>IF(I195="مخالفات",50,Basic345678910111213141516171819202122232425262728293031[[#This Row],[قيمة الرسوم / العموله]]+Basic345678910111213141516171819202122232425262728293031[[#This Row],[قيمة الشحنه]])</f>
        <v>0</v>
      </c>
      <c r="I195" s="90"/>
      <c r="J195" s="142" t="str">
        <f t="shared" si="2"/>
        <v>2.5.2026</v>
      </c>
      <c r="L195" s="153">
        <v>184</v>
      </c>
      <c r="M195" s="92"/>
    </row>
    <row r="196" spans="1:13" ht="21.6" x14ac:dyDescent="0.65">
      <c r="A196" s="195"/>
      <c r="B196" s="140">
        <v>193</v>
      </c>
      <c r="C196" s="2"/>
      <c r="D196" s="1"/>
      <c r="E196" s="3"/>
      <c r="F196" s="1"/>
      <c r="G196" s="141">
        <f>IF(Basic345678910111213141516171819202122232425262728293031[[#This Row],[نوع الخدمة]]="مخالفات", 50,
IF(Basic345678910111213141516171819202122232425262728293031[[#This Row],[نوع الخدمة]]="كاش ان",
    IF(F196&lt;=100, 18, IF(F196&lt;=250, 23, IF(F196&lt;=500, 35, IF(F196&lt;=1000, 40, F196*0.04)))),
IF(Basic345678910111213141516171819202122232425262728293031[[#This Row],[نوع الخدمة]]="كاش اوت",
    IF(F196&lt;=100, 15, IF(F196&lt;=250, 20, IF(F196&lt;=500, 30, IF(F196&lt;=1000, 35, F196*0.035)))),
0)))</f>
        <v>0</v>
      </c>
      <c r="H196" s="176">
        <f>IF(I196="مخالفات",50,Basic345678910111213141516171819202122232425262728293031[[#This Row],[قيمة الرسوم / العموله]]+Basic345678910111213141516171819202122232425262728293031[[#This Row],[قيمة الشحنه]])</f>
        <v>0</v>
      </c>
      <c r="I196" s="90"/>
      <c r="J196" s="142" t="str">
        <f t="shared" ref="J196:J226" si="3">M$3</f>
        <v>2.5.2026</v>
      </c>
      <c r="L196" s="153">
        <v>185</v>
      </c>
      <c r="M196" s="92"/>
    </row>
    <row r="197" spans="1:13" ht="21.6" x14ac:dyDescent="0.65">
      <c r="A197" s="195"/>
      <c r="B197" s="144">
        <v>194</v>
      </c>
      <c r="C197" s="2"/>
      <c r="D197" s="1"/>
      <c r="E197" s="3"/>
      <c r="F197" s="1"/>
      <c r="G197" s="141">
        <f>IF(Basic345678910111213141516171819202122232425262728293031[[#This Row],[نوع الخدمة]]="مخالفات", 50,
IF(Basic345678910111213141516171819202122232425262728293031[[#This Row],[نوع الخدمة]]="كاش ان",
    IF(F197&lt;=100, 18, IF(F197&lt;=250, 23, IF(F197&lt;=500, 35, IF(F197&lt;=1000, 40, F197*0.04)))),
IF(Basic345678910111213141516171819202122232425262728293031[[#This Row],[نوع الخدمة]]="كاش اوت",
    IF(F197&lt;=100, 15, IF(F197&lt;=250, 20, IF(F197&lt;=500, 30, IF(F197&lt;=1000, 35, F197*0.035)))),
0)))</f>
        <v>0</v>
      </c>
      <c r="H197" s="176">
        <f>IF(I197="مخالفات",50,Basic345678910111213141516171819202122232425262728293031[[#This Row],[قيمة الرسوم / العموله]]+Basic345678910111213141516171819202122232425262728293031[[#This Row],[قيمة الشحنه]])</f>
        <v>0</v>
      </c>
      <c r="I197" s="90"/>
      <c r="J197" s="142" t="str">
        <f t="shared" si="3"/>
        <v>2.5.2026</v>
      </c>
      <c r="L197" s="153">
        <v>186</v>
      </c>
      <c r="M197" s="92"/>
    </row>
    <row r="198" spans="1:13" ht="21.6" x14ac:dyDescent="0.65">
      <c r="A198" s="195"/>
      <c r="B198" s="140">
        <v>195</v>
      </c>
      <c r="C198" s="2"/>
      <c r="D198" s="1"/>
      <c r="E198" s="3"/>
      <c r="F198" s="1"/>
      <c r="G198" s="141">
        <f>IF(Basic345678910111213141516171819202122232425262728293031[[#This Row],[نوع الخدمة]]="مخالفات", 50,
IF(Basic345678910111213141516171819202122232425262728293031[[#This Row],[نوع الخدمة]]="كاش ان",
    IF(F198&lt;=100, 18, IF(F198&lt;=250, 23, IF(F198&lt;=500, 35, IF(F198&lt;=1000, 40, F198*0.04)))),
IF(Basic345678910111213141516171819202122232425262728293031[[#This Row],[نوع الخدمة]]="كاش اوت",
    IF(F198&lt;=100, 15, IF(F198&lt;=250, 20, IF(F198&lt;=500, 30, IF(F198&lt;=1000, 35, F198*0.035)))),
0)))</f>
        <v>0</v>
      </c>
      <c r="H198" s="176">
        <f>IF(I198="مخالفات",50,Basic345678910111213141516171819202122232425262728293031[[#This Row],[قيمة الرسوم / العموله]]+Basic345678910111213141516171819202122232425262728293031[[#This Row],[قيمة الشحنه]])</f>
        <v>0</v>
      </c>
      <c r="I198" s="90"/>
      <c r="J198" s="142" t="str">
        <f t="shared" si="3"/>
        <v>2.5.2026</v>
      </c>
      <c r="L198" s="153">
        <v>187</v>
      </c>
      <c r="M198" s="92"/>
    </row>
    <row r="199" spans="1:13" ht="21.6" x14ac:dyDescent="0.65">
      <c r="A199" s="195"/>
      <c r="B199" s="140">
        <v>196</v>
      </c>
      <c r="C199" s="2"/>
      <c r="D199" s="1"/>
      <c r="E199" s="3"/>
      <c r="F199" s="1"/>
      <c r="G199" s="141">
        <f>IF(Basic345678910111213141516171819202122232425262728293031[[#This Row],[نوع الخدمة]]="مخالفات", 50,
IF(Basic345678910111213141516171819202122232425262728293031[[#This Row],[نوع الخدمة]]="كاش ان",
    IF(F199&lt;=100, 18, IF(F199&lt;=250, 23, IF(F199&lt;=500, 35, IF(F199&lt;=1000, 40, F199*0.04)))),
IF(Basic345678910111213141516171819202122232425262728293031[[#This Row],[نوع الخدمة]]="كاش اوت",
    IF(F199&lt;=100, 15, IF(F199&lt;=250, 20, IF(F199&lt;=500, 30, IF(F199&lt;=1000, 35, F199*0.035)))),
0)))</f>
        <v>0</v>
      </c>
      <c r="H199" s="176">
        <f>IF(I199="مخالفات",50,Basic345678910111213141516171819202122232425262728293031[[#This Row],[قيمة الرسوم / العموله]]+Basic345678910111213141516171819202122232425262728293031[[#This Row],[قيمة الشحنه]])</f>
        <v>0</v>
      </c>
      <c r="I199" s="90"/>
      <c r="J199" s="142" t="str">
        <f t="shared" si="3"/>
        <v>2.5.2026</v>
      </c>
      <c r="L199" s="153">
        <v>188</v>
      </c>
      <c r="M199" s="92"/>
    </row>
    <row r="200" spans="1:13" ht="21.6" x14ac:dyDescent="0.65">
      <c r="A200" s="195"/>
      <c r="B200" s="140">
        <v>197</v>
      </c>
      <c r="C200" s="2"/>
      <c r="D200" s="1"/>
      <c r="E200" s="3"/>
      <c r="F200" s="1"/>
      <c r="G200" s="141">
        <f>IF(Basic345678910111213141516171819202122232425262728293031[[#This Row],[نوع الخدمة]]="مخالفات", 50,
IF(Basic345678910111213141516171819202122232425262728293031[[#This Row],[نوع الخدمة]]="كاش ان",
    IF(F200&lt;=100, 18, IF(F200&lt;=250, 23, IF(F200&lt;=500, 35, IF(F200&lt;=1000, 40, F200*0.04)))),
IF(Basic345678910111213141516171819202122232425262728293031[[#This Row],[نوع الخدمة]]="كاش اوت",
    IF(F200&lt;=100, 15, IF(F200&lt;=250, 20, IF(F200&lt;=500, 30, IF(F200&lt;=1000, 35, F200*0.035)))),
0)))</f>
        <v>0</v>
      </c>
      <c r="H200" s="176">
        <f>IF(I200="مخالفات",50,Basic345678910111213141516171819202122232425262728293031[[#This Row],[قيمة الرسوم / العموله]]+Basic345678910111213141516171819202122232425262728293031[[#This Row],[قيمة الشحنه]])</f>
        <v>0</v>
      </c>
      <c r="I200" s="90"/>
      <c r="J200" s="142" t="str">
        <f t="shared" si="3"/>
        <v>2.5.2026</v>
      </c>
      <c r="L200" s="153">
        <v>189</v>
      </c>
      <c r="M200" s="92"/>
    </row>
    <row r="201" spans="1:13" ht="21.6" x14ac:dyDescent="0.65">
      <c r="A201" s="195"/>
      <c r="B201" s="144">
        <v>198</v>
      </c>
      <c r="C201" s="2"/>
      <c r="D201" s="1"/>
      <c r="E201" s="3"/>
      <c r="F201" s="1"/>
      <c r="G201" s="141">
        <f>IF(Basic345678910111213141516171819202122232425262728293031[[#This Row],[نوع الخدمة]]="مخالفات", 50,
IF(Basic345678910111213141516171819202122232425262728293031[[#This Row],[نوع الخدمة]]="كاش ان",
    IF(F201&lt;=100, 18, IF(F201&lt;=250, 23, IF(F201&lt;=500, 35, IF(F201&lt;=1000, 40, F201*0.04)))),
IF(Basic345678910111213141516171819202122232425262728293031[[#This Row],[نوع الخدمة]]="كاش اوت",
    IF(F201&lt;=100, 15, IF(F201&lt;=250, 20, IF(F201&lt;=500, 30, IF(F201&lt;=1000, 35, F201*0.035)))),
0)))</f>
        <v>0</v>
      </c>
      <c r="H201" s="176">
        <f>IF(I201="مخالفات",50,Basic345678910111213141516171819202122232425262728293031[[#This Row],[قيمة الرسوم / العموله]]+Basic345678910111213141516171819202122232425262728293031[[#This Row],[قيمة الشحنه]])</f>
        <v>0</v>
      </c>
      <c r="I201" s="90"/>
      <c r="J201" s="142" t="str">
        <f t="shared" si="3"/>
        <v>2.5.2026</v>
      </c>
      <c r="L201" s="153">
        <v>190</v>
      </c>
      <c r="M201" s="92"/>
    </row>
    <row r="202" spans="1:13" ht="21.6" x14ac:dyDescent="0.65">
      <c r="A202" s="195"/>
      <c r="B202" s="140">
        <v>199</v>
      </c>
      <c r="C202" s="2"/>
      <c r="D202" s="1"/>
      <c r="E202" s="3"/>
      <c r="F202" s="1"/>
      <c r="G202" s="141">
        <f>IF(Basic345678910111213141516171819202122232425262728293031[[#This Row],[نوع الخدمة]]="مخالفات", 50,
IF(Basic345678910111213141516171819202122232425262728293031[[#This Row],[نوع الخدمة]]="كاش ان",
    IF(F202&lt;=100, 18, IF(F202&lt;=250, 23, IF(F202&lt;=500, 35, IF(F202&lt;=1000, 40, F202*0.04)))),
IF(Basic345678910111213141516171819202122232425262728293031[[#This Row],[نوع الخدمة]]="كاش اوت",
    IF(F202&lt;=100, 15, IF(F202&lt;=250, 20, IF(F202&lt;=500, 30, IF(F202&lt;=1000, 35, F202*0.035)))),
0)))</f>
        <v>0</v>
      </c>
      <c r="H202" s="176">
        <f>IF(I202="مخالفات",50,Basic345678910111213141516171819202122232425262728293031[[#This Row],[قيمة الرسوم / العموله]]+Basic345678910111213141516171819202122232425262728293031[[#This Row],[قيمة الشحنه]])</f>
        <v>0</v>
      </c>
      <c r="I202" s="90"/>
      <c r="J202" s="142" t="str">
        <f t="shared" si="3"/>
        <v>2.5.2026</v>
      </c>
      <c r="L202" s="153">
        <v>191</v>
      </c>
      <c r="M202" s="92"/>
    </row>
    <row r="203" spans="1:13" ht="21.6" x14ac:dyDescent="0.65">
      <c r="A203" s="195"/>
      <c r="B203" s="140">
        <v>200</v>
      </c>
      <c r="C203" s="2"/>
      <c r="D203" s="1"/>
      <c r="E203" s="3"/>
      <c r="F203" s="1"/>
      <c r="G203" s="141">
        <f>IF(Basic345678910111213141516171819202122232425262728293031[[#This Row],[نوع الخدمة]]="مخالفات", 50,
IF(Basic345678910111213141516171819202122232425262728293031[[#This Row],[نوع الخدمة]]="كاش ان",
    IF(F203&lt;=100, 18, IF(F203&lt;=250, 23, IF(F203&lt;=500, 35, IF(F203&lt;=1000, 40, F203*0.04)))),
IF(Basic345678910111213141516171819202122232425262728293031[[#This Row],[نوع الخدمة]]="كاش اوت",
    IF(F203&lt;=100, 15, IF(F203&lt;=250, 20, IF(F203&lt;=500, 30, IF(F203&lt;=1000, 35, F203*0.035)))),
0)))</f>
        <v>0</v>
      </c>
      <c r="H203" s="176">
        <f>IF(I203="مخالفات",50,Basic345678910111213141516171819202122232425262728293031[[#This Row],[قيمة الرسوم / العموله]]+Basic345678910111213141516171819202122232425262728293031[[#This Row],[قيمة الشحنه]])</f>
        <v>0</v>
      </c>
      <c r="I203" s="90"/>
      <c r="J203" s="142" t="str">
        <f t="shared" si="3"/>
        <v>2.5.2026</v>
      </c>
      <c r="L203" s="153">
        <v>192</v>
      </c>
      <c r="M203" s="92"/>
    </row>
    <row r="204" spans="1:13" ht="21.6" x14ac:dyDescent="0.65">
      <c r="A204" s="195"/>
      <c r="B204" s="140">
        <v>201</v>
      </c>
      <c r="C204" s="2"/>
      <c r="D204" s="1"/>
      <c r="E204" s="3"/>
      <c r="F204" s="1"/>
      <c r="G204" s="141">
        <f>IF(Basic345678910111213141516171819202122232425262728293031[[#This Row],[نوع الخدمة]]="مخالفات", 50,
IF(Basic345678910111213141516171819202122232425262728293031[[#This Row],[نوع الخدمة]]="كاش ان",
    IF(F204&lt;=100, 18, IF(F204&lt;=250, 23, IF(F204&lt;=500, 35, IF(F204&lt;=1000, 40, F204*0.04)))),
IF(Basic345678910111213141516171819202122232425262728293031[[#This Row],[نوع الخدمة]]="كاش اوت",
    IF(F204&lt;=100, 15, IF(F204&lt;=250, 20, IF(F204&lt;=500, 30, IF(F204&lt;=1000, 35, F204*0.035)))),
0)))</f>
        <v>0</v>
      </c>
      <c r="H204" s="176">
        <f>IF(I204="مخالفات",50,Basic345678910111213141516171819202122232425262728293031[[#This Row],[قيمة الرسوم / العموله]]+Basic345678910111213141516171819202122232425262728293031[[#This Row],[قيمة الشحنه]])</f>
        <v>0</v>
      </c>
      <c r="I204" s="90"/>
      <c r="J204" s="142" t="str">
        <f t="shared" si="3"/>
        <v>2.5.2026</v>
      </c>
      <c r="L204" s="153">
        <v>193</v>
      </c>
      <c r="M204" s="92"/>
    </row>
    <row r="205" spans="1:13" ht="21.6" x14ac:dyDescent="0.65">
      <c r="A205" s="195"/>
      <c r="B205" s="144">
        <v>202</v>
      </c>
      <c r="C205" s="2"/>
      <c r="D205" s="1"/>
      <c r="E205" s="3"/>
      <c r="F205" s="1"/>
      <c r="G205" s="141">
        <f>IF(Basic345678910111213141516171819202122232425262728293031[[#This Row],[نوع الخدمة]]="مخالفات", 50,
IF(Basic345678910111213141516171819202122232425262728293031[[#This Row],[نوع الخدمة]]="كاش ان",
    IF(F205&lt;=100, 18, IF(F205&lt;=250, 23, IF(F205&lt;=500, 35, IF(F205&lt;=1000, 40, F205*0.04)))),
IF(Basic345678910111213141516171819202122232425262728293031[[#This Row],[نوع الخدمة]]="كاش اوت",
    IF(F205&lt;=100, 15, IF(F205&lt;=250, 20, IF(F205&lt;=500, 30, IF(F205&lt;=1000, 35, F205*0.035)))),
0)))</f>
        <v>0</v>
      </c>
      <c r="H205" s="176">
        <f>IF(I205="مخالفات",50,Basic345678910111213141516171819202122232425262728293031[[#This Row],[قيمة الرسوم / العموله]]+Basic345678910111213141516171819202122232425262728293031[[#This Row],[قيمة الشحنه]])</f>
        <v>0</v>
      </c>
      <c r="I205" s="90"/>
      <c r="J205" s="142" t="str">
        <f t="shared" si="3"/>
        <v>2.5.2026</v>
      </c>
      <c r="L205" s="153">
        <v>194</v>
      </c>
      <c r="M205" s="92"/>
    </row>
    <row r="206" spans="1:13" ht="21.6" x14ac:dyDescent="0.65">
      <c r="A206" s="195"/>
      <c r="B206" s="140">
        <v>203</v>
      </c>
      <c r="C206" s="2"/>
      <c r="D206" s="1"/>
      <c r="E206" s="3"/>
      <c r="F206" s="1"/>
      <c r="G206" s="141">
        <f>IF(Basic345678910111213141516171819202122232425262728293031[[#This Row],[نوع الخدمة]]="مخالفات", 50,
IF(Basic345678910111213141516171819202122232425262728293031[[#This Row],[نوع الخدمة]]="كاش ان",
    IF(F206&lt;=100, 18, IF(F206&lt;=250, 23, IF(F206&lt;=500, 35, IF(F206&lt;=1000, 40, F206*0.04)))),
IF(Basic345678910111213141516171819202122232425262728293031[[#This Row],[نوع الخدمة]]="كاش اوت",
    IF(F206&lt;=100, 15, IF(F206&lt;=250, 20, IF(F206&lt;=500, 30, IF(F206&lt;=1000, 35, F206*0.035)))),
0)))</f>
        <v>0</v>
      </c>
      <c r="H206" s="176">
        <f>IF(I206="مخالفات",50,Basic345678910111213141516171819202122232425262728293031[[#This Row],[قيمة الرسوم / العموله]]+Basic345678910111213141516171819202122232425262728293031[[#This Row],[قيمة الشحنه]])</f>
        <v>0</v>
      </c>
      <c r="I206" s="90"/>
      <c r="J206" s="142" t="str">
        <f t="shared" si="3"/>
        <v>2.5.2026</v>
      </c>
      <c r="L206" s="153">
        <v>195</v>
      </c>
      <c r="M206" s="92"/>
    </row>
    <row r="207" spans="1:13" ht="21.6" x14ac:dyDescent="0.65">
      <c r="A207" s="195"/>
      <c r="B207" s="140">
        <v>204</v>
      </c>
      <c r="C207" s="2"/>
      <c r="D207" s="1"/>
      <c r="E207" s="3"/>
      <c r="F207" s="1"/>
      <c r="G207" s="141">
        <f>IF(Basic345678910111213141516171819202122232425262728293031[[#This Row],[نوع الخدمة]]="مخالفات", 50,
IF(Basic345678910111213141516171819202122232425262728293031[[#This Row],[نوع الخدمة]]="كاش ان",
    IF(F207&lt;=100, 18, IF(F207&lt;=250, 23, IF(F207&lt;=500, 35, IF(F207&lt;=1000, 40, F207*0.04)))),
IF(Basic345678910111213141516171819202122232425262728293031[[#This Row],[نوع الخدمة]]="كاش اوت",
    IF(F207&lt;=100, 15, IF(F207&lt;=250, 20, IF(F207&lt;=500, 30, IF(F207&lt;=1000, 35, F207*0.035)))),
0)))</f>
        <v>0</v>
      </c>
      <c r="H207" s="176">
        <f>IF(I207="مخالفات",50,Basic345678910111213141516171819202122232425262728293031[[#This Row],[قيمة الرسوم / العموله]]+Basic345678910111213141516171819202122232425262728293031[[#This Row],[قيمة الشحنه]])</f>
        <v>0</v>
      </c>
      <c r="I207" s="90"/>
      <c r="J207" s="142" t="str">
        <f t="shared" si="3"/>
        <v>2.5.2026</v>
      </c>
      <c r="L207" s="153">
        <v>196</v>
      </c>
      <c r="M207" s="92"/>
    </row>
    <row r="208" spans="1:13" ht="21.6" x14ac:dyDescent="0.65">
      <c r="A208" s="195"/>
      <c r="B208" s="140">
        <v>205</v>
      </c>
      <c r="C208" s="2"/>
      <c r="D208" s="1"/>
      <c r="E208" s="3"/>
      <c r="F208" s="1"/>
      <c r="G208" s="141">
        <f>IF(Basic345678910111213141516171819202122232425262728293031[[#This Row],[نوع الخدمة]]="مخالفات", 50,
IF(Basic345678910111213141516171819202122232425262728293031[[#This Row],[نوع الخدمة]]="كاش ان",
    IF(F208&lt;=100, 18, IF(F208&lt;=250, 23, IF(F208&lt;=500, 35, IF(F208&lt;=1000, 40, F208*0.04)))),
IF(Basic345678910111213141516171819202122232425262728293031[[#This Row],[نوع الخدمة]]="كاش اوت",
    IF(F208&lt;=100, 15, IF(F208&lt;=250, 20, IF(F208&lt;=500, 30, IF(F208&lt;=1000, 35, F208*0.035)))),
0)))</f>
        <v>0</v>
      </c>
      <c r="H208" s="176">
        <f>IF(I208="مخالفات",50,Basic345678910111213141516171819202122232425262728293031[[#This Row],[قيمة الرسوم / العموله]]+Basic345678910111213141516171819202122232425262728293031[[#This Row],[قيمة الشحنه]])</f>
        <v>0</v>
      </c>
      <c r="I208" s="90"/>
      <c r="J208" s="142" t="str">
        <f t="shared" si="3"/>
        <v>2.5.2026</v>
      </c>
      <c r="L208" s="153">
        <v>197</v>
      </c>
      <c r="M208" s="92"/>
    </row>
    <row r="209" spans="1:13" ht="21.6" x14ac:dyDescent="0.65">
      <c r="A209" s="195"/>
      <c r="B209" s="144">
        <v>206</v>
      </c>
      <c r="C209" s="2"/>
      <c r="D209" s="1"/>
      <c r="E209" s="3"/>
      <c r="F209" s="1"/>
      <c r="G209" s="141">
        <f>IF(Basic345678910111213141516171819202122232425262728293031[[#This Row],[نوع الخدمة]]="مخالفات", 50,
IF(Basic345678910111213141516171819202122232425262728293031[[#This Row],[نوع الخدمة]]="كاش ان",
    IF(F209&lt;=100, 18, IF(F209&lt;=250, 23, IF(F209&lt;=500, 35, IF(F209&lt;=1000, 40, F209*0.04)))),
IF(Basic345678910111213141516171819202122232425262728293031[[#This Row],[نوع الخدمة]]="كاش اوت",
    IF(F209&lt;=100, 15, IF(F209&lt;=250, 20, IF(F209&lt;=500, 30, IF(F209&lt;=1000, 35, F209*0.035)))),
0)))</f>
        <v>0</v>
      </c>
      <c r="H209" s="176">
        <f>IF(I209="مخالفات",50,Basic345678910111213141516171819202122232425262728293031[[#This Row],[قيمة الرسوم / العموله]]+Basic345678910111213141516171819202122232425262728293031[[#This Row],[قيمة الشحنه]])</f>
        <v>0</v>
      </c>
      <c r="I209" s="90"/>
      <c r="J209" s="142" t="str">
        <f t="shared" si="3"/>
        <v>2.5.2026</v>
      </c>
      <c r="L209" s="153">
        <v>198</v>
      </c>
      <c r="M209" s="92"/>
    </row>
    <row r="210" spans="1:13" ht="21.6" x14ac:dyDescent="0.65">
      <c r="A210" s="195"/>
      <c r="B210" s="140">
        <v>207</v>
      </c>
      <c r="C210" s="2"/>
      <c r="D210" s="1"/>
      <c r="E210" s="3"/>
      <c r="F210" s="1"/>
      <c r="G210" s="141">
        <f>IF(Basic345678910111213141516171819202122232425262728293031[[#This Row],[نوع الخدمة]]="مخالفات", 50,
IF(Basic345678910111213141516171819202122232425262728293031[[#This Row],[نوع الخدمة]]="كاش ان",
    IF(F210&lt;=100, 18, IF(F210&lt;=250, 23, IF(F210&lt;=500, 35, IF(F210&lt;=1000, 40, F210*0.04)))),
IF(Basic345678910111213141516171819202122232425262728293031[[#This Row],[نوع الخدمة]]="كاش اوت",
    IF(F210&lt;=100, 15, IF(F210&lt;=250, 20, IF(F210&lt;=500, 30, IF(F210&lt;=1000, 35, F210*0.035)))),
0)))</f>
        <v>0</v>
      </c>
      <c r="H210" s="176">
        <f>IF(I210="مخالفات",50,Basic345678910111213141516171819202122232425262728293031[[#This Row],[قيمة الرسوم / العموله]]+Basic345678910111213141516171819202122232425262728293031[[#This Row],[قيمة الشحنه]])</f>
        <v>0</v>
      </c>
      <c r="I210" s="90"/>
      <c r="J210" s="142" t="str">
        <f t="shared" si="3"/>
        <v>2.5.2026</v>
      </c>
      <c r="L210" s="153">
        <v>199</v>
      </c>
      <c r="M210" s="92"/>
    </row>
    <row r="211" spans="1:13" ht="21.6" x14ac:dyDescent="0.65">
      <c r="A211" s="195"/>
      <c r="B211" s="140">
        <v>208</v>
      </c>
      <c r="C211" s="2"/>
      <c r="D211" s="1"/>
      <c r="E211" s="3"/>
      <c r="F211" s="1"/>
      <c r="G211" s="141">
        <f>IF(Basic345678910111213141516171819202122232425262728293031[[#This Row],[نوع الخدمة]]="مخالفات", 50,
IF(Basic345678910111213141516171819202122232425262728293031[[#This Row],[نوع الخدمة]]="كاش ان",
    IF(F211&lt;=100, 18, IF(F211&lt;=250, 23, IF(F211&lt;=500, 35, IF(F211&lt;=1000, 40, F211*0.04)))),
IF(Basic345678910111213141516171819202122232425262728293031[[#This Row],[نوع الخدمة]]="كاش اوت",
    IF(F211&lt;=100, 15, IF(F211&lt;=250, 20, IF(F211&lt;=500, 30, IF(F211&lt;=1000, 35, F211*0.035)))),
0)))</f>
        <v>0</v>
      </c>
      <c r="H211" s="176">
        <f>IF(I211="مخالفات",50,Basic345678910111213141516171819202122232425262728293031[[#This Row],[قيمة الرسوم / العموله]]+Basic345678910111213141516171819202122232425262728293031[[#This Row],[قيمة الشحنه]])</f>
        <v>0</v>
      </c>
      <c r="I211" s="90"/>
      <c r="J211" s="142" t="str">
        <f t="shared" si="3"/>
        <v>2.5.2026</v>
      </c>
      <c r="L211" s="153">
        <v>200</v>
      </c>
      <c r="M211" s="92"/>
    </row>
    <row r="212" spans="1:13" ht="21.6" x14ac:dyDescent="0.65">
      <c r="A212" s="195"/>
      <c r="B212" s="140">
        <v>209</v>
      </c>
      <c r="C212" s="2"/>
      <c r="D212" s="1"/>
      <c r="E212" s="3"/>
      <c r="F212" s="1"/>
      <c r="G212" s="141">
        <f>IF(Basic345678910111213141516171819202122232425262728293031[[#This Row],[نوع الخدمة]]="مخالفات", 50,
IF(Basic345678910111213141516171819202122232425262728293031[[#This Row],[نوع الخدمة]]="كاش ان",
    IF(F212&lt;=100, 18, IF(F212&lt;=250, 23, IF(F212&lt;=500, 35, IF(F212&lt;=1000, 40, F212*0.04)))),
IF(Basic345678910111213141516171819202122232425262728293031[[#This Row],[نوع الخدمة]]="كاش اوت",
    IF(F212&lt;=100, 15, IF(F212&lt;=250, 20, IF(F212&lt;=500, 30, IF(F212&lt;=1000, 35, F212*0.035)))),
0)))</f>
        <v>0</v>
      </c>
      <c r="H212" s="176">
        <f>IF(I212="مخالفات",50,Basic345678910111213141516171819202122232425262728293031[[#This Row],[قيمة الرسوم / العموله]]+Basic345678910111213141516171819202122232425262728293031[[#This Row],[قيمة الشحنه]])</f>
        <v>0</v>
      </c>
      <c r="I212" s="90"/>
      <c r="J212" s="142" t="str">
        <f t="shared" si="3"/>
        <v>2.5.2026</v>
      </c>
      <c r="L212" s="153">
        <v>201</v>
      </c>
      <c r="M212" s="92"/>
    </row>
    <row r="213" spans="1:13" ht="21.6" x14ac:dyDescent="0.65">
      <c r="A213" s="195"/>
      <c r="B213" s="144">
        <v>210</v>
      </c>
      <c r="C213" s="2"/>
      <c r="D213" s="1"/>
      <c r="E213" s="3"/>
      <c r="F213" s="1"/>
      <c r="G213" s="141">
        <f>IF(Basic345678910111213141516171819202122232425262728293031[[#This Row],[نوع الخدمة]]="مخالفات", 50,
IF(Basic345678910111213141516171819202122232425262728293031[[#This Row],[نوع الخدمة]]="كاش ان",
    IF(F213&lt;=100, 18, IF(F213&lt;=250, 23, IF(F213&lt;=500, 35, IF(F213&lt;=1000, 40, F213*0.04)))),
IF(Basic345678910111213141516171819202122232425262728293031[[#This Row],[نوع الخدمة]]="كاش اوت",
    IF(F213&lt;=100, 15, IF(F213&lt;=250, 20, IF(F213&lt;=500, 30, IF(F213&lt;=1000, 35, F213*0.035)))),
0)))</f>
        <v>0</v>
      </c>
      <c r="H213" s="176">
        <f>IF(I213="مخالفات",50,Basic345678910111213141516171819202122232425262728293031[[#This Row],[قيمة الرسوم / العموله]]+Basic345678910111213141516171819202122232425262728293031[[#This Row],[قيمة الشحنه]])</f>
        <v>0</v>
      </c>
      <c r="I213" s="90"/>
      <c r="J213" s="142" t="str">
        <f t="shared" si="3"/>
        <v>2.5.2026</v>
      </c>
      <c r="L213" s="153">
        <v>202</v>
      </c>
      <c r="M213" s="92"/>
    </row>
    <row r="214" spans="1:13" ht="21.6" x14ac:dyDescent="0.65">
      <c r="A214" s="195"/>
      <c r="B214" s="140">
        <v>211</v>
      </c>
      <c r="C214" s="2"/>
      <c r="D214" s="1"/>
      <c r="E214" s="3"/>
      <c r="F214" s="1"/>
      <c r="G214" s="141">
        <f>IF(Basic345678910111213141516171819202122232425262728293031[[#This Row],[نوع الخدمة]]="مخالفات", 50,
IF(Basic345678910111213141516171819202122232425262728293031[[#This Row],[نوع الخدمة]]="كاش ان",
    IF(F214&lt;=100, 18, IF(F214&lt;=250, 23, IF(F214&lt;=500, 35, IF(F214&lt;=1000, 40, F214*0.04)))),
IF(Basic345678910111213141516171819202122232425262728293031[[#This Row],[نوع الخدمة]]="كاش اوت",
    IF(F214&lt;=100, 15, IF(F214&lt;=250, 20, IF(F214&lt;=500, 30, IF(F214&lt;=1000, 35, F214*0.035)))),
0)))</f>
        <v>0</v>
      </c>
      <c r="H214" s="176">
        <f>IF(I214="مخالفات",50,Basic345678910111213141516171819202122232425262728293031[[#This Row],[قيمة الرسوم / العموله]]+Basic345678910111213141516171819202122232425262728293031[[#This Row],[قيمة الشحنه]])</f>
        <v>0</v>
      </c>
      <c r="I214" s="90"/>
      <c r="J214" s="142" t="str">
        <f t="shared" si="3"/>
        <v>2.5.2026</v>
      </c>
      <c r="L214" s="153">
        <v>203</v>
      </c>
      <c r="M214" s="92"/>
    </row>
    <row r="215" spans="1:13" ht="21.6" x14ac:dyDescent="0.65">
      <c r="A215" s="195"/>
      <c r="B215" s="140">
        <v>212</v>
      </c>
      <c r="C215" s="2"/>
      <c r="D215" s="1"/>
      <c r="E215" s="3"/>
      <c r="F215" s="1"/>
      <c r="G215" s="141">
        <f>IF(Basic345678910111213141516171819202122232425262728293031[[#This Row],[نوع الخدمة]]="مخالفات", 50,
IF(Basic345678910111213141516171819202122232425262728293031[[#This Row],[نوع الخدمة]]="كاش ان",
    IF(F215&lt;=100, 18, IF(F215&lt;=250, 23, IF(F215&lt;=500, 35, IF(F215&lt;=1000, 40, F215*0.04)))),
IF(Basic345678910111213141516171819202122232425262728293031[[#This Row],[نوع الخدمة]]="كاش اوت",
    IF(F215&lt;=100, 15, IF(F215&lt;=250, 20, IF(F215&lt;=500, 30, IF(F215&lt;=1000, 35, F215*0.035)))),
0)))</f>
        <v>0</v>
      </c>
      <c r="H215" s="176">
        <f>IF(I215="مخالفات",50,Basic345678910111213141516171819202122232425262728293031[[#This Row],[قيمة الرسوم / العموله]]+Basic345678910111213141516171819202122232425262728293031[[#This Row],[قيمة الشحنه]])</f>
        <v>0</v>
      </c>
      <c r="I215" s="90"/>
      <c r="J215" s="142" t="str">
        <f t="shared" si="3"/>
        <v>2.5.2026</v>
      </c>
      <c r="L215" s="153">
        <v>204</v>
      </c>
      <c r="M215" s="92"/>
    </row>
    <row r="216" spans="1:13" ht="21.6" x14ac:dyDescent="0.65">
      <c r="A216" s="195"/>
      <c r="B216" s="140">
        <v>213</v>
      </c>
      <c r="C216" s="2"/>
      <c r="D216" s="1"/>
      <c r="E216" s="3"/>
      <c r="F216" s="1"/>
      <c r="G216" s="141">
        <f>IF(Basic345678910111213141516171819202122232425262728293031[[#This Row],[نوع الخدمة]]="مخالفات", 50,
IF(Basic345678910111213141516171819202122232425262728293031[[#This Row],[نوع الخدمة]]="كاش ان",
    IF(F216&lt;=100, 18, IF(F216&lt;=250, 23, IF(F216&lt;=500, 35, IF(F216&lt;=1000, 40, F216*0.04)))),
IF(Basic345678910111213141516171819202122232425262728293031[[#This Row],[نوع الخدمة]]="كاش اوت",
    IF(F216&lt;=100, 15, IF(F216&lt;=250, 20, IF(F216&lt;=500, 30, IF(F216&lt;=1000, 35, F216*0.035)))),
0)))</f>
        <v>0</v>
      </c>
      <c r="H216" s="176">
        <f>IF(I216="مخالفات",50,Basic345678910111213141516171819202122232425262728293031[[#This Row],[قيمة الرسوم / العموله]]+Basic345678910111213141516171819202122232425262728293031[[#This Row],[قيمة الشحنه]])</f>
        <v>0</v>
      </c>
      <c r="I216" s="90"/>
      <c r="J216" s="142" t="str">
        <f t="shared" si="3"/>
        <v>2.5.2026</v>
      </c>
      <c r="L216" s="153">
        <v>205</v>
      </c>
      <c r="M216" s="92"/>
    </row>
    <row r="217" spans="1:13" ht="21.6" x14ac:dyDescent="0.65">
      <c r="A217" s="195"/>
      <c r="B217" s="144">
        <v>214</v>
      </c>
      <c r="C217" s="2"/>
      <c r="D217" s="1"/>
      <c r="E217" s="3"/>
      <c r="F217" s="1"/>
      <c r="G217" s="141">
        <f>IF(Basic345678910111213141516171819202122232425262728293031[[#This Row],[نوع الخدمة]]="مخالفات", 50,
IF(Basic345678910111213141516171819202122232425262728293031[[#This Row],[نوع الخدمة]]="كاش ان",
    IF(F217&lt;=100, 18, IF(F217&lt;=250, 23, IF(F217&lt;=500, 35, IF(F217&lt;=1000, 40, F217*0.04)))),
IF(Basic345678910111213141516171819202122232425262728293031[[#This Row],[نوع الخدمة]]="كاش اوت",
    IF(F217&lt;=100, 15, IF(F217&lt;=250, 20, IF(F217&lt;=500, 30, IF(F217&lt;=1000, 35, F217*0.035)))),
0)))</f>
        <v>0</v>
      </c>
      <c r="H217" s="176">
        <f>IF(I217="مخالفات",50,Basic345678910111213141516171819202122232425262728293031[[#This Row],[قيمة الرسوم / العموله]]+Basic345678910111213141516171819202122232425262728293031[[#This Row],[قيمة الشحنه]])</f>
        <v>0</v>
      </c>
      <c r="I217" s="90"/>
      <c r="J217" s="142" t="str">
        <f t="shared" si="3"/>
        <v>2.5.2026</v>
      </c>
      <c r="L217" s="153">
        <v>206</v>
      </c>
      <c r="M217" s="92"/>
    </row>
    <row r="218" spans="1:13" ht="21.6" x14ac:dyDescent="0.65">
      <c r="A218" s="195"/>
      <c r="B218" s="140">
        <v>215</v>
      </c>
      <c r="C218" s="2"/>
      <c r="D218" s="1"/>
      <c r="E218" s="3"/>
      <c r="F218" s="1"/>
      <c r="G218" s="141">
        <f>IF(Basic345678910111213141516171819202122232425262728293031[[#This Row],[نوع الخدمة]]="مخالفات", 50,
IF(Basic345678910111213141516171819202122232425262728293031[[#This Row],[نوع الخدمة]]="كاش ان",
    IF(F218&lt;=100, 18, IF(F218&lt;=250, 23, IF(F218&lt;=500, 35, IF(F218&lt;=1000, 40, F218*0.04)))),
IF(Basic345678910111213141516171819202122232425262728293031[[#This Row],[نوع الخدمة]]="كاش اوت",
    IF(F218&lt;=100, 15, IF(F218&lt;=250, 20, IF(F218&lt;=500, 30, IF(F218&lt;=1000, 35, F218*0.035)))),
0)))</f>
        <v>0</v>
      </c>
      <c r="H218" s="176">
        <f>IF(I218="مخالفات",50,Basic345678910111213141516171819202122232425262728293031[[#This Row],[قيمة الرسوم / العموله]]+Basic345678910111213141516171819202122232425262728293031[[#This Row],[قيمة الشحنه]])</f>
        <v>0</v>
      </c>
      <c r="I218" s="90"/>
      <c r="J218" s="142" t="str">
        <f t="shared" si="3"/>
        <v>2.5.2026</v>
      </c>
      <c r="L218" s="153">
        <v>207</v>
      </c>
      <c r="M218" s="92"/>
    </row>
    <row r="219" spans="1:13" ht="21.6" x14ac:dyDescent="0.65">
      <c r="A219" s="195"/>
      <c r="B219" s="140">
        <v>216</v>
      </c>
      <c r="C219" s="2"/>
      <c r="D219" s="1"/>
      <c r="E219" s="3"/>
      <c r="F219" s="1"/>
      <c r="G219" s="141">
        <f>IF(Basic345678910111213141516171819202122232425262728293031[[#This Row],[نوع الخدمة]]="مخالفات", 50,
IF(Basic345678910111213141516171819202122232425262728293031[[#This Row],[نوع الخدمة]]="كاش ان",
    IF(F219&lt;=100, 18, IF(F219&lt;=250, 23, IF(F219&lt;=500, 35, IF(F219&lt;=1000, 40, F219*0.04)))),
IF(Basic345678910111213141516171819202122232425262728293031[[#This Row],[نوع الخدمة]]="كاش اوت",
    IF(F219&lt;=100, 15, IF(F219&lt;=250, 20, IF(F219&lt;=500, 30, IF(F219&lt;=1000, 35, F219*0.035)))),
0)))</f>
        <v>0</v>
      </c>
      <c r="H219" s="176">
        <f>IF(I219="مخالفات",50,Basic345678910111213141516171819202122232425262728293031[[#This Row],[قيمة الرسوم / العموله]]+Basic345678910111213141516171819202122232425262728293031[[#This Row],[قيمة الشحنه]])</f>
        <v>0</v>
      </c>
      <c r="I219" s="90"/>
      <c r="J219" s="142" t="str">
        <f t="shared" si="3"/>
        <v>2.5.2026</v>
      </c>
      <c r="L219" s="153">
        <v>208</v>
      </c>
      <c r="M219" s="92"/>
    </row>
    <row r="220" spans="1:13" ht="21.6" x14ac:dyDescent="0.65">
      <c r="A220" s="195"/>
      <c r="B220" s="140">
        <v>217</v>
      </c>
      <c r="C220" s="2"/>
      <c r="D220" s="1"/>
      <c r="E220" s="3"/>
      <c r="F220" s="1"/>
      <c r="G220" s="141">
        <f>IF(Basic345678910111213141516171819202122232425262728293031[[#This Row],[نوع الخدمة]]="مخالفات", 50,
IF(Basic345678910111213141516171819202122232425262728293031[[#This Row],[نوع الخدمة]]="كاش ان",
    IF(F220&lt;=100, 18, IF(F220&lt;=250, 23, IF(F220&lt;=500, 35, IF(F220&lt;=1000, 40, F220*0.04)))),
IF(Basic345678910111213141516171819202122232425262728293031[[#This Row],[نوع الخدمة]]="كاش اوت",
    IF(F220&lt;=100, 15, IF(F220&lt;=250, 20, IF(F220&lt;=500, 30, IF(F220&lt;=1000, 35, F220*0.035)))),
0)))</f>
        <v>0</v>
      </c>
      <c r="H220" s="176">
        <f>IF(I220="مخالفات",50,Basic345678910111213141516171819202122232425262728293031[[#This Row],[قيمة الرسوم / العموله]]+Basic345678910111213141516171819202122232425262728293031[[#This Row],[قيمة الشحنه]])</f>
        <v>0</v>
      </c>
      <c r="I220" s="90"/>
      <c r="J220" s="142" t="str">
        <f t="shared" si="3"/>
        <v>2.5.2026</v>
      </c>
      <c r="L220" s="153">
        <v>209</v>
      </c>
      <c r="M220" s="92"/>
    </row>
    <row r="221" spans="1:13" ht="21.6" x14ac:dyDescent="0.65">
      <c r="A221" s="195"/>
      <c r="B221" s="144">
        <v>218</v>
      </c>
      <c r="C221" s="2"/>
      <c r="D221" s="1"/>
      <c r="E221" s="3"/>
      <c r="F221" s="1"/>
      <c r="G221" s="141">
        <f>IF(Basic345678910111213141516171819202122232425262728293031[[#This Row],[نوع الخدمة]]="مخالفات", 50,
IF(Basic345678910111213141516171819202122232425262728293031[[#This Row],[نوع الخدمة]]="كاش ان",
    IF(F221&lt;=100, 18, IF(F221&lt;=250, 23, IF(F221&lt;=500, 35, IF(F221&lt;=1000, 40, F221*0.04)))),
IF(Basic345678910111213141516171819202122232425262728293031[[#This Row],[نوع الخدمة]]="كاش اوت",
    IF(F221&lt;=100, 15, IF(F221&lt;=250, 20, IF(F221&lt;=500, 30, IF(F221&lt;=1000, 35, F221*0.035)))),
0)))</f>
        <v>0</v>
      </c>
      <c r="H221" s="176">
        <f>IF(I221="مخالفات",50,Basic345678910111213141516171819202122232425262728293031[[#This Row],[قيمة الرسوم / العموله]]+Basic345678910111213141516171819202122232425262728293031[[#This Row],[قيمة الشحنه]])</f>
        <v>0</v>
      </c>
      <c r="I221" s="90"/>
      <c r="J221" s="142" t="str">
        <f t="shared" si="3"/>
        <v>2.5.2026</v>
      </c>
      <c r="L221" s="153">
        <v>210</v>
      </c>
      <c r="M221" s="92"/>
    </row>
    <row r="222" spans="1:13" ht="21.6" x14ac:dyDescent="0.65">
      <c r="A222" s="195"/>
      <c r="B222" s="140">
        <v>219</v>
      </c>
      <c r="C222" s="2"/>
      <c r="D222" s="1"/>
      <c r="E222" s="3"/>
      <c r="F222" s="1"/>
      <c r="G222" s="141">
        <f>IF(Basic345678910111213141516171819202122232425262728293031[[#This Row],[نوع الخدمة]]="مخالفات", 50,
IF(Basic345678910111213141516171819202122232425262728293031[[#This Row],[نوع الخدمة]]="كاش ان",
    IF(F222&lt;=100, 18, IF(F222&lt;=250, 23, IF(F222&lt;=500, 35, IF(F222&lt;=1000, 40, F222*0.04)))),
IF(Basic345678910111213141516171819202122232425262728293031[[#This Row],[نوع الخدمة]]="كاش اوت",
    IF(F222&lt;=100, 15, IF(F222&lt;=250, 20, IF(F222&lt;=500, 30, IF(F222&lt;=1000, 35, F222*0.035)))),
0)))</f>
        <v>0</v>
      </c>
      <c r="H222" s="176">
        <f>IF(I222="مخالفات",50,Basic345678910111213141516171819202122232425262728293031[[#This Row],[قيمة الرسوم / العموله]]+Basic345678910111213141516171819202122232425262728293031[[#This Row],[قيمة الشحنه]])</f>
        <v>0</v>
      </c>
      <c r="I222" s="90"/>
      <c r="J222" s="142" t="str">
        <f t="shared" si="3"/>
        <v>2.5.2026</v>
      </c>
      <c r="L222" s="153">
        <v>211</v>
      </c>
      <c r="M222" s="92"/>
    </row>
    <row r="223" spans="1:13" ht="21.6" x14ac:dyDescent="0.65">
      <c r="A223" s="195"/>
      <c r="B223" s="140">
        <v>220</v>
      </c>
      <c r="C223" s="2"/>
      <c r="D223" s="1"/>
      <c r="E223" s="3"/>
      <c r="F223" s="1"/>
      <c r="G223" s="141">
        <f>IF(Basic345678910111213141516171819202122232425262728293031[[#This Row],[نوع الخدمة]]="مخالفات", 50,
IF(Basic345678910111213141516171819202122232425262728293031[[#This Row],[نوع الخدمة]]="كاش ان",
    IF(F223&lt;=100, 18, IF(F223&lt;=250, 23, IF(F223&lt;=500, 35, IF(F223&lt;=1000, 40, F223*0.04)))),
IF(Basic345678910111213141516171819202122232425262728293031[[#This Row],[نوع الخدمة]]="كاش اوت",
    IF(F223&lt;=100, 15, IF(F223&lt;=250, 20, IF(F223&lt;=500, 30, IF(F223&lt;=1000, 35, F223*0.035)))),
0)))</f>
        <v>0</v>
      </c>
      <c r="H223" s="176">
        <f>IF(I223="مخالفات",50,Basic345678910111213141516171819202122232425262728293031[[#This Row],[قيمة الرسوم / العموله]]+Basic345678910111213141516171819202122232425262728293031[[#This Row],[قيمة الشحنه]])</f>
        <v>0</v>
      </c>
      <c r="I223" s="90"/>
      <c r="J223" s="142" t="str">
        <f t="shared" si="3"/>
        <v>2.5.2026</v>
      </c>
      <c r="L223" s="153">
        <v>212</v>
      </c>
      <c r="M223" s="92"/>
    </row>
    <row r="224" spans="1:13" ht="21.6" x14ac:dyDescent="0.65">
      <c r="A224" s="195"/>
      <c r="B224" s="140">
        <v>221</v>
      </c>
      <c r="C224" s="2"/>
      <c r="D224" s="1"/>
      <c r="E224" s="3"/>
      <c r="F224" s="1"/>
      <c r="G224" s="141">
        <f>IF(Basic345678910111213141516171819202122232425262728293031[[#This Row],[نوع الخدمة]]="مخالفات", 50,
IF(Basic345678910111213141516171819202122232425262728293031[[#This Row],[نوع الخدمة]]="كاش ان",
    IF(F224&lt;=100, 18, IF(F224&lt;=250, 23, IF(F224&lt;=500, 35, IF(F224&lt;=1000, 40, F224*0.04)))),
IF(Basic345678910111213141516171819202122232425262728293031[[#This Row],[نوع الخدمة]]="كاش اوت",
    IF(F224&lt;=100, 15, IF(F224&lt;=250, 20, IF(F224&lt;=500, 30, IF(F224&lt;=1000, 35, F224*0.035)))),
0)))</f>
        <v>0</v>
      </c>
      <c r="H224" s="176">
        <f>IF(I224="مخالفات",50,Basic345678910111213141516171819202122232425262728293031[[#This Row],[قيمة الرسوم / العموله]]+Basic345678910111213141516171819202122232425262728293031[[#This Row],[قيمة الشحنه]])</f>
        <v>0</v>
      </c>
      <c r="I224" s="90"/>
      <c r="J224" s="142" t="str">
        <f t="shared" si="3"/>
        <v>2.5.2026</v>
      </c>
      <c r="L224" s="153">
        <v>213</v>
      </c>
      <c r="M224" s="92"/>
    </row>
    <row r="225" spans="1:13" ht="21.6" x14ac:dyDescent="0.65">
      <c r="A225" s="195"/>
      <c r="B225" s="144">
        <v>222</v>
      </c>
      <c r="C225" s="2"/>
      <c r="D225" s="1"/>
      <c r="E225" s="3"/>
      <c r="F225" s="1"/>
      <c r="G225" s="141">
        <f>IF(Basic345678910111213141516171819202122232425262728293031[[#This Row],[نوع الخدمة]]="مخالفات", 50,
IF(Basic345678910111213141516171819202122232425262728293031[[#This Row],[نوع الخدمة]]="كاش ان",
    IF(F225&lt;=100, 18, IF(F225&lt;=250, 23, IF(F225&lt;=500, 35, IF(F225&lt;=1000, 40, F225*0.04)))),
IF(Basic345678910111213141516171819202122232425262728293031[[#This Row],[نوع الخدمة]]="كاش اوت",
    IF(F225&lt;=100, 15, IF(F225&lt;=250, 20, IF(F225&lt;=500, 30, IF(F225&lt;=1000, 35, F225*0.035)))),
0)))</f>
        <v>0</v>
      </c>
      <c r="H225" s="176">
        <f>IF(I225="مخالفات",50,Basic345678910111213141516171819202122232425262728293031[[#This Row],[قيمة الرسوم / العموله]]+Basic345678910111213141516171819202122232425262728293031[[#This Row],[قيمة الشحنه]])</f>
        <v>0</v>
      </c>
      <c r="I225" s="90"/>
      <c r="J225" s="142" t="str">
        <f t="shared" si="3"/>
        <v>2.5.2026</v>
      </c>
      <c r="L225" s="153">
        <v>214</v>
      </c>
      <c r="M225" s="92"/>
    </row>
    <row r="226" spans="1:13" ht="21.6" x14ac:dyDescent="0.65">
      <c r="A226" s="195"/>
      <c r="B226" s="140">
        <v>223</v>
      </c>
      <c r="C226" s="4"/>
      <c r="D226" s="5"/>
      <c r="E226" s="6"/>
      <c r="F226" s="5"/>
      <c r="G226" s="141">
        <f>IF(Basic345678910111213141516171819202122232425262728293031[[#This Row],[نوع الخدمة]]="مخالفات", 50,
IF(Basic345678910111213141516171819202122232425262728293031[[#This Row],[نوع الخدمة]]="كاش ان",
    IF(F226&lt;=100, 18, IF(F226&lt;=250, 23, IF(F226&lt;=500, 35, IF(F226&lt;=1000, 40, F226*0.04)))),
IF(Basic345678910111213141516171819202122232425262728293031[[#This Row],[نوع الخدمة]]="كاش اوت",
    IF(F226&lt;=100, 15, IF(F226&lt;=250, 20, IF(F226&lt;=500, 30, IF(F226&lt;=1000, 35, F226*0.035)))),
0)))</f>
        <v>0</v>
      </c>
      <c r="H226" s="177">
        <f>IF(I226="مخالفات",50,Basic345678910111213141516171819202122232425262728293031[[#This Row],[قيمة الرسوم / العموله]]+Basic345678910111213141516171819202122232425262728293031[[#This Row],[قيمة الشحنه]])</f>
        <v>0</v>
      </c>
      <c r="I226" s="90"/>
      <c r="J226" s="142" t="str">
        <f t="shared" si="3"/>
        <v>2.5.2026</v>
      </c>
      <c r="L226" s="156">
        <v>215</v>
      </c>
      <c r="M226" s="93"/>
    </row>
  </sheetData>
  <sheetProtection algorithmName="SHA-512" hashValue="LcnSZWAncF6MKz2NxKHc9h8ccwrMH72BJu7rrFnzLIK+cW9H8AuWFsP6czG59rPEwQIvfdskGYsHx5a9u8k2jw==" saltValue="VN31E2YHGULOSvl78v3FIA==" spinCount="100000" sheet="1" objects="1" scenarios="1"/>
  <mergeCells count="7">
    <mergeCell ref="A4:A226"/>
    <mergeCell ref="O24:P24"/>
    <mergeCell ref="O27:P27"/>
    <mergeCell ref="R10:W10"/>
    <mergeCell ref="F1:H1"/>
    <mergeCell ref="O20:P20"/>
    <mergeCell ref="O21:P21"/>
  </mergeCells>
  <conditionalFormatting sqref="I4:I226">
    <cfRule type="cellIs" dxfId="119" priority="10" operator="equal">
      <formula>$BG$10</formula>
    </cfRule>
    <cfRule type="cellIs" dxfId="118" priority="11" operator="equal">
      <formula>$BG$9</formula>
    </cfRule>
    <cfRule type="cellIs" dxfId="117" priority="12" operator="equal">
      <formula>$BG$8</formula>
    </cfRule>
  </conditionalFormatting>
  <conditionalFormatting sqref="P11">
    <cfRule type="cellIs" dxfId="116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{43E37D62-6A0F-43C6-824C-C4F0179A3A2C}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{6D46AE6F-A9BD-4E17-8A07-CD89186303CE}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{33FDFF7D-005F-46C5-859A-D3F01F60B9B6}</x14:id>
        </ext>
      </extLst>
    </cfRule>
  </conditionalFormatting>
  <dataValidations count="2">
    <dataValidation type="textLength" operator="equal" allowBlank="1" showInputMessage="1" showErrorMessage="1" errorTitle="يجب إخال رقم IPN صحيح 13 رقم" sqref="C1:C1048576" xr:uid="{00000000-0002-0000-0100-000000000000}">
      <formula1>13</formula1>
    </dataValidation>
    <dataValidation type="list" allowBlank="1" showInputMessage="1" showErrorMessage="1" sqref="I4:I226" xr:uid="{00000000-0002-0000-0100-000001000000}">
      <formula1>$BG$8:$BG$10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3E37D62-6A0F-43C6-824C-C4F0179A3A2C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6D46AE6F-A9BD-4E17-8A07-CD89186303C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33FDFF7D-005F-46C5-859A-D3F01F60B9B6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H226"/>
  <sheetViews>
    <sheetView showGridLines="0" showRowColHeaders="0" rightToLeft="1" topLeftCell="D15" zoomScale="85" zoomScaleNormal="85" workbookViewId="0">
      <selection activeCell="I33" sqref="I33"/>
    </sheetView>
  </sheetViews>
  <sheetFormatPr defaultColWidth="9.109375" defaultRowHeight="14.4" x14ac:dyDescent="0.3"/>
  <cols>
    <col min="1" max="1" width="4.109375" style="124" customWidth="1"/>
    <col min="2" max="2" width="6.5546875" style="125" bestFit="1" customWidth="1"/>
    <col min="3" max="3" width="28.5546875" style="126" customWidth="1"/>
    <col min="4" max="4" width="15.6640625" style="124" customWidth="1"/>
    <col min="5" max="5" width="17.5546875" style="157" customWidth="1"/>
    <col min="6" max="6" width="12.88671875" style="124" bestFit="1" customWidth="1"/>
    <col min="7" max="7" width="19" style="124" bestFit="1" customWidth="1"/>
    <col min="8" max="8" width="19" style="124" customWidth="1"/>
    <col min="9" max="9" width="12.44140625" style="128" bestFit="1" customWidth="1"/>
    <col min="10" max="10" width="17.5546875" style="129" customWidth="1"/>
    <col min="11" max="11" width="3.5546875" style="124" customWidth="1"/>
    <col min="12" max="12" width="8.5546875" style="124" bestFit="1" customWidth="1"/>
    <col min="13" max="13" width="25" style="124" customWidth="1"/>
    <col min="14" max="14" width="3.5546875" style="124" customWidth="1"/>
    <col min="15" max="15" width="26.5546875" style="124" bestFit="1" customWidth="1"/>
    <col min="16" max="16" width="13.5546875" style="124" customWidth="1"/>
    <col min="17" max="17" width="3.5546875" style="124" customWidth="1"/>
    <col min="18" max="19" width="17.33203125" style="128" customWidth="1"/>
    <col min="20" max="20" width="11.5546875" style="128" bestFit="1" customWidth="1"/>
    <col min="21" max="21" width="10.5546875" style="128" bestFit="1" customWidth="1"/>
    <col min="22" max="22" width="10.109375" style="128" bestFit="1" customWidth="1"/>
    <col min="23" max="23" width="7.5546875" style="128" customWidth="1"/>
    <col min="24" max="24" width="12.6640625" style="128" customWidth="1"/>
    <col min="25" max="25" width="9.109375" style="128"/>
    <col min="26" max="16384" width="9.109375" style="124"/>
  </cols>
  <sheetData>
    <row r="1" spans="1:60" x14ac:dyDescent="0.3">
      <c r="E1" s="127">
        <f>Total!F5</f>
        <v>69</v>
      </c>
      <c r="F1" s="192" t="str">
        <f>Total!G5</f>
        <v>العبور</v>
      </c>
      <c r="G1" s="192"/>
      <c r="H1" s="192"/>
    </row>
    <row r="3" spans="1:60" ht="15.6" x14ac:dyDescent="0.3">
      <c r="B3" s="130" t="s">
        <v>0</v>
      </c>
      <c r="C3" s="131" t="s">
        <v>1</v>
      </c>
      <c r="D3" s="132" t="s">
        <v>2</v>
      </c>
      <c r="E3" s="133" t="s">
        <v>3</v>
      </c>
      <c r="F3" s="132" t="s">
        <v>4</v>
      </c>
      <c r="G3" s="132" t="s">
        <v>5</v>
      </c>
      <c r="H3" s="158" t="s">
        <v>76</v>
      </c>
      <c r="I3" s="132" t="s">
        <v>6</v>
      </c>
      <c r="J3" s="134" t="s">
        <v>7</v>
      </c>
      <c r="L3" s="135" t="s">
        <v>7</v>
      </c>
      <c r="M3" s="136" t="s">
        <v>88</v>
      </c>
      <c r="O3" s="137" t="s">
        <v>17</v>
      </c>
      <c r="P3" s="138">
        <f>M5+M6</f>
        <v>3</v>
      </c>
      <c r="T3" s="173"/>
      <c r="U3" s="173"/>
      <c r="V3" s="173"/>
      <c r="W3" s="173"/>
      <c r="X3" s="173"/>
    </row>
    <row r="4" spans="1:60" ht="21.6" x14ac:dyDescent="0.65">
      <c r="A4" s="195"/>
      <c r="B4" s="140">
        <v>1</v>
      </c>
      <c r="C4" s="8">
        <v>9999999999999</v>
      </c>
      <c r="D4" s="185" t="s">
        <v>135</v>
      </c>
      <c r="E4" s="185">
        <v>1270024821</v>
      </c>
      <c r="F4" s="185">
        <v>0</v>
      </c>
      <c r="G4" s="141">
        <f>IF(Basic3456789101112131415161718192021222324252627282930[[#This Row],[نوع الخدمة]]="مخالفات", 50,
IF(Basic3456789101112131415161718192021222324252627282930[[#This Row],[نوع الخدمة]]="كاش ان",
    IF(F4&lt;=100, 18, IF(F4&lt;=250, 23, IF(F4&lt;=500, 35, IF(F4&lt;=1000, 40, F4*0.04)))),
IF(Basic3456789101112131415161718192021222324252627282930[[#This Row],[نوع الخدمة]]="كاش اوت",
    IF(F4&lt;=100, 15, IF(F4&lt;=250, 20, IF(F4&lt;=500, 30, IF(F4&lt;=1000, 35, F4*0.035)))),
0)))</f>
        <v>50</v>
      </c>
      <c r="H4" s="141">
        <f>IF(I4="مخالفات",50,Basic3456789101112131415161718192021222324252627282930[[#This Row],[قيمة الرسوم / العموله]]+Basic3456789101112131415161718192021222324252627282930[[#This Row],[قيمة الشحنه]])</f>
        <v>50</v>
      </c>
      <c r="I4" s="90" t="s">
        <v>10</v>
      </c>
      <c r="J4" s="142" t="str">
        <f t="shared" ref="J4:J67" si="0">M$3</f>
        <v>3.5.2026</v>
      </c>
      <c r="L4" s="135" t="s">
        <v>26</v>
      </c>
      <c r="M4" s="90">
        <v>10000</v>
      </c>
      <c r="O4" s="137" t="s">
        <v>18</v>
      </c>
      <c r="P4" s="138">
        <f>M4</f>
        <v>10000</v>
      </c>
      <c r="S4" s="143" t="s">
        <v>22</v>
      </c>
      <c r="T4" s="143" t="s">
        <v>23</v>
      </c>
      <c r="U4" s="173"/>
      <c r="V4" s="173"/>
      <c r="W4" s="173"/>
      <c r="X4" s="173"/>
    </row>
    <row r="5" spans="1:60" ht="21.6" x14ac:dyDescent="0.65">
      <c r="A5" s="195"/>
      <c r="B5" s="144">
        <v>2</v>
      </c>
      <c r="C5" s="8">
        <v>9999999999999</v>
      </c>
      <c r="D5" s="185" t="s">
        <v>136</v>
      </c>
      <c r="E5" s="185">
        <v>1011260057</v>
      </c>
      <c r="F5" s="185">
        <v>0</v>
      </c>
      <c r="G5" s="141" t="str">
        <f>IF(Basic3456789101112131415161718192021222324252627282930[[#This Row],[نوع الخدمة]]="مخالفات", "50",
IF(Basic3456789101112131415161718192021222324252627282930[[#This Row],[نوع الخدمة]]="كاش ان",
    IF(F5&lt;=100, 18, IF(F5&lt;=250, 23, IF(F5&lt;=500, 35, IF(F5&lt;=1000, 40, F5*0.04)))),
IF(Basic3456789101112131415161718192021222324252627282930[[#This Row],[نوع الخدمة]]="كاش اوت",
    IF(F5&lt;=100, 15, IF(F5&lt;=250, 20, IF(F5&lt;=500, 30, IF(F5&lt;=1000, 35, F5*0.035)))),
0)))</f>
        <v>50</v>
      </c>
      <c r="H5" s="141">
        <f>IF(I5="مخالفات",50,Basic3456789101112131415161718192021222324252627282930[[#This Row],[قيمة الرسوم / العموله]]+Basic3456789101112131415161718192021222324252627282930[[#This Row],[قيمة الشحنه]])</f>
        <v>50</v>
      </c>
      <c r="I5" s="90" t="s">
        <v>10</v>
      </c>
      <c r="J5" s="142" t="str">
        <f t="shared" si="0"/>
        <v>3.5.2026</v>
      </c>
      <c r="L5" s="135" t="s">
        <v>27</v>
      </c>
      <c r="M5" s="90">
        <v>3</v>
      </c>
      <c r="O5" s="137" t="s">
        <v>19</v>
      </c>
      <c r="P5" s="138">
        <f>SUMIF(Basic3456789101112131415161718192021222324252627282930[نوع الخدمة],"كاش ان",Basic3456789101112131415161718192021222324252627282930[قيمة الشحنه])</f>
        <v>17407</v>
      </c>
      <c r="R5" s="173"/>
      <c r="S5" s="145">
        <f>P5+P9+P12+P7</f>
        <v>30041.78</v>
      </c>
      <c r="T5" s="145">
        <f>P3</f>
        <v>3</v>
      </c>
    </row>
    <row r="6" spans="1:60" ht="21.6" x14ac:dyDescent="0.65">
      <c r="A6" s="195"/>
      <c r="B6" s="140">
        <v>3</v>
      </c>
      <c r="C6" s="8">
        <v>9999999999999</v>
      </c>
      <c r="D6" s="185" t="s">
        <v>137</v>
      </c>
      <c r="E6" s="185">
        <v>122000585</v>
      </c>
      <c r="F6" s="187">
        <v>0</v>
      </c>
      <c r="G6" s="141">
        <f>IF(Basic3456789101112131415161718192021222324252627282930[[#This Row],[نوع الخدمة]]="مخالفات", 50,
IF(Basic3456789101112131415161718192021222324252627282930[[#This Row],[نوع الخدمة]]="كاش ان",
    IF(F6&lt;=100, 18, IF(F6&lt;=250, 23, IF(F6&lt;=500, 35, IF(F6&lt;=1000, 40, F6*0.04)))),
IF(Basic3456789101112131415161718192021222324252627282930[[#This Row],[نوع الخدمة]]="كاش اوت",
    IF(F6&lt;=100, 15, IF(F6&lt;=250, 20, IF(F6&lt;=500, 30, IF(F6&lt;=1000, 35, F6*0.035)))),
0)))</f>
        <v>50</v>
      </c>
      <c r="H6" s="141">
        <f>IF(I6="مخالفات",50,Basic3456789101112131415161718192021222324252627282930[[#This Row],[قيمة الرسوم / العموله]]+Basic3456789101112131415161718192021222324252627282930[[#This Row],[قيمة الشحنه]])</f>
        <v>50</v>
      </c>
      <c r="I6" s="90" t="s">
        <v>10</v>
      </c>
      <c r="J6" s="142" t="str">
        <f t="shared" si="0"/>
        <v>3.5.2026</v>
      </c>
      <c r="L6" s="135" t="s">
        <v>28</v>
      </c>
      <c r="M6" s="90"/>
      <c r="O6" s="146" t="s">
        <v>12</v>
      </c>
      <c r="P6" s="138">
        <f>P3*150</f>
        <v>450</v>
      </c>
      <c r="R6" s="173"/>
      <c r="S6" s="173"/>
      <c r="T6" s="173"/>
    </row>
    <row r="7" spans="1:60" ht="22.2" thickBot="1" x14ac:dyDescent="0.7">
      <c r="A7" s="195"/>
      <c r="B7" s="140">
        <v>4</v>
      </c>
      <c r="C7" s="8">
        <v>1111111111111</v>
      </c>
      <c r="D7" s="185" t="s">
        <v>138</v>
      </c>
      <c r="E7" s="186">
        <v>1003681006</v>
      </c>
      <c r="F7" s="187">
        <v>500</v>
      </c>
      <c r="G7" s="141">
        <f>IF(Basic3456789101112131415161718192021222324252627282930[[#This Row],[نوع الخدمة]]="مخالفات", 50,
IF(Basic3456789101112131415161718192021222324252627282930[[#This Row],[نوع الخدمة]]="كاش ان",
    IF(F7&lt;=100, 18, IF(F7&lt;=250, 23, IF(F7&lt;=500, 35, IF(F7&lt;=1000, 40, F7*0.04)))),
IF(Basic3456789101112131415161718192021222324252627282930[[#This Row],[نوع الخدمة]]="كاش اوت",
    IF(F7&lt;=100, 15, IF(F7&lt;=250, 20, IF(F7&lt;=500, 30, IF(F7&lt;=1000, 35, F7*0.035)))),
0)))</f>
        <v>30</v>
      </c>
      <c r="H7" s="141">
        <f>IF(I7="مخالفات",50,Basic3456789101112131415161718192021222324252627282930[[#This Row],[قيمة الرسوم / العموله]]+Basic3456789101112131415161718192021222324252627282930[[#This Row],[قيمة الشحنه]])</f>
        <v>530</v>
      </c>
      <c r="I7" s="90" t="s">
        <v>9</v>
      </c>
      <c r="J7" s="142" t="str">
        <f t="shared" si="0"/>
        <v>3.5.2026</v>
      </c>
      <c r="L7" s="137" t="s">
        <v>11</v>
      </c>
      <c r="M7" s="165"/>
      <c r="O7" s="146" t="s">
        <v>74</v>
      </c>
      <c r="P7" s="138">
        <f>SUMIF(Basic3456789101112131415161718192021222324252627282930[نوع الخدمة],"مخالفات",Basic3456789101112131415161718192021222324252627282930[الاجمــــــــــالي])</f>
        <v>250</v>
      </c>
      <c r="R7" s="173"/>
      <c r="S7" s="173"/>
    </row>
    <row r="8" spans="1:60" ht="22.2" thickBot="1" x14ac:dyDescent="0.7">
      <c r="A8" s="195"/>
      <c r="B8" s="140">
        <v>5</v>
      </c>
      <c r="C8" s="8">
        <v>1111111111111</v>
      </c>
      <c r="D8" s="185" t="s">
        <v>138</v>
      </c>
      <c r="E8" s="186">
        <v>1003681006</v>
      </c>
      <c r="F8" s="187">
        <v>500</v>
      </c>
      <c r="G8" s="141">
        <f>IF(Basic3456789101112131415161718192021222324252627282930[[#This Row],[نوع الخدمة]]="مخالفات", 50,
IF(Basic3456789101112131415161718192021222324252627282930[[#This Row],[نوع الخدمة]]="كاش ان",
    IF(F8&lt;=100, 18, IF(F8&lt;=250, 23, IF(F8&lt;=500, 35, IF(F8&lt;=1000, 40, F8*0.04)))),
IF(Basic3456789101112131415161718192021222324252627282930[[#This Row],[نوع الخدمة]]="كاش اوت",
    IF(F8&lt;=100, 15, IF(F8&lt;=250, 20, IF(F8&lt;=500, 30, IF(F8&lt;=1000, 35, F8*0.035)))),
0)))</f>
        <v>30</v>
      </c>
      <c r="H8" s="141">
        <f>IF(I8="مخالفات",50,Basic3456789101112131415161718192021222324252627282930[[#This Row],[قيمة الرسوم / العموله]]+Basic3456789101112131415161718192021222324252627282930[[#This Row],[قيمة الشحنه]])</f>
        <v>530</v>
      </c>
      <c r="I8" s="90" t="s">
        <v>9</v>
      </c>
      <c r="J8" s="142" t="str">
        <f t="shared" si="0"/>
        <v>3.5.2026</v>
      </c>
      <c r="L8" s="166" t="s">
        <v>79</v>
      </c>
      <c r="M8" s="167">
        <v>0</v>
      </c>
      <c r="O8" s="137" t="s">
        <v>11</v>
      </c>
      <c r="P8" s="138">
        <f>M7</f>
        <v>0</v>
      </c>
      <c r="R8" s="143" t="s">
        <v>72</v>
      </c>
      <c r="S8" s="143" t="s">
        <v>25</v>
      </c>
      <c r="T8" s="143" t="s">
        <v>24</v>
      </c>
      <c r="U8" s="143" t="s">
        <v>73</v>
      </c>
      <c r="V8" s="143" t="s">
        <v>25</v>
      </c>
      <c r="W8" s="143" t="s">
        <v>24</v>
      </c>
      <c r="BH8" s="148" t="s">
        <v>8</v>
      </c>
    </row>
    <row r="9" spans="1:60" ht="18" customHeight="1" thickBot="1" x14ac:dyDescent="0.7">
      <c r="A9" s="195"/>
      <c r="B9" s="144">
        <v>6</v>
      </c>
      <c r="C9" s="8">
        <v>1111111111111</v>
      </c>
      <c r="D9" s="185" t="s">
        <v>138</v>
      </c>
      <c r="E9" s="186">
        <v>1003681006</v>
      </c>
      <c r="F9" s="187">
        <v>500</v>
      </c>
      <c r="G9" s="141">
        <f>IF(Basic3456789101112131415161718192021222324252627282930[[#This Row],[نوع الخدمة]]="مخالفات", 50,
IF(Basic3456789101112131415161718192021222324252627282930[[#This Row],[نوع الخدمة]]="كاش ان",
    IF(F9&lt;=100, 18, IF(F9&lt;=250, 23, IF(F9&lt;=500, 35, IF(F9&lt;=1000, 40, F9*0.04)))),
IF(Basic3456789101112131415161718192021222324252627282930[[#This Row],[نوع الخدمة]]="كاش اوت",
    IF(F9&lt;=100, 15, IF(F9&lt;=250, 20, IF(F9&lt;=500, 30, IF(F9&lt;=1000, 35, F9*0.035)))),
0)))</f>
        <v>30</v>
      </c>
      <c r="H9" s="141">
        <f>IF(I9="مخالفات",50,Basic3456789101112131415161718192021222324252627282930[[#This Row],[قيمة الرسوم / العموله]]+Basic3456789101112131415161718192021222324252627282930[[#This Row],[قيمة الشحنه]])</f>
        <v>530</v>
      </c>
      <c r="I9" s="90" t="s">
        <v>9</v>
      </c>
      <c r="J9" s="142" t="str">
        <f t="shared" si="0"/>
        <v>3.5.2026</v>
      </c>
      <c r="L9" s="166" t="s">
        <v>80</v>
      </c>
      <c r="M9" s="167">
        <v>0</v>
      </c>
      <c r="O9" s="137" t="s">
        <v>20</v>
      </c>
      <c r="P9" s="138">
        <f>SUMIF(Basic3456789101112131415161718192021222324252627282930[نوع الخدمة],"كاش ان",Basic3456789101112131415161718192021222324252627282930[قيمة الرسوم / العموله])</f>
        <v>742.28</v>
      </c>
      <c r="R9" s="149">
        <f>Total!H5/24</f>
        <v>29166.666666666668</v>
      </c>
      <c r="S9" s="149">
        <f>S5</f>
        <v>30041.78</v>
      </c>
      <c r="T9" s="150">
        <f>S9/R9</f>
        <v>1.0300038857142857</v>
      </c>
      <c r="U9" s="149">
        <f>Total!K5/24</f>
        <v>2.9166666666666665</v>
      </c>
      <c r="V9" s="149">
        <f>T5</f>
        <v>3</v>
      </c>
      <c r="W9" s="150">
        <f>V9/U9</f>
        <v>1.0285714285714287</v>
      </c>
      <c r="BH9" s="148" t="s">
        <v>9</v>
      </c>
    </row>
    <row r="10" spans="1:60" ht="22.2" thickBot="1" x14ac:dyDescent="0.7">
      <c r="A10" s="195"/>
      <c r="B10" s="140">
        <v>7</v>
      </c>
      <c r="C10" s="8">
        <v>1111111111111</v>
      </c>
      <c r="D10" s="185" t="s">
        <v>138</v>
      </c>
      <c r="E10" s="186">
        <v>1003681006</v>
      </c>
      <c r="F10" s="187">
        <v>1000</v>
      </c>
      <c r="G10" s="141">
        <f>IF(Basic3456789101112131415161718192021222324252627282930[[#This Row],[نوع الخدمة]]="مخالفات", 50,
IF(Basic3456789101112131415161718192021222324252627282930[[#This Row],[نوع الخدمة]]="كاش ان",
    IF(F10&lt;=100, 18, IF(F10&lt;=250, 23, IF(F10&lt;=500, 35, IF(F10&lt;=1000, 40, F10*0.04)))),
IF(Basic3456789101112131415161718192021222324252627282930[[#This Row],[نوع الخدمة]]="كاش اوت",
    IF(F10&lt;=100, 15, IF(F10&lt;=250, 20, IF(F10&lt;=500, 30, IF(F10&lt;=1000, 35, F10*0.035)))),
0)))</f>
        <v>35</v>
      </c>
      <c r="H10" s="141">
        <f>IF(I10="مخالفات",50,Basic3456789101112131415161718192021222324252627282930[[#This Row],[قيمة الرسوم / العموله]]+Basic3456789101112131415161718192021222324252627282930[[#This Row],[قيمة الشحنه]])</f>
        <v>1035</v>
      </c>
      <c r="I10" s="90" t="s">
        <v>9</v>
      </c>
      <c r="J10" s="142" t="str">
        <f t="shared" si="0"/>
        <v>3.5.2026</v>
      </c>
      <c r="O10" s="137" t="s">
        <v>16</v>
      </c>
      <c r="P10" s="138">
        <f>SUMIF(Basic3456789101112131415161718192021222324252627282930[نوع الخدمة],"كاش اوت",Basic3456789101112131415161718192021222324252627282930[قيمة الشحنه])</f>
        <v>11200</v>
      </c>
      <c r="R10" s="191">
        <f>(W9+T9)/2</f>
        <v>1.0292876571428571</v>
      </c>
      <c r="S10" s="191"/>
      <c r="T10" s="191"/>
      <c r="U10" s="191"/>
      <c r="V10" s="191"/>
      <c r="W10" s="191"/>
      <c r="BH10" s="148" t="s">
        <v>10</v>
      </c>
    </row>
    <row r="11" spans="1:60" ht="22.2" thickBot="1" x14ac:dyDescent="0.7">
      <c r="A11" s="195"/>
      <c r="B11" s="140">
        <v>8</v>
      </c>
      <c r="C11" s="8">
        <v>1111111111111</v>
      </c>
      <c r="D11" s="185" t="s">
        <v>138</v>
      </c>
      <c r="E11" s="186">
        <v>1003681006</v>
      </c>
      <c r="F11" s="187">
        <v>1000</v>
      </c>
      <c r="G11" s="141">
        <f>IF(Basic3456789101112131415161718192021222324252627282930[[#This Row],[نوع الخدمة]]="مخالفات", 50,
IF(Basic3456789101112131415161718192021222324252627282930[[#This Row],[نوع الخدمة]]="كاش ان",
    IF(F11&lt;=100, 18, IF(F11&lt;=250, 23, IF(F11&lt;=500, 35, IF(F11&lt;=1000, 40, F11*0.04)))),
IF(Basic3456789101112131415161718192021222324252627282930[[#This Row],[نوع الخدمة]]="كاش اوت",
    IF(F11&lt;=100, 15, IF(F11&lt;=250, 20, IF(F11&lt;=500, 30, IF(F11&lt;=1000, 35, F11*0.035)))),
0)))</f>
        <v>35</v>
      </c>
      <c r="H11" s="141">
        <f>IF(I11="مخالفات",50,Basic3456789101112131415161718192021222324252627282930[[#This Row],[قيمة الرسوم / العموله]]+Basic3456789101112131415161718192021222324252627282930[[#This Row],[قيمة الشحنه]])</f>
        <v>1035</v>
      </c>
      <c r="I11" s="90" t="s">
        <v>9</v>
      </c>
      <c r="J11" s="142" t="str">
        <f t="shared" si="0"/>
        <v>3.5.2026</v>
      </c>
      <c r="L11" s="169" t="s">
        <v>77</v>
      </c>
      <c r="M11" s="168" t="s">
        <v>78</v>
      </c>
      <c r="O11" s="151" t="s">
        <v>21</v>
      </c>
      <c r="P11" s="152">
        <f>(P5+P6+P9+P7+P4)-P10-P8</f>
        <v>17649.28</v>
      </c>
      <c r="T11" s="173"/>
    </row>
    <row r="12" spans="1:60" ht="22.2" thickBot="1" x14ac:dyDescent="0.7">
      <c r="A12" s="195"/>
      <c r="B12" s="140">
        <v>9</v>
      </c>
      <c r="C12" s="8">
        <v>1111111111111</v>
      </c>
      <c r="D12" s="185" t="s">
        <v>138</v>
      </c>
      <c r="E12" s="186">
        <v>1003681006</v>
      </c>
      <c r="F12" s="187">
        <v>1000</v>
      </c>
      <c r="G12" s="141">
        <f>IF(Basic3456789101112131415161718192021222324252627282930[[#This Row],[نوع الخدمة]]="مخالفات", 50,
IF(Basic3456789101112131415161718192021222324252627282930[[#This Row],[نوع الخدمة]]="كاش ان",
    IF(F12&lt;=100, 18, IF(F12&lt;=250, 23, IF(F12&lt;=500, 35, IF(F12&lt;=1000, 40, F12*0.04)))),
IF(Basic3456789101112131415161718192021222324252627282930[[#This Row],[نوع الخدمة]]="كاش اوت",
    IF(F12&lt;=100, 15, IF(F12&lt;=250, 20, IF(F12&lt;=500, 30, IF(F12&lt;=1000, 35, F12*0.035)))),
0)))</f>
        <v>35</v>
      </c>
      <c r="H12" s="141">
        <f>IF(I12="مخالفات",50,Basic3456789101112131415161718192021222324252627282930[[#This Row],[قيمة الرسوم / العموله]]+Basic3456789101112131415161718192021222324252627282930[[#This Row],[قيمة الشحنه]])</f>
        <v>1035</v>
      </c>
      <c r="I12" s="90" t="s">
        <v>9</v>
      </c>
      <c r="J12" s="142" t="str">
        <f t="shared" si="0"/>
        <v>3.5.2026</v>
      </c>
      <c r="L12" s="153">
        <v>1</v>
      </c>
      <c r="M12" s="91" t="s">
        <v>146</v>
      </c>
      <c r="O12" s="146" t="s">
        <v>29</v>
      </c>
      <c r="P12" s="138">
        <f>SUMIF(Basic3456789101112131415161718192021222324252627282930[نوع الخدمة],"كاش اوت",Basic3456789101112131415161718192021222324252627282930[الاجمــــــــــالي])</f>
        <v>11642.5</v>
      </c>
    </row>
    <row r="13" spans="1:60" ht="22.2" thickBot="1" x14ac:dyDescent="0.7">
      <c r="A13" s="195"/>
      <c r="B13" s="144">
        <v>10</v>
      </c>
      <c r="C13" s="8">
        <v>1111111111111</v>
      </c>
      <c r="D13" s="185" t="s">
        <v>138</v>
      </c>
      <c r="E13" s="186">
        <v>1003681006</v>
      </c>
      <c r="F13" s="187">
        <v>1000</v>
      </c>
      <c r="G13" s="141">
        <f>IF(Basic3456789101112131415161718192021222324252627282930[[#This Row],[نوع الخدمة]]="مخالفات", 50,
IF(Basic3456789101112131415161718192021222324252627282930[[#This Row],[نوع الخدمة]]="كاش ان",
    IF(F13&lt;=100, 18, IF(F13&lt;=250, 23, IF(F13&lt;=500, 35, IF(F13&lt;=1000, 40, F13*0.04)))),
IF(Basic3456789101112131415161718192021222324252627282930[[#This Row],[نوع الخدمة]]="كاش اوت",
    IF(F13&lt;=100, 15, IF(F13&lt;=250, 20, IF(F13&lt;=500, 30, IF(F13&lt;=1000, 35, F13*0.035)))),
0)))</f>
        <v>35</v>
      </c>
      <c r="H13" s="141">
        <f>IF(I13="مخالفات",50,Basic3456789101112131415161718192021222324252627282930[[#This Row],[قيمة الرسوم / العموله]]+Basic3456789101112131415161718192021222324252627282930[[#This Row],[قيمة الشحنه]])</f>
        <v>1035</v>
      </c>
      <c r="I13" s="90" t="s">
        <v>9</v>
      </c>
      <c r="J13" s="142" t="str">
        <f t="shared" si="0"/>
        <v>3.5.2026</v>
      </c>
      <c r="L13" s="153">
        <v>2</v>
      </c>
      <c r="M13" s="92" t="s">
        <v>147</v>
      </c>
    </row>
    <row r="14" spans="1:60" ht="22.2" thickBot="1" x14ac:dyDescent="0.7">
      <c r="A14" s="195"/>
      <c r="B14" s="140">
        <v>11</v>
      </c>
      <c r="C14" s="8">
        <v>1111111111111</v>
      </c>
      <c r="D14" s="185" t="s">
        <v>138</v>
      </c>
      <c r="E14" s="186">
        <v>1003681006</v>
      </c>
      <c r="F14" s="187">
        <v>1000</v>
      </c>
      <c r="G14" s="141">
        <f>IF(Basic3456789101112131415161718192021222324252627282930[[#This Row],[نوع الخدمة]]="مخالفات", 50,
IF(Basic3456789101112131415161718192021222324252627282930[[#This Row],[نوع الخدمة]]="كاش ان",
    IF(F14&lt;=100, 18, IF(F14&lt;=250, 23, IF(F14&lt;=500, 35, IF(F14&lt;=1000, 40, F14*0.04)))),
IF(Basic3456789101112131415161718192021222324252627282930[[#This Row],[نوع الخدمة]]="كاش اوت",
    IF(F14&lt;=100, 15, IF(F14&lt;=250, 20, IF(F14&lt;=500, 30, IF(F14&lt;=1000, 35, F14*0.035)))),
0)))</f>
        <v>35</v>
      </c>
      <c r="H14" s="159">
        <f>IF(I14="مخالفات",50,Basic3456789101112131415161718192021222324252627282930[[#This Row],[قيمة الرسوم / العموله]]+Basic3456789101112131415161718192021222324252627282930[[#This Row],[قيمة الشحنه]])</f>
        <v>1035</v>
      </c>
      <c r="I14" s="90" t="s">
        <v>9</v>
      </c>
      <c r="J14" s="142" t="str">
        <f t="shared" si="0"/>
        <v>3.5.2026</v>
      </c>
      <c r="L14" s="153">
        <v>3</v>
      </c>
      <c r="M14" s="92" t="s">
        <v>148</v>
      </c>
    </row>
    <row r="15" spans="1:60" ht="22.2" thickBot="1" x14ac:dyDescent="0.7">
      <c r="A15" s="195"/>
      <c r="B15" s="140">
        <v>12</v>
      </c>
      <c r="C15" s="8">
        <v>1111111111111</v>
      </c>
      <c r="D15" s="185" t="s">
        <v>138</v>
      </c>
      <c r="E15" s="186">
        <v>1003681006</v>
      </c>
      <c r="F15" s="187">
        <v>1000</v>
      </c>
      <c r="G15" s="141">
        <f>IF(Basic3456789101112131415161718192021222324252627282930[[#This Row],[نوع الخدمة]]="مخالفات", 50,
IF(Basic3456789101112131415161718192021222324252627282930[[#This Row],[نوع الخدمة]]="كاش ان",
    IF(F15&lt;=100, 18, IF(F15&lt;=250, 23, IF(F15&lt;=500, 35, IF(F15&lt;=1000, 40, F15*0.04)))),
IF(Basic3456789101112131415161718192021222324252627282930[[#This Row],[نوع الخدمة]]="كاش اوت",
    IF(F15&lt;=100, 15, IF(F15&lt;=250, 20, IF(F15&lt;=500, 30, IF(F15&lt;=1000, 35, F15*0.035)))),
0)))</f>
        <v>35</v>
      </c>
      <c r="H15" s="159">
        <f>IF(I15="مخالفات",50,Basic3456789101112131415161718192021222324252627282930[[#This Row],[قيمة الرسوم / العموله]]+Basic3456789101112131415161718192021222324252627282930[[#This Row],[قيمة الشحنه]])</f>
        <v>1035</v>
      </c>
      <c r="I15" s="90" t="s">
        <v>9</v>
      </c>
      <c r="J15" s="142" t="str">
        <f t="shared" si="0"/>
        <v>3.5.2026</v>
      </c>
      <c r="L15" s="153">
        <v>4</v>
      </c>
      <c r="M15" s="92"/>
      <c r="O15" s="154" t="s">
        <v>10</v>
      </c>
      <c r="P15" s="155">
        <f>COUNTIF(Basic3456789101112131415161718192021222324252627282930[نوع الخدمة],"مخالفات")</f>
        <v>5</v>
      </c>
    </row>
    <row r="16" spans="1:60" ht="22.2" thickBot="1" x14ac:dyDescent="0.7">
      <c r="A16" s="195"/>
      <c r="B16" s="140">
        <v>13</v>
      </c>
      <c r="C16" s="8">
        <v>1111111111111</v>
      </c>
      <c r="D16" s="185" t="s">
        <v>138</v>
      </c>
      <c r="E16" s="186">
        <v>1003681006</v>
      </c>
      <c r="F16" s="187">
        <v>1000</v>
      </c>
      <c r="G16" s="141">
        <f>IF(Basic3456789101112131415161718192021222324252627282930[[#This Row],[نوع الخدمة]]="مخالفات", 50,
IF(Basic3456789101112131415161718192021222324252627282930[[#This Row],[نوع الخدمة]]="كاش ان",
    IF(F16&lt;=100, 18, IF(F16&lt;=250, 23, IF(F16&lt;=500, 35, IF(F16&lt;=1000, 40, F16*0.04)))),
IF(Basic3456789101112131415161718192021222324252627282930[[#This Row],[نوع الخدمة]]="كاش اوت",
    IF(F16&lt;=100, 15, IF(F16&lt;=250, 20, IF(F16&lt;=500, 30, IF(F16&lt;=1000, 35, F16*0.035)))),
0)))</f>
        <v>35</v>
      </c>
      <c r="H16" s="159">
        <f>IF(I16="مخالفات",50,Basic3456789101112131415161718192021222324252627282930[[#This Row],[قيمة الرسوم / العموله]]+Basic3456789101112131415161718192021222324252627282930[[#This Row],[قيمة الشحنه]])</f>
        <v>1035</v>
      </c>
      <c r="I16" s="90" t="s">
        <v>9</v>
      </c>
      <c r="J16" s="142" t="str">
        <f t="shared" si="0"/>
        <v>3.5.2026</v>
      </c>
      <c r="L16" s="153">
        <v>5</v>
      </c>
      <c r="M16" s="92"/>
      <c r="O16" s="154" t="s">
        <v>13</v>
      </c>
      <c r="P16" s="155">
        <f>COUNTIF(Basic3456789101112131415161718192021222324252627282930[نوع الخدمة],"كاش ان")</f>
        <v>7</v>
      </c>
    </row>
    <row r="17" spans="1:21" ht="22.2" thickBot="1" x14ac:dyDescent="0.7">
      <c r="A17" s="195"/>
      <c r="B17" s="144">
        <v>14</v>
      </c>
      <c r="C17" s="8">
        <v>1111111111111</v>
      </c>
      <c r="D17" s="185" t="s">
        <v>138</v>
      </c>
      <c r="E17" s="186">
        <v>1003681006</v>
      </c>
      <c r="F17" s="187">
        <v>1500</v>
      </c>
      <c r="G17" s="141">
        <f>IF(Basic3456789101112131415161718192021222324252627282930[[#This Row],[نوع الخدمة]]="مخالفات", 50,
IF(Basic3456789101112131415161718192021222324252627282930[[#This Row],[نوع الخدمة]]="كاش ان",
    IF(F17&lt;=100, 18, IF(F17&lt;=250, 23, IF(F17&lt;=500, 35, IF(F17&lt;=1000, 40, F17*0.04)))),
IF(Basic3456789101112131415161718192021222324252627282930[[#This Row],[نوع الخدمة]]="كاش اوت",
    IF(F17&lt;=100, 15, IF(F17&lt;=250, 20, IF(F17&lt;=500, 30, IF(F17&lt;=1000, 35, F17*0.035)))),
0)))</f>
        <v>52.500000000000007</v>
      </c>
      <c r="H17" s="159">
        <f>IF(I17="مخالفات",50,Basic3456789101112131415161718192021222324252627282930[[#This Row],[قيمة الرسوم / العموله]]+Basic3456789101112131415161718192021222324252627282930[[#This Row],[قيمة الشحنه]])</f>
        <v>1552.5</v>
      </c>
      <c r="I17" s="90" t="s">
        <v>9</v>
      </c>
      <c r="J17" s="142" t="str">
        <f t="shared" si="0"/>
        <v>3.5.2026</v>
      </c>
      <c r="L17" s="153">
        <v>6</v>
      </c>
      <c r="M17" s="92"/>
      <c r="O17" s="154" t="s">
        <v>14</v>
      </c>
      <c r="P17" s="155">
        <f>COUNTIF(Basic3456789101112131415161718192021222324252627282930[نوع الخدمة],"كاش اوت")</f>
        <v>13</v>
      </c>
    </row>
    <row r="18" spans="1:21" ht="21.6" x14ac:dyDescent="0.65">
      <c r="A18" s="195"/>
      <c r="B18" s="140">
        <v>15</v>
      </c>
      <c r="C18" s="2">
        <v>2605030003745</v>
      </c>
      <c r="D18" s="187" t="s">
        <v>137</v>
      </c>
      <c r="E18" s="187">
        <v>1010705289</v>
      </c>
      <c r="F18" s="187">
        <v>300</v>
      </c>
      <c r="G18" s="141">
        <f>IF(Basic3456789101112131415161718192021222324252627282930[[#This Row],[نوع الخدمة]]="مخالفات", 50,
IF(Basic3456789101112131415161718192021222324252627282930[[#This Row],[نوع الخدمة]]="كاش ان",
    IF(F18&lt;=100, 18, IF(F18&lt;=250, 23, IF(F18&lt;=500, 35, IF(F18&lt;=1000, 40, F18*0.04)))),
IF(Basic3456789101112131415161718192021222324252627282930[[#This Row],[نوع الخدمة]]="كاش اوت",
    IF(F18&lt;=100, 15, IF(F18&lt;=250, 20, IF(F18&lt;=500, 30, IF(F18&lt;=1000, 35, F18*0.035)))),
0)))</f>
        <v>35</v>
      </c>
      <c r="H18" s="159">
        <f>IF(I18="مخالفات",50,Basic3456789101112131415161718192021222324252627282930[[#This Row],[قيمة الرسوم / العموله]]+Basic3456789101112131415161718192021222324252627282930[[#This Row],[قيمة الشحنه]])</f>
        <v>335</v>
      </c>
      <c r="I18" s="90" t="s">
        <v>8</v>
      </c>
      <c r="J18" s="142" t="str">
        <f t="shared" si="0"/>
        <v>3.5.2026</v>
      </c>
      <c r="L18" s="153">
        <v>7</v>
      </c>
      <c r="M18" s="92"/>
      <c r="O18" s="154" t="s">
        <v>15</v>
      </c>
      <c r="P18" s="155">
        <f>P16+P17</f>
        <v>20</v>
      </c>
    </row>
    <row r="19" spans="1:21" ht="21.6" x14ac:dyDescent="0.65">
      <c r="A19" s="195"/>
      <c r="B19" s="140">
        <v>16</v>
      </c>
      <c r="C19" s="2"/>
      <c r="D19" s="187"/>
      <c r="E19" s="187"/>
      <c r="F19" s="187"/>
      <c r="G19" s="141">
        <f>IF(Basic3456789101112131415161718192021222324252627282930[[#This Row],[نوع الخدمة]]="مخالفات", 50,
IF(Basic3456789101112131415161718192021222324252627282930[[#This Row],[نوع الخدمة]]="كاش ان",
    IF(F19&lt;=100, 18, IF(F19&lt;=250, 23, IF(F19&lt;=500, 35, IF(F19&lt;=1000, 40, F19*0.04)))),
IF(Basic3456789101112131415161718192021222324252627282930[[#This Row],[نوع الخدمة]]="كاش اوت",
    IF(F19&lt;=100, 15, IF(F19&lt;=250, 20, IF(F19&lt;=500, 30, IF(F19&lt;=1000, 35, F19*0.035)))),
0)))</f>
        <v>0</v>
      </c>
      <c r="H19" s="159">
        <f>IF(I19="مخالفات",50,Basic3456789101112131415161718192021222324252627282930[[#This Row],[قيمة الرسوم / العموله]]+Basic3456789101112131415161718192021222324252627282930[[#This Row],[قيمة الشحنه]])</f>
        <v>0</v>
      </c>
      <c r="I19" s="90"/>
      <c r="J19" s="142" t="str">
        <f t="shared" si="0"/>
        <v>3.5.2026</v>
      </c>
      <c r="L19" s="153">
        <v>8</v>
      </c>
      <c r="M19" s="92"/>
    </row>
    <row r="20" spans="1:21" ht="21.6" x14ac:dyDescent="0.65">
      <c r="A20" s="195"/>
      <c r="B20" s="140">
        <v>17</v>
      </c>
      <c r="C20" s="188">
        <v>2605030001904</v>
      </c>
      <c r="D20" s="187" t="s">
        <v>139</v>
      </c>
      <c r="E20" s="187">
        <v>1025899736</v>
      </c>
      <c r="F20" s="187">
        <v>1800</v>
      </c>
      <c r="G20" s="141">
        <f>IF(Basic3456789101112131415161718192021222324252627282930[[#This Row],[نوع الخدمة]]="مخالفات", 50,
IF(Basic3456789101112131415161718192021222324252627282930[[#This Row],[نوع الخدمة]]="كاش ان",
    IF(F20&lt;=100, 18, IF(F20&lt;=250, 23, IF(F20&lt;=500, 35, IF(F20&lt;=1000, 40, F20*0.04)))),
IF(Basic3456789101112131415161718192021222324252627282930[[#This Row],[نوع الخدمة]]="كاش اوت",
    IF(F20&lt;=100, 15, IF(F20&lt;=250, 20, IF(F20&lt;=500, 30, IF(F20&lt;=1000, 35, F20*0.035)))),
0)))</f>
        <v>72</v>
      </c>
      <c r="H20" s="159">
        <f>IF(I20="مخالفات",50,Basic3456789101112131415161718192021222324252627282930[[#This Row],[قيمة الرسوم / العموله]]+Basic3456789101112131415161718192021222324252627282930[[#This Row],[قيمة الشحنه]])</f>
        <v>1872</v>
      </c>
      <c r="I20" s="90" t="s">
        <v>8</v>
      </c>
      <c r="J20" s="142" t="str">
        <f t="shared" si="0"/>
        <v>3.5.2026</v>
      </c>
      <c r="L20" s="153">
        <v>9</v>
      </c>
      <c r="M20" s="92"/>
      <c r="O20" s="193" t="s">
        <v>30</v>
      </c>
      <c r="P20" s="194"/>
    </row>
    <row r="21" spans="1:21" ht="21.6" x14ac:dyDescent="0.65">
      <c r="A21" s="195"/>
      <c r="B21" s="144">
        <v>18</v>
      </c>
      <c r="C21" s="188">
        <v>2605030001735</v>
      </c>
      <c r="D21" s="187" t="s">
        <v>140</v>
      </c>
      <c r="E21" s="187">
        <v>1025899736</v>
      </c>
      <c r="F21" s="187">
        <v>300</v>
      </c>
      <c r="G21" s="141">
        <f>IF(Basic3456789101112131415161718192021222324252627282930[[#This Row],[نوع الخدمة]]="مخالفات", 50,
IF(Basic3456789101112131415161718192021222324252627282930[[#This Row],[نوع الخدمة]]="كاش ان",
    IF(F21&lt;=100, 18, IF(F21&lt;=250, 23, IF(F21&lt;=500, 35, IF(F21&lt;=1000, 40, F21*0.04)))),
IF(Basic3456789101112131415161718192021222324252627282930[[#This Row],[نوع الخدمة]]="كاش اوت",
    IF(F21&lt;=100, 15, IF(F21&lt;=250, 20, IF(F21&lt;=500, 30, IF(F21&lt;=1000, 35, F21*0.035)))),
0)))</f>
        <v>35</v>
      </c>
      <c r="H21" s="159">
        <f>IF(I21="مخالفات",50,Basic3456789101112131415161718192021222324252627282930[[#This Row],[قيمة الرسوم / العموله]]+Basic3456789101112131415161718192021222324252627282930[[#This Row],[قيمة الشحنه]])</f>
        <v>335</v>
      </c>
      <c r="I21" s="90" t="s">
        <v>8</v>
      </c>
      <c r="J21" s="142" t="str">
        <f t="shared" si="0"/>
        <v>3.5.2026</v>
      </c>
      <c r="L21" s="153">
        <v>10</v>
      </c>
      <c r="M21" s="92"/>
      <c r="O21" s="196" t="s">
        <v>31</v>
      </c>
      <c r="P21" s="197"/>
    </row>
    <row r="22" spans="1:21" ht="21.6" x14ac:dyDescent="0.65">
      <c r="A22" s="195"/>
      <c r="B22" s="140">
        <v>19</v>
      </c>
      <c r="C22" s="188">
        <v>2605030001387</v>
      </c>
      <c r="D22" s="187" t="s">
        <v>141</v>
      </c>
      <c r="E22" s="187">
        <v>1111516776</v>
      </c>
      <c r="F22" s="187">
        <v>8200</v>
      </c>
      <c r="G22" s="141">
        <f>IF(Basic3456789101112131415161718192021222324252627282930[[#This Row],[نوع الخدمة]]="مخالفات", 50,
IF(Basic3456789101112131415161718192021222324252627282930[[#This Row],[نوع الخدمة]]="كاش ان",
    IF(F22&lt;=100, 18, IF(F22&lt;=250, 23, IF(F22&lt;=500, 35, IF(F22&lt;=1000, 40, F22*0.04)))),
IF(Basic3456789101112131415161718192021222324252627282930[[#This Row],[نوع الخدمة]]="كاش اوت",
    IF(F22&lt;=100, 15, IF(F22&lt;=250, 20, IF(F22&lt;=500, 30, IF(F22&lt;=1000, 35, F22*0.035)))),
0)))</f>
        <v>328</v>
      </c>
      <c r="H22" s="159">
        <f>IF(I22="مخالفات",50,Basic3456789101112131415161718192021222324252627282930[[#This Row],[قيمة الرسوم / العموله]]+Basic3456789101112131415161718192021222324252627282930[[#This Row],[قيمة الشحنه]])</f>
        <v>8528</v>
      </c>
      <c r="I22" s="90" t="s">
        <v>8</v>
      </c>
      <c r="J22" s="142" t="str">
        <f t="shared" si="0"/>
        <v>3.5.2026</v>
      </c>
      <c r="L22" s="153">
        <v>11</v>
      </c>
      <c r="M22" s="92"/>
      <c r="O22" s="147" t="s">
        <v>27</v>
      </c>
      <c r="P22" s="135">
        <f>M8+'2'!P28</f>
        <v>0</v>
      </c>
    </row>
    <row r="23" spans="1:21" ht="21.6" x14ac:dyDescent="0.65">
      <c r="A23" s="195"/>
      <c r="B23" s="140">
        <v>20</v>
      </c>
      <c r="C23" s="188">
        <v>2605030000979</v>
      </c>
      <c r="D23" s="187" t="s">
        <v>113</v>
      </c>
      <c r="E23" s="187">
        <v>1002417528</v>
      </c>
      <c r="F23" s="1">
        <v>1600</v>
      </c>
      <c r="G23" s="141">
        <f>IF(Basic3456789101112131415161718192021222324252627282930[[#This Row],[نوع الخدمة]]="مخالفات", 50,
IF(Basic3456789101112131415161718192021222324252627282930[[#This Row],[نوع الخدمة]]="كاش ان",
    IF(F23&lt;=100, 18, IF(F23&lt;=250, 23, IF(F23&lt;=500, 35, IF(F23&lt;=1000, 40, F23*0.04)))),
IF(Basic3456789101112131415161718192021222324252627282930[[#This Row],[نوع الخدمة]]="كاش اوت",
    IF(F23&lt;=100, 15, IF(F23&lt;=250, 20, IF(F23&lt;=500, 30, IF(F23&lt;=1000, 35, F23*0.035)))),
0)))</f>
        <v>64</v>
      </c>
      <c r="H23" s="159">
        <f>IF(I23="مخالفات",50,Basic3456789101112131415161718192021222324252627282930[[#This Row],[قيمة الرسوم / العموله]]+Basic3456789101112131415161718192021222324252627282930[[#This Row],[قيمة الشحنه]])</f>
        <v>1664</v>
      </c>
      <c r="I23" s="90" t="s">
        <v>8</v>
      </c>
      <c r="J23" s="142" t="str">
        <f t="shared" si="0"/>
        <v>3.5.2026</v>
      </c>
      <c r="L23" s="153">
        <v>12</v>
      </c>
      <c r="M23" s="92"/>
      <c r="O23" s="147" t="s">
        <v>28</v>
      </c>
      <c r="P23" s="135">
        <f>M9+'2'!P29</f>
        <v>0</v>
      </c>
      <c r="T23" s="173"/>
      <c r="U23" s="173"/>
    </row>
    <row r="24" spans="1:21" ht="21.6" x14ac:dyDescent="0.65">
      <c r="A24" s="195"/>
      <c r="B24" s="140">
        <v>21</v>
      </c>
      <c r="C24" s="188">
        <v>2605030000714</v>
      </c>
      <c r="D24" s="187" t="s">
        <v>142</v>
      </c>
      <c r="E24" s="185">
        <v>1270024821</v>
      </c>
      <c r="F24" s="1">
        <v>3207</v>
      </c>
      <c r="G24" s="141">
        <f>IF(Basic3456789101112131415161718192021222324252627282930[[#This Row],[نوع الخدمة]]="مخالفات", 50,
IF(Basic3456789101112131415161718192021222324252627282930[[#This Row],[نوع الخدمة]]="كاش ان",
    IF(F24&lt;=100, 18, IF(F24&lt;=250, 23, IF(F24&lt;=500, 35, IF(F24&lt;=1000, 40, F24*0.04)))),
IF(Basic3456789101112131415161718192021222324252627282930[[#This Row],[نوع الخدمة]]="كاش اوت",
    IF(F24&lt;=100, 15, IF(F24&lt;=250, 20, IF(F24&lt;=500, 30, IF(F24&lt;=1000, 35, F24*0.035)))),
0)))</f>
        <v>128.28</v>
      </c>
      <c r="H24" s="159">
        <f>IF(I24="مخالفات",50,Basic3456789101112131415161718192021222324252627282930[[#This Row],[قيمة الرسوم / العموله]]+Basic3456789101112131415161718192021222324252627282930[[#This Row],[قيمة الشحنه]])</f>
        <v>3335.28</v>
      </c>
      <c r="I24" s="90" t="s">
        <v>8</v>
      </c>
      <c r="J24" s="142" t="str">
        <f t="shared" si="0"/>
        <v>3.5.2026</v>
      </c>
      <c r="L24" s="153">
        <v>13</v>
      </c>
      <c r="M24" s="92"/>
      <c r="O24" s="196" t="s">
        <v>32</v>
      </c>
      <c r="P24" s="197"/>
    </row>
    <row r="25" spans="1:21" ht="21.6" x14ac:dyDescent="0.65">
      <c r="A25" s="195"/>
      <c r="B25" s="144">
        <v>22</v>
      </c>
      <c r="C25" s="2">
        <v>9999999999999</v>
      </c>
      <c r="D25" s="187" t="s">
        <v>143</v>
      </c>
      <c r="E25" s="187">
        <v>1003681006</v>
      </c>
      <c r="F25" s="1">
        <v>0</v>
      </c>
      <c r="G25" s="141">
        <f>IF(Basic3456789101112131415161718192021222324252627282930[[#This Row],[نوع الخدمة]]="مخالفات", 50,
IF(Basic3456789101112131415161718192021222324252627282930[[#This Row],[نوع الخدمة]]="كاش ان",
    IF(F25&lt;=100, 18, IF(F25&lt;=250, 23, IF(F25&lt;=500, 35, IF(F25&lt;=1000, 40, F25*0.04)))),
IF(Basic3456789101112131415161718192021222324252627282930[[#This Row],[نوع الخدمة]]="كاش اوت",
    IF(F25&lt;=100, 15, IF(F25&lt;=250, 20, IF(F25&lt;=500, 30, IF(F25&lt;=1000, 35, F25*0.035)))),
0)))</f>
        <v>50</v>
      </c>
      <c r="H25" s="159">
        <f>IF(I25="مخالفات",50,Basic3456789101112131415161718192021222324252627282930[[#This Row],[قيمة الرسوم / العموله]]+Basic3456789101112131415161718192021222324252627282930[[#This Row],[قيمة الشحنه]])</f>
        <v>50</v>
      </c>
      <c r="I25" s="90" t="s">
        <v>10</v>
      </c>
      <c r="J25" s="142" t="str">
        <f t="shared" si="0"/>
        <v>3.5.2026</v>
      </c>
      <c r="L25" s="153">
        <v>14</v>
      </c>
      <c r="M25" s="92"/>
      <c r="O25" s="147" t="s">
        <v>27</v>
      </c>
      <c r="P25" s="135">
        <f>M5</f>
        <v>3</v>
      </c>
    </row>
    <row r="26" spans="1:21" ht="21.6" x14ac:dyDescent="0.65">
      <c r="A26" s="195"/>
      <c r="B26" s="140">
        <v>23</v>
      </c>
      <c r="C26" s="2">
        <v>1111111111111</v>
      </c>
      <c r="D26" s="187" t="s">
        <v>131</v>
      </c>
      <c r="E26" s="187">
        <v>1013716660</v>
      </c>
      <c r="F26" s="1">
        <v>1000</v>
      </c>
      <c r="G26" s="141">
        <f>IF(Basic3456789101112131415161718192021222324252627282930[[#This Row],[نوع الخدمة]]="مخالفات", 50,
IF(Basic3456789101112131415161718192021222324252627282930[[#This Row],[نوع الخدمة]]="كاش ان",
    IF(F26&lt;=100, 18, IF(F26&lt;=250, 23, IF(F26&lt;=500, 35, IF(F26&lt;=1000, 40, F26*0.04)))),
IF(Basic3456789101112131415161718192021222324252627282930[[#This Row],[نوع الخدمة]]="كاش اوت",
    IF(F26&lt;=100, 15, IF(F26&lt;=250, 20, IF(F26&lt;=500, 30, IF(F26&lt;=1000, 35, F26*0.035)))),
0)))</f>
        <v>35</v>
      </c>
      <c r="H26" s="159">
        <f>IF(I26="مخالفات",50,Basic3456789101112131415161718192021222324252627282930[[#This Row],[قيمة الرسوم / العموله]]+Basic3456789101112131415161718192021222324252627282930[[#This Row],[قيمة الشحنه]])</f>
        <v>1035</v>
      </c>
      <c r="I26" s="90" t="s">
        <v>9</v>
      </c>
      <c r="J26" s="142" t="str">
        <f t="shared" si="0"/>
        <v>3.5.2026</v>
      </c>
      <c r="L26" s="153">
        <v>15</v>
      </c>
      <c r="M26" s="92"/>
      <c r="O26" s="147" t="s">
        <v>28</v>
      </c>
      <c r="P26" s="135">
        <f>M6</f>
        <v>0</v>
      </c>
    </row>
    <row r="27" spans="1:21" ht="21.6" x14ac:dyDescent="0.65">
      <c r="A27" s="195"/>
      <c r="B27" s="140">
        <v>24</v>
      </c>
      <c r="C27" s="2">
        <v>9999999999999</v>
      </c>
      <c r="D27" s="1" t="s">
        <v>144</v>
      </c>
      <c r="E27" s="3" t="s">
        <v>114</v>
      </c>
      <c r="F27" s="1">
        <v>0</v>
      </c>
      <c r="G27" s="141">
        <f>IF(Basic3456789101112131415161718192021222324252627282930[[#This Row],[نوع الخدمة]]="مخالفات", 50,
IF(Basic3456789101112131415161718192021222324252627282930[[#This Row],[نوع الخدمة]]="كاش ان",
    IF(F27&lt;=100, 18, IF(F27&lt;=250, 23, IF(F27&lt;=500, 35, IF(F27&lt;=1000, 40, F27*0.04)))),
IF(Basic3456789101112131415161718192021222324252627282930[[#This Row],[نوع الخدمة]]="كاش اوت",
    IF(F27&lt;=100, 15, IF(F27&lt;=250, 20, IF(F27&lt;=500, 30, IF(F27&lt;=1000, 35, F27*0.035)))),
0)))</f>
        <v>50</v>
      </c>
      <c r="H27" s="159">
        <f>IF(I27="مخالفات",50,Basic3456789101112131415161718192021222324252627282930[[#This Row],[قيمة الرسوم / العموله]]+Basic3456789101112131415161718192021222324252627282930[[#This Row],[قيمة الشحنه]])</f>
        <v>50</v>
      </c>
      <c r="I27" s="90" t="s">
        <v>10</v>
      </c>
      <c r="J27" s="142" t="str">
        <f t="shared" si="0"/>
        <v>3.5.2026</v>
      </c>
      <c r="L27" s="153">
        <v>16</v>
      </c>
      <c r="M27" s="92"/>
      <c r="O27" s="196" t="s">
        <v>33</v>
      </c>
      <c r="P27" s="197"/>
    </row>
    <row r="28" spans="1:21" ht="21.6" x14ac:dyDescent="0.65">
      <c r="A28" s="195"/>
      <c r="B28" s="140">
        <v>25</v>
      </c>
      <c r="C28" s="189">
        <v>2605030005889</v>
      </c>
      <c r="D28" s="1" t="s">
        <v>145</v>
      </c>
      <c r="E28" s="3" t="s">
        <v>134</v>
      </c>
      <c r="F28" s="1">
        <v>2000</v>
      </c>
      <c r="G28" s="141">
        <f>IF(Basic3456789101112131415161718192021222324252627282930[[#This Row],[نوع الخدمة]]="مخالفات", 50,
IF(Basic3456789101112131415161718192021222324252627282930[[#This Row],[نوع الخدمة]]="كاش ان",
    IF(F28&lt;=100, 18, IF(F28&lt;=250, 23, IF(F28&lt;=500, 35, IF(F28&lt;=1000, 40, F28*0.04)))),
IF(Basic3456789101112131415161718192021222324252627282930[[#This Row],[نوع الخدمة]]="كاش اوت",
    IF(F28&lt;=100, 15, IF(F28&lt;=250, 20, IF(F28&lt;=500, 30, IF(F28&lt;=1000, 35, F28*0.035)))),
0)))</f>
        <v>80</v>
      </c>
      <c r="H28" s="159">
        <f>IF(I28="مخالفات",50,Basic3456789101112131415161718192021222324252627282930[[#This Row],[قيمة الرسوم / العموله]]+Basic3456789101112131415161718192021222324252627282930[[#This Row],[قيمة الشحنه]])</f>
        <v>2080</v>
      </c>
      <c r="I28" s="90" t="s">
        <v>8</v>
      </c>
      <c r="J28" s="142" t="str">
        <f t="shared" si="0"/>
        <v>3.5.2026</v>
      </c>
      <c r="L28" s="153">
        <v>17</v>
      </c>
      <c r="M28" s="92"/>
      <c r="O28" s="147" t="s">
        <v>27</v>
      </c>
      <c r="P28" s="135">
        <f>P22-P25</f>
        <v>-3</v>
      </c>
    </row>
    <row r="29" spans="1:21" ht="21.6" x14ac:dyDescent="0.65">
      <c r="A29" s="195"/>
      <c r="B29" s="144">
        <v>26</v>
      </c>
      <c r="C29" s="2">
        <v>1111111111111</v>
      </c>
      <c r="D29" s="1" t="s">
        <v>143</v>
      </c>
      <c r="E29" s="3" t="s">
        <v>114</v>
      </c>
      <c r="F29" s="1">
        <v>200</v>
      </c>
      <c r="G29" s="141">
        <f>IF(Basic3456789101112131415161718192021222324252627282930[[#This Row],[نوع الخدمة]]="مخالفات", 50,
IF(Basic3456789101112131415161718192021222324252627282930[[#This Row],[نوع الخدمة]]="كاش ان",
    IF(F29&lt;=100, 18, IF(F29&lt;=250, 23, IF(F29&lt;=500, 35, IF(F29&lt;=1000, 40, F29*0.04)))),
IF(Basic3456789101112131415161718192021222324252627282930[[#This Row],[نوع الخدمة]]="كاش اوت",
    IF(F29&lt;=100, 15, IF(F29&lt;=250, 20, IF(F29&lt;=500, 30, IF(F29&lt;=1000, 35, F29*0.035)))),
0)))</f>
        <v>20</v>
      </c>
      <c r="H29" s="159">
        <f>IF(I29="مخالفات",50,Basic3456789101112131415161718192021222324252627282930[[#This Row],[قيمة الرسوم / العموله]]+Basic3456789101112131415161718192021222324252627282930[[#This Row],[قيمة الشحنه]])</f>
        <v>220</v>
      </c>
      <c r="I29" s="90" t="s">
        <v>9</v>
      </c>
      <c r="J29" s="142" t="str">
        <f t="shared" si="0"/>
        <v>3.5.2026</v>
      </c>
      <c r="L29" s="153">
        <v>18</v>
      </c>
      <c r="M29" s="92"/>
      <c r="O29" s="147" t="s">
        <v>28</v>
      </c>
      <c r="P29" s="135">
        <f>P23-P26</f>
        <v>0</v>
      </c>
    </row>
    <row r="30" spans="1:21" ht="21.6" x14ac:dyDescent="0.65">
      <c r="A30" s="195"/>
      <c r="B30" s="140">
        <v>27</v>
      </c>
      <c r="C30" s="2"/>
      <c r="D30" s="1"/>
      <c r="E30" s="3"/>
      <c r="F30" s="1"/>
      <c r="G30" s="141">
        <f>IF(Basic3456789101112131415161718192021222324252627282930[[#This Row],[نوع الخدمة]]="مخالفات", 50,
IF(Basic3456789101112131415161718192021222324252627282930[[#This Row],[نوع الخدمة]]="كاش ان",
    IF(F30&lt;=100, 18, IF(F30&lt;=250, 23, IF(F30&lt;=500, 35, IF(F30&lt;=1000, 40, F30*0.04)))),
IF(Basic3456789101112131415161718192021222324252627282930[[#This Row],[نوع الخدمة]]="كاش اوت",
    IF(F30&lt;=100, 15, IF(F30&lt;=250, 20, IF(F30&lt;=500, 30, IF(F30&lt;=1000, 35, F30*0.035)))),
0)))</f>
        <v>0</v>
      </c>
      <c r="H30" s="159">
        <f>IF(I30="مخالفات",50,Basic3456789101112131415161718192021222324252627282930[[#This Row],[قيمة الرسوم / العموله]]+Basic3456789101112131415161718192021222324252627282930[[#This Row],[قيمة الشحنه]])</f>
        <v>0</v>
      </c>
      <c r="I30" s="90"/>
      <c r="J30" s="142" t="str">
        <f t="shared" si="0"/>
        <v>3.5.2026</v>
      </c>
      <c r="L30" s="153">
        <v>19</v>
      </c>
      <c r="M30" s="92"/>
    </row>
    <row r="31" spans="1:21" ht="21.6" x14ac:dyDescent="0.65">
      <c r="A31" s="195"/>
      <c r="B31" s="140">
        <v>28</v>
      </c>
      <c r="C31" s="2"/>
      <c r="D31" s="1"/>
      <c r="E31" s="3"/>
      <c r="F31" s="1"/>
      <c r="G31" s="141">
        <f>IF(Basic3456789101112131415161718192021222324252627282930[[#This Row],[نوع الخدمة]]="مخالفات", 50,
IF(Basic3456789101112131415161718192021222324252627282930[[#This Row],[نوع الخدمة]]="كاش ان",
    IF(F31&lt;=100, 18, IF(F31&lt;=250, 23, IF(F31&lt;=500, 35, IF(F31&lt;=1000, 40, F31*0.04)))),
IF(Basic3456789101112131415161718192021222324252627282930[[#This Row],[نوع الخدمة]]="كاش اوت",
    IF(F31&lt;=100, 15, IF(F31&lt;=250, 20, IF(F31&lt;=500, 30, IF(F31&lt;=1000, 35, F31*0.035)))),
0)))</f>
        <v>0</v>
      </c>
      <c r="H31" s="159">
        <f>IF(I31="مخالفات",50,Basic3456789101112131415161718192021222324252627282930[[#This Row],[قيمة الرسوم / العموله]]+Basic3456789101112131415161718192021222324252627282930[[#This Row],[قيمة الشحنه]])</f>
        <v>0</v>
      </c>
      <c r="I31" s="90"/>
      <c r="J31" s="142" t="str">
        <f t="shared" si="0"/>
        <v>3.5.2026</v>
      </c>
      <c r="L31" s="153">
        <v>20</v>
      </c>
      <c r="M31" s="92"/>
    </row>
    <row r="32" spans="1:21" ht="21.6" x14ac:dyDescent="0.65">
      <c r="A32" s="195"/>
      <c r="B32" s="140">
        <v>29</v>
      </c>
      <c r="C32" s="2"/>
      <c r="D32" s="1"/>
      <c r="E32" s="3"/>
      <c r="F32" s="1"/>
      <c r="G32" s="141">
        <f>IF(Basic3456789101112131415161718192021222324252627282930[[#This Row],[نوع الخدمة]]="مخالفات", 50,
IF(Basic3456789101112131415161718192021222324252627282930[[#This Row],[نوع الخدمة]]="كاش ان",
    IF(F32&lt;=100, 18, IF(F32&lt;=250, 23, IF(F32&lt;=500, 35, IF(F32&lt;=1000, 40, F32*0.04)))),
IF(Basic3456789101112131415161718192021222324252627282930[[#This Row],[نوع الخدمة]]="كاش اوت",
    IF(F32&lt;=100, 15, IF(F32&lt;=250, 20, IF(F32&lt;=500, 30, IF(F32&lt;=1000, 35, F32*0.035)))),
0)))</f>
        <v>0</v>
      </c>
      <c r="H32" s="159">
        <f>IF(I32="مخالفات",50,Basic3456789101112131415161718192021222324252627282930[[#This Row],[قيمة الرسوم / العموله]]+Basic3456789101112131415161718192021222324252627282930[[#This Row],[قيمة الشحنه]])</f>
        <v>0</v>
      </c>
      <c r="I32" s="90"/>
      <c r="J32" s="142" t="str">
        <f t="shared" si="0"/>
        <v>3.5.2026</v>
      </c>
      <c r="L32" s="153">
        <v>21</v>
      </c>
      <c r="M32" s="92"/>
    </row>
    <row r="33" spans="1:13" ht="21.6" x14ac:dyDescent="0.65">
      <c r="A33" s="195"/>
      <c r="B33" s="144">
        <v>30</v>
      </c>
      <c r="C33" s="2"/>
      <c r="D33" s="1"/>
      <c r="E33" s="3"/>
      <c r="F33" s="1"/>
      <c r="G33" s="141">
        <f>IF(Basic3456789101112131415161718192021222324252627282930[[#This Row],[نوع الخدمة]]="مخالفات", 50,
IF(Basic3456789101112131415161718192021222324252627282930[[#This Row],[نوع الخدمة]]="كاش ان",
    IF(F33&lt;=100, 18, IF(F33&lt;=250, 23, IF(F33&lt;=500, 35, IF(F33&lt;=1000, 40, F33*0.04)))),
IF(Basic3456789101112131415161718192021222324252627282930[[#This Row],[نوع الخدمة]]="كاش اوت",
    IF(F33&lt;=100, 15, IF(F33&lt;=250, 20, IF(F33&lt;=500, 30, IF(F33&lt;=1000, 35, F33*0.035)))),
0)))</f>
        <v>0</v>
      </c>
      <c r="H33" s="159">
        <f>IF(I33="مخالفات",50,Basic3456789101112131415161718192021222324252627282930[[#This Row],[قيمة الرسوم / العموله]]+Basic3456789101112131415161718192021222324252627282930[[#This Row],[قيمة الشحنه]])</f>
        <v>0</v>
      </c>
      <c r="I33" s="90"/>
      <c r="J33" s="142" t="str">
        <f t="shared" si="0"/>
        <v>3.5.2026</v>
      </c>
      <c r="L33" s="153">
        <v>22</v>
      </c>
      <c r="M33" s="92"/>
    </row>
    <row r="34" spans="1:13" ht="21.6" x14ac:dyDescent="0.65">
      <c r="A34" s="195"/>
      <c r="B34" s="140">
        <v>31</v>
      </c>
      <c r="C34" s="2"/>
      <c r="D34" s="1"/>
      <c r="E34" s="3"/>
      <c r="F34" s="1"/>
      <c r="G34" s="141">
        <f>IF(Basic3456789101112131415161718192021222324252627282930[[#This Row],[نوع الخدمة]]="مخالفات", 50,
IF(Basic3456789101112131415161718192021222324252627282930[[#This Row],[نوع الخدمة]]="كاش ان",
    IF(F34&lt;=100, 18, IF(F34&lt;=250, 23, IF(F34&lt;=500, 35, IF(F34&lt;=1000, 40, F34*0.04)))),
IF(Basic3456789101112131415161718192021222324252627282930[[#This Row],[نوع الخدمة]]="كاش اوت",
    IF(F34&lt;=100, 15, IF(F34&lt;=250, 20, IF(F34&lt;=500, 30, IF(F34&lt;=1000, 35, F34*0.035)))),
0)))</f>
        <v>0</v>
      </c>
      <c r="H34" s="159">
        <f>IF(I34="مخالفات",50,Basic3456789101112131415161718192021222324252627282930[[#This Row],[قيمة الرسوم / العموله]]+Basic3456789101112131415161718192021222324252627282930[[#This Row],[قيمة الشحنه]])</f>
        <v>0</v>
      </c>
      <c r="I34" s="90"/>
      <c r="J34" s="142" t="str">
        <f t="shared" si="0"/>
        <v>3.5.2026</v>
      </c>
      <c r="L34" s="153">
        <v>23</v>
      </c>
      <c r="M34" s="92"/>
    </row>
    <row r="35" spans="1:13" ht="21.6" x14ac:dyDescent="0.65">
      <c r="A35" s="195"/>
      <c r="B35" s="140">
        <v>32</v>
      </c>
      <c r="C35" s="2"/>
      <c r="D35" s="1"/>
      <c r="E35" s="3"/>
      <c r="F35" s="1"/>
      <c r="G35" s="141">
        <f>IF(Basic3456789101112131415161718192021222324252627282930[[#This Row],[نوع الخدمة]]="مخالفات", 50,
IF(Basic3456789101112131415161718192021222324252627282930[[#This Row],[نوع الخدمة]]="كاش ان",
    IF(F35&lt;=100, 18, IF(F35&lt;=250, 23, IF(F35&lt;=500, 35, IF(F35&lt;=1000, 40, F35*0.04)))),
IF(Basic3456789101112131415161718192021222324252627282930[[#This Row],[نوع الخدمة]]="كاش اوت",
    IF(F35&lt;=100, 15, IF(F35&lt;=250, 20, IF(F35&lt;=500, 30, IF(F35&lt;=1000, 35, F35*0.035)))),
0)))</f>
        <v>0</v>
      </c>
      <c r="H35" s="159">
        <f>IF(I35="مخالفات",50,Basic3456789101112131415161718192021222324252627282930[[#This Row],[قيمة الرسوم / العموله]]+Basic3456789101112131415161718192021222324252627282930[[#This Row],[قيمة الشحنه]])</f>
        <v>0</v>
      </c>
      <c r="I35" s="90"/>
      <c r="J35" s="142" t="str">
        <f t="shared" si="0"/>
        <v>3.5.2026</v>
      </c>
      <c r="L35" s="153">
        <v>24</v>
      </c>
      <c r="M35" s="92"/>
    </row>
    <row r="36" spans="1:13" ht="21.6" x14ac:dyDescent="0.65">
      <c r="A36" s="195"/>
      <c r="B36" s="140">
        <v>33</v>
      </c>
      <c r="C36" s="2"/>
      <c r="D36" s="1"/>
      <c r="E36" s="3"/>
      <c r="F36" s="1"/>
      <c r="G36" s="141">
        <f>IF(Basic3456789101112131415161718192021222324252627282930[[#This Row],[نوع الخدمة]]="مخالفات", 50,
IF(Basic3456789101112131415161718192021222324252627282930[[#This Row],[نوع الخدمة]]="كاش ان",
    IF(F36&lt;=100, 18, IF(F36&lt;=250, 23, IF(F36&lt;=500, 35, IF(F36&lt;=1000, 40, F36*0.04)))),
IF(Basic3456789101112131415161718192021222324252627282930[[#This Row],[نوع الخدمة]]="كاش اوت",
    IF(F36&lt;=100, 15, IF(F36&lt;=250, 20, IF(F36&lt;=500, 30, IF(F36&lt;=1000, 35, F36*0.035)))),
0)))</f>
        <v>0</v>
      </c>
      <c r="H36" s="159">
        <f>IF(I36="مخالفات",50,Basic3456789101112131415161718192021222324252627282930[[#This Row],[قيمة الرسوم / العموله]]+Basic3456789101112131415161718192021222324252627282930[[#This Row],[قيمة الشحنه]])</f>
        <v>0</v>
      </c>
      <c r="I36" s="90"/>
      <c r="J36" s="142" t="str">
        <f t="shared" si="0"/>
        <v>3.5.2026</v>
      </c>
      <c r="L36" s="153">
        <v>25</v>
      </c>
      <c r="M36" s="92"/>
    </row>
    <row r="37" spans="1:13" ht="21.6" x14ac:dyDescent="0.65">
      <c r="A37" s="195"/>
      <c r="B37" s="144">
        <v>34</v>
      </c>
      <c r="C37" s="2"/>
      <c r="D37" s="1"/>
      <c r="E37" s="3"/>
      <c r="F37" s="1"/>
      <c r="G37" s="141">
        <f>IF(Basic3456789101112131415161718192021222324252627282930[[#This Row],[نوع الخدمة]]="مخالفات", 50,
IF(Basic3456789101112131415161718192021222324252627282930[[#This Row],[نوع الخدمة]]="كاش ان",
    IF(F37&lt;=100, 18, IF(F37&lt;=250, 23, IF(F37&lt;=500, 35, IF(F37&lt;=1000, 40, F37*0.04)))),
IF(Basic3456789101112131415161718192021222324252627282930[[#This Row],[نوع الخدمة]]="كاش اوت",
    IF(F37&lt;=100, 15, IF(F37&lt;=250, 20, IF(F37&lt;=500, 30, IF(F37&lt;=1000, 35, F37*0.035)))),
0)))</f>
        <v>0</v>
      </c>
      <c r="H37" s="159">
        <f>IF(I37="مخالفات",50,Basic3456789101112131415161718192021222324252627282930[[#This Row],[قيمة الرسوم / العموله]]+Basic3456789101112131415161718192021222324252627282930[[#This Row],[قيمة الشحنه]])</f>
        <v>0</v>
      </c>
      <c r="I37" s="90"/>
      <c r="J37" s="142" t="str">
        <f t="shared" si="0"/>
        <v>3.5.2026</v>
      </c>
      <c r="L37" s="153">
        <v>26</v>
      </c>
      <c r="M37" s="92"/>
    </row>
    <row r="38" spans="1:13" ht="21.6" x14ac:dyDescent="0.65">
      <c r="A38" s="195"/>
      <c r="B38" s="140">
        <v>35</v>
      </c>
      <c r="C38" s="2"/>
      <c r="D38" s="1"/>
      <c r="E38" s="3"/>
      <c r="F38" s="1"/>
      <c r="G38" s="141">
        <f>IF(Basic3456789101112131415161718192021222324252627282930[[#This Row],[نوع الخدمة]]="مخالفات", 50,
IF(Basic3456789101112131415161718192021222324252627282930[[#This Row],[نوع الخدمة]]="كاش ان",
    IF(F38&lt;=100, 18, IF(F38&lt;=250, 23, IF(F38&lt;=500, 35, IF(F38&lt;=1000, 40, F38*0.04)))),
IF(Basic3456789101112131415161718192021222324252627282930[[#This Row],[نوع الخدمة]]="كاش اوت",
    IF(F38&lt;=100, 15, IF(F38&lt;=250, 20, IF(F38&lt;=500, 30, IF(F38&lt;=1000, 35, F38*0.035)))),
0)))</f>
        <v>0</v>
      </c>
      <c r="H38" s="159">
        <f>IF(I38="مخالفات",50,Basic3456789101112131415161718192021222324252627282930[[#This Row],[قيمة الرسوم / العموله]]+Basic3456789101112131415161718192021222324252627282930[[#This Row],[قيمة الشحنه]])</f>
        <v>0</v>
      </c>
      <c r="I38" s="90"/>
      <c r="J38" s="142" t="str">
        <f t="shared" si="0"/>
        <v>3.5.2026</v>
      </c>
      <c r="L38" s="153">
        <v>27</v>
      </c>
      <c r="M38" s="92"/>
    </row>
    <row r="39" spans="1:13" ht="21.6" x14ac:dyDescent="0.65">
      <c r="A39" s="195"/>
      <c r="B39" s="140">
        <v>36</v>
      </c>
      <c r="C39" s="2"/>
      <c r="D39" s="1"/>
      <c r="E39" s="3"/>
      <c r="F39" s="1"/>
      <c r="G39" s="141">
        <f>IF(Basic3456789101112131415161718192021222324252627282930[[#This Row],[نوع الخدمة]]="مخالفات", 50,
IF(Basic3456789101112131415161718192021222324252627282930[[#This Row],[نوع الخدمة]]="كاش ان",
    IF(F39&lt;=100, 18, IF(F39&lt;=250, 23, IF(F39&lt;=500, 35, IF(F39&lt;=1000, 40, F39*0.04)))),
IF(Basic3456789101112131415161718192021222324252627282930[[#This Row],[نوع الخدمة]]="كاش اوت",
    IF(F39&lt;=100, 15, IF(F39&lt;=250, 20, IF(F39&lt;=500, 30, IF(F39&lt;=1000, 35, F39*0.035)))),
0)))</f>
        <v>0</v>
      </c>
      <c r="H39" s="159">
        <f>IF(I39="مخالفات",50,Basic3456789101112131415161718192021222324252627282930[[#This Row],[قيمة الرسوم / العموله]]+Basic3456789101112131415161718192021222324252627282930[[#This Row],[قيمة الشحنه]])</f>
        <v>0</v>
      </c>
      <c r="I39" s="90"/>
      <c r="J39" s="142" t="str">
        <f t="shared" si="0"/>
        <v>3.5.2026</v>
      </c>
      <c r="L39" s="153">
        <v>28</v>
      </c>
      <c r="M39" s="92"/>
    </row>
    <row r="40" spans="1:13" ht="21.6" x14ac:dyDescent="0.65">
      <c r="A40" s="195"/>
      <c r="B40" s="140">
        <v>37</v>
      </c>
      <c r="C40" s="2"/>
      <c r="D40" s="1"/>
      <c r="E40" s="3"/>
      <c r="F40" s="1"/>
      <c r="G40" s="141">
        <f>IF(Basic3456789101112131415161718192021222324252627282930[[#This Row],[نوع الخدمة]]="مخالفات", 50,
IF(Basic3456789101112131415161718192021222324252627282930[[#This Row],[نوع الخدمة]]="كاش ان",
    IF(F40&lt;=100, 18, IF(F40&lt;=250, 23, IF(F40&lt;=500, 35, IF(F40&lt;=1000, 40, F40*0.04)))),
IF(Basic3456789101112131415161718192021222324252627282930[[#This Row],[نوع الخدمة]]="كاش اوت",
    IF(F40&lt;=100, 15, IF(F40&lt;=250, 20, IF(F40&lt;=500, 30, IF(F40&lt;=1000, 35, F40*0.035)))),
0)))</f>
        <v>0</v>
      </c>
      <c r="H40" s="159">
        <f>IF(I40="مخالفات",50,Basic3456789101112131415161718192021222324252627282930[[#This Row],[قيمة الرسوم / العموله]]+Basic3456789101112131415161718192021222324252627282930[[#This Row],[قيمة الشحنه]])</f>
        <v>0</v>
      </c>
      <c r="I40" s="90"/>
      <c r="J40" s="142" t="str">
        <f t="shared" si="0"/>
        <v>3.5.2026</v>
      </c>
      <c r="L40" s="153">
        <v>29</v>
      </c>
      <c r="M40" s="92"/>
    </row>
    <row r="41" spans="1:13" ht="21.6" x14ac:dyDescent="0.65">
      <c r="A41" s="195"/>
      <c r="B41" s="144">
        <v>38</v>
      </c>
      <c r="C41" s="2"/>
      <c r="D41" s="1"/>
      <c r="E41" s="3"/>
      <c r="F41" s="1"/>
      <c r="G41" s="141">
        <f>IF(Basic3456789101112131415161718192021222324252627282930[[#This Row],[نوع الخدمة]]="مخالفات", 50,
IF(Basic3456789101112131415161718192021222324252627282930[[#This Row],[نوع الخدمة]]="كاش ان",
    IF(F41&lt;=100, 18, IF(F41&lt;=250, 23, IF(F41&lt;=500, 35, IF(F41&lt;=1000, 40, F41*0.04)))),
IF(Basic3456789101112131415161718192021222324252627282930[[#This Row],[نوع الخدمة]]="كاش اوت",
    IF(F41&lt;=100, 15, IF(F41&lt;=250, 20, IF(F41&lt;=500, 30, IF(F41&lt;=1000, 35, F41*0.035)))),
0)))</f>
        <v>0</v>
      </c>
      <c r="H41" s="159">
        <f>IF(I41="مخالفات",50,Basic3456789101112131415161718192021222324252627282930[[#This Row],[قيمة الرسوم / العموله]]+Basic3456789101112131415161718192021222324252627282930[[#This Row],[قيمة الشحنه]])</f>
        <v>0</v>
      </c>
      <c r="I41" s="90"/>
      <c r="J41" s="142" t="str">
        <f t="shared" si="0"/>
        <v>3.5.2026</v>
      </c>
      <c r="L41" s="153">
        <v>30</v>
      </c>
      <c r="M41" s="92"/>
    </row>
    <row r="42" spans="1:13" ht="21.6" x14ac:dyDescent="0.65">
      <c r="A42" s="195"/>
      <c r="B42" s="140">
        <v>39</v>
      </c>
      <c r="C42" s="2"/>
      <c r="D42" s="1"/>
      <c r="E42" s="3"/>
      <c r="F42" s="1"/>
      <c r="G42" s="141">
        <f>IF(Basic3456789101112131415161718192021222324252627282930[[#This Row],[نوع الخدمة]]="مخالفات", 50,
IF(Basic3456789101112131415161718192021222324252627282930[[#This Row],[نوع الخدمة]]="كاش ان",
    IF(F42&lt;=100, 18, IF(F42&lt;=250, 23, IF(F42&lt;=500, 35, IF(F42&lt;=1000, 40, F42*0.04)))),
IF(Basic3456789101112131415161718192021222324252627282930[[#This Row],[نوع الخدمة]]="كاش اوت",
    IF(F42&lt;=100, 15, IF(F42&lt;=250, 20, IF(F42&lt;=500, 30, IF(F42&lt;=1000, 35, F42*0.035)))),
0)))</f>
        <v>0</v>
      </c>
      <c r="H42" s="159">
        <f>IF(I42="مخالفات",50,Basic3456789101112131415161718192021222324252627282930[[#This Row],[قيمة الرسوم / العموله]]+Basic3456789101112131415161718192021222324252627282930[[#This Row],[قيمة الشحنه]])</f>
        <v>0</v>
      </c>
      <c r="I42" s="90"/>
      <c r="J42" s="142" t="str">
        <f t="shared" si="0"/>
        <v>3.5.2026</v>
      </c>
      <c r="L42" s="153">
        <v>31</v>
      </c>
      <c r="M42" s="92"/>
    </row>
    <row r="43" spans="1:13" ht="21.6" x14ac:dyDescent="0.65">
      <c r="A43" s="195"/>
      <c r="B43" s="140">
        <v>40</v>
      </c>
      <c r="C43" s="2"/>
      <c r="D43" s="1"/>
      <c r="E43" s="3"/>
      <c r="F43" s="1"/>
      <c r="G43" s="141">
        <f>IF(Basic3456789101112131415161718192021222324252627282930[[#This Row],[نوع الخدمة]]="مخالفات", 50,
IF(Basic3456789101112131415161718192021222324252627282930[[#This Row],[نوع الخدمة]]="كاش ان",
    IF(F43&lt;=100, 18, IF(F43&lt;=250, 23, IF(F43&lt;=500, 35, IF(F43&lt;=1000, 40, F43*0.04)))),
IF(Basic3456789101112131415161718192021222324252627282930[[#This Row],[نوع الخدمة]]="كاش اوت",
    IF(F43&lt;=100, 15, IF(F43&lt;=250, 20, IF(F43&lt;=500, 30, IF(F43&lt;=1000, 35, F43*0.035)))),
0)))</f>
        <v>0</v>
      </c>
      <c r="H43" s="159">
        <f>IF(I43="مخالفات",50,Basic3456789101112131415161718192021222324252627282930[[#This Row],[قيمة الرسوم / العموله]]+Basic3456789101112131415161718192021222324252627282930[[#This Row],[قيمة الشحنه]])</f>
        <v>0</v>
      </c>
      <c r="I43" s="90"/>
      <c r="J43" s="142" t="str">
        <f t="shared" si="0"/>
        <v>3.5.2026</v>
      </c>
      <c r="L43" s="153">
        <v>32</v>
      </c>
      <c r="M43" s="92"/>
    </row>
    <row r="44" spans="1:13" ht="21.6" x14ac:dyDescent="0.65">
      <c r="A44" s="195"/>
      <c r="B44" s="140">
        <v>41</v>
      </c>
      <c r="C44" s="2"/>
      <c r="D44" s="1"/>
      <c r="E44" s="3"/>
      <c r="F44" s="1"/>
      <c r="G44" s="141">
        <f>IF(Basic3456789101112131415161718192021222324252627282930[[#This Row],[نوع الخدمة]]="مخالفات", 50,
IF(Basic3456789101112131415161718192021222324252627282930[[#This Row],[نوع الخدمة]]="كاش ان",
    IF(F44&lt;=100, 18, IF(F44&lt;=250, 23, IF(F44&lt;=500, 35, IF(F44&lt;=1000, 40, F44*0.04)))),
IF(Basic3456789101112131415161718192021222324252627282930[[#This Row],[نوع الخدمة]]="كاش اوت",
    IF(F44&lt;=100, 15, IF(F44&lt;=250, 20, IF(F44&lt;=500, 30, IF(F44&lt;=1000, 35, F44*0.035)))),
0)))</f>
        <v>0</v>
      </c>
      <c r="H44" s="159">
        <f>IF(I44="مخالفات",50,Basic3456789101112131415161718192021222324252627282930[[#This Row],[قيمة الرسوم / العموله]]+Basic3456789101112131415161718192021222324252627282930[[#This Row],[قيمة الشحنه]])</f>
        <v>0</v>
      </c>
      <c r="I44" s="90"/>
      <c r="J44" s="142" t="str">
        <f t="shared" si="0"/>
        <v>3.5.2026</v>
      </c>
      <c r="L44" s="153">
        <v>33</v>
      </c>
      <c r="M44" s="92"/>
    </row>
    <row r="45" spans="1:13" ht="21.6" x14ac:dyDescent="0.65">
      <c r="A45" s="195"/>
      <c r="B45" s="144">
        <v>42</v>
      </c>
      <c r="C45" s="2"/>
      <c r="D45" s="1"/>
      <c r="E45" s="3"/>
      <c r="F45" s="1"/>
      <c r="G45" s="141">
        <f>IF(Basic3456789101112131415161718192021222324252627282930[[#This Row],[نوع الخدمة]]="مخالفات", 50,
IF(Basic3456789101112131415161718192021222324252627282930[[#This Row],[نوع الخدمة]]="كاش ان",
    IF(F45&lt;=100, 18, IF(F45&lt;=250, 23, IF(F45&lt;=500, 35, IF(F45&lt;=1000, 40, F45*0.04)))),
IF(Basic3456789101112131415161718192021222324252627282930[[#This Row],[نوع الخدمة]]="كاش اوت",
    IF(F45&lt;=100, 15, IF(F45&lt;=250, 20, IF(F45&lt;=500, 30, IF(F45&lt;=1000, 35, F45*0.035)))),
0)))</f>
        <v>0</v>
      </c>
      <c r="H45" s="159">
        <f>IF(I45="مخالفات",50,Basic3456789101112131415161718192021222324252627282930[[#This Row],[قيمة الرسوم / العموله]]+Basic3456789101112131415161718192021222324252627282930[[#This Row],[قيمة الشحنه]])</f>
        <v>0</v>
      </c>
      <c r="I45" s="90"/>
      <c r="J45" s="142" t="str">
        <f t="shared" si="0"/>
        <v>3.5.2026</v>
      </c>
      <c r="L45" s="153">
        <v>34</v>
      </c>
      <c r="M45" s="92"/>
    </row>
    <row r="46" spans="1:13" ht="21.6" x14ac:dyDescent="0.65">
      <c r="A46" s="195"/>
      <c r="B46" s="140">
        <v>43</v>
      </c>
      <c r="C46" s="2"/>
      <c r="D46" s="1"/>
      <c r="E46" s="3"/>
      <c r="F46" s="1"/>
      <c r="G46" s="141">
        <f>IF(Basic3456789101112131415161718192021222324252627282930[[#This Row],[نوع الخدمة]]="مخالفات", 50,
IF(Basic3456789101112131415161718192021222324252627282930[[#This Row],[نوع الخدمة]]="كاش ان",
    IF(F46&lt;=100, 18, IF(F46&lt;=250, 23, IF(F46&lt;=500, 35, IF(F46&lt;=1000, 40, F46*0.04)))),
IF(Basic3456789101112131415161718192021222324252627282930[[#This Row],[نوع الخدمة]]="كاش اوت",
    IF(F46&lt;=100, 15, IF(F46&lt;=250, 20, IF(F46&lt;=500, 30, IF(F46&lt;=1000, 35, F46*0.035)))),
0)))</f>
        <v>0</v>
      </c>
      <c r="H46" s="159">
        <f>IF(I46="مخالفات",50,Basic3456789101112131415161718192021222324252627282930[[#This Row],[قيمة الرسوم / العموله]]+Basic3456789101112131415161718192021222324252627282930[[#This Row],[قيمة الشحنه]])</f>
        <v>0</v>
      </c>
      <c r="I46" s="90"/>
      <c r="J46" s="142" t="str">
        <f t="shared" si="0"/>
        <v>3.5.2026</v>
      </c>
      <c r="L46" s="153">
        <v>35</v>
      </c>
      <c r="M46" s="92"/>
    </row>
    <row r="47" spans="1:13" ht="21.6" x14ac:dyDescent="0.65">
      <c r="A47" s="195"/>
      <c r="B47" s="140">
        <v>44</v>
      </c>
      <c r="C47" s="2"/>
      <c r="D47" s="1"/>
      <c r="E47" s="3"/>
      <c r="F47" s="1"/>
      <c r="G47" s="141">
        <f>IF(Basic3456789101112131415161718192021222324252627282930[[#This Row],[نوع الخدمة]]="مخالفات", 50,
IF(Basic3456789101112131415161718192021222324252627282930[[#This Row],[نوع الخدمة]]="كاش ان",
    IF(F47&lt;=100, 18, IF(F47&lt;=250, 23, IF(F47&lt;=500, 35, IF(F47&lt;=1000, 40, F47*0.04)))),
IF(Basic3456789101112131415161718192021222324252627282930[[#This Row],[نوع الخدمة]]="كاش اوت",
    IF(F47&lt;=100, 15, IF(F47&lt;=250, 20, IF(F47&lt;=500, 30, IF(F47&lt;=1000, 35, F47*0.035)))),
0)))</f>
        <v>0</v>
      </c>
      <c r="H47" s="159">
        <f>IF(I47="مخالفات",50,Basic3456789101112131415161718192021222324252627282930[[#This Row],[قيمة الرسوم / العموله]]+Basic3456789101112131415161718192021222324252627282930[[#This Row],[قيمة الشحنه]])</f>
        <v>0</v>
      </c>
      <c r="I47" s="90"/>
      <c r="J47" s="142" t="str">
        <f t="shared" si="0"/>
        <v>3.5.2026</v>
      </c>
      <c r="L47" s="153">
        <v>36</v>
      </c>
      <c r="M47" s="92"/>
    </row>
    <row r="48" spans="1:13" ht="21.6" x14ac:dyDescent="0.65">
      <c r="A48" s="195"/>
      <c r="B48" s="140">
        <v>45</v>
      </c>
      <c r="C48" s="2"/>
      <c r="D48" s="1"/>
      <c r="E48" s="3"/>
      <c r="F48" s="1"/>
      <c r="G48" s="141">
        <f>IF(Basic3456789101112131415161718192021222324252627282930[[#This Row],[نوع الخدمة]]="مخالفات", 50,
IF(Basic3456789101112131415161718192021222324252627282930[[#This Row],[نوع الخدمة]]="كاش ان",
    IF(F48&lt;=100, 18, IF(F48&lt;=250, 23, IF(F48&lt;=500, 35, IF(F48&lt;=1000, 40, F48*0.04)))),
IF(Basic3456789101112131415161718192021222324252627282930[[#This Row],[نوع الخدمة]]="كاش اوت",
    IF(F48&lt;=100, 15, IF(F48&lt;=250, 20, IF(F48&lt;=500, 30, IF(F48&lt;=1000, 35, F48*0.035)))),
0)))</f>
        <v>0</v>
      </c>
      <c r="H48" s="159">
        <f>IF(I48="مخالفات",50,Basic3456789101112131415161718192021222324252627282930[[#This Row],[قيمة الرسوم / العموله]]+Basic3456789101112131415161718192021222324252627282930[[#This Row],[قيمة الشحنه]])</f>
        <v>0</v>
      </c>
      <c r="I48" s="90"/>
      <c r="J48" s="142" t="str">
        <f t="shared" si="0"/>
        <v>3.5.2026</v>
      </c>
      <c r="L48" s="153">
        <v>37</v>
      </c>
      <c r="M48" s="92"/>
    </row>
    <row r="49" spans="1:13" ht="21.6" x14ac:dyDescent="0.65">
      <c r="A49" s="195"/>
      <c r="B49" s="144">
        <v>46</v>
      </c>
      <c r="C49" s="2"/>
      <c r="D49" s="1"/>
      <c r="E49" s="3"/>
      <c r="F49" s="1"/>
      <c r="G49" s="141">
        <f>IF(Basic3456789101112131415161718192021222324252627282930[[#This Row],[نوع الخدمة]]="مخالفات", 50,
IF(Basic3456789101112131415161718192021222324252627282930[[#This Row],[نوع الخدمة]]="كاش ان",
    IF(F49&lt;=100, 18, IF(F49&lt;=250, 23, IF(F49&lt;=500, 35, IF(F49&lt;=1000, 40, F49*0.04)))),
IF(Basic3456789101112131415161718192021222324252627282930[[#This Row],[نوع الخدمة]]="كاش اوت",
    IF(F49&lt;=100, 15, IF(F49&lt;=250, 20, IF(F49&lt;=500, 30, IF(F49&lt;=1000, 35, F49*0.035)))),
0)))</f>
        <v>0</v>
      </c>
      <c r="H49" s="159">
        <f>IF(I49="مخالفات",50,Basic3456789101112131415161718192021222324252627282930[[#This Row],[قيمة الرسوم / العموله]]+Basic3456789101112131415161718192021222324252627282930[[#This Row],[قيمة الشحنه]])</f>
        <v>0</v>
      </c>
      <c r="I49" s="90"/>
      <c r="J49" s="142" t="str">
        <f t="shared" si="0"/>
        <v>3.5.2026</v>
      </c>
      <c r="L49" s="153">
        <v>38</v>
      </c>
      <c r="M49" s="92"/>
    </row>
    <row r="50" spans="1:13" ht="21.6" x14ac:dyDescent="0.65">
      <c r="A50" s="195"/>
      <c r="B50" s="140">
        <v>47</v>
      </c>
      <c r="C50" s="2"/>
      <c r="D50" s="1"/>
      <c r="E50" s="3"/>
      <c r="F50" s="1"/>
      <c r="G50" s="141">
        <f>IF(Basic3456789101112131415161718192021222324252627282930[[#This Row],[نوع الخدمة]]="مخالفات", 50,
IF(Basic3456789101112131415161718192021222324252627282930[[#This Row],[نوع الخدمة]]="كاش ان",
    IF(F50&lt;=100, 18, IF(F50&lt;=250, 23, IF(F50&lt;=500, 35, IF(F50&lt;=1000, 40, F50*0.04)))),
IF(Basic3456789101112131415161718192021222324252627282930[[#This Row],[نوع الخدمة]]="كاش اوت",
    IF(F50&lt;=100, 15, IF(F50&lt;=250, 20, IF(F50&lt;=500, 30, IF(F50&lt;=1000, 35, F50*0.035)))),
0)))</f>
        <v>0</v>
      </c>
      <c r="H50" s="159">
        <f>IF(I50="مخالفات",50,Basic3456789101112131415161718192021222324252627282930[[#This Row],[قيمة الرسوم / العموله]]+Basic3456789101112131415161718192021222324252627282930[[#This Row],[قيمة الشحنه]])</f>
        <v>0</v>
      </c>
      <c r="I50" s="90"/>
      <c r="J50" s="142" t="str">
        <f t="shared" si="0"/>
        <v>3.5.2026</v>
      </c>
      <c r="L50" s="153">
        <v>39</v>
      </c>
      <c r="M50" s="92"/>
    </row>
    <row r="51" spans="1:13" ht="21.6" x14ac:dyDescent="0.65">
      <c r="A51" s="195"/>
      <c r="B51" s="140">
        <v>48</v>
      </c>
      <c r="C51" s="2"/>
      <c r="D51" s="1"/>
      <c r="E51" s="3"/>
      <c r="F51" s="1"/>
      <c r="G51" s="141">
        <f>IF(Basic3456789101112131415161718192021222324252627282930[[#This Row],[نوع الخدمة]]="مخالفات", 50,
IF(Basic3456789101112131415161718192021222324252627282930[[#This Row],[نوع الخدمة]]="كاش ان",
    IF(F51&lt;=100, 18, IF(F51&lt;=250, 23, IF(F51&lt;=500, 35, IF(F51&lt;=1000, 40, F51*0.04)))),
IF(Basic3456789101112131415161718192021222324252627282930[[#This Row],[نوع الخدمة]]="كاش اوت",
    IF(F51&lt;=100, 15, IF(F51&lt;=250, 20, IF(F51&lt;=500, 30, IF(F51&lt;=1000, 35, F51*0.035)))),
0)))</f>
        <v>0</v>
      </c>
      <c r="H51" s="159">
        <f>IF(I51="مخالفات",50,Basic3456789101112131415161718192021222324252627282930[[#This Row],[قيمة الرسوم / العموله]]+Basic3456789101112131415161718192021222324252627282930[[#This Row],[قيمة الشحنه]])</f>
        <v>0</v>
      </c>
      <c r="I51" s="90"/>
      <c r="J51" s="142" t="str">
        <f t="shared" si="0"/>
        <v>3.5.2026</v>
      </c>
      <c r="L51" s="153">
        <v>40</v>
      </c>
      <c r="M51" s="92"/>
    </row>
    <row r="52" spans="1:13" ht="21.6" x14ac:dyDescent="0.65">
      <c r="A52" s="195"/>
      <c r="B52" s="140">
        <v>49</v>
      </c>
      <c r="C52" s="2"/>
      <c r="D52" s="1"/>
      <c r="E52" s="3"/>
      <c r="F52" s="1"/>
      <c r="G52" s="141">
        <f>IF(Basic3456789101112131415161718192021222324252627282930[[#This Row],[نوع الخدمة]]="مخالفات", 50,
IF(Basic3456789101112131415161718192021222324252627282930[[#This Row],[نوع الخدمة]]="كاش ان",
    IF(F52&lt;=100, 18, IF(F52&lt;=250, 23, IF(F52&lt;=500, 35, IF(F52&lt;=1000, 40, F52*0.04)))),
IF(Basic3456789101112131415161718192021222324252627282930[[#This Row],[نوع الخدمة]]="كاش اوت",
    IF(F52&lt;=100, 15, IF(F52&lt;=250, 20, IF(F52&lt;=500, 30, IF(F52&lt;=1000, 35, F52*0.035)))),
0)))</f>
        <v>0</v>
      </c>
      <c r="H52" s="159">
        <f>IF(I52="مخالفات",50,Basic3456789101112131415161718192021222324252627282930[[#This Row],[قيمة الرسوم / العموله]]+Basic3456789101112131415161718192021222324252627282930[[#This Row],[قيمة الشحنه]])</f>
        <v>0</v>
      </c>
      <c r="I52" s="90"/>
      <c r="J52" s="142" t="str">
        <f t="shared" si="0"/>
        <v>3.5.2026</v>
      </c>
      <c r="L52" s="153">
        <v>41</v>
      </c>
      <c r="M52" s="92"/>
    </row>
    <row r="53" spans="1:13" ht="21.6" x14ac:dyDescent="0.65">
      <c r="A53" s="195"/>
      <c r="B53" s="144">
        <v>50</v>
      </c>
      <c r="C53" s="2"/>
      <c r="D53" s="1"/>
      <c r="E53" s="3"/>
      <c r="F53" s="1"/>
      <c r="G53" s="141">
        <f>IF(Basic3456789101112131415161718192021222324252627282930[[#This Row],[نوع الخدمة]]="مخالفات", 50,
IF(Basic3456789101112131415161718192021222324252627282930[[#This Row],[نوع الخدمة]]="كاش ان",
    IF(F53&lt;=100, 18, IF(F53&lt;=250, 23, IF(F53&lt;=500, 35, IF(F53&lt;=1000, 40, F53*0.04)))),
IF(Basic3456789101112131415161718192021222324252627282930[[#This Row],[نوع الخدمة]]="كاش اوت",
    IF(F53&lt;=100, 15, IF(F53&lt;=250, 20, IF(F53&lt;=500, 30, IF(F53&lt;=1000, 35, F53*0.035)))),
0)))</f>
        <v>0</v>
      </c>
      <c r="H53" s="159">
        <f>IF(I53="مخالفات",50,Basic3456789101112131415161718192021222324252627282930[[#This Row],[قيمة الرسوم / العموله]]+Basic3456789101112131415161718192021222324252627282930[[#This Row],[قيمة الشحنه]])</f>
        <v>0</v>
      </c>
      <c r="I53" s="90"/>
      <c r="J53" s="142" t="str">
        <f t="shared" si="0"/>
        <v>3.5.2026</v>
      </c>
      <c r="L53" s="153">
        <v>42</v>
      </c>
      <c r="M53" s="92"/>
    </row>
    <row r="54" spans="1:13" ht="21.6" x14ac:dyDescent="0.65">
      <c r="A54" s="195"/>
      <c r="B54" s="140">
        <v>51</v>
      </c>
      <c r="C54" s="2"/>
      <c r="D54" s="1"/>
      <c r="E54" s="3"/>
      <c r="F54" s="1"/>
      <c r="G54" s="141">
        <f>IF(Basic3456789101112131415161718192021222324252627282930[[#This Row],[نوع الخدمة]]="مخالفات", 50,
IF(Basic3456789101112131415161718192021222324252627282930[[#This Row],[نوع الخدمة]]="كاش ان",
    IF(F54&lt;=100, 18, IF(F54&lt;=250, 23, IF(F54&lt;=500, 35, IF(F54&lt;=1000, 40, F54*0.04)))),
IF(Basic3456789101112131415161718192021222324252627282930[[#This Row],[نوع الخدمة]]="كاش اوت",
    IF(F54&lt;=100, 15, IF(F54&lt;=250, 20, IF(F54&lt;=500, 30, IF(F54&lt;=1000, 35, F54*0.035)))),
0)))</f>
        <v>0</v>
      </c>
      <c r="H54" s="159">
        <f>IF(I54="مخالفات",50,Basic3456789101112131415161718192021222324252627282930[[#This Row],[قيمة الرسوم / العموله]]+Basic3456789101112131415161718192021222324252627282930[[#This Row],[قيمة الشحنه]])</f>
        <v>0</v>
      </c>
      <c r="I54" s="90"/>
      <c r="J54" s="142" t="str">
        <f t="shared" si="0"/>
        <v>3.5.2026</v>
      </c>
      <c r="L54" s="153">
        <v>43</v>
      </c>
      <c r="M54" s="92"/>
    </row>
    <row r="55" spans="1:13" ht="21.6" x14ac:dyDescent="0.65">
      <c r="A55" s="195"/>
      <c r="B55" s="140">
        <v>52</v>
      </c>
      <c r="C55" s="2"/>
      <c r="D55" s="1"/>
      <c r="E55" s="3"/>
      <c r="F55" s="1"/>
      <c r="G55" s="141">
        <f>IF(Basic3456789101112131415161718192021222324252627282930[[#This Row],[نوع الخدمة]]="مخالفات", 50,
IF(Basic3456789101112131415161718192021222324252627282930[[#This Row],[نوع الخدمة]]="كاش ان",
    IF(F55&lt;=100, 18, IF(F55&lt;=250, 23, IF(F55&lt;=500, 35, IF(F55&lt;=1000, 40, F55*0.04)))),
IF(Basic3456789101112131415161718192021222324252627282930[[#This Row],[نوع الخدمة]]="كاش اوت",
    IF(F55&lt;=100, 15, IF(F55&lt;=250, 20, IF(F55&lt;=500, 30, IF(F55&lt;=1000, 35, F55*0.035)))),
0)))</f>
        <v>0</v>
      </c>
      <c r="H55" s="159">
        <f>IF(I55="مخالفات",50,Basic3456789101112131415161718192021222324252627282930[[#This Row],[قيمة الرسوم / العموله]]+Basic3456789101112131415161718192021222324252627282930[[#This Row],[قيمة الشحنه]])</f>
        <v>0</v>
      </c>
      <c r="I55" s="90"/>
      <c r="J55" s="142" t="str">
        <f t="shared" si="0"/>
        <v>3.5.2026</v>
      </c>
      <c r="L55" s="153">
        <v>44</v>
      </c>
      <c r="M55" s="92"/>
    </row>
    <row r="56" spans="1:13" ht="21.6" x14ac:dyDescent="0.65">
      <c r="A56" s="195"/>
      <c r="B56" s="140">
        <v>53</v>
      </c>
      <c r="C56" s="2"/>
      <c r="D56" s="1"/>
      <c r="E56" s="3"/>
      <c r="F56" s="1"/>
      <c r="G56" s="141">
        <f>IF(Basic3456789101112131415161718192021222324252627282930[[#This Row],[نوع الخدمة]]="مخالفات", 50,
IF(Basic3456789101112131415161718192021222324252627282930[[#This Row],[نوع الخدمة]]="كاش ان",
    IF(F56&lt;=100, 18, IF(F56&lt;=250, 23, IF(F56&lt;=500, 35, IF(F56&lt;=1000, 40, F56*0.04)))),
IF(Basic3456789101112131415161718192021222324252627282930[[#This Row],[نوع الخدمة]]="كاش اوت",
    IF(F56&lt;=100, 15, IF(F56&lt;=250, 20, IF(F56&lt;=500, 30, IF(F56&lt;=1000, 35, F56*0.035)))),
0)))</f>
        <v>0</v>
      </c>
      <c r="H56" s="159">
        <f>IF(I56="مخالفات",50,Basic3456789101112131415161718192021222324252627282930[[#This Row],[قيمة الرسوم / العموله]]+Basic3456789101112131415161718192021222324252627282930[[#This Row],[قيمة الشحنه]])</f>
        <v>0</v>
      </c>
      <c r="I56" s="90"/>
      <c r="J56" s="142" t="str">
        <f t="shared" si="0"/>
        <v>3.5.2026</v>
      </c>
      <c r="L56" s="153">
        <v>45</v>
      </c>
      <c r="M56" s="92"/>
    </row>
    <row r="57" spans="1:13" ht="21.6" x14ac:dyDescent="0.65">
      <c r="A57" s="195"/>
      <c r="B57" s="144">
        <v>54</v>
      </c>
      <c r="C57" s="2"/>
      <c r="D57" s="1"/>
      <c r="E57" s="3"/>
      <c r="F57" s="1"/>
      <c r="G57" s="141">
        <f>IF(Basic3456789101112131415161718192021222324252627282930[[#This Row],[نوع الخدمة]]="مخالفات", 50,
IF(Basic3456789101112131415161718192021222324252627282930[[#This Row],[نوع الخدمة]]="كاش ان",
    IF(F57&lt;=100, 18, IF(F57&lt;=250, 23, IF(F57&lt;=500, 35, IF(F57&lt;=1000, 40, F57*0.04)))),
IF(Basic3456789101112131415161718192021222324252627282930[[#This Row],[نوع الخدمة]]="كاش اوت",
    IF(F57&lt;=100, 15, IF(F57&lt;=250, 20, IF(F57&lt;=500, 30, IF(F57&lt;=1000, 35, F57*0.035)))),
0)))</f>
        <v>0</v>
      </c>
      <c r="H57" s="159">
        <f>IF(I57="مخالفات",50,Basic3456789101112131415161718192021222324252627282930[[#This Row],[قيمة الرسوم / العموله]]+Basic3456789101112131415161718192021222324252627282930[[#This Row],[قيمة الشحنه]])</f>
        <v>0</v>
      </c>
      <c r="I57" s="90"/>
      <c r="J57" s="142" t="str">
        <f t="shared" si="0"/>
        <v>3.5.2026</v>
      </c>
      <c r="L57" s="153">
        <v>46</v>
      </c>
      <c r="M57" s="92"/>
    </row>
    <row r="58" spans="1:13" ht="21.6" x14ac:dyDescent="0.65">
      <c r="A58" s="195"/>
      <c r="B58" s="140">
        <v>55</v>
      </c>
      <c r="C58" s="2"/>
      <c r="D58" s="1"/>
      <c r="E58" s="3"/>
      <c r="F58" s="1"/>
      <c r="G58" s="141">
        <f>IF(Basic3456789101112131415161718192021222324252627282930[[#This Row],[نوع الخدمة]]="مخالفات", 50,
IF(Basic3456789101112131415161718192021222324252627282930[[#This Row],[نوع الخدمة]]="كاش ان",
    IF(F58&lt;=100, 18, IF(F58&lt;=250, 23, IF(F58&lt;=500, 35, IF(F58&lt;=1000, 40, F58*0.04)))),
IF(Basic3456789101112131415161718192021222324252627282930[[#This Row],[نوع الخدمة]]="كاش اوت",
    IF(F58&lt;=100, 15, IF(F58&lt;=250, 20, IF(F58&lt;=500, 30, IF(F58&lt;=1000, 35, F58*0.035)))),
0)))</f>
        <v>0</v>
      </c>
      <c r="H58" s="159">
        <f>IF(I58="مخالفات",50,Basic3456789101112131415161718192021222324252627282930[[#This Row],[قيمة الرسوم / العموله]]+Basic3456789101112131415161718192021222324252627282930[[#This Row],[قيمة الشحنه]])</f>
        <v>0</v>
      </c>
      <c r="I58" s="90"/>
      <c r="J58" s="142" t="str">
        <f t="shared" si="0"/>
        <v>3.5.2026</v>
      </c>
      <c r="L58" s="153">
        <v>47</v>
      </c>
      <c r="M58" s="92"/>
    </row>
    <row r="59" spans="1:13" ht="21.6" x14ac:dyDescent="0.65">
      <c r="A59" s="195"/>
      <c r="B59" s="140">
        <v>56</v>
      </c>
      <c r="C59" s="2"/>
      <c r="D59" s="1"/>
      <c r="E59" s="3"/>
      <c r="F59" s="1"/>
      <c r="G59" s="141">
        <f>IF(Basic3456789101112131415161718192021222324252627282930[[#This Row],[نوع الخدمة]]="مخالفات", 50,
IF(Basic3456789101112131415161718192021222324252627282930[[#This Row],[نوع الخدمة]]="كاش ان",
    IF(F59&lt;=100, 18, IF(F59&lt;=250, 23, IF(F59&lt;=500, 35, IF(F59&lt;=1000, 40, F59*0.04)))),
IF(Basic3456789101112131415161718192021222324252627282930[[#This Row],[نوع الخدمة]]="كاش اوت",
    IF(F59&lt;=100, 15, IF(F59&lt;=250, 20, IF(F59&lt;=500, 30, IF(F59&lt;=1000, 35, F59*0.035)))),
0)))</f>
        <v>0</v>
      </c>
      <c r="H59" s="159">
        <f>IF(I59="مخالفات",50,Basic3456789101112131415161718192021222324252627282930[[#This Row],[قيمة الرسوم / العموله]]+Basic3456789101112131415161718192021222324252627282930[[#This Row],[قيمة الشحنه]])</f>
        <v>0</v>
      </c>
      <c r="I59" s="90"/>
      <c r="J59" s="142" t="str">
        <f t="shared" si="0"/>
        <v>3.5.2026</v>
      </c>
      <c r="L59" s="153">
        <v>48</v>
      </c>
      <c r="M59" s="92"/>
    </row>
    <row r="60" spans="1:13" ht="21.6" x14ac:dyDescent="0.65">
      <c r="A60" s="195"/>
      <c r="B60" s="140">
        <v>57</v>
      </c>
      <c r="C60" s="2"/>
      <c r="D60" s="1"/>
      <c r="E60" s="3"/>
      <c r="F60" s="1"/>
      <c r="G60" s="141">
        <f>IF(Basic3456789101112131415161718192021222324252627282930[[#This Row],[نوع الخدمة]]="مخالفات", 50,
IF(Basic3456789101112131415161718192021222324252627282930[[#This Row],[نوع الخدمة]]="كاش ان",
    IF(F60&lt;=100, 18, IF(F60&lt;=250, 23, IF(F60&lt;=500, 35, IF(F60&lt;=1000, 40, F60*0.04)))),
IF(Basic3456789101112131415161718192021222324252627282930[[#This Row],[نوع الخدمة]]="كاش اوت",
    IF(F60&lt;=100, 15, IF(F60&lt;=250, 20, IF(F60&lt;=500, 30, IF(F60&lt;=1000, 35, F60*0.035)))),
0)))</f>
        <v>0</v>
      </c>
      <c r="H60" s="159">
        <f>IF(I60="مخالفات",50,Basic3456789101112131415161718192021222324252627282930[[#This Row],[قيمة الرسوم / العموله]]+Basic3456789101112131415161718192021222324252627282930[[#This Row],[قيمة الشحنه]])</f>
        <v>0</v>
      </c>
      <c r="I60" s="90"/>
      <c r="J60" s="142" t="str">
        <f t="shared" si="0"/>
        <v>3.5.2026</v>
      </c>
      <c r="L60" s="153">
        <v>49</v>
      </c>
      <c r="M60" s="92"/>
    </row>
    <row r="61" spans="1:13" ht="21.6" x14ac:dyDescent="0.65">
      <c r="A61" s="195"/>
      <c r="B61" s="144">
        <v>58</v>
      </c>
      <c r="C61" s="2"/>
      <c r="D61" s="1"/>
      <c r="E61" s="3"/>
      <c r="F61" s="1"/>
      <c r="G61" s="141">
        <f>IF(Basic3456789101112131415161718192021222324252627282930[[#This Row],[نوع الخدمة]]="مخالفات", 50,
IF(Basic3456789101112131415161718192021222324252627282930[[#This Row],[نوع الخدمة]]="كاش ان",
    IF(F61&lt;=100, 18, IF(F61&lt;=250, 23, IF(F61&lt;=500, 35, IF(F61&lt;=1000, 40, F61*0.04)))),
IF(Basic3456789101112131415161718192021222324252627282930[[#This Row],[نوع الخدمة]]="كاش اوت",
    IF(F61&lt;=100, 15, IF(F61&lt;=250, 20, IF(F61&lt;=500, 30, IF(F61&lt;=1000, 35, F61*0.035)))),
0)))</f>
        <v>0</v>
      </c>
      <c r="H61" s="159">
        <f>IF(I61="مخالفات",50,Basic3456789101112131415161718192021222324252627282930[[#This Row],[قيمة الرسوم / العموله]]+Basic3456789101112131415161718192021222324252627282930[[#This Row],[قيمة الشحنه]])</f>
        <v>0</v>
      </c>
      <c r="I61" s="90"/>
      <c r="J61" s="142" t="str">
        <f t="shared" si="0"/>
        <v>3.5.2026</v>
      </c>
      <c r="L61" s="153">
        <v>50</v>
      </c>
      <c r="M61" s="92"/>
    </row>
    <row r="62" spans="1:13" ht="21.6" x14ac:dyDescent="0.65">
      <c r="A62" s="195"/>
      <c r="B62" s="140">
        <v>59</v>
      </c>
      <c r="C62" s="2"/>
      <c r="D62" s="1"/>
      <c r="E62" s="3"/>
      <c r="F62" s="1"/>
      <c r="G62" s="141">
        <f>IF(Basic3456789101112131415161718192021222324252627282930[[#This Row],[نوع الخدمة]]="مخالفات", 50,
IF(Basic3456789101112131415161718192021222324252627282930[[#This Row],[نوع الخدمة]]="كاش ان",
    IF(F62&lt;=100, 18, IF(F62&lt;=250, 23, IF(F62&lt;=500, 35, IF(F62&lt;=1000, 40, F62*0.04)))),
IF(Basic3456789101112131415161718192021222324252627282930[[#This Row],[نوع الخدمة]]="كاش اوت",
    IF(F62&lt;=100, 15, IF(F62&lt;=250, 20, IF(F62&lt;=500, 30, IF(F62&lt;=1000, 35, F62*0.035)))),
0)))</f>
        <v>0</v>
      </c>
      <c r="H62" s="159">
        <f>IF(I62="مخالفات",50,Basic3456789101112131415161718192021222324252627282930[[#This Row],[قيمة الرسوم / العموله]]+Basic3456789101112131415161718192021222324252627282930[[#This Row],[قيمة الشحنه]])</f>
        <v>0</v>
      </c>
      <c r="I62" s="90"/>
      <c r="J62" s="142" t="str">
        <f t="shared" si="0"/>
        <v>3.5.2026</v>
      </c>
      <c r="L62" s="153">
        <v>51</v>
      </c>
      <c r="M62" s="92"/>
    </row>
    <row r="63" spans="1:13" ht="21.6" x14ac:dyDescent="0.65">
      <c r="A63" s="195"/>
      <c r="B63" s="140">
        <v>60</v>
      </c>
      <c r="C63" s="2"/>
      <c r="D63" s="1"/>
      <c r="E63" s="3"/>
      <c r="F63" s="1"/>
      <c r="G63" s="141">
        <f>IF(Basic3456789101112131415161718192021222324252627282930[[#This Row],[نوع الخدمة]]="مخالفات", 50,
IF(Basic3456789101112131415161718192021222324252627282930[[#This Row],[نوع الخدمة]]="كاش ان",
    IF(F63&lt;=100, 18, IF(F63&lt;=250, 23, IF(F63&lt;=500, 35, IF(F63&lt;=1000, 40, F63*0.04)))),
IF(Basic3456789101112131415161718192021222324252627282930[[#This Row],[نوع الخدمة]]="كاش اوت",
    IF(F63&lt;=100, 15, IF(F63&lt;=250, 20, IF(F63&lt;=500, 30, IF(F63&lt;=1000, 35, F63*0.035)))),
0)))</f>
        <v>0</v>
      </c>
      <c r="H63" s="159">
        <f>IF(I63="مخالفات",50,Basic3456789101112131415161718192021222324252627282930[[#This Row],[قيمة الرسوم / العموله]]+Basic3456789101112131415161718192021222324252627282930[[#This Row],[قيمة الشحنه]])</f>
        <v>0</v>
      </c>
      <c r="I63" s="90"/>
      <c r="J63" s="142" t="str">
        <f t="shared" si="0"/>
        <v>3.5.2026</v>
      </c>
      <c r="L63" s="153">
        <v>52</v>
      </c>
      <c r="M63" s="92"/>
    </row>
    <row r="64" spans="1:13" ht="21.6" x14ac:dyDescent="0.65">
      <c r="A64" s="195"/>
      <c r="B64" s="140">
        <v>61</v>
      </c>
      <c r="C64" s="2"/>
      <c r="D64" s="1"/>
      <c r="E64" s="3"/>
      <c r="F64" s="1"/>
      <c r="G64" s="141">
        <f>IF(Basic3456789101112131415161718192021222324252627282930[[#This Row],[نوع الخدمة]]="مخالفات", 50,
IF(Basic3456789101112131415161718192021222324252627282930[[#This Row],[نوع الخدمة]]="كاش ان",
    IF(F64&lt;=100, 18, IF(F64&lt;=250, 23, IF(F64&lt;=500, 35, IF(F64&lt;=1000, 40, F64*0.04)))),
IF(Basic3456789101112131415161718192021222324252627282930[[#This Row],[نوع الخدمة]]="كاش اوت",
    IF(F64&lt;=100, 15, IF(F64&lt;=250, 20, IF(F64&lt;=500, 30, IF(F64&lt;=1000, 35, F64*0.035)))),
0)))</f>
        <v>0</v>
      </c>
      <c r="H64" s="159">
        <f>IF(I64="مخالفات",50,Basic3456789101112131415161718192021222324252627282930[[#This Row],[قيمة الرسوم / العموله]]+Basic3456789101112131415161718192021222324252627282930[[#This Row],[قيمة الشحنه]])</f>
        <v>0</v>
      </c>
      <c r="I64" s="90"/>
      <c r="J64" s="142" t="str">
        <f t="shared" si="0"/>
        <v>3.5.2026</v>
      </c>
      <c r="L64" s="153">
        <v>53</v>
      </c>
      <c r="M64" s="92"/>
    </row>
    <row r="65" spans="1:13" ht="21.6" x14ac:dyDescent="0.65">
      <c r="A65" s="195"/>
      <c r="B65" s="144">
        <v>62</v>
      </c>
      <c r="C65" s="2"/>
      <c r="D65" s="1"/>
      <c r="E65" s="3"/>
      <c r="F65" s="1"/>
      <c r="G65" s="141">
        <f>IF(Basic3456789101112131415161718192021222324252627282930[[#This Row],[نوع الخدمة]]="مخالفات", 50,
IF(Basic3456789101112131415161718192021222324252627282930[[#This Row],[نوع الخدمة]]="كاش ان",
    IF(F65&lt;=100, 18, IF(F65&lt;=250, 23, IF(F65&lt;=500, 35, IF(F65&lt;=1000, 40, F65*0.04)))),
IF(Basic3456789101112131415161718192021222324252627282930[[#This Row],[نوع الخدمة]]="كاش اوت",
    IF(F65&lt;=100, 15, IF(F65&lt;=250, 20, IF(F65&lt;=500, 30, IF(F65&lt;=1000, 35, F65*0.035)))),
0)))</f>
        <v>0</v>
      </c>
      <c r="H65" s="159">
        <f>IF(I65="مخالفات",50,Basic3456789101112131415161718192021222324252627282930[[#This Row],[قيمة الرسوم / العموله]]+Basic3456789101112131415161718192021222324252627282930[[#This Row],[قيمة الشحنه]])</f>
        <v>0</v>
      </c>
      <c r="I65" s="90"/>
      <c r="J65" s="142" t="str">
        <f t="shared" si="0"/>
        <v>3.5.2026</v>
      </c>
      <c r="L65" s="153">
        <v>54</v>
      </c>
      <c r="M65" s="92"/>
    </row>
    <row r="66" spans="1:13" ht="21.6" x14ac:dyDescent="0.65">
      <c r="A66" s="195"/>
      <c r="B66" s="140">
        <v>63</v>
      </c>
      <c r="C66" s="2"/>
      <c r="D66" s="1"/>
      <c r="E66" s="3"/>
      <c r="F66" s="1"/>
      <c r="G66" s="141">
        <f>IF(Basic3456789101112131415161718192021222324252627282930[[#This Row],[نوع الخدمة]]="مخالفات", 50,
IF(Basic3456789101112131415161718192021222324252627282930[[#This Row],[نوع الخدمة]]="كاش ان",
    IF(F66&lt;=100, 18, IF(F66&lt;=250, 23, IF(F66&lt;=500, 35, IF(F66&lt;=1000, 40, F66*0.04)))),
IF(Basic3456789101112131415161718192021222324252627282930[[#This Row],[نوع الخدمة]]="كاش اوت",
    IF(F66&lt;=100, 15, IF(F66&lt;=250, 20, IF(F66&lt;=500, 30, IF(F66&lt;=1000, 35, F66*0.035)))),
0)))</f>
        <v>0</v>
      </c>
      <c r="H66" s="159">
        <f>IF(I66="مخالفات",50,Basic3456789101112131415161718192021222324252627282930[[#This Row],[قيمة الرسوم / العموله]]+Basic3456789101112131415161718192021222324252627282930[[#This Row],[قيمة الشحنه]])</f>
        <v>0</v>
      </c>
      <c r="I66" s="90"/>
      <c r="J66" s="142" t="str">
        <f t="shared" si="0"/>
        <v>3.5.2026</v>
      </c>
      <c r="L66" s="153">
        <v>55</v>
      </c>
      <c r="M66" s="92"/>
    </row>
    <row r="67" spans="1:13" ht="21.6" x14ac:dyDescent="0.65">
      <c r="A67" s="195"/>
      <c r="B67" s="140">
        <v>64</v>
      </c>
      <c r="C67" s="2"/>
      <c r="D67" s="1"/>
      <c r="E67" s="3"/>
      <c r="F67" s="1"/>
      <c r="G67" s="141">
        <f>IF(Basic3456789101112131415161718192021222324252627282930[[#This Row],[نوع الخدمة]]="مخالفات", 50,
IF(Basic3456789101112131415161718192021222324252627282930[[#This Row],[نوع الخدمة]]="كاش ان",
    IF(F67&lt;=100, 18, IF(F67&lt;=250, 23, IF(F67&lt;=500, 35, IF(F67&lt;=1000, 40, F67*0.04)))),
IF(Basic3456789101112131415161718192021222324252627282930[[#This Row],[نوع الخدمة]]="كاش اوت",
    IF(F67&lt;=100, 15, IF(F67&lt;=250, 20, IF(F67&lt;=500, 30, IF(F67&lt;=1000, 35, F67*0.035)))),
0)))</f>
        <v>0</v>
      </c>
      <c r="H67" s="159">
        <f>IF(I67="مخالفات",50,Basic3456789101112131415161718192021222324252627282930[[#This Row],[قيمة الرسوم / العموله]]+Basic3456789101112131415161718192021222324252627282930[[#This Row],[قيمة الشحنه]])</f>
        <v>0</v>
      </c>
      <c r="I67" s="90"/>
      <c r="J67" s="142" t="str">
        <f t="shared" si="0"/>
        <v>3.5.2026</v>
      </c>
      <c r="L67" s="153">
        <v>56</v>
      </c>
      <c r="M67" s="92"/>
    </row>
    <row r="68" spans="1:13" ht="21.6" x14ac:dyDescent="0.65">
      <c r="A68" s="195"/>
      <c r="B68" s="140">
        <v>65</v>
      </c>
      <c r="C68" s="2"/>
      <c r="D68" s="1"/>
      <c r="E68" s="3"/>
      <c r="F68" s="1"/>
      <c r="G68" s="141">
        <f>IF(Basic3456789101112131415161718192021222324252627282930[[#This Row],[نوع الخدمة]]="مخالفات", 50,
IF(Basic3456789101112131415161718192021222324252627282930[[#This Row],[نوع الخدمة]]="كاش ان",
    IF(F68&lt;=100, 18, IF(F68&lt;=250, 23, IF(F68&lt;=500, 35, IF(F68&lt;=1000, 40, F68*0.04)))),
IF(Basic3456789101112131415161718192021222324252627282930[[#This Row],[نوع الخدمة]]="كاش اوت",
    IF(F68&lt;=100, 15, IF(F68&lt;=250, 20, IF(F68&lt;=500, 30, IF(F68&lt;=1000, 35, F68*0.035)))),
0)))</f>
        <v>0</v>
      </c>
      <c r="H68" s="159">
        <f>IF(I68="مخالفات",50,Basic3456789101112131415161718192021222324252627282930[[#This Row],[قيمة الرسوم / العموله]]+Basic3456789101112131415161718192021222324252627282930[[#This Row],[قيمة الشحنه]])</f>
        <v>0</v>
      </c>
      <c r="I68" s="90"/>
      <c r="J68" s="142" t="str">
        <f t="shared" ref="J68:J131" si="1">M$3</f>
        <v>3.5.2026</v>
      </c>
      <c r="L68" s="153">
        <v>57</v>
      </c>
      <c r="M68" s="92"/>
    </row>
    <row r="69" spans="1:13" ht="21.6" x14ac:dyDescent="0.65">
      <c r="A69" s="195"/>
      <c r="B69" s="144">
        <v>66</v>
      </c>
      <c r="C69" s="2"/>
      <c r="D69" s="1"/>
      <c r="E69" s="3"/>
      <c r="F69" s="1"/>
      <c r="G69" s="141">
        <f>IF(Basic3456789101112131415161718192021222324252627282930[[#This Row],[نوع الخدمة]]="مخالفات", 50,
IF(Basic3456789101112131415161718192021222324252627282930[[#This Row],[نوع الخدمة]]="كاش ان",
    IF(F69&lt;=100, 18, IF(F69&lt;=250, 23, IF(F69&lt;=500, 35, IF(F69&lt;=1000, 40, F69*0.04)))),
IF(Basic3456789101112131415161718192021222324252627282930[[#This Row],[نوع الخدمة]]="كاش اوت",
    IF(F69&lt;=100, 15, IF(F69&lt;=250, 20, IF(F69&lt;=500, 30, IF(F69&lt;=1000, 35, F69*0.035)))),
0)))</f>
        <v>0</v>
      </c>
      <c r="H69" s="159">
        <f>IF(I69="مخالفات",50,Basic3456789101112131415161718192021222324252627282930[[#This Row],[قيمة الرسوم / العموله]]+Basic3456789101112131415161718192021222324252627282930[[#This Row],[قيمة الشحنه]])</f>
        <v>0</v>
      </c>
      <c r="I69" s="90"/>
      <c r="J69" s="142" t="str">
        <f t="shared" si="1"/>
        <v>3.5.2026</v>
      </c>
      <c r="L69" s="153">
        <v>58</v>
      </c>
      <c r="M69" s="92"/>
    </row>
    <row r="70" spans="1:13" ht="21.6" x14ac:dyDescent="0.65">
      <c r="A70" s="195"/>
      <c r="B70" s="140">
        <v>67</v>
      </c>
      <c r="C70" s="2"/>
      <c r="D70" s="1"/>
      <c r="E70" s="3"/>
      <c r="F70" s="1"/>
      <c r="G70" s="141">
        <f>IF(Basic3456789101112131415161718192021222324252627282930[[#This Row],[نوع الخدمة]]="مخالفات", 50,
IF(Basic3456789101112131415161718192021222324252627282930[[#This Row],[نوع الخدمة]]="كاش ان",
    IF(F70&lt;=100, 18, IF(F70&lt;=250, 23, IF(F70&lt;=500, 35, IF(F70&lt;=1000, 40, F70*0.04)))),
IF(Basic3456789101112131415161718192021222324252627282930[[#This Row],[نوع الخدمة]]="كاش اوت",
    IF(F70&lt;=100, 15, IF(F70&lt;=250, 20, IF(F70&lt;=500, 30, IF(F70&lt;=1000, 35, F70*0.035)))),
0)))</f>
        <v>0</v>
      </c>
      <c r="H70" s="159">
        <f>IF(I70="مخالفات",50,Basic3456789101112131415161718192021222324252627282930[[#This Row],[قيمة الرسوم / العموله]]+Basic3456789101112131415161718192021222324252627282930[[#This Row],[قيمة الشحنه]])</f>
        <v>0</v>
      </c>
      <c r="I70" s="90"/>
      <c r="J70" s="142" t="str">
        <f t="shared" si="1"/>
        <v>3.5.2026</v>
      </c>
      <c r="L70" s="153">
        <v>59</v>
      </c>
      <c r="M70" s="92"/>
    </row>
    <row r="71" spans="1:13" ht="21.6" x14ac:dyDescent="0.65">
      <c r="A71" s="195"/>
      <c r="B71" s="140">
        <v>68</v>
      </c>
      <c r="C71" s="2"/>
      <c r="D71" s="1"/>
      <c r="E71" s="3"/>
      <c r="F71" s="1"/>
      <c r="G71" s="141">
        <f>IF(Basic3456789101112131415161718192021222324252627282930[[#This Row],[نوع الخدمة]]="مخالفات", 50,
IF(Basic3456789101112131415161718192021222324252627282930[[#This Row],[نوع الخدمة]]="كاش ان",
    IF(F71&lt;=100, 18, IF(F71&lt;=250, 23, IF(F71&lt;=500, 35, IF(F71&lt;=1000, 40, F71*0.04)))),
IF(Basic3456789101112131415161718192021222324252627282930[[#This Row],[نوع الخدمة]]="كاش اوت",
    IF(F71&lt;=100, 15, IF(F71&lt;=250, 20, IF(F71&lt;=500, 30, IF(F71&lt;=1000, 35, F71*0.035)))),
0)))</f>
        <v>0</v>
      </c>
      <c r="H71" s="159">
        <f>IF(I71="مخالفات",50,Basic3456789101112131415161718192021222324252627282930[[#This Row],[قيمة الرسوم / العموله]]+Basic3456789101112131415161718192021222324252627282930[[#This Row],[قيمة الشحنه]])</f>
        <v>0</v>
      </c>
      <c r="I71" s="90"/>
      <c r="J71" s="142" t="str">
        <f t="shared" si="1"/>
        <v>3.5.2026</v>
      </c>
      <c r="L71" s="153">
        <v>60</v>
      </c>
      <c r="M71" s="92"/>
    </row>
    <row r="72" spans="1:13" ht="21.6" x14ac:dyDescent="0.65">
      <c r="A72" s="195"/>
      <c r="B72" s="140">
        <v>69</v>
      </c>
      <c r="C72" s="2"/>
      <c r="D72" s="1"/>
      <c r="E72" s="3"/>
      <c r="F72" s="1"/>
      <c r="G72" s="141">
        <f>IF(Basic3456789101112131415161718192021222324252627282930[[#This Row],[نوع الخدمة]]="مخالفات", 50,
IF(Basic3456789101112131415161718192021222324252627282930[[#This Row],[نوع الخدمة]]="كاش ان",
    IF(F72&lt;=100, 18, IF(F72&lt;=250, 23, IF(F72&lt;=500, 35, IF(F72&lt;=1000, 40, F72*0.04)))),
IF(Basic3456789101112131415161718192021222324252627282930[[#This Row],[نوع الخدمة]]="كاش اوت",
    IF(F72&lt;=100, 15, IF(F72&lt;=250, 20, IF(F72&lt;=500, 30, IF(F72&lt;=1000, 35, F72*0.035)))),
0)))</f>
        <v>0</v>
      </c>
      <c r="H72" s="159">
        <f>IF(I72="مخالفات",50,Basic3456789101112131415161718192021222324252627282930[[#This Row],[قيمة الرسوم / العموله]]+Basic3456789101112131415161718192021222324252627282930[[#This Row],[قيمة الشحنه]])</f>
        <v>0</v>
      </c>
      <c r="I72" s="90"/>
      <c r="J72" s="142" t="str">
        <f t="shared" si="1"/>
        <v>3.5.2026</v>
      </c>
      <c r="L72" s="153">
        <v>61</v>
      </c>
      <c r="M72" s="92"/>
    </row>
    <row r="73" spans="1:13" ht="21.6" x14ac:dyDescent="0.65">
      <c r="A73" s="195"/>
      <c r="B73" s="144">
        <v>70</v>
      </c>
      <c r="C73" s="2"/>
      <c r="D73" s="1"/>
      <c r="E73" s="3"/>
      <c r="F73" s="1"/>
      <c r="G73" s="141">
        <f>IF(Basic3456789101112131415161718192021222324252627282930[[#This Row],[نوع الخدمة]]="مخالفات", 50,
IF(Basic3456789101112131415161718192021222324252627282930[[#This Row],[نوع الخدمة]]="كاش ان",
    IF(F73&lt;=100, 18, IF(F73&lt;=250, 23, IF(F73&lt;=500, 35, IF(F73&lt;=1000, 40, F73*0.04)))),
IF(Basic3456789101112131415161718192021222324252627282930[[#This Row],[نوع الخدمة]]="كاش اوت",
    IF(F73&lt;=100, 15, IF(F73&lt;=250, 20, IF(F73&lt;=500, 30, IF(F73&lt;=1000, 35, F73*0.035)))),
0)))</f>
        <v>0</v>
      </c>
      <c r="H73" s="159">
        <f>IF(I73="مخالفات",50,Basic3456789101112131415161718192021222324252627282930[[#This Row],[قيمة الرسوم / العموله]]+Basic3456789101112131415161718192021222324252627282930[[#This Row],[قيمة الشحنه]])</f>
        <v>0</v>
      </c>
      <c r="I73" s="90"/>
      <c r="J73" s="142" t="str">
        <f t="shared" si="1"/>
        <v>3.5.2026</v>
      </c>
      <c r="L73" s="153">
        <v>62</v>
      </c>
      <c r="M73" s="92"/>
    </row>
    <row r="74" spans="1:13" ht="21.6" x14ac:dyDescent="0.65">
      <c r="A74" s="195"/>
      <c r="B74" s="140">
        <v>71</v>
      </c>
      <c r="C74" s="2"/>
      <c r="D74" s="1"/>
      <c r="E74" s="3"/>
      <c r="F74" s="1"/>
      <c r="G74" s="141">
        <f>IF(Basic3456789101112131415161718192021222324252627282930[[#This Row],[نوع الخدمة]]="مخالفات", 50,
IF(Basic3456789101112131415161718192021222324252627282930[[#This Row],[نوع الخدمة]]="كاش ان",
    IF(F74&lt;=100, 18, IF(F74&lt;=250, 23, IF(F74&lt;=500, 35, IF(F74&lt;=1000, 40, F74*0.04)))),
IF(Basic3456789101112131415161718192021222324252627282930[[#This Row],[نوع الخدمة]]="كاش اوت",
    IF(F74&lt;=100, 15, IF(F74&lt;=250, 20, IF(F74&lt;=500, 30, IF(F74&lt;=1000, 35, F74*0.035)))),
0)))</f>
        <v>0</v>
      </c>
      <c r="H74" s="159">
        <f>IF(I74="مخالفات",50,Basic3456789101112131415161718192021222324252627282930[[#This Row],[قيمة الرسوم / العموله]]+Basic3456789101112131415161718192021222324252627282930[[#This Row],[قيمة الشحنه]])</f>
        <v>0</v>
      </c>
      <c r="I74" s="90"/>
      <c r="J74" s="142" t="str">
        <f t="shared" si="1"/>
        <v>3.5.2026</v>
      </c>
      <c r="L74" s="153">
        <v>63</v>
      </c>
      <c r="M74" s="92"/>
    </row>
    <row r="75" spans="1:13" ht="21.6" x14ac:dyDescent="0.65">
      <c r="A75" s="195"/>
      <c r="B75" s="140">
        <v>72</v>
      </c>
      <c r="C75" s="2"/>
      <c r="D75" s="1"/>
      <c r="E75" s="3"/>
      <c r="F75" s="1"/>
      <c r="G75" s="141">
        <f>IF(Basic3456789101112131415161718192021222324252627282930[[#This Row],[نوع الخدمة]]="مخالفات", 50,
IF(Basic3456789101112131415161718192021222324252627282930[[#This Row],[نوع الخدمة]]="كاش ان",
    IF(F75&lt;=100, 18, IF(F75&lt;=250, 23, IF(F75&lt;=500, 35, IF(F75&lt;=1000, 40, F75*0.04)))),
IF(Basic3456789101112131415161718192021222324252627282930[[#This Row],[نوع الخدمة]]="كاش اوت",
    IF(F75&lt;=100, 15, IF(F75&lt;=250, 20, IF(F75&lt;=500, 30, IF(F75&lt;=1000, 35, F75*0.035)))),
0)))</f>
        <v>0</v>
      </c>
      <c r="H75" s="159">
        <f>IF(I75="مخالفات",50,Basic3456789101112131415161718192021222324252627282930[[#This Row],[قيمة الرسوم / العموله]]+Basic3456789101112131415161718192021222324252627282930[[#This Row],[قيمة الشحنه]])</f>
        <v>0</v>
      </c>
      <c r="I75" s="90"/>
      <c r="J75" s="142" t="str">
        <f t="shared" si="1"/>
        <v>3.5.2026</v>
      </c>
      <c r="L75" s="153">
        <v>64</v>
      </c>
      <c r="M75" s="92"/>
    </row>
    <row r="76" spans="1:13" ht="21.6" x14ac:dyDescent="0.65">
      <c r="A76" s="195"/>
      <c r="B76" s="140">
        <v>73</v>
      </c>
      <c r="C76" s="2"/>
      <c r="D76" s="1"/>
      <c r="E76" s="3"/>
      <c r="F76" s="1"/>
      <c r="G76" s="141">
        <f>IF(Basic3456789101112131415161718192021222324252627282930[[#This Row],[نوع الخدمة]]="مخالفات", 50,
IF(Basic3456789101112131415161718192021222324252627282930[[#This Row],[نوع الخدمة]]="كاش ان",
    IF(F76&lt;=100, 18, IF(F76&lt;=250, 23, IF(F76&lt;=500, 35, IF(F76&lt;=1000, 40, F76*0.04)))),
IF(Basic3456789101112131415161718192021222324252627282930[[#This Row],[نوع الخدمة]]="كاش اوت",
    IF(F76&lt;=100, 15, IF(F76&lt;=250, 20, IF(F76&lt;=500, 30, IF(F76&lt;=1000, 35, F76*0.035)))),
0)))</f>
        <v>0</v>
      </c>
      <c r="H76" s="159">
        <f>IF(I76="مخالفات",50,Basic3456789101112131415161718192021222324252627282930[[#This Row],[قيمة الرسوم / العموله]]+Basic3456789101112131415161718192021222324252627282930[[#This Row],[قيمة الشحنه]])</f>
        <v>0</v>
      </c>
      <c r="I76" s="90"/>
      <c r="J76" s="142" t="str">
        <f t="shared" si="1"/>
        <v>3.5.2026</v>
      </c>
      <c r="L76" s="153">
        <v>65</v>
      </c>
      <c r="M76" s="92"/>
    </row>
    <row r="77" spans="1:13" ht="21.6" x14ac:dyDescent="0.65">
      <c r="A77" s="195"/>
      <c r="B77" s="144">
        <v>74</v>
      </c>
      <c r="C77" s="2"/>
      <c r="D77" s="1"/>
      <c r="E77" s="3"/>
      <c r="F77" s="1"/>
      <c r="G77" s="141">
        <f>IF(Basic3456789101112131415161718192021222324252627282930[[#This Row],[نوع الخدمة]]="مخالفات", 50,
IF(Basic3456789101112131415161718192021222324252627282930[[#This Row],[نوع الخدمة]]="كاش ان",
    IF(F77&lt;=100, 18, IF(F77&lt;=250, 23, IF(F77&lt;=500, 35, IF(F77&lt;=1000, 40, F77*0.04)))),
IF(Basic3456789101112131415161718192021222324252627282930[[#This Row],[نوع الخدمة]]="كاش اوت",
    IF(F77&lt;=100, 15, IF(F77&lt;=250, 20, IF(F77&lt;=500, 30, IF(F77&lt;=1000, 35, F77*0.035)))),
0)))</f>
        <v>0</v>
      </c>
      <c r="H77" s="159">
        <f>IF(I77="مخالفات",50,Basic3456789101112131415161718192021222324252627282930[[#This Row],[قيمة الرسوم / العموله]]+Basic3456789101112131415161718192021222324252627282930[[#This Row],[قيمة الشحنه]])</f>
        <v>0</v>
      </c>
      <c r="I77" s="90"/>
      <c r="J77" s="142" t="str">
        <f t="shared" si="1"/>
        <v>3.5.2026</v>
      </c>
      <c r="L77" s="153">
        <v>66</v>
      </c>
      <c r="M77" s="92"/>
    </row>
    <row r="78" spans="1:13" ht="21.6" x14ac:dyDescent="0.65">
      <c r="A78" s="195"/>
      <c r="B78" s="140">
        <v>75</v>
      </c>
      <c r="C78" s="2"/>
      <c r="D78" s="1"/>
      <c r="E78" s="3"/>
      <c r="F78" s="1"/>
      <c r="G78" s="141">
        <f>IF(Basic3456789101112131415161718192021222324252627282930[[#This Row],[نوع الخدمة]]="مخالفات", 50,
IF(Basic3456789101112131415161718192021222324252627282930[[#This Row],[نوع الخدمة]]="كاش ان",
    IF(F78&lt;=100, 18, IF(F78&lt;=250, 23, IF(F78&lt;=500, 35, IF(F78&lt;=1000, 40, F78*0.04)))),
IF(Basic3456789101112131415161718192021222324252627282930[[#This Row],[نوع الخدمة]]="كاش اوت",
    IF(F78&lt;=100, 15, IF(F78&lt;=250, 20, IF(F78&lt;=500, 30, IF(F78&lt;=1000, 35, F78*0.035)))),
0)))</f>
        <v>0</v>
      </c>
      <c r="H78" s="159">
        <f>IF(I78="مخالفات",50,Basic3456789101112131415161718192021222324252627282930[[#This Row],[قيمة الرسوم / العموله]]+Basic3456789101112131415161718192021222324252627282930[[#This Row],[قيمة الشحنه]])</f>
        <v>0</v>
      </c>
      <c r="I78" s="90"/>
      <c r="J78" s="142" t="str">
        <f t="shared" si="1"/>
        <v>3.5.2026</v>
      </c>
      <c r="L78" s="153">
        <v>67</v>
      </c>
      <c r="M78" s="92"/>
    </row>
    <row r="79" spans="1:13" ht="21.6" x14ac:dyDescent="0.65">
      <c r="A79" s="195"/>
      <c r="B79" s="140">
        <v>76</v>
      </c>
      <c r="C79" s="2"/>
      <c r="D79" s="1"/>
      <c r="E79" s="3"/>
      <c r="F79" s="1"/>
      <c r="G79" s="141">
        <f>IF(Basic3456789101112131415161718192021222324252627282930[[#This Row],[نوع الخدمة]]="مخالفات", 50,
IF(Basic3456789101112131415161718192021222324252627282930[[#This Row],[نوع الخدمة]]="كاش ان",
    IF(F79&lt;=100, 18, IF(F79&lt;=250, 23, IF(F79&lt;=500, 35, IF(F79&lt;=1000, 40, F79*0.04)))),
IF(Basic3456789101112131415161718192021222324252627282930[[#This Row],[نوع الخدمة]]="كاش اوت",
    IF(F79&lt;=100, 15, IF(F79&lt;=250, 20, IF(F79&lt;=500, 30, IF(F79&lt;=1000, 35, F79*0.035)))),
0)))</f>
        <v>0</v>
      </c>
      <c r="H79" s="159">
        <f>IF(I79="مخالفات",50,Basic3456789101112131415161718192021222324252627282930[[#This Row],[قيمة الرسوم / العموله]]+Basic3456789101112131415161718192021222324252627282930[[#This Row],[قيمة الشحنه]])</f>
        <v>0</v>
      </c>
      <c r="I79" s="90"/>
      <c r="J79" s="142" t="str">
        <f t="shared" si="1"/>
        <v>3.5.2026</v>
      </c>
      <c r="L79" s="153">
        <v>68</v>
      </c>
      <c r="M79" s="92"/>
    </row>
    <row r="80" spans="1:13" ht="21.6" x14ac:dyDescent="0.65">
      <c r="A80" s="195"/>
      <c r="B80" s="140">
        <v>77</v>
      </c>
      <c r="C80" s="2"/>
      <c r="D80" s="1"/>
      <c r="E80" s="3"/>
      <c r="F80" s="1"/>
      <c r="G80" s="141">
        <f>IF(Basic3456789101112131415161718192021222324252627282930[[#This Row],[نوع الخدمة]]="مخالفات", 50,
IF(Basic3456789101112131415161718192021222324252627282930[[#This Row],[نوع الخدمة]]="كاش ان",
    IF(F80&lt;=100, 18, IF(F80&lt;=250, 23, IF(F80&lt;=500, 35, IF(F80&lt;=1000, 40, F80*0.04)))),
IF(Basic3456789101112131415161718192021222324252627282930[[#This Row],[نوع الخدمة]]="كاش اوت",
    IF(F80&lt;=100, 15, IF(F80&lt;=250, 20, IF(F80&lt;=500, 30, IF(F80&lt;=1000, 35, F80*0.035)))),
0)))</f>
        <v>0</v>
      </c>
      <c r="H80" s="159">
        <f>IF(I80="مخالفات",50,Basic3456789101112131415161718192021222324252627282930[[#This Row],[قيمة الرسوم / العموله]]+Basic3456789101112131415161718192021222324252627282930[[#This Row],[قيمة الشحنه]])</f>
        <v>0</v>
      </c>
      <c r="I80" s="90"/>
      <c r="J80" s="142" t="str">
        <f t="shared" si="1"/>
        <v>3.5.2026</v>
      </c>
      <c r="L80" s="153">
        <v>69</v>
      </c>
      <c r="M80" s="92"/>
    </row>
    <row r="81" spans="1:13" ht="21.6" x14ac:dyDescent="0.65">
      <c r="A81" s="195"/>
      <c r="B81" s="144">
        <v>78</v>
      </c>
      <c r="C81" s="2"/>
      <c r="D81" s="1"/>
      <c r="E81" s="3"/>
      <c r="F81" s="1"/>
      <c r="G81" s="141">
        <f>IF(Basic3456789101112131415161718192021222324252627282930[[#This Row],[نوع الخدمة]]="مخالفات", 50,
IF(Basic3456789101112131415161718192021222324252627282930[[#This Row],[نوع الخدمة]]="كاش ان",
    IF(F81&lt;=100, 18, IF(F81&lt;=250, 23, IF(F81&lt;=500, 35, IF(F81&lt;=1000, 40, F81*0.04)))),
IF(Basic3456789101112131415161718192021222324252627282930[[#This Row],[نوع الخدمة]]="كاش اوت",
    IF(F81&lt;=100, 15, IF(F81&lt;=250, 20, IF(F81&lt;=500, 30, IF(F81&lt;=1000, 35, F81*0.035)))),
0)))</f>
        <v>0</v>
      </c>
      <c r="H81" s="159">
        <f>IF(I81="مخالفات",50,Basic3456789101112131415161718192021222324252627282930[[#This Row],[قيمة الرسوم / العموله]]+Basic3456789101112131415161718192021222324252627282930[[#This Row],[قيمة الشحنه]])</f>
        <v>0</v>
      </c>
      <c r="I81" s="90"/>
      <c r="J81" s="142" t="str">
        <f t="shared" si="1"/>
        <v>3.5.2026</v>
      </c>
      <c r="L81" s="153">
        <v>70</v>
      </c>
      <c r="M81" s="92"/>
    </row>
    <row r="82" spans="1:13" ht="21.6" x14ac:dyDescent="0.65">
      <c r="A82" s="195"/>
      <c r="B82" s="140">
        <v>79</v>
      </c>
      <c r="C82" s="2"/>
      <c r="D82" s="1"/>
      <c r="E82" s="3"/>
      <c r="F82" s="1"/>
      <c r="G82" s="141">
        <f>IF(Basic3456789101112131415161718192021222324252627282930[[#This Row],[نوع الخدمة]]="مخالفات", 50,
IF(Basic3456789101112131415161718192021222324252627282930[[#This Row],[نوع الخدمة]]="كاش ان",
    IF(F82&lt;=100, 18, IF(F82&lt;=250, 23, IF(F82&lt;=500, 35, IF(F82&lt;=1000, 40, F82*0.04)))),
IF(Basic3456789101112131415161718192021222324252627282930[[#This Row],[نوع الخدمة]]="كاش اوت",
    IF(F82&lt;=100, 15, IF(F82&lt;=250, 20, IF(F82&lt;=500, 30, IF(F82&lt;=1000, 35, F82*0.035)))),
0)))</f>
        <v>0</v>
      </c>
      <c r="H82" s="159">
        <f>IF(I82="مخالفات",50,Basic3456789101112131415161718192021222324252627282930[[#This Row],[قيمة الرسوم / العموله]]+Basic3456789101112131415161718192021222324252627282930[[#This Row],[قيمة الشحنه]])</f>
        <v>0</v>
      </c>
      <c r="I82" s="90"/>
      <c r="J82" s="142" t="str">
        <f t="shared" si="1"/>
        <v>3.5.2026</v>
      </c>
      <c r="L82" s="153">
        <v>71</v>
      </c>
      <c r="M82" s="92"/>
    </row>
    <row r="83" spans="1:13" ht="21.6" x14ac:dyDescent="0.65">
      <c r="A83" s="195"/>
      <c r="B83" s="140">
        <v>80</v>
      </c>
      <c r="C83" s="2"/>
      <c r="D83" s="1"/>
      <c r="E83" s="3"/>
      <c r="F83" s="1"/>
      <c r="G83" s="141">
        <f>IF(Basic3456789101112131415161718192021222324252627282930[[#This Row],[نوع الخدمة]]="مخالفات", 50,
IF(Basic3456789101112131415161718192021222324252627282930[[#This Row],[نوع الخدمة]]="كاش ان",
    IF(F83&lt;=100, 18, IF(F83&lt;=250, 23, IF(F83&lt;=500, 35, IF(F83&lt;=1000, 40, F83*0.04)))),
IF(Basic3456789101112131415161718192021222324252627282930[[#This Row],[نوع الخدمة]]="كاش اوت",
    IF(F83&lt;=100, 15, IF(F83&lt;=250, 20, IF(F83&lt;=500, 30, IF(F83&lt;=1000, 35, F83*0.035)))),
0)))</f>
        <v>0</v>
      </c>
      <c r="H83" s="159">
        <f>IF(I83="مخالفات",50,Basic3456789101112131415161718192021222324252627282930[[#This Row],[قيمة الرسوم / العموله]]+Basic3456789101112131415161718192021222324252627282930[[#This Row],[قيمة الشحنه]])</f>
        <v>0</v>
      </c>
      <c r="I83" s="90"/>
      <c r="J83" s="142" t="str">
        <f t="shared" si="1"/>
        <v>3.5.2026</v>
      </c>
      <c r="L83" s="153">
        <v>72</v>
      </c>
      <c r="M83" s="92"/>
    </row>
    <row r="84" spans="1:13" ht="21.6" x14ac:dyDescent="0.65">
      <c r="A84" s="195"/>
      <c r="B84" s="140">
        <v>81</v>
      </c>
      <c r="C84" s="2"/>
      <c r="D84" s="1"/>
      <c r="E84" s="3"/>
      <c r="F84" s="1"/>
      <c r="G84" s="141">
        <f>IF(Basic3456789101112131415161718192021222324252627282930[[#This Row],[نوع الخدمة]]="مخالفات", 50,
IF(Basic3456789101112131415161718192021222324252627282930[[#This Row],[نوع الخدمة]]="كاش ان",
    IF(F84&lt;=100, 18, IF(F84&lt;=250, 23, IF(F84&lt;=500, 35, IF(F84&lt;=1000, 40, F84*0.04)))),
IF(Basic3456789101112131415161718192021222324252627282930[[#This Row],[نوع الخدمة]]="كاش اوت",
    IF(F84&lt;=100, 15, IF(F84&lt;=250, 20, IF(F84&lt;=500, 30, IF(F84&lt;=1000, 35, F84*0.035)))),
0)))</f>
        <v>0</v>
      </c>
      <c r="H84" s="159">
        <f>IF(I84="مخالفات",50,Basic3456789101112131415161718192021222324252627282930[[#This Row],[قيمة الرسوم / العموله]]+Basic3456789101112131415161718192021222324252627282930[[#This Row],[قيمة الشحنه]])</f>
        <v>0</v>
      </c>
      <c r="I84" s="90"/>
      <c r="J84" s="142" t="str">
        <f t="shared" si="1"/>
        <v>3.5.2026</v>
      </c>
      <c r="L84" s="153">
        <v>73</v>
      </c>
      <c r="M84" s="92"/>
    </row>
    <row r="85" spans="1:13" ht="21.6" x14ac:dyDescent="0.65">
      <c r="A85" s="195"/>
      <c r="B85" s="144">
        <v>82</v>
      </c>
      <c r="C85" s="2"/>
      <c r="D85" s="1"/>
      <c r="E85" s="3"/>
      <c r="F85" s="1"/>
      <c r="G85" s="141">
        <f>IF(Basic3456789101112131415161718192021222324252627282930[[#This Row],[نوع الخدمة]]="مخالفات", 50,
IF(Basic3456789101112131415161718192021222324252627282930[[#This Row],[نوع الخدمة]]="كاش ان",
    IF(F85&lt;=100, 18, IF(F85&lt;=250, 23, IF(F85&lt;=500, 35, IF(F85&lt;=1000, 40, F85*0.04)))),
IF(Basic3456789101112131415161718192021222324252627282930[[#This Row],[نوع الخدمة]]="كاش اوت",
    IF(F85&lt;=100, 15, IF(F85&lt;=250, 20, IF(F85&lt;=500, 30, IF(F85&lt;=1000, 35, F85*0.035)))),
0)))</f>
        <v>0</v>
      </c>
      <c r="H85" s="159">
        <f>IF(I85="مخالفات",50,Basic3456789101112131415161718192021222324252627282930[[#This Row],[قيمة الرسوم / العموله]]+Basic3456789101112131415161718192021222324252627282930[[#This Row],[قيمة الشحنه]])</f>
        <v>0</v>
      </c>
      <c r="I85" s="90"/>
      <c r="J85" s="142" t="str">
        <f t="shared" si="1"/>
        <v>3.5.2026</v>
      </c>
      <c r="L85" s="153">
        <v>74</v>
      </c>
      <c r="M85" s="92"/>
    </row>
    <row r="86" spans="1:13" ht="21.6" x14ac:dyDescent="0.65">
      <c r="A86" s="195"/>
      <c r="B86" s="140">
        <v>83</v>
      </c>
      <c r="C86" s="2"/>
      <c r="D86" s="1"/>
      <c r="E86" s="3"/>
      <c r="F86" s="1"/>
      <c r="G86" s="141">
        <f>IF(Basic3456789101112131415161718192021222324252627282930[[#This Row],[نوع الخدمة]]="مخالفات", 50,
IF(Basic3456789101112131415161718192021222324252627282930[[#This Row],[نوع الخدمة]]="كاش ان",
    IF(F86&lt;=100, 18, IF(F86&lt;=250, 23, IF(F86&lt;=500, 35, IF(F86&lt;=1000, 40, F86*0.04)))),
IF(Basic3456789101112131415161718192021222324252627282930[[#This Row],[نوع الخدمة]]="كاش اوت",
    IF(F86&lt;=100, 15, IF(F86&lt;=250, 20, IF(F86&lt;=500, 30, IF(F86&lt;=1000, 35, F86*0.035)))),
0)))</f>
        <v>0</v>
      </c>
      <c r="H86" s="159">
        <f>IF(I86="مخالفات",50,Basic3456789101112131415161718192021222324252627282930[[#This Row],[قيمة الرسوم / العموله]]+Basic3456789101112131415161718192021222324252627282930[[#This Row],[قيمة الشحنه]])</f>
        <v>0</v>
      </c>
      <c r="I86" s="90"/>
      <c r="J86" s="142" t="str">
        <f t="shared" si="1"/>
        <v>3.5.2026</v>
      </c>
      <c r="L86" s="153">
        <v>75</v>
      </c>
      <c r="M86" s="92"/>
    </row>
    <row r="87" spans="1:13" ht="21.6" x14ac:dyDescent="0.65">
      <c r="A87" s="195"/>
      <c r="B87" s="140">
        <v>84</v>
      </c>
      <c r="C87" s="2"/>
      <c r="D87" s="1"/>
      <c r="E87" s="3"/>
      <c r="F87" s="1"/>
      <c r="G87" s="141">
        <f>IF(Basic3456789101112131415161718192021222324252627282930[[#This Row],[نوع الخدمة]]="مخالفات", 50,
IF(Basic3456789101112131415161718192021222324252627282930[[#This Row],[نوع الخدمة]]="كاش ان",
    IF(F87&lt;=100, 18, IF(F87&lt;=250, 23, IF(F87&lt;=500, 35, IF(F87&lt;=1000, 40, F87*0.04)))),
IF(Basic3456789101112131415161718192021222324252627282930[[#This Row],[نوع الخدمة]]="كاش اوت",
    IF(F87&lt;=100, 15, IF(F87&lt;=250, 20, IF(F87&lt;=500, 30, IF(F87&lt;=1000, 35, F87*0.035)))),
0)))</f>
        <v>0</v>
      </c>
      <c r="H87" s="159">
        <f>IF(I87="مخالفات",50,Basic3456789101112131415161718192021222324252627282930[[#This Row],[قيمة الرسوم / العموله]]+Basic3456789101112131415161718192021222324252627282930[[#This Row],[قيمة الشحنه]])</f>
        <v>0</v>
      </c>
      <c r="I87" s="90"/>
      <c r="J87" s="142" t="str">
        <f t="shared" si="1"/>
        <v>3.5.2026</v>
      </c>
      <c r="L87" s="153">
        <v>76</v>
      </c>
      <c r="M87" s="92"/>
    </row>
    <row r="88" spans="1:13" ht="21.6" x14ac:dyDescent="0.65">
      <c r="A88" s="195"/>
      <c r="B88" s="140">
        <v>85</v>
      </c>
      <c r="C88" s="2"/>
      <c r="D88" s="1"/>
      <c r="E88" s="3"/>
      <c r="F88" s="1"/>
      <c r="G88" s="141">
        <f>IF(Basic3456789101112131415161718192021222324252627282930[[#This Row],[نوع الخدمة]]="مخالفات", 50,
IF(Basic3456789101112131415161718192021222324252627282930[[#This Row],[نوع الخدمة]]="كاش ان",
    IF(F88&lt;=100, 18, IF(F88&lt;=250, 23, IF(F88&lt;=500, 35, IF(F88&lt;=1000, 40, F88*0.04)))),
IF(Basic3456789101112131415161718192021222324252627282930[[#This Row],[نوع الخدمة]]="كاش اوت",
    IF(F88&lt;=100, 15, IF(F88&lt;=250, 20, IF(F88&lt;=500, 30, IF(F88&lt;=1000, 35, F88*0.035)))),
0)))</f>
        <v>0</v>
      </c>
      <c r="H88" s="159">
        <f>IF(I88="مخالفات",50,Basic3456789101112131415161718192021222324252627282930[[#This Row],[قيمة الرسوم / العموله]]+Basic3456789101112131415161718192021222324252627282930[[#This Row],[قيمة الشحنه]])</f>
        <v>0</v>
      </c>
      <c r="I88" s="90"/>
      <c r="J88" s="142" t="str">
        <f t="shared" si="1"/>
        <v>3.5.2026</v>
      </c>
      <c r="L88" s="153">
        <v>77</v>
      </c>
      <c r="M88" s="92"/>
    </row>
    <row r="89" spans="1:13" ht="21.6" x14ac:dyDescent="0.65">
      <c r="A89" s="195"/>
      <c r="B89" s="144">
        <v>86</v>
      </c>
      <c r="C89" s="2"/>
      <c r="D89" s="1"/>
      <c r="E89" s="3"/>
      <c r="F89" s="1"/>
      <c r="G89" s="141">
        <f>IF(Basic3456789101112131415161718192021222324252627282930[[#This Row],[نوع الخدمة]]="مخالفات", 50,
IF(Basic3456789101112131415161718192021222324252627282930[[#This Row],[نوع الخدمة]]="كاش ان",
    IF(F89&lt;=100, 18, IF(F89&lt;=250, 23, IF(F89&lt;=500, 35, IF(F89&lt;=1000, 40, F89*0.04)))),
IF(Basic3456789101112131415161718192021222324252627282930[[#This Row],[نوع الخدمة]]="كاش اوت",
    IF(F89&lt;=100, 15, IF(F89&lt;=250, 20, IF(F89&lt;=500, 30, IF(F89&lt;=1000, 35, F89*0.035)))),
0)))</f>
        <v>0</v>
      </c>
      <c r="H89" s="159">
        <f>IF(I89="مخالفات",50,Basic3456789101112131415161718192021222324252627282930[[#This Row],[قيمة الرسوم / العموله]]+Basic3456789101112131415161718192021222324252627282930[[#This Row],[قيمة الشحنه]])</f>
        <v>0</v>
      </c>
      <c r="I89" s="90"/>
      <c r="J89" s="142" t="str">
        <f t="shared" si="1"/>
        <v>3.5.2026</v>
      </c>
      <c r="L89" s="153">
        <v>78</v>
      </c>
      <c r="M89" s="92"/>
    </row>
    <row r="90" spans="1:13" ht="21.6" x14ac:dyDescent="0.65">
      <c r="A90" s="195"/>
      <c r="B90" s="140">
        <v>87</v>
      </c>
      <c r="C90" s="2"/>
      <c r="D90" s="1"/>
      <c r="E90" s="3"/>
      <c r="F90" s="1"/>
      <c r="G90" s="141">
        <f>IF(Basic3456789101112131415161718192021222324252627282930[[#This Row],[نوع الخدمة]]="مخالفات", 50,
IF(Basic3456789101112131415161718192021222324252627282930[[#This Row],[نوع الخدمة]]="كاش ان",
    IF(F90&lt;=100, 18, IF(F90&lt;=250, 23, IF(F90&lt;=500, 35, IF(F90&lt;=1000, 40, F90*0.04)))),
IF(Basic3456789101112131415161718192021222324252627282930[[#This Row],[نوع الخدمة]]="كاش اوت",
    IF(F90&lt;=100, 15, IF(F90&lt;=250, 20, IF(F90&lt;=500, 30, IF(F90&lt;=1000, 35, F90*0.035)))),
0)))</f>
        <v>0</v>
      </c>
      <c r="H90" s="159">
        <f>IF(I90="مخالفات",50,Basic3456789101112131415161718192021222324252627282930[[#This Row],[قيمة الرسوم / العموله]]+Basic3456789101112131415161718192021222324252627282930[[#This Row],[قيمة الشحنه]])</f>
        <v>0</v>
      </c>
      <c r="I90" s="90"/>
      <c r="J90" s="142" t="str">
        <f t="shared" si="1"/>
        <v>3.5.2026</v>
      </c>
      <c r="L90" s="153">
        <v>79</v>
      </c>
      <c r="M90" s="92"/>
    </row>
    <row r="91" spans="1:13" ht="21.6" x14ac:dyDescent="0.65">
      <c r="A91" s="195"/>
      <c r="B91" s="140">
        <v>88</v>
      </c>
      <c r="C91" s="2"/>
      <c r="D91" s="1"/>
      <c r="E91" s="3"/>
      <c r="F91" s="1"/>
      <c r="G91" s="141">
        <f>IF(Basic3456789101112131415161718192021222324252627282930[[#This Row],[نوع الخدمة]]="مخالفات", 50,
IF(Basic3456789101112131415161718192021222324252627282930[[#This Row],[نوع الخدمة]]="كاش ان",
    IF(F91&lt;=100, 18, IF(F91&lt;=250, 23, IF(F91&lt;=500, 35, IF(F91&lt;=1000, 40, F91*0.04)))),
IF(Basic3456789101112131415161718192021222324252627282930[[#This Row],[نوع الخدمة]]="كاش اوت",
    IF(F91&lt;=100, 15, IF(F91&lt;=250, 20, IF(F91&lt;=500, 30, IF(F91&lt;=1000, 35, F91*0.035)))),
0)))</f>
        <v>0</v>
      </c>
      <c r="H91" s="159">
        <f>IF(I91="مخالفات",50,Basic3456789101112131415161718192021222324252627282930[[#This Row],[قيمة الرسوم / العموله]]+Basic3456789101112131415161718192021222324252627282930[[#This Row],[قيمة الشحنه]])</f>
        <v>0</v>
      </c>
      <c r="I91" s="90"/>
      <c r="J91" s="142" t="str">
        <f t="shared" si="1"/>
        <v>3.5.2026</v>
      </c>
      <c r="L91" s="153">
        <v>80</v>
      </c>
      <c r="M91" s="92"/>
    </row>
    <row r="92" spans="1:13" ht="21.6" x14ac:dyDescent="0.65">
      <c r="A92" s="195"/>
      <c r="B92" s="140">
        <v>89</v>
      </c>
      <c r="C92" s="2"/>
      <c r="D92" s="1"/>
      <c r="E92" s="3"/>
      <c r="F92" s="1"/>
      <c r="G92" s="141">
        <f>IF(Basic3456789101112131415161718192021222324252627282930[[#This Row],[نوع الخدمة]]="مخالفات", 50,
IF(Basic3456789101112131415161718192021222324252627282930[[#This Row],[نوع الخدمة]]="كاش ان",
    IF(F92&lt;=100, 18, IF(F92&lt;=250, 23, IF(F92&lt;=500, 35, IF(F92&lt;=1000, 40, F92*0.04)))),
IF(Basic3456789101112131415161718192021222324252627282930[[#This Row],[نوع الخدمة]]="كاش اوت",
    IF(F92&lt;=100, 15, IF(F92&lt;=250, 20, IF(F92&lt;=500, 30, IF(F92&lt;=1000, 35, F92*0.035)))),
0)))</f>
        <v>0</v>
      </c>
      <c r="H92" s="159">
        <f>IF(I92="مخالفات",50,Basic3456789101112131415161718192021222324252627282930[[#This Row],[قيمة الرسوم / العموله]]+Basic3456789101112131415161718192021222324252627282930[[#This Row],[قيمة الشحنه]])</f>
        <v>0</v>
      </c>
      <c r="I92" s="90"/>
      <c r="J92" s="142" t="str">
        <f t="shared" si="1"/>
        <v>3.5.2026</v>
      </c>
      <c r="L92" s="153">
        <v>81</v>
      </c>
      <c r="M92" s="92"/>
    </row>
    <row r="93" spans="1:13" ht="21.6" x14ac:dyDescent="0.65">
      <c r="A93" s="195"/>
      <c r="B93" s="144">
        <v>90</v>
      </c>
      <c r="C93" s="2"/>
      <c r="D93" s="1"/>
      <c r="E93" s="3"/>
      <c r="F93" s="1"/>
      <c r="G93" s="141">
        <f>IF(Basic3456789101112131415161718192021222324252627282930[[#This Row],[نوع الخدمة]]="مخالفات", 50,
IF(Basic3456789101112131415161718192021222324252627282930[[#This Row],[نوع الخدمة]]="كاش ان",
    IF(F93&lt;=100, 18, IF(F93&lt;=250, 23, IF(F93&lt;=500, 35, IF(F93&lt;=1000, 40, F93*0.04)))),
IF(Basic3456789101112131415161718192021222324252627282930[[#This Row],[نوع الخدمة]]="كاش اوت",
    IF(F93&lt;=100, 15, IF(F93&lt;=250, 20, IF(F93&lt;=500, 30, IF(F93&lt;=1000, 35, F93*0.035)))),
0)))</f>
        <v>0</v>
      </c>
      <c r="H93" s="159">
        <f>IF(I93="مخالفات",50,Basic3456789101112131415161718192021222324252627282930[[#This Row],[قيمة الرسوم / العموله]]+Basic3456789101112131415161718192021222324252627282930[[#This Row],[قيمة الشحنه]])</f>
        <v>0</v>
      </c>
      <c r="I93" s="90"/>
      <c r="J93" s="142" t="str">
        <f t="shared" si="1"/>
        <v>3.5.2026</v>
      </c>
      <c r="L93" s="153">
        <v>82</v>
      </c>
      <c r="M93" s="92"/>
    </row>
    <row r="94" spans="1:13" ht="21.6" x14ac:dyDescent="0.65">
      <c r="A94" s="195"/>
      <c r="B94" s="140">
        <v>91</v>
      </c>
      <c r="C94" s="2"/>
      <c r="D94" s="1"/>
      <c r="E94" s="3"/>
      <c r="F94" s="1"/>
      <c r="G94" s="141">
        <f>IF(Basic3456789101112131415161718192021222324252627282930[[#This Row],[نوع الخدمة]]="مخالفات", 50,
IF(Basic3456789101112131415161718192021222324252627282930[[#This Row],[نوع الخدمة]]="كاش ان",
    IF(F94&lt;=100, 18, IF(F94&lt;=250, 23, IF(F94&lt;=500, 35, IF(F94&lt;=1000, 40, F94*0.04)))),
IF(Basic3456789101112131415161718192021222324252627282930[[#This Row],[نوع الخدمة]]="كاش اوت",
    IF(F94&lt;=100, 15, IF(F94&lt;=250, 20, IF(F94&lt;=500, 30, IF(F94&lt;=1000, 35, F94*0.035)))),
0)))</f>
        <v>0</v>
      </c>
      <c r="H94" s="159">
        <f>IF(I94="مخالفات",50,Basic3456789101112131415161718192021222324252627282930[[#This Row],[قيمة الرسوم / العموله]]+Basic3456789101112131415161718192021222324252627282930[[#This Row],[قيمة الشحنه]])</f>
        <v>0</v>
      </c>
      <c r="I94" s="90"/>
      <c r="J94" s="142" t="str">
        <f t="shared" si="1"/>
        <v>3.5.2026</v>
      </c>
      <c r="L94" s="153">
        <v>83</v>
      </c>
      <c r="M94" s="92"/>
    </row>
    <row r="95" spans="1:13" ht="21.6" x14ac:dyDescent="0.65">
      <c r="A95" s="195"/>
      <c r="B95" s="140">
        <v>92</v>
      </c>
      <c r="C95" s="2"/>
      <c r="D95" s="1"/>
      <c r="E95" s="3"/>
      <c r="F95" s="1"/>
      <c r="G95" s="141">
        <f>IF(Basic3456789101112131415161718192021222324252627282930[[#This Row],[نوع الخدمة]]="مخالفات", 50,
IF(Basic3456789101112131415161718192021222324252627282930[[#This Row],[نوع الخدمة]]="كاش ان",
    IF(F95&lt;=100, 18, IF(F95&lt;=250, 23, IF(F95&lt;=500, 35, IF(F95&lt;=1000, 40, F95*0.04)))),
IF(Basic3456789101112131415161718192021222324252627282930[[#This Row],[نوع الخدمة]]="كاش اوت",
    IF(F95&lt;=100, 15, IF(F95&lt;=250, 20, IF(F95&lt;=500, 30, IF(F95&lt;=1000, 35, F95*0.035)))),
0)))</f>
        <v>0</v>
      </c>
      <c r="H95" s="159">
        <f>IF(I95="مخالفات",50,Basic3456789101112131415161718192021222324252627282930[[#This Row],[قيمة الرسوم / العموله]]+Basic3456789101112131415161718192021222324252627282930[[#This Row],[قيمة الشحنه]])</f>
        <v>0</v>
      </c>
      <c r="I95" s="90"/>
      <c r="J95" s="142" t="str">
        <f t="shared" si="1"/>
        <v>3.5.2026</v>
      </c>
      <c r="L95" s="153">
        <v>84</v>
      </c>
      <c r="M95" s="92"/>
    </row>
    <row r="96" spans="1:13" ht="21.6" x14ac:dyDescent="0.65">
      <c r="A96" s="195"/>
      <c r="B96" s="140">
        <v>93</v>
      </c>
      <c r="C96" s="2"/>
      <c r="D96" s="1"/>
      <c r="E96" s="3"/>
      <c r="F96" s="1"/>
      <c r="G96" s="141">
        <f>IF(Basic3456789101112131415161718192021222324252627282930[[#This Row],[نوع الخدمة]]="مخالفات", 50,
IF(Basic3456789101112131415161718192021222324252627282930[[#This Row],[نوع الخدمة]]="كاش ان",
    IF(F96&lt;=100, 18, IF(F96&lt;=250, 23, IF(F96&lt;=500, 35, IF(F96&lt;=1000, 40, F96*0.04)))),
IF(Basic3456789101112131415161718192021222324252627282930[[#This Row],[نوع الخدمة]]="كاش اوت",
    IF(F96&lt;=100, 15, IF(F96&lt;=250, 20, IF(F96&lt;=500, 30, IF(F96&lt;=1000, 35, F96*0.035)))),
0)))</f>
        <v>0</v>
      </c>
      <c r="H96" s="159">
        <f>IF(I96="مخالفات",50,Basic3456789101112131415161718192021222324252627282930[[#This Row],[قيمة الرسوم / العموله]]+Basic3456789101112131415161718192021222324252627282930[[#This Row],[قيمة الشحنه]])</f>
        <v>0</v>
      </c>
      <c r="I96" s="90"/>
      <c r="J96" s="142" t="str">
        <f t="shared" si="1"/>
        <v>3.5.2026</v>
      </c>
      <c r="L96" s="153">
        <v>85</v>
      </c>
      <c r="M96" s="92"/>
    </row>
    <row r="97" spans="1:13" ht="21.6" x14ac:dyDescent="0.65">
      <c r="A97" s="195"/>
      <c r="B97" s="144">
        <v>94</v>
      </c>
      <c r="C97" s="2"/>
      <c r="D97" s="1"/>
      <c r="E97" s="3"/>
      <c r="F97" s="1"/>
      <c r="G97" s="141">
        <f>IF(Basic3456789101112131415161718192021222324252627282930[[#This Row],[نوع الخدمة]]="مخالفات", 50,
IF(Basic3456789101112131415161718192021222324252627282930[[#This Row],[نوع الخدمة]]="كاش ان",
    IF(F97&lt;=100, 18, IF(F97&lt;=250, 23, IF(F97&lt;=500, 35, IF(F97&lt;=1000, 40, F97*0.04)))),
IF(Basic3456789101112131415161718192021222324252627282930[[#This Row],[نوع الخدمة]]="كاش اوت",
    IF(F97&lt;=100, 15, IF(F97&lt;=250, 20, IF(F97&lt;=500, 30, IF(F97&lt;=1000, 35, F97*0.035)))),
0)))</f>
        <v>0</v>
      </c>
      <c r="H97" s="159">
        <f>IF(I97="مخالفات",50,Basic3456789101112131415161718192021222324252627282930[[#This Row],[قيمة الرسوم / العموله]]+Basic3456789101112131415161718192021222324252627282930[[#This Row],[قيمة الشحنه]])</f>
        <v>0</v>
      </c>
      <c r="I97" s="90"/>
      <c r="J97" s="142" t="str">
        <f t="shared" si="1"/>
        <v>3.5.2026</v>
      </c>
      <c r="L97" s="153">
        <v>86</v>
      </c>
      <c r="M97" s="92"/>
    </row>
    <row r="98" spans="1:13" ht="21.6" x14ac:dyDescent="0.65">
      <c r="A98" s="195"/>
      <c r="B98" s="140">
        <v>95</v>
      </c>
      <c r="C98" s="2"/>
      <c r="D98" s="1"/>
      <c r="E98" s="3"/>
      <c r="F98" s="1"/>
      <c r="G98" s="141">
        <f>IF(Basic3456789101112131415161718192021222324252627282930[[#This Row],[نوع الخدمة]]="مخالفات", 50,
IF(Basic3456789101112131415161718192021222324252627282930[[#This Row],[نوع الخدمة]]="كاش ان",
    IF(F98&lt;=100, 18, IF(F98&lt;=250, 23, IF(F98&lt;=500, 35, IF(F98&lt;=1000, 40, F98*0.04)))),
IF(Basic3456789101112131415161718192021222324252627282930[[#This Row],[نوع الخدمة]]="كاش اوت",
    IF(F98&lt;=100, 15, IF(F98&lt;=250, 20, IF(F98&lt;=500, 30, IF(F98&lt;=1000, 35, F98*0.035)))),
0)))</f>
        <v>0</v>
      </c>
      <c r="H98" s="159">
        <f>IF(I98="مخالفات",50,Basic3456789101112131415161718192021222324252627282930[[#This Row],[قيمة الرسوم / العموله]]+Basic3456789101112131415161718192021222324252627282930[[#This Row],[قيمة الشحنه]])</f>
        <v>0</v>
      </c>
      <c r="I98" s="90"/>
      <c r="J98" s="142" t="str">
        <f t="shared" si="1"/>
        <v>3.5.2026</v>
      </c>
      <c r="L98" s="153">
        <v>87</v>
      </c>
      <c r="M98" s="92"/>
    </row>
    <row r="99" spans="1:13" ht="21.6" x14ac:dyDescent="0.65">
      <c r="A99" s="195"/>
      <c r="B99" s="140">
        <v>96</v>
      </c>
      <c r="C99" s="2"/>
      <c r="D99" s="1"/>
      <c r="E99" s="3"/>
      <c r="F99" s="1"/>
      <c r="G99" s="141">
        <f>IF(Basic3456789101112131415161718192021222324252627282930[[#This Row],[نوع الخدمة]]="مخالفات", 50,
IF(Basic3456789101112131415161718192021222324252627282930[[#This Row],[نوع الخدمة]]="كاش ان",
    IF(F99&lt;=100, 18, IF(F99&lt;=250, 23, IF(F99&lt;=500, 35, IF(F99&lt;=1000, 40, F99*0.04)))),
IF(Basic3456789101112131415161718192021222324252627282930[[#This Row],[نوع الخدمة]]="كاش اوت",
    IF(F99&lt;=100, 15, IF(F99&lt;=250, 20, IF(F99&lt;=500, 30, IF(F99&lt;=1000, 35, F99*0.035)))),
0)))</f>
        <v>0</v>
      </c>
      <c r="H99" s="159">
        <f>IF(I99="مخالفات",50,Basic3456789101112131415161718192021222324252627282930[[#This Row],[قيمة الرسوم / العموله]]+Basic3456789101112131415161718192021222324252627282930[[#This Row],[قيمة الشحنه]])</f>
        <v>0</v>
      </c>
      <c r="I99" s="90"/>
      <c r="J99" s="142" t="str">
        <f t="shared" si="1"/>
        <v>3.5.2026</v>
      </c>
      <c r="L99" s="153">
        <v>88</v>
      </c>
      <c r="M99" s="92"/>
    </row>
    <row r="100" spans="1:13" ht="21.6" x14ac:dyDescent="0.65">
      <c r="A100" s="195"/>
      <c r="B100" s="140">
        <v>97</v>
      </c>
      <c r="C100" s="2"/>
      <c r="D100" s="1"/>
      <c r="E100" s="3"/>
      <c r="F100" s="1"/>
      <c r="G100" s="141">
        <f>IF(Basic3456789101112131415161718192021222324252627282930[[#This Row],[نوع الخدمة]]="مخالفات", 50,
IF(Basic3456789101112131415161718192021222324252627282930[[#This Row],[نوع الخدمة]]="كاش ان",
    IF(F100&lt;=100, 18, IF(F100&lt;=250, 23, IF(F100&lt;=500, 35, IF(F100&lt;=1000, 40, F100*0.04)))),
IF(Basic3456789101112131415161718192021222324252627282930[[#This Row],[نوع الخدمة]]="كاش اوت",
    IF(F100&lt;=100, 15, IF(F100&lt;=250, 20, IF(F100&lt;=500, 30, IF(F100&lt;=1000, 35, F100*0.035)))),
0)))</f>
        <v>0</v>
      </c>
      <c r="H100" s="159">
        <f>IF(I100="مخالفات",50,Basic3456789101112131415161718192021222324252627282930[[#This Row],[قيمة الرسوم / العموله]]+Basic3456789101112131415161718192021222324252627282930[[#This Row],[قيمة الشحنه]])</f>
        <v>0</v>
      </c>
      <c r="I100" s="90"/>
      <c r="J100" s="142" t="str">
        <f t="shared" si="1"/>
        <v>3.5.2026</v>
      </c>
      <c r="L100" s="153">
        <v>89</v>
      </c>
      <c r="M100" s="92"/>
    </row>
    <row r="101" spans="1:13" ht="21.6" x14ac:dyDescent="0.65">
      <c r="A101" s="195"/>
      <c r="B101" s="144">
        <v>98</v>
      </c>
      <c r="C101" s="2"/>
      <c r="D101" s="1"/>
      <c r="E101" s="3"/>
      <c r="F101" s="1"/>
      <c r="G101" s="141">
        <f>IF(Basic3456789101112131415161718192021222324252627282930[[#This Row],[نوع الخدمة]]="مخالفات", 50,
IF(Basic3456789101112131415161718192021222324252627282930[[#This Row],[نوع الخدمة]]="كاش ان",
    IF(F101&lt;=100, 18, IF(F101&lt;=250, 23, IF(F101&lt;=500, 35, IF(F101&lt;=1000, 40, F101*0.04)))),
IF(Basic3456789101112131415161718192021222324252627282930[[#This Row],[نوع الخدمة]]="كاش اوت",
    IF(F101&lt;=100, 15, IF(F101&lt;=250, 20, IF(F101&lt;=500, 30, IF(F101&lt;=1000, 35, F101*0.035)))),
0)))</f>
        <v>0</v>
      </c>
      <c r="H101" s="159">
        <f>IF(I101="مخالفات",50,Basic3456789101112131415161718192021222324252627282930[[#This Row],[قيمة الرسوم / العموله]]+Basic3456789101112131415161718192021222324252627282930[[#This Row],[قيمة الشحنه]])</f>
        <v>0</v>
      </c>
      <c r="I101" s="90"/>
      <c r="J101" s="142" t="str">
        <f t="shared" si="1"/>
        <v>3.5.2026</v>
      </c>
      <c r="L101" s="153">
        <v>90</v>
      </c>
      <c r="M101" s="92"/>
    </row>
    <row r="102" spans="1:13" ht="21.6" x14ac:dyDescent="0.65">
      <c r="A102" s="195"/>
      <c r="B102" s="140">
        <v>99</v>
      </c>
      <c r="C102" s="2"/>
      <c r="D102" s="1"/>
      <c r="E102" s="3"/>
      <c r="F102" s="1"/>
      <c r="G102" s="141">
        <f>IF(Basic3456789101112131415161718192021222324252627282930[[#This Row],[نوع الخدمة]]="مخالفات", 50,
IF(Basic3456789101112131415161718192021222324252627282930[[#This Row],[نوع الخدمة]]="كاش ان",
    IF(F102&lt;=100, 18, IF(F102&lt;=250, 23, IF(F102&lt;=500, 35, IF(F102&lt;=1000, 40, F102*0.04)))),
IF(Basic3456789101112131415161718192021222324252627282930[[#This Row],[نوع الخدمة]]="كاش اوت",
    IF(F102&lt;=100, 15, IF(F102&lt;=250, 20, IF(F102&lt;=500, 30, IF(F102&lt;=1000, 35, F102*0.035)))),
0)))</f>
        <v>0</v>
      </c>
      <c r="H102" s="159">
        <f>IF(I102="مخالفات",50,Basic3456789101112131415161718192021222324252627282930[[#This Row],[قيمة الرسوم / العموله]]+Basic3456789101112131415161718192021222324252627282930[[#This Row],[قيمة الشحنه]])</f>
        <v>0</v>
      </c>
      <c r="I102" s="90"/>
      <c r="J102" s="142" t="str">
        <f t="shared" si="1"/>
        <v>3.5.2026</v>
      </c>
      <c r="L102" s="153">
        <v>91</v>
      </c>
      <c r="M102" s="92"/>
    </row>
    <row r="103" spans="1:13" ht="21.6" x14ac:dyDescent="0.65">
      <c r="A103" s="195"/>
      <c r="B103" s="140">
        <v>100</v>
      </c>
      <c r="C103" s="2"/>
      <c r="D103" s="1"/>
      <c r="E103" s="3"/>
      <c r="F103" s="1"/>
      <c r="G103" s="141">
        <f>IF(Basic3456789101112131415161718192021222324252627282930[[#This Row],[نوع الخدمة]]="مخالفات", 50,
IF(Basic3456789101112131415161718192021222324252627282930[[#This Row],[نوع الخدمة]]="كاش ان",
    IF(F103&lt;=100, 18, IF(F103&lt;=250, 23, IF(F103&lt;=500, 35, IF(F103&lt;=1000, 40, F103*0.04)))),
IF(Basic3456789101112131415161718192021222324252627282930[[#This Row],[نوع الخدمة]]="كاش اوت",
    IF(F103&lt;=100, 15, IF(F103&lt;=250, 20, IF(F103&lt;=500, 30, IF(F103&lt;=1000, 35, F103*0.035)))),
0)))</f>
        <v>0</v>
      </c>
      <c r="H103" s="159">
        <f>IF(I103="مخالفات",50,Basic3456789101112131415161718192021222324252627282930[[#This Row],[قيمة الرسوم / العموله]]+Basic3456789101112131415161718192021222324252627282930[[#This Row],[قيمة الشحنه]])</f>
        <v>0</v>
      </c>
      <c r="I103" s="90"/>
      <c r="J103" s="142" t="str">
        <f t="shared" si="1"/>
        <v>3.5.2026</v>
      </c>
      <c r="L103" s="153">
        <v>92</v>
      </c>
      <c r="M103" s="92"/>
    </row>
    <row r="104" spans="1:13" ht="21.6" x14ac:dyDescent="0.65">
      <c r="A104" s="195"/>
      <c r="B104" s="140">
        <v>101</v>
      </c>
      <c r="C104" s="2"/>
      <c r="D104" s="1"/>
      <c r="E104" s="3"/>
      <c r="F104" s="1"/>
      <c r="G104" s="141">
        <f>IF(Basic3456789101112131415161718192021222324252627282930[[#This Row],[نوع الخدمة]]="مخالفات", 50,
IF(Basic3456789101112131415161718192021222324252627282930[[#This Row],[نوع الخدمة]]="كاش ان",
    IF(F104&lt;=100, 18, IF(F104&lt;=250, 23, IF(F104&lt;=500, 35, IF(F104&lt;=1000, 40, F104*0.04)))),
IF(Basic3456789101112131415161718192021222324252627282930[[#This Row],[نوع الخدمة]]="كاش اوت",
    IF(F104&lt;=100, 15, IF(F104&lt;=250, 20, IF(F104&lt;=500, 30, IF(F104&lt;=1000, 35, F104*0.035)))),
0)))</f>
        <v>0</v>
      </c>
      <c r="H104" s="159">
        <f>IF(I104="مخالفات",50,Basic3456789101112131415161718192021222324252627282930[[#This Row],[قيمة الرسوم / العموله]]+Basic3456789101112131415161718192021222324252627282930[[#This Row],[قيمة الشحنه]])</f>
        <v>0</v>
      </c>
      <c r="I104" s="90"/>
      <c r="J104" s="142" t="str">
        <f t="shared" si="1"/>
        <v>3.5.2026</v>
      </c>
      <c r="L104" s="153">
        <v>93</v>
      </c>
      <c r="M104" s="92"/>
    </row>
    <row r="105" spans="1:13" ht="21.6" x14ac:dyDescent="0.65">
      <c r="A105" s="195"/>
      <c r="B105" s="144">
        <v>102</v>
      </c>
      <c r="C105" s="2"/>
      <c r="D105" s="1"/>
      <c r="E105" s="3"/>
      <c r="F105" s="1"/>
      <c r="G105" s="141">
        <f>IF(Basic3456789101112131415161718192021222324252627282930[[#This Row],[نوع الخدمة]]="مخالفات", 50,
IF(Basic3456789101112131415161718192021222324252627282930[[#This Row],[نوع الخدمة]]="كاش ان",
    IF(F105&lt;=100, 18, IF(F105&lt;=250, 23, IF(F105&lt;=500, 35, IF(F105&lt;=1000, 40, F105*0.04)))),
IF(Basic3456789101112131415161718192021222324252627282930[[#This Row],[نوع الخدمة]]="كاش اوت",
    IF(F105&lt;=100, 15, IF(F105&lt;=250, 20, IF(F105&lt;=500, 30, IF(F105&lt;=1000, 35, F105*0.035)))),
0)))</f>
        <v>0</v>
      </c>
      <c r="H105" s="159">
        <f>IF(I105="مخالفات",50,Basic3456789101112131415161718192021222324252627282930[[#This Row],[قيمة الرسوم / العموله]]+Basic3456789101112131415161718192021222324252627282930[[#This Row],[قيمة الشحنه]])</f>
        <v>0</v>
      </c>
      <c r="I105" s="90"/>
      <c r="J105" s="142" t="str">
        <f t="shared" si="1"/>
        <v>3.5.2026</v>
      </c>
      <c r="L105" s="153">
        <v>94</v>
      </c>
      <c r="M105" s="92"/>
    </row>
    <row r="106" spans="1:13" ht="21.6" x14ac:dyDescent="0.65">
      <c r="A106" s="195"/>
      <c r="B106" s="140">
        <v>103</v>
      </c>
      <c r="C106" s="2"/>
      <c r="D106" s="1"/>
      <c r="E106" s="3"/>
      <c r="F106" s="1"/>
      <c r="G106" s="141">
        <f>IF(Basic3456789101112131415161718192021222324252627282930[[#This Row],[نوع الخدمة]]="مخالفات", 50,
IF(Basic3456789101112131415161718192021222324252627282930[[#This Row],[نوع الخدمة]]="كاش ان",
    IF(F106&lt;=100, 18, IF(F106&lt;=250, 23, IF(F106&lt;=500, 35, IF(F106&lt;=1000, 40, F106*0.04)))),
IF(Basic3456789101112131415161718192021222324252627282930[[#This Row],[نوع الخدمة]]="كاش اوت",
    IF(F106&lt;=100, 15, IF(F106&lt;=250, 20, IF(F106&lt;=500, 30, IF(F106&lt;=1000, 35, F106*0.035)))),
0)))</f>
        <v>0</v>
      </c>
      <c r="H106" s="159">
        <f>IF(I106="مخالفات",50,Basic3456789101112131415161718192021222324252627282930[[#This Row],[قيمة الرسوم / العموله]]+Basic3456789101112131415161718192021222324252627282930[[#This Row],[قيمة الشحنه]])</f>
        <v>0</v>
      </c>
      <c r="I106" s="90"/>
      <c r="J106" s="142" t="str">
        <f t="shared" si="1"/>
        <v>3.5.2026</v>
      </c>
      <c r="L106" s="153">
        <v>95</v>
      </c>
      <c r="M106" s="92"/>
    </row>
    <row r="107" spans="1:13" ht="21.6" x14ac:dyDescent="0.65">
      <c r="A107" s="195"/>
      <c r="B107" s="140">
        <v>104</v>
      </c>
      <c r="C107" s="2"/>
      <c r="D107" s="1"/>
      <c r="E107" s="3"/>
      <c r="F107" s="1"/>
      <c r="G107" s="141">
        <f>IF(Basic3456789101112131415161718192021222324252627282930[[#This Row],[نوع الخدمة]]="مخالفات", 50,
IF(Basic3456789101112131415161718192021222324252627282930[[#This Row],[نوع الخدمة]]="كاش ان",
    IF(F107&lt;=100, 18, IF(F107&lt;=250, 23, IF(F107&lt;=500, 35, IF(F107&lt;=1000, 40, F107*0.04)))),
IF(Basic3456789101112131415161718192021222324252627282930[[#This Row],[نوع الخدمة]]="كاش اوت",
    IF(F107&lt;=100, 15, IF(F107&lt;=250, 20, IF(F107&lt;=500, 30, IF(F107&lt;=1000, 35, F107*0.035)))),
0)))</f>
        <v>0</v>
      </c>
      <c r="H107" s="159">
        <f>IF(I107="مخالفات",50,Basic3456789101112131415161718192021222324252627282930[[#This Row],[قيمة الرسوم / العموله]]+Basic3456789101112131415161718192021222324252627282930[[#This Row],[قيمة الشحنه]])</f>
        <v>0</v>
      </c>
      <c r="I107" s="90"/>
      <c r="J107" s="142" t="str">
        <f t="shared" si="1"/>
        <v>3.5.2026</v>
      </c>
      <c r="L107" s="153">
        <v>96</v>
      </c>
      <c r="M107" s="92"/>
    </row>
    <row r="108" spans="1:13" ht="21.6" x14ac:dyDescent="0.65">
      <c r="A108" s="195"/>
      <c r="B108" s="140">
        <v>105</v>
      </c>
      <c r="C108" s="2"/>
      <c r="D108" s="1"/>
      <c r="E108" s="3"/>
      <c r="F108" s="1"/>
      <c r="G108" s="141">
        <f>IF(Basic3456789101112131415161718192021222324252627282930[[#This Row],[نوع الخدمة]]="مخالفات", 50,
IF(Basic3456789101112131415161718192021222324252627282930[[#This Row],[نوع الخدمة]]="كاش ان",
    IF(F108&lt;=100, 18, IF(F108&lt;=250, 23, IF(F108&lt;=500, 35, IF(F108&lt;=1000, 40, F108*0.04)))),
IF(Basic3456789101112131415161718192021222324252627282930[[#This Row],[نوع الخدمة]]="كاش اوت",
    IF(F108&lt;=100, 15, IF(F108&lt;=250, 20, IF(F108&lt;=500, 30, IF(F108&lt;=1000, 35, F108*0.035)))),
0)))</f>
        <v>0</v>
      </c>
      <c r="H108" s="159">
        <f>IF(I108="مخالفات",50,Basic3456789101112131415161718192021222324252627282930[[#This Row],[قيمة الرسوم / العموله]]+Basic3456789101112131415161718192021222324252627282930[[#This Row],[قيمة الشحنه]])</f>
        <v>0</v>
      </c>
      <c r="I108" s="90"/>
      <c r="J108" s="142" t="str">
        <f t="shared" si="1"/>
        <v>3.5.2026</v>
      </c>
      <c r="L108" s="153">
        <v>97</v>
      </c>
      <c r="M108" s="92"/>
    </row>
    <row r="109" spans="1:13" ht="21.6" x14ac:dyDescent="0.65">
      <c r="A109" s="195"/>
      <c r="B109" s="144">
        <v>106</v>
      </c>
      <c r="C109" s="2"/>
      <c r="D109" s="1"/>
      <c r="E109" s="3"/>
      <c r="F109" s="1"/>
      <c r="G109" s="141">
        <f>IF(Basic3456789101112131415161718192021222324252627282930[[#This Row],[نوع الخدمة]]="مخالفات", 50,
IF(Basic3456789101112131415161718192021222324252627282930[[#This Row],[نوع الخدمة]]="كاش ان",
    IF(F109&lt;=100, 18, IF(F109&lt;=250, 23, IF(F109&lt;=500, 35, IF(F109&lt;=1000, 40, F109*0.04)))),
IF(Basic3456789101112131415161718192021222324252627282930[[#This Row],[نوع الخدمة]]="كاش اوت",
    IF(F109&lt;=100, 15, IF(F109&lt;=250, 20, IF(F109&lt;=500, 30, IF(F109&lt;=1000, 35, F109*0.035)))),
0)))</f>
        <v>0</v>
      </c>
      <c r="H109" s="159">
        <f>IF(I109="مخالفات",50,Basic3456789101112131415161718192021222324252627282930[[#This Row],[قيمة الرسوم / العموله]]+Basic3456789101112131415161718192021222324252627282930[[#This Row],[قيمة الشحنه]])</f>
        <v>0</v>
      </c>
      <c r="I109" s="90"/>
      <c r="J109" s="142" t="str">
        <f t="shared" si="1"/>
        <v>3.5.2026</v>
      </c>
      <c r="L109" s="153">
        <v>98</v>
      </c>
      <c r="M109" s="92"/>
    </row>
    <row r="110" spans="1:13" ht="21.6" x14ac:dyDescent="0.65">
      <c r="A110" s="195"/>
      <c r="B110" s="140">
        <v>107</v>
      </c>
      <c r="C110" s="2"/>
      <c r="D110" s="1"/>
      <c r="E110" s="3"/>
      <c r="F110" s="1"/>
      <c r="G110" s="141">
        <f>IF(Basic3456789101112131415161718192021222324252627282930[[#This Row],[نوع الخدمة]]="مخالفات", 50,
IF(Basic3456789101112131415161718192021222324252627282930[[#This Row],[نوع الخدمة]]="كاش ان",
    IF(F110&lt;=100, 18, IF(F110&lt;=250, 23, IF(F110&lt;=500, 35, IF(F110&lt;=1000, 40, F110*0.04)))),
IF(Basic3456789101112131415161718192021222324252627282930[[#This Row],[نوع الخدمة]]="كاش اوت",
    IF(F110&lt;=100, 15, IF(F110&lt;=250, 20, IF(F110&lt;=500, 30, IF(F110&lt;=1000, 35, F110*0.035)))),
0)))</f>
        <v>0</v>
      </c>
      <c r="H110" s="159">
        <f>IF(I110="مخالفات",50,Basic3456789101112131415161718192021222324252627282930[[#This Row],[قيمة الرسوم / العموله]]+Basic3456789101112131415161718192021222324252627282930[[#This Row],[قيمة الشحنه]])</f>
        <v>0</v>
      </c>
      <c r="I110" s="90"/>
      <c r="J110" s="142" t="str">
        <f t="shared" si="1"/>
        <v>3.5.2026</v>
      </c>
      <c r="L110" s="153">
        <v>99</v>
      </c>
      <c r="M110" s="92"/>
    </row>
    <row r="111" spans="1:13" ht="21.6" x14ac:dyDescent="0.65">
      <c r="A111" s="195"/>
      <c r="B111" s="140">
        <v>108</v>
      </c>
      <c r="C111" s="2"/>
      <c r="D111" s="1"/>
      <c r="E111" s="3"/>
      <c r="F111" s="1"/>
      <c r="G111" s="141">
        <f>IF(Basic3456789101112131415161718192021222324252627282930[[#This Row],[نوع الخدمة]]="مخالفات", 50,
IF(Basic3456789101112131415161718192021222324252627282930[[#This Row],[نوع الخدمة]]="كاش ان",
    IF(F111&lt;=100, 18, IF(F111&lt;=250, 23, IF(F111&lt;=500, 35, IF(F111&lt;=1000, 40, F111*0.04)))),
IF(Basic3456789101112131415161718192021222324252627282930[[#This Row],[نوع الخدمة]]="كاش اوت",
    IF(F111&lt;=100, 15, IF(F111&lt;=250, 20, IF(F111&lt;=500, 30, IF(F111&lt;=1000, 35, F111*0.035)))),
0)))</f>
        <v>0</v>
      </c>
      <c r="H111" s="159">
        <f>IF(I111="مخالفات",50,Basic3456789101112131415161718192021222324252627282930[[#This Row],[قيمة الرسوم / العموله]]+Basic3456789101112131415161718192021222324252627282930[[#This Row],[قيمة الشحنه]])</f>
        <v>0</v>
      </c>
      <c r="I111" s="90"/>
      <c r="J111" s="142" t="str">
        <f t="shared" si="1"/>
        <v>3.5.2026</v>
      </c>
      <c r="L111" s="153">
        <v>100</v>
      </c>
      <c r="M111" s="92"/>
    </row>
    <row r="112" spans="1:13" ht="21.6" x14ac:dyDescent="0.65">
      <c r="A112" s="195"/>
      <c r="B112" s="140">
        <v>109</v>
      </c>
      <c r="C112" s="2"/>
      <c r="D112" s="1"/>
      <c r="E112" s="3"/>
      <c r="F112" s="1"/>
      <c r="G112" s="141">
        <f>IF(Basic3456789101112131415161718192021222324252627282930[[#This Row],[نوع الخدمة]]="مخالفات", 50,
IF(Basic3456789101112131415161718192021222324252627282930[[#This Row],[نوع الخدمة]]="كاش ان",
    IF(F112&lt;=100, 18, IF(F112&lt;=250, 23, IF(F112&lt;=500, 35, IF(F112&lt;=1000, 40, F112*0.04)))),
IF(Basic3456789101112131415161718192021222324252627282930[[#This Row],[نوع الخدمة]]="كاش اوت",
    IF(F112&lt;=100, 15, IF(F112&lt;=250, 20, IF(F112&lt;=500, 30, IF(F112&lt;=1000, 35, F112*0.035)))),
0)))</f>
        <v>0</v>
      </c>
      <c r="H112" s="159">
        <f>IF(I112="مخالفات",50,Basic3456789101112131415161718192021222324252627282930[[#This Row],[قيمة الرسوم / العموله]]+Basic3456789101112131415161718192021222324252627282930[[#This Row],[قيمة الشحنه]])</f>
        <v>0</v>
      </c>
      <c r="I112" s="90"/>
      <c r="J112" s="142" t="str">
        <f t="shared" si="1"/>
        <v>3.5.2026</v>
      </c>
      <c r="L112" s="153">
        <v>101</v>
      </c>
      <c r="M112" s="92"/>
    </row>
    <row r="113" spans="1:13" ht="21.6" x14ac:dyDescent="0.65">
      <c r="A113" s="195"/>
      <c r="B113" s="144">
        <v>110</v>
      </c>
      <c r="C113" s="2"/>
      <c r="D113" s="1"/>
      <c r="E113" s="3"/>
      <c r="F113" s="1"/>
      <c r="G113" s="141">
        <f>IF(Basic3456789101112131415161718192021222324252627282930[[#This Row],[نوع الخدمة]]="مخالفات", 50,
IF(Basic3456789101112131415161718192021222324252627282930[[#This Row],[نوع الخدمة]]="كاش ان",
    IF(F113&lt;=100, 18, IF(F113&lt;=250, 23, IF(F113&lt;=500, 35, IF(F113&lt;=1000, 40, F113*0.04)))),
IF(Basic3456789101112131415161718192021222324252627282930[[#This Row],[نوع الخدمة]]="كاش اوت",
    IF(F113&lt;=100, 15, IF(F113&lt;=250, 20, IF(F113&lt;=500, 30, IF(F113&lt;=1000, 35, F113*0.035)))),
0)))</f>
        <v>0</v>
      </c>
      <c r="H113" s="159">
        <f>IF(I113="مخالفات",50,Basic3456789101112131415161718192021222324252627282930[[#This Row],[قيمة الرسوم / العموله]]+Basic3456789101112131415161718192021222324252627282930[[#This Row],[قيمة الشحنه]])</f>
        <v>0</v>
      </c>
      <c r="I113" s="90"/>
      <c r="J113" s="142" t="str">
        <f t="shared" si="1"/>
        <v>3.5.2026</v>
      </c>
      <c r="L113" s="153">
        <v>102</v>
      </c>
      <c r="M113" s="92"/>
    </row>
    <row r="114" spans="1:13" ht="21.6" x14ac:dyDescent="0.65">
      <c r="A114" s="195"/>
      <c r="B114" s="140">
        <v>111</v>
      </c>
      <c r="C114" s="2"/>
      <c r="D114" s="1"/>
      <c r="E114" s="3"/>
      <c r="F114" s="1"/>
      <c r="G114" s="141">
        <f>IF(Basic3456789101112131415161718192021222324252627282930[[#This Row],[نوع الخدمة]]="مخالفات", 50,
IF(Basic3456789101112131415161718192021222324252627282930[[#This Row],[نوع الخدمة]]="كاش ان",
    IF(F114&lt;=100, 18, IF(F114&lt;=250, 23, IF(F114&lt;=500, 35, IF(F114&lt;=1000, 40, F114*0.04)))),
IF(Basic3456789101112131415161718192021222324252627282930[[#This Row],[نوع الخدمة]]="كاش اوت",
    IF(F114&lt;=100, 15, IF(F114&lt;=250, 20, IF(F114&lt;=500, 30, IF(F114&lt;=1000, 35, F114*0.035)))),
0)))</f>
        <v>0</v>
      </c>
      <c r="H114" s="159">
        <f>IF(I114="مخالفات",50,Basic3456789101112131415161718192021222324252627282930[[#This Row],[قيمة الرسوم / العموله]]+Basic3456789101112131415161718192021222324252627282930[[#This Row],[قيمة الشحنه]])</f>
        <v>0</v>
      </c>
      <c r="I114" s="90"/>
      <c r="J114" s="142" t="str">
        <f t="shared" si="1"/>
        <v>3.5.2026</v>
      </c>
      <c r="L114" s="153">
        <v>103</v>
      </c>
      <c r="M114" s="92"/>
    </row>
    <row r="115" spans="1:13" ht="21.6" x14ac:dyDescent="0.65">
      <c r="A115" s="195"/>
      <c r="B115" s="140">
        <v>112</v>
      </c>
      <c r="C115" s="2"/>
      <c r="D115" s="1"/>
      <c r="E115" s="3"/>
      <c r="F115" s="1"/>
      <c r="G115" s="141">
        <f>IF(Basic3456789101112131415161718192021222324252627282930[[#This Row],[نوع الخدمة]]="مخالفات", 50,
IF(Basic3456789101112131415161718192021222324252627282930[[#This Row],[نوع الخدمة]]="كاش ان",
    IF(F115&lt;=100, 18, IF(F115&lt;=250, 23, IF(F115&lt;=500, 35, IF(F115&lt;=1000, 40, F115*0.04)))),
IF(Basic3456789101112131415161718192021222324252627282930[[#This Row],[نوع الخدمة]]="كاش اوت",
    IF(F115&lt;=100, 15, IF(F115&lt;=250, 20, IF(F115&lt;=500, 30, IF(F115&lt;=1000, 35, F115*0.035)))),
0)))</f>
        <v>0</v>
      </c>
      <c r="H115" s="159">
        <f>IF(I115="مخالفات",50,Basic3456789101112131415161718192021222324252627282930[[#This Row],[قيمة الرسوم / العموله]]+Basic3456789101112131415161718192021222324252627282930[[#This Row],[قيمة الشحنه]])</f>
        <v>0</v>
      </c>
      <c r="I115" s="90"/>
      <c r="J115" s="142" t="str">
        <f t="shared" si="1"/>
        <v>3.5.2026</v>
      </c>
      <c r="L115" s="153">
        <v>104</v>
      </c>
      <c r="M115" s="92"/>
    </row>
    <row r="116" spans="1:13" ht="21.6" x14ac:dyDescent="0.65">
      <c r="A116" s="195"/>
      <c r="B116" s="140">
        <v>113</v>
      </c>
      <c r="C116" s="2"/>
      <c r="D116" s="1"/>
      <c r="E116" s="3"/>
      <c r="F116" s="1"/>
      <c r="G116" s="141">
        <f>IF(Basic3456789101112131415161718192021222324252627282930[[#This Row],[نوع الخدمة]]="مخالفات", 50,
IF(Basic3456789101112131415161718192021222324252627282930[[#This Row],[نوع الخدمة]]="كاش ان",
    IF(F116&lt;=100, 18, IF(F116&lt;=250, 23, IF(F116&lt;=500, 35, IF(F116&lt;=1000, 40, F116*0.04)))),
IF(Basic3456789101112131415161718192021222324252627282930[[#This Row],[نوع الخدمة]]="كاش اوت",
    IF(F116&lt;=100, 15, IF(F116&lt;=250, 20, IF(F116&lt;=500, 30, IF(F116&lt;=1000, 35, F116*0.035)))),
0)))</f>
        <v>0</v>
      </c>
      <c r="H116" s="159">
        <f>IF(I116="مخالفات",50,Basic3456789101112131415161718192021222324252627282930[[#This Row],[قيمة الرسوم / العموله]]+Basic3456789101112131415161718192021222324252627282930[[#This Row],[قيمة الشحنه]])</f>
        <v>0</v>
      </c>
      <c r="I116" s="90"/>
      <c r="J116" s="142" t="str">
        <f t="shared" si="1"/>
        <v>3.5.2026</v>
      </c>
      <c r="L116" s="153">
        <v>105</v>
      </c>
      <c r="M116" s="92"/>
    </row>
    <row r="117" spans="1:13" ht="21.6" x14ac:dyDescent="0.65">
      <c r="A117" s="195"/>
      <c r="B117" s="144">
        <v>114</v>
      </c>
      <c r="C117" s="2"/>
      <c r="D117" s="1"/>
      <c r="E117" s="3"/>
      <c r="F117" s="1"/>
      <c r="G117" s="141">
        <f>IF(Basic3456789101112131415161718192021222324252627282930[[#This Row],[نوع الخدمة]]="مخالفات", 50,
IF(Basic3456789101112131415161718192021222324252627282930[[#This Row],[نوع الخدمة]]="كاش ان",
    IF(F117&lt;=100, 18, IF(F117&lt;=250, 23, IF(F117&lt;=500, 35, IF(F117&lt;=1000, 40, F117*0.04)))),
IF(Basic3456789101112131415161718192021222324252627282930[[#This Row],[نوع الخدمة]]="كاش اوت",
    IF(F117&lt;=100, 15, IF(F117&lt;=250, 20, IF(F117&lt;=500, 30, IF(F117&lt;=1000, 35, F117*0.035)))),
0)))</f>
        <v>0</v>
      </c>
      <c r="H117" s="159">
        <f>IF(I117="مخالفات",50,Basic3456789101112131415161718192021222324252627282930[[#This Row],[قيمة الرسوم / العموله]]+Basic3456789101112131415161718192021222324252627282930[[#This Row],[قيمة الشحنه]])</f>
        <v>0</v>
      </c>
      <c r="I117" s="90"/>
      <c r="J117" s="142" t="str">
        <f t="shared" si="1"/>
        <v>3.5.2026</v>
      </c>
      <c r="L117" s="153">
        <v>106</v>
      </c>
      <c r="M117" s="92"/>
    </row>
    <row r="118" spans="1:13" ht="21.6" x14ac:dyDescent="0.65">
      <c r="A118" s="195"/>
      <c r="B118" s="140">
        <v>115</v>
      </c>
      <c r="C118" s="2"/>
      <c r="D118" s="1"/>
      <c r="E118" s="3"/>
      <c r="F118" s="1"/>
      <c r="G118" s="141">
        <f>IF(Basic3456789101112131415161718192021222324252627282930[[#This Row],[نوع الخدمة]]="مخالفات", 50,
IF(Basic3456789101112131415161718192021222324252627282930[[#This Row],[نوع الخدمة]]="كاش ان",
    IF(F118&lt;=100, 18, IF(F118&lt;=250, 23, IF(F118&lt;=500, 35, IF(F118&lt;=1000, 40, F118*0.04)))),
IF(Basic3456789101112131415161718192021222324252627282930[[#This Row],[نوع الخدمة]]="كاش اوت",
    IF(F118&lt;=100, 15, IF(F118&lt;=250, 20, IF(F118&lt;=500, 30, IF(F118&lt;=1000, 35, F118*0.035)))),
0)))</f>
        <v>0</v>
      </c>
      <c r="H118" s="159">
        <f>IF(I118="مخالفات",50,Basic3456789101112131415161718192021222324252627282930[[#This Row],[قيمة الرسوم / العموله]]+Basic3456789101112131415161718192021222324252627282930[[#This Row],[قيمة الشحنه]])</f>
        <v>0</v>
      </c>
      <c r="I118" s="90"/>
      <c r="J118" s="142" t="str">
        <f t="shared" si="1"/>
        <v>3.5.2026</v>
      </c>
      <c r="L118" s="153">
        <v>107</v>
      </c>
      <c r="M118" s="92"/>
    </row>
    <row r="119" spans="1:13" ht="21.6" x14ac:dyDescent="0.65">
      <c r="A119" s="195"/>
      <c r="B119" s="140">
        <v>116</v>
      </c>
      <c r="C119" s="2"/>
      <c r="D119" s="1"/>
      <c r="E119" s="3"/>
      <c r="F119" s="1"/>
      <c r="G119" s="141">
        <f>IF(Basic3456789101112131415161718192021222324252627282930[[#This Row],[نوع الخدمة]]="مخالفات", 50,
IF(Basic3456789101112131415161718192021222324252627282930[[#This Row],[نوع الخدمة]]="كاش ان",
    IF(F119&lt;=100, 18, IF(F119&lt;=250, 23, IF(F119&lt;=500, 35, IF(F119&lt;=1000, 40, F119*0.04)))),
IF(Basic3456789101112131415161718192021222324252627282930[[#This Row],[نوع الخدمة]]="كاش اوت",
    IF(F119&lt;=100, 15, IF(F119&lt;=250, 20, IF(F119&lt;=500, 30, IF(F119&lt;=1000, 35, F119*0.035)))),
0)))</f>
        <v>0</v>
      </c>
      <c r="H119" s="159">
        <f>IF(I119="مخالفات",50,Basic3456789101112131415161718192021222324252627282930[[#This Row],[قيمة الرسوم / العموله]]+Basic3456789101112131415161718192021222324252627282930[[#This Row],[قيمة الشحنه]])</f>
        <v>0</v>
      </c>
      <c r="I119" s="90"/>
      <c r="J119" s="142" t="str">
        <f t="shared" si="1"/>
        <v>3.5.2026</v>
      </c>
      <c r="L119" s="153">
        <v>108</v>
      </c>
      <c r="M119" s="92"/>
    </row>
    <row r="120" spans="1:13" ht="21.6" x14ac:dyDescent="0.65">
      <c r="A120" s="195"/>
      <c r="B120" s="140">
        <v>117</v>
      </c>
      <c r="C120" s="2"/>
      <c r="D120" s="1"/>
      <c r="E120" s="3"/>
      <c r="F120" s="1"/>
      <c r="G120" s="141">
        <f>IF(Basic3456789101112131415161718192021222324252627282930[[#This Row],[نوع الخدمة]]="مخالفات", 50,
IF(Basic3456789101112131415161718192021222324252627282930[[#This Row],[نوع الخدمة]]="كاش ان",
    IF(F120&lt;=100, 18, IF(F120&lt;=250, 23, IF(F120&lt;=500, 35, IF(F120&lt;=1000, 40, F120*0.04)))),
IF(Basic3456789101112131415161718192021222324252627282930[[#This Row],[نوع الخدمة]]="كاش اوت",
    IF(F120&lt;=100, 15, IF(F120&lt;=250, 20, IF(F120&lt;=500, 30, IF(F120&lt;=1000, 35, F120*0.035)))),
0)))</f>
        <v>0</v>
      </c>
      <c r="H120" s="159">
        <f>IF(I120="مخالفات",50,Basic3456789101112131415161718192021222324252627282930[[#This Row],[قيمة الرسوم / العموله]]+Basic3456789101112131415161718192021222324252627282930[[#This Row],[قيمة الشحنه]])</f>
        <v>0</v>
      </c>
      <c r="I120" s="90"/>
      <c r="J120" s="142" t="str">
        <f t="shared" si="1"/>
        <v>3.5.2026</v>
      </c>
      <c r="L120" s="153">
        <v>109</v>
      </c>
      <c r="M120" s="92"/>
    </row>
    <row r="121" spans="1:13" ht="21.6" x14ac:dyDescent="0.65">
      <c r="A121" s="195"/>
      <c r="B121" s="144">
        <v>118</v>
      </c>
      <c r="C121" s="2"/>
      <c r="D121" s="1"/>
      <c r="E121" s="3"/>
      <c r="F121" s="1"/>
      <c r="G121" s="141">
        <f>IF(Basic3456789101112131415161718192021222324252627282930[[#This Row],[نوع الخدمة]]="مخالفات", 50,
IF(Basic3456789101112131415161718192021222324252627282930[[#This Row],[نوع الخدمة]]="كاش ان",
    IF(F121&lt;=100, 18, IF(F121&lt;=250, 23, IF(F121&lt;=500, 35, IF(F121&lt;=1000, 40, F121*0.04)))),
IF(Basic3456789101112131415161718192021222324252627282930[[#This Row],[نوع الخدمة]]="كاش اوت",
    IF(F121&lt;=100, 15, IF(F121&lt;=250, 20, IF(F121&lt;=500, 30, IF(F121&lt;=1000, 35, F121*0.035)))),
0)))</f>
        <v>0</v>
      </c>
      <c r="H121" s="159">
        <f>IF(I121="مخالفات",50,Basic3456789101112131415161718192021222324252627282930[[#This Row],[قيمة الرسوم / العموله]]+Basic3456789101112131415161718192021222324252627282930[[#This Row],[قيمة الشحنه]])</f>
        <v>0</v>
      </c>
      <c r="I121" s="90"/>
      <c r="J121" s="142" t="str">
        <f t="shared" si="1"/>
        <v>3.5.2026</v>
      </c>
      <c r="L121" s="153">
        <v>110</v>
      </c>
      <c r="M121" s="92"/>
    </row>
    <row r="122" spans="1:13" ht="21.6" x14ac:dyDescent="0.65">
      <c r="A122" s="195"/>
      <c r="B122" s="140">
        <v>119</v>
      </c>
      <c r="C122" s="2"/>
      <c r="D122" s="1"/>
      <c r="E122" s="3"/>
      <c r="F122" s="1"/>
      <c r="G122" s="141">
        <f>IF(Basic3456789101112131415161718192021222324252627282930[[#This Row],[نوع الخدمة]]="مخالفات", 50,
IF(Basic3456789101112131415161718192021222324252627282930[[#This Row],[نوع الخدمة]]="كاش ان",
    IF(F122&lt;=100, 18, IF(F122&lt;=250, 23, IF(F122&lt;=500, 35, IF(F122&lt;=1000, 40, F122*0.04)))),
IF(Basic3456789101112131415161718192021222324252627282930[[#This Row],[نوع الخدمة]]="كاش اوت",
    IF(F122&lt;=100, 15, IF(F122&lt;=250, 20, IF(F122&lt;=500, 30, IF(F122&lt;=1000, 35, F122*0.035)))),
0)))</f>
        <v>0</v>
      </c>
      <c r="H122" s="159">
        <f>IF(I122="مخالفات",50,Basic3456789101112131415161718192021222324252627282930[[#This Row],[قيمة الرسوم / العموله]]+Basic3456789101112131415161718192021222324252627282930[[#This Row],[قيمة الشحنه]])</f>
        <v>0</v>
      </c>
      <c r="I122" s="90"/>
      <c r="J122" s="142" t="str">
        <f t="shared" si="1"/>
        <v>3.5.2026</v>
      </c>
      <c r="L122" s="153">
        <v>111</v>
      </c>
      <c r="M122" s="92"/>
    </row>
    <row r="123" spans="1:13" ht="21.6" x14ac:dyDescent="0.65">
      <c r="A123" s="195"/>
      <c r="B123" s="140">
        <v>120</v>
      </c>
      <c r="C123" s="2"/>
      <c r="D123" s="1"/>
      <c r="E123" s="3"/>
      <c r="F123" s="1"/>
      <c r="G123" s="141">
        <f>IF(Basic3456789101112131415161718192021222324252627282930[[#This Row],[نوع الخدمة]]="مخالفات", 50,
IF(Basic3456789101112131415161718192021222324252627282930[[#This Row],[نوع الخدمة]]="كاش ان",
    IF(F123&lt;=100, 18, IF(F123&lt;=250, 23, IF(F123&lt;=500, 35, IF(F123&lt;=1000, 40, F123*0.04)))),
IF(Basic3456789101112131415161718192021222324252627282930[[#This Row],[نوع الخدمة]]="كاش اوت",
    IF(F123&lt;=100, 15, IF(F123&lt;=250, 20, IF(F123&lt;=500, 30, IF(F123&lt;=1000, 35, F123*0.035)))),
0)))</f>
        <v>0</v>
      </c>
      <c r="H123" s="159">
        <f>IF(I123="مخالفات",50,Basic3456789101112131415161718192021222324252627282930[[#This Row],[قيمة الرسوم / العموله]]+Basic3456789101112131415161718192021222324252627282930[[#This Row],[قيمة الشحنه]])</f>
        <v>0</v>
      </c>
      <c r="I123" s="90"/>
      <c r="J123" s="142" t="str">
        <f t="shared" si="1"/>
        <v>3.5.2026</v>
      </c>
      <c r="L123" s="153">
        <v>112</v>
      </c>
      <c r="M123" s="92"/>
    </row>
    <row r="124" spans="1:13" ht="21.6" x14ac:dyDescent="0.65">
      <c r="A124" s="195"/>
      <c r="B124" s="140">
        <v>121</v>
      </c>
      <c r="C124" s="2"/>
      <c r="D124" s="1"/>
      <c r="E124" s="3"/>
      <c r="F124" s="1"/>
      <c r="G124" s="141">
        <f>IF(Basic3456789101112131415161718192021222324252627282930[[#This Row],[نوع الخدمة]]="مخالفات", 50,
IF(Basic3456789101112131415161718192021222324252627282930[[#This Row],[نوع الخدمة]]="كاش ان",
    IF(F124&lt;=100, 18, IF(F124&lt;=250, 23, IF(F124&lt;=500, 35, IF(F124&lt;=1000, 40, F124*0.04)))),
IF(Basic3456789101112131415161718192021222324252627282930[[#This Row],[نوع الخدمة]]="كاش اوت",
    IF(F124&lt;=100, 15, IF(F124&lt;=250, 20, IF(F124&lt;=500, 30, IF(F124&lt;=1000, 35, F124*0.035)))),
0)))</f>
        <v>0</v>
      </c>
      <c r="H124" s="159">
        <f>IF(I124="مخالفات",50,Basic3456789101112131415161718192021222324252627282930[[#This Row],[قيمة الرسوم / العموله]]+Basic3456789101112131415161718192021222324252627282930[[#This Row],[قيمة الشحنه]])</f>
        <v>0</v>
      </c>
      <c r="I124" s="90"/>
      <c r="J124" s="142" t="str">
        <f t="shared" si="1"/>
        <v>3.5.2026</v>
      </c>
      <c r="L124" s="153">
        <v>113</v>
      </c>
      <c r="M124" s="92"/>
    </row>
    <row r="125" spans="1:13" ht="21.6" x14ac:dyDescent="0.65">
      <c r="A125" s="195"/>
      <c r="B125" s="144">
        <v>122</v>
      </c>
      <c r="C125" s="2"/>
      <c r="D125" s="1"/>
      <c r="E125" s="3"/>
      <c r="F125" s="1"/>
      <c r="G125" s="141">
        <f>IF(Basic3456789101112131415161718192021222324252627282930[[#This Row],[نوع الخدمة]]="مخالفات", 50,
IF(Basic3456789101112131415161718192021222324252627282930[[#This Row],[نوع الخدمة]]="كاش ان",
    IF(F125&lt;=100, 18, IF(F125&lt;=250, 23, IF(F125&lt;=500, 35, IF(F125&lt;=1000, 40, F125*0.04)))),
IF(Basic3456789101112131415161718192021222324252627282930[[#This Row],[نوع الخدمة]]="كاش اوت",
    IF(F125&lt;=100, 15, IF(F125&lt;=250, 20, IF(F125&lt;=500, 30, IF(F125&lt;=1000, 35, F125*0.035)))),
0)))</f>
        <v>0</v>
      </c>
      <c r="H125" s="159">
        <f>IF(I125="مخالفات",50,Basic3456789101112131415161718192021222324252627282930[[#This Row],[قيمة الرسوم / العموله]]+Basic3456789101112131415161718192021222324252627282930[[#This Row],[قيمة الشحنه]])</f>
        <v>0</v>
      </c>
      <c r="I125" s="90"/>
      <c r="J125" s="142" t="str">
        <f t="shared" si="1"/>
        <v>3.5.2026</v>
      </c>
      <c r="L125" s="153">
        <v>114</v>
      </c>
      <c r="M125" s="92"/>
    </row>
    <row r="126" spans="1:13" ht="21.6" x14ac:dyDescent="0.65">
      <c r="A126" s="195"/>
      <c r="B126" s="140">
        <v>123</v>
      </c>
      <c r="C126" s="2"/>
      <c r="D126" s="1"/>
      <c r="E126" s="3"/>
      <c r="F126" s="1"/>
      <c r="G126" s="141">
        <f>IF(Basic3456789101112131415161718192021222324252627282930[[#This Row],[نوع الخدمة]]="مخالفات", 50,
IF(Basic3456789101112131415161718192021222324252627282930[[#This Row],[نوع الخدمة]]="كاش ان",
    IF(F126&lt;=100, 18, IF(F126&lt;=250, 23, IF(F126&lt;=500, 35, IF(F126&lt;=1000, 40, F126*0.04)))),
IF(Basic3456789101112131415161718192021222324252627282930[[#This Row],[نوع الخدمة]]="كاش اوت",
    IF(F126&lt;=100, 15, IF(F126&lt;=250, 20, IF(F126&lt;=500, 30, IF(F126&lt;=1000, 35, F126*0.035)))),
0)))</f>
        <v>0</v>
      </c>
      <c r="H126" s="159">
        <f>IF(I126="مخالفات",50,Basic3456789101112131415161718192021222324252627282930[[#This Row],[قيمة الرسوم / العموله]]+Basic3456789101112131415161718192021222324252627282930[[#This Row],[قيمة الشحنه]])</f>
        <v>0</v>
      </c>
      <c r="I126" s="90"/>
      <c r="J126" s="142" t="str">
        <f t="shared" si="1"/>
        <v>3.5.2026</v>
      </c>
      <c r="L126" s="153">
        <v>115</v>
      </c>
      <c r="M126" s="92"/>
    </row>
    <row r="127" spans="1:13" ht="21.6" x14ac:dyDescent="0.65">
      <c r="A127" s="195"/>
      <c r="B127" s="140">
        <v>124</v>
      </c>
      <c r="C127" s="2"/>
      <c r="D127" s="1"/>
      <c r="E127" s="3"/>
      <c r="F127" s="1"/>
      <c r="G127" s="141">
        <f>IF(Basic3456789101112131415161718192021222324252627282930[[#This Row],[نوع الخدمة]]="مخالفات", 50,
IF(Basic3456789101112131415161718192021222324252627282930[[#This Row],[نوع الخدمة]]="كاش ان",
    IF(F127&lt;=100, 18, IF(F127&lt;=250, 23, IF(F127&lt;=500, 35, IF(F127&lt;=1000, 40, F127*0.04)))),
IF(Basic3456789101112131415161718192021222324252627282930[[#This Row],[نوع الخدمة]]="كاش اوت",
    IF(F127&lt;=100, 15, IF(F127&lt;=250, 20, IF(F127&lt;=500, 30, IF(F127&lt;=1000, 35, F127*0.035)))),
0)))</f>
        <v>0</v>
      </c>
      <c r="H127" s="159">
        <f>IF(I127="مخالفات",50,Basic3456789101112131415161718192021222324252627282930[[#This Row],[قيمة الرسوم / العموله]]+Basic3456789101112131415161718192021222324252627282930[[#This Row],[قيمة الشحنه]])</f>
        <v>0</v>
      </c>
      <c r="I127" s="90"/>
      <c r="J127" s="142" t="str">
        <f t="shared" si="1"/>
        <v>3.5.2026</v>
      </c>
      <c r="L127" s="153">
        <v>116</v>
      </c>
      <c r="M127" s="92"/>
    </row>
    <row r="128" spans="1:13" ht="21.6" x14ac:dyDescent="0.65">
      <c r="A128" s="195"/>
      <c r="B128" s="140">
        <v>125</v>
      </c>
      <c r="C128" s="2"/>
      <c r="D128" s="1"/>
      <c r="E128" s="3"/>
      <c r="F128" s="1"/>
      <c r="G128" s="141">
        <f>IF(Basic3456789101112131415161718192021222324252627282930[[#This Row],[نوع الخدمة]]="مخالفات", 50,
IF(Basic3456789101112131415161718192021222324252627282930[[#This Row],[نوع الخدمة]]="كاش ان",
    IF(F128&lt;=100, 18, IF(F128&lt;=250, 23, IF(F128&lt;=500, 35, IF(F128&lt;=1000, 40, F128*0.04)))),
IF(Basic3456789101112131415161718192021222324252627282930[[#This Row],[نوع الخدمة]]="كاش اوت",
    IF(F128&lt;=100, 15, IF(F128&lt;=250, 20, IF(F128&lt;=500, 30, IF(F128&lt;=1000, 35, F128*0.035)))),
0)))</f>
        <v>0</v>
      </c>
      <c r="H128" s="159">
        <f>IF(I128="مخالفات",50,Basic3456789101112131415161718192021222324252627282930[[#This Row],[قيمة الرسوم / العموله]]+Basic3456789101112131415161718192021222324252627282930[[#This Row],[قيمة الشحنه]])</f>
        <v>0</v>
      </c>
      <c r="I128" s="90"/>
      <c r="J128" s="142" t="str">
        <f t="shared" si="1"/>
        <v>3.5.2026</v>
      </c>
      <c r="L128" s="153">
        <v>117</v>
      </c>
      <c r="M128" s="92"/>
    </row>
    <row r="129" spans="1:13" ht="21.6" x14ac:dyDescent="0.65">
      <c r="A129" s="195"/>
      <c r="B129" s="144">
        <v>126</v>
      </c>
      <c r="C129" s="2"/>
      <c r="D129" s="1"/>
      <c r="E129" s="3"/>
      <c r="F129" s="1"/>
      <c r="G129" s="141">
        <f>IF(Basic3456789101112131415161718192021222324252627282930[[#This Row],[نوع الخدمة]]="مخالفات", 50,
IF(Basic3456789101112131415161718192021222324252627282930[[#This Row],[نوع الخدمة]]="كاش ان",
    IF(F129&lt;=100, 18, IF(F129&lt;=250, 23, IF(F129&lt;=500, 35, IF(F129&lt;=1000, 40, F129*0.04)))),
IF(Basic3456789101112131415161718192021222324252627282930[[#This Row],[نوع الخدمة]]="كاش اوت",
    IF(F129&lt;=100, 15, IF(F129&lt;=250, 20, IF(F129&lt;=500, 30, IF(F129&lt;=1000, 35, F129*0.035)))),
0)))</f>
        <v>0</v>
      </c>
      <c r="H129" s="159">
        <f>IF(I129="مخالفات",50,Basic3456789101112131415161718192021222324252627282930[[#This Row],[قيمة الرسوم / العموله]]+Basic3456789101112131415161718192021222324252627282930[[#This Row],[قيمة الشحنه]])</f>
        <v>0</v>
      </c>
      <c r="I129" s="90"/>
      <c r="J129" s="142" t="str">
        <f t="shared" si="1"/>
        <v>3.5.2026</v>
      </c>
      <c r="L129" s="153">
        <v>118</v>
      </c>
      <c r="M129" s="92"/>
    </row>
    <row r="130" spans="1:13" ht="21.6" x14ac:dyDescent="0.65">
      <c r="A130" s="195"/>
      <c r="B130" s="140">
        <v>127</v>
      </c>
      <c r="C130" s="2"/>
      <c r="D130" s="1"/>
      <c r="E130" s="3"/>
      <c r="F130" s="1"/>
      <c r="G130" s="141">
        <f>IF(Basic3456789101112131415161718192021222324252627282930[[#This Row],[نوع الخدمة]]="مخالفات", 50,
IF(Basic3456789101112131415161718192021222324252627282930[[#This Row],[نوع الخدمة]]="كاش ان",
    IF(F130&lt;=100, 18, IF(F130&lt;=250, 23, IF(F130&lt;=500, 35, IF(F130&lt;=1000, 40, F130*0.04)))),
IF(Basic3456789101112131415161718192021222324252627282930[[#This Row],[نوع الخدمة]]="كاش اوت",
    IF(F130&lt;=100, 15, IF(F130&lt;=250, 20, IF(F130&lt;=500, 30, IF(F130&lt;=1000, 35, F130*0.035)))),
0)))</f>
        <v>0</v>
      </c>
      <c r="H130" s="159">
        <f>IF(I130="مخالفات",50,Basic3456789101112131415161718192021222324252627282930[[#This Row],[قيمة الرسوم / العموله]]+Basic3456789101112131415161718192021222324252627282930[[#This Row],[قيمة الشحنه]])</f>
        <v>0</v>
      </c>
      <c r="I130" s="90"/>
      <c r="J130" s="142" t="str">
        <f t="shared" si="1"/>
        <v>3.5.2026</v>
      </c>
      <c r="L130" s="153">
        <v>119</v>
      </c>
      <c r="M130" s="92"/>
    </row>
    <row r="131" spans="1:13" ht="21.6" x14ac:dyDescent="0.65">
      <c r="A131" s="195"/>
      <c r="B131" s="140">
        <v>128</v>
      </c>
      <c r="C131" s="2"/>
      <c r="D131" s="1"/>
      <c r="E131" s="3"/>
      <c r="F131" s="1"/>
      <c r="G131" s="141">
        <f>IF(Basic3456789101112131415161718192021222324252627282930[[#This Row],[نوع الخدمة]]="مخالفات", 50,
IF(Basic3456789101112131415161718192021222324252627282930[[#This Row],[نوع الخدمة]]="كاش ان",
    IF(F131&lt;=100, 18, IF(F131&lt;=250, 23, IF(F131&lt;=500, 35, IF(F131&lt;=1000, 40, F131*0.04)))),
IF(Basic3456789101112131415161718192021222324252627282930[[#This Row],[نوع الخدمة]]="كاش اوت",
    IF(F131&lt;=100, 15, IF(F131&lt;=250, 20, IF(F131&lt;=500, 30, IF(F131&lt;=1000, 35, F131*0.035)))),
0)))</f>
        <v>0</v>
      </c>
      <c r="H131" s="159">
        <f>IF(I131="مخالفات",50,Basic3456789101112131415161718192021222324252627282930[[#This Row],[قيمة الرسوم / العموله]]+Basic3456789101112131415161718192021222324252627282930[[#This Row],[قيمة الشحنه]])</f>
        <v>0</v>
      </c>
      <c r="I131" s="90"/>
      <c r="J131" s="142" t="str">
        <f t="shared" si="1"/>
        <v>3.5.2026</v>
      </c>
      <c r="L131" s="153">
        <v>120</v>
      </c>
      <c r="M131" s="92"/>
    </row>
    <row r="132" spans="1:13" ht="21.6" x14ac:dyDescent="0.65">
      <c r="A132" s="195"/>
      <c r="B132" s="140">
        <v>129</v>
      </c>
      <c r="C132" s="2"/>
      <c r="D132" s="1"/>
      <c r="E132" s="3"/>
      <c r="F132" s="1"/>
      <c r="G132" s="141">
        <f>IF(Basic3456789101112131415161718192021222324252627282930[[#This Row],[نوع الخدمة]]="مخالفات", 50,
IF(Basic3456789101112131415161718192021222324252627282930[[#This Row],[نوع الخدمة]]="كاش ان",
    IF(F132&lt;=100, 18, IF(F132&lt;=250, 23, IF(F132&lt;=500, 35, IF(F132&lt;=1000, 40, F132*0.04)))),
IF(Basic3456789101112131415161718192021222324252627282930[[#This Row],[نوع الخدمة]]="كاش اوت",
    IF(F132&lt;=100, 15, IF(F132&lt;=250, 20, IF(F132&lt;=500, 30, IF(F132&lt;=1000, 35, F132*0.035)))),
0)))</f>
        <v>0</v>
      </c>
      <c r="H132" s="159">
        <f>IF(I132="مخالفات",50,Basic3456789101112131415161718192021222324252627282930[[#This Row],[قيمة الرسوم / العموله]]+Basic3456789101112131415161718192021222324252627282930[[#This Row],[قيمة الشحنه]])</f>
        <v>0</v>
      </c>
      <c r="I132" s="90"/>
      <c r="J132" s="142" t="str">
        <f t="shared" ref="J132:J195" si="2">M$3</f>
        <v>3.5.2026</v>
      </c>
      <c r="L132" s="153">
        <v>121</v>
      </c>
      <c r="M132" s="92"/>
    </row>
    <row r="133" spans="1:13" ht="21.6" x14ac:dyDescent="0.65">
      <c r="A133" s="195"/>
      <c r="B133" s="144">
        <v>130</v>
      </c>
      <c r="C133" s="2"/>
      <c r="D133" s="1"/>
      <c r="E133" s="3"/>
      <c r="F133" s="1"/>
      <c r="G133" s="141">
        <f>IF(Basic3456789101112131415161718192021222324252627282930[[#This Row],[نوع الخدمة]]="مخالفات", 50,
IF(Basic3456789101112131415161718192021222324252627282930[[#This Row],[نوع الخدمة]]="كاش ان",
    IF(F133&lt;=100, 18, IF(F133&lt;=250, 23, IF(F133&lt;=500, 35, IF(F133&lt;=1000, 40, F133*0.04)))),
IF(Basic3456789101112131415161718192021222324252627282930[[#This Row],[نوع الخدمة]]="كاش اوت",
    IF(F133&lt;=100, 15, IF(F133&lt;=250, 20, IF(F133&lt;=500, 30, IF(F133&lt;=1000, 35, F133*0.035)))),
0)))</f>
        <v>0</v>
      </c>
      <c r="H133" s="159">
        <f>IF(I133="مخالفات",50,Basic3456789101112131415161718192021222324252627282930[[#This Row],[قيمة الرسوم / العموله]]+Basic3456789101112131415161718192021222324252627282930[[#This Row],[قيمة الشحنه]])</f>
        <v>0</v>
      </c>
      <c r="I133" s="90"/>
      <c r="J133" s="142" t="str">
        <f t="shared" si="2"/>
        <v>3.5.2026</v>
      </c>
      <c r="L133" s="153">
        <v>122</v>
      </c>
      <c r="M133" s="92"/>
    </row>
    <row r="134" spans="1:13" ht="21.6" x14ac:dyDescent="0.65">
      <c r="A134" s="195"/>
      <c r="B134" s="140">
        <v>131</v>
      </c>
      <c r="C134" s="2"/>
      <c r="D134" s="1"/>
      <c r="E134" s="3"/>
      <c r="F134" s="1"/>
      <c r="G134" s="141">
        <f>IF(Basic3456789101112131415161718192021222324252627282930[[#This Row],[نوع الخدمة]]="مخالفات", 50,
IF(Basic3456789101112131415161718192021222324252627282930[[#This Row],[نوع الخدمة]]="كاش ان",
    IF(F134&lt;=100, 18, IF(F134&lt;=250, 23, IF(F134&lt;=500, 35, IF(F134&lt;=1000, 40, F134*0.04)))),
IF(Basic3456789101112131415161718192021222324252627282930[[#This Row],[نوع الخدمة]]="كاش اوت",
    IF(F134&lt;=100, 15, IF(F134&lt;=250, 20, IF(F134&lt;=500, 30, IF(F134&lt;=1000, 35, F134*0.035)))),
0)))</f>
        <v>0</v>
      </c>
      <c r="H134" s="159">
        <f>IF(I134="مخالفات",50,Basic3456789101112131415161718192021222324252627282930[[#This Row],[قيمة الرسوم / العموله]]+Basic3456789101112131415161718192021222324252627282930[[#This Row],[قيمة الشحنه]])</f>
        <v>0</v>
      </c>
      <c r="I134" s="90"/>
      <c r="J134" s="142" t="str">
        <f t="shared" si="2"/>
        <v>3.5.2026</v>
      </c>
      <c r="L134" s="153">
        <v>123</v>
      </c>
      <c r="M134" s="92"/>
    </row>
    <row r="135" spans="1:13" ht="21.6" x14ac:dyDescent="0.65">
      <c r="A135" s="195"/>
      <c r="B135" s="140">
        <v>132</v>
      </c>
      <c r="C135" s="2"/>
      <c r="D135" s="1"/>
      <c r="E135" s="3"/>
      <c r="F135" s="1"/>
      <c r="G135" s="141">
        <f>IF(Basic3456789101112131415161718192021222324252627282930[[#This Row],[نوع الخدمة]]="مخالفات", 50,
IF(Basic3456789101112131415161718192021222324252627282930[[#This Row],[نوع الخدمة]]="كاش ان",
    IF(F135&lt;=100, 18, IF(F135&lt;=250, 23, IF(F135&lt;=500, 35, IF(F135&lt;=1000, 40, F135*0.04)))),
IF(Basic3456789101112131415161718192021222324252627282930[[#This Row],[نوع الخدمة]]="كاش اوت",
    IF(F135&lt;=100, 15, IF(F135&lt;=250, 20, IF(F135&lt;=500, 30, IF(F135&lt;=1000, 35, F135*0.035)))),
0)))</f>
        <v>0</v>
      </c>
      <c r="H135" s="159">
        <f>IF(I135="مخالفات",50,Basic3456789101112131415161718192021222324252627282930[[#This Row],[قيمة الرسوم / العموله]]+Basic3456789101112131415161718192021222324252627282930[[#This Row],[قيمة الشحنه]])</f>
        <v>0</v>
      </c>
      <c r="I135" s="90"/>
      <c r="J135" s="142" t="str">
        <f t="shared" si="2"/>
        <v>3.5.2026</v>
      </c>
      <c r="L135" s="153">
        <v>124</v>
      </c>
      <c r="M135" s="92"/>
    </row>
    <row r="136" spans="1:13" ht="21.6" x14ac:dyDescent="0.65">
      <c r="A136" s="195"/>
      <c r="B136" s="140">
        <v>133</v>
      </c>
      <c r="C136" s="2"/>
      <c r="D136" s="1"/>
      <c r="E136" s="3"/>
      <c r="F136" s="1"/>
      <c r="G136" s="141">
        <f>IF(Basic3456789101112131415161718192021222324252627282930[[#This Row],[نوع الخدمة]]="مخالفات", 50,
IF(Basic3456789101112131415161718192021222324252627282930[[#This Row],[نوع الخدمة]]="كاش ان",
    IF(F136&lt;=100, 18, IF(F136&lt;=250, 23, IF(F136&lt;=500, 35, IF(F136&lt;=1000, 40, F136*0.04)))),
IF(Basic3456789101112131415161718192021222324252627282930[[#This Row],[نوع الخدمة]]="كاش اوت",
    IF(F136&lt;=100, 15, IF(F136&lt;=250, 20, IF(F136&lt;=500, 30, IF(F136&lt;=1000, 35, F136*0.035)))),
0)))</f>
        <v>0</v>
      </c>
      <c r="H136" s="159">
        <f>IF(I136="مخالفات",50,Basic3456789101112131415161718192021222324252627282930[[#This Row],[قيمة الرسوم / العموله]]+Basic3456789101112131415161718192021222324252627282930[[#This Row],[قيمة الشحنه]])</f>
        <v>0</v>
      </c>
      <c r="I136" s="90"/>
      <c r="J136" s="142" t="str">
        <f t="shared" si="2"/>
        <v>3.5.2026</v>
      </c>
      <c r="L136" s="153">
        <v>125</v>
      </c>
      <c r="M136" s="92"/>
    </row>
    <row r="137" spans="1:13" ht="21.6" x14ac:dyDescent="0.65">
      <c r="A137" s="195"/>
      <c r="B137" s="144">
        <v>134</v>
      </c>
      <c r="C137" s="2"/>
      <c r="D137" s="1"/>
      <c r="E137" s="3"/>
      <c r="F137" s="1"/>
      <c r="G137" s="141">
        <f>IF(Basic3456789101112131415161718192021222324252627282930[[#This Row],[نوع الخدمة]]="مخالفات", 50,
IF(Basic3456789101112131415161718192021222324252627282930[[#This Row],[نوع الخدمة]]="كاش ان",
    IF(F137&lt;=100, 18, IF(F137&lt;=250, 23, IF(F137&lt;=500, 35, IF(F137&lt;=1000, 40, F137*0.04)))),
IF(Basic3456789101112131415161718192021222324252627282930[[#This Row],[نوع الخدمة]]="كاش اوت",
    IF(F137&lt;=100, 15, IF(F137&lt;=250, 20, IF(F137&lt;=500, 30, IF(F137&lt;=1000, 35, F137*0.035)))),
0)))</f>
        <v>0</v>
      </c>
      <c r="H137" s="159">
        <f>IF(I137="مخالفات",50,Basic3456789101112131415161718192021222324252627282930[[#This Row],[قيمة الرسوم / العموله]]+Basic3456789101112131415161718192021222324252627282930[[#This Row],[قيمة الشحنه]])</f>
        <v>0</v>
      </c>
      <c r="I137" s="90"/>
      <c r="J137" s="142" t="str">
        <f t="shared" si="2"/>
        <v>3.5.2026</v>
      </c>
      <c r="L137" s="153">
        <v>126</v>
      </c>
      <c r="M137" s="92"/>
    </row>
    <row r="138" spans="1:13" ht="21.6" x14ac:dyDescent="0.65">
      <c r="A138" s="195"/>
      <c r="B138" s="140">
        <v>135</v>
      </c>
      <c r="C138" s="2"/>
      <c r="D138" s="1"/>
      <c r="E138" s="3"/>
      <c r="F138" s="1"/>
      <c r="G138" s="141">
        <f>IF(Basic3456789101112131415161718192021222324252627282930[[#This Row],[نوع الخدمة]]="مخالفات", 50,
IF(Basic3456789101112131415161718192021222324252627282930[[#This Row],[نوع الخدمة]]="كاش ان",
    IF(F138&lt;=100, 18, IF(F138&lt;=250, 23, IF(F138&lt;=500, 35, IF(F138&lt;=1000, 40, F138*0.04)))),
IF(Basic3456789101112131415161718192021222324252627282930[[#This Row],[نوع الخدمة]]="كاش اوت",
    IF(F138&lt;=100, 15, IF(F138&lt;=250, 20, IF(F138&lt;=500, 30, IF(F138&lt;=1000, 35, F138*0.035)))),
0)))</f>
        <v>0</v>
      </c>
      <c r="H138" s="159">
        <f>IF(I138="مخالفات",50,Basic3456789101112131415161718192021222324252627282930[[#This Row],[قيمة الرسوم / العموله]]+Basic3456789101112131415161718192021222324252627282930[[#This Row],[قيمة الشحنه]])</f>
        <v>0</v>
      </c>
      <c r="I138" s="90"/>
      <c r="J138" s="142" t="str">
        <f t="shared" si="2"/>
        <v>3.5.2026</v>
      </c>
      <c r="L138" s="153">
        <v>127</v>
      </c>
      <c r="M138" s="92"/>
    </row>
    <row r="139" spans="1:13" ht="21.6" x14ac:dyDescent="0.65">
      <c r="A139" s="195"/>
      <c r="B139" s="140">
        <v>136</v>
      </c>
      <c r="C139" s="2"/>
      <c r="D139" s="1"/>
      <c r="E139" s="3"/>
      <c r="F139" s="1"/>
      <c r="G139" s="141">
        <f>IF(Basic3456789101112131415161718192021222324252627282930[[#This Row],[نوع الخدمة]]="مخالفات", 50,
IF(Basic3456789101112131415161718192021222324252627282930[[#This Row],[نوع الخدمة]]="كاش ان",
    IF(F139&lt;=100, 18, IF(F139&lt;=250, 23, IF(F139&lt;=500, 35, IF(F139&lt;=1000, 40, F139*0.04)))),
IF(Basic3456789101112131415161718192021222324252627282930[[#This Row],[نوع الخدمة]]="كاش اوت",
    IF(F139&lt;=100, 15, IF(F139&lt;=250, 20, IF(F139&lt;=500, 30, IF(F139&lt;=1000, 35, F139*0.035)))),
0)))</f>
        <v>0</v>
      </c>
      <c r="H139" s="159">
        <f>IF(I139="مخالفات",50,Basic3456789101112131415161718192021222324252627282930[[#This Row],[قيمة الرسوم / العموله]]+Basic3456789101112131415161718192021222324252627282930[[#This Row],[قيمة الشحنه]])</f>
        <v>0</v>
      </c>
      <c r="I139" s="90"/>
      <c r="J139" s="142" t="str">
        <f t="shared" si="2"/>
        <v>3.5.2026</v>
      </c>
      <c r="L139" s="153">
        <v>128</v>
      </c>
      <c r="M139" s="92"/>
    </row>
    <row r="140" spans="1:13" ht="21.6" x14ac:dyDescent="0.65">
      <c r="A140" s="195"/>
      <c r="B140" s="140">
        <v>137</v>
      </c>
      <c r="C140" s="2"/>
      <c r="D140" s="1"/>
      <c r="E140" s="3"/>
      <c r="F140" s="1"/>
      <c r="G140" s="141">
        <f>IF(Basic3456789101112131415161718192021222324252627282930[[#This Row],[نوع الخدمة]]="مخالفات", 50,
IF(Basic3456789101112131415161718192021222324252627282930[[#This Row],[نوع الخدمة]]="كاش ان",
    IF(F140&lt;=100, 18, IF(F140&lt;=250, 23, IF(F140&lt;=500, 35, IF(F140&lt;=1000, 40, F140*0.04)))),
IF(Basic3456789101112131415161718192021222324252627282930[[#This Row],[نوع الخدمة]]="كاش اوت",
    IF(F140&lt;=100, 15, IF(F140&lt;=250, 20, IF(F140&lt;=500, 30, IF(F140&lt;=1000, 35, F140*0.035)))),
0)))</f>
        <v>0</v>
      </c>
      <c r="H140" s="159">
        <f>IF(I140="مخالفات",50,Basic3456789101112131415161718192021222324252627282930[[#This Row],[قيمة الرسوم / العموله]]+Basic3456789101112131415161718192021222324252627282930[[#This Row],[قيمة الشحنه]])</f>
        <v>0</v>
      </c>
      <c r="I140" s="90"/>
      <c r="J140" s="142" t="str">
        <f t="shared" si="2"/>
        <v>3.5.2026</v>
      </c>
      <c r="L140" s="153">
        <v>129</v>
      </c>
      <c r="M140" s="92"/>
    </row>
    <row r="141" spans="1:13" ht="21.6" x14ac:dyDescent="0.65">
      <c r="A141" s="195"/>
      <c r="B141" s="144">
        <v>138</v>
      </c>
      <c r="C141" s="2"/>
      <c r="D141" s="1"/>
      <c r="E141" s="3"/>
      <c r="F141" s="1"/>
      <c r="G141" s="141">
        <f>IF(Basic3456789101112131415161718192021222324252627282930[[#This Row],[نوع الخدمة]]="مخالفات", 50,
IF(Basic3456789101112131415161718192021222324252627282930[[#This Row],[نوع الخدمة]]="كاش ان",
    IF(F141&lt;=100, 18, IF(F141&lt;=250, 23, IF(F141&lt;=500, 35, IF(F141&lt;=1000, 40, F141*0.04)))),
IF(Basic3456789101112131415161718192021222324252627282930[[#This Row],[نوع الخدمة]]="كاش اوت",
    IF(F141&lt;=100, 15, IF(F141&lt;=250, 20, IF(F141&lt;=500, 30, IF(F141&lt;=1000, 35, F141*0.035)))),
0)))</f>
        <v>0</v>
      </c>
      <c r="H141" s="159">
        <f>IF(I141="مخالفات",50,Basic3456789101112131415161718192021222324252627282930[[#This Row],[قيمة الرسوم / العموله]]+Basic3456789101112131415161718192021222324252627282930[[#This Row],[قيمة الشحنه]])</f>
        <v>0</v>
      </c>
      <c r="I141" s="90"/>
      <c r="J141" s="142" t="str">
        <f t="shared" si="2"/>
        <v>3.5.2026</v>
      </c>
      <c r="L141" s="153">
        <v>130</v>
      </c>
      <c r="M141" s="92"/>
    </row>
    <row r="142" spans="1:13" ht="21.6" x14ac:dyDescent="0.65">
      <c r="A142" s="195"/>
      <c r="B142" s="140">
        <v>139</v>
      </c>
      <c r="C142" s="2"/>
      <c r="D142" s="1"/>
      <c r="E142" s="3"/>
      <c r="F142" s="1"/>
      <c r="G142" s="141">
        <f>IF(Basic3456789101112131415161718192021222324252627282930[[#This Row],[نوع الخدمة]]="مخالفات", 50,
IF(Basic3456789101112131415161718192021222324252627282930[[#This Row],[نوع الخدمة]]="كاش ان",
    IF(F142&lt;=100, 18, IF(F142&lt;=250, 23, IF(F142&lt;=500, 35, IF(F142&lt;=1000, 40, F142*0.04)))),
IF(Basic3456789101112131415161718192021222324252627282930[[#This Row],[نوع الخدمة]]="كاش اوت",
    IF(F142&lt;=100, 15, IF(F142&lt;=250, 20, IF(F142&lt;=500, 30, IF(F142&lt;=1000, 35, F142*0.035)))),
0)))</f>
        <v>0</v>
      </c>
      <c r="H142" s="159">
        <f>IF(I142="مخالفات",50,Basic3456789101112131415161718192021222324252627282930[[#This Row],[قيمة الرسوم / العموله]]+Basic3456789101112131415161718192021222324252627282930[[#This Row],[قيمة الشحنه]])</f>
        <v>0</v>
      </c>
      <c r="I142" s="90"/>
      <c r="J142" s="142" t="str">
        <f t="shared" si="2"/>
        <v>3.5.2026</v>
      </c>
      <c r="L142" s="153">
        <v>131</v>
      </c>
      <c r="M142" s="92"/>
    </row>
    <row r="143" spans="1:13" ht="21.6" x14ac:dyDescent="0.65">
      <c r="A143" s="195"/>
      <c r="B143" s="140">
        <v>140</v>
      </c>
      <c r="C143" s="2"/>
      <c r="D143" s="1"/>
      <c r="E143" s="3"/>
      <c r="F143" s="1"/>
      <c r="G143" s="141">
        <f>IF(Basic3456789101112131415161718192021222324252627282930[[#This Row],[نوع الخدمة]]="مخالفات", 50,
IF(Basic3456789101112131415161718192021222324252627282930[[#This Row],[نوع الخدمة]]="كاش ان",
    IF(F143&lt;=100, 18, IF(F143&lt;=250, 23, IF(F143&lt;=500, 35, IF(F143&lt;=1000, 40, F143*0.04)))),
IF(Basic3456789101112131415161718192021222324252627282930[[#This Row],[نوع الخدمة]]="كاش اوت",
    IF(F143&lt;=100, 15, IF(F143&lt;=250, 20, IF(F143&lt;=500, 30, IF(F143&lt;=1000, 35, F143*0.035)))),
0)))</f>
        <v>0</v>
      </c>
      <c r="H143" s="159">
        <f>IF(I143="مخالفات",50,Basic3456789101112131415161718192021222324252627282930[[#This Row],[قيمة الرسوم / العموله]]+Basic3456789101112131415161718192021222324252627282930[[#This Row],[قيمة الشحنه]])</f>
        <v>0</v>
      </c>
      <c r="I143" s="90"/>
      <c r="J143" s="142" t="str">
        <f t="shared" si="2"/>
        <v>3.5.2026</v>
      </c>
      <c r="L143" s="153">
        <v>132</v>
      </c>
      <c r="M143" s="92"/>
    </row>
    <row r="144" spans="1:13" ht="21.6" x14ac:dyDescent="0.65">
      <c r="A144" s="195"/>
      <c r="B144" s="140">
        <v>141</v>
      </c>
      <c r="C144" s="2"/>
      <c r="D144" s="1"/>
      <c r="E144" s="3"/>
      <c r="F144" s="1"/>
      <c r="G144" s="141">
        <f>IF(Basic3456789101112131415161718192021222324252627282930[[#This Row],[نوع الخدمة]]="مخالفات", 50,
IF(Basic3456789101112131415161718192021222324252627282930[[#This Row],[نوع الخدمة]]="كاش ان",
    IF(F144&lt;=100, 18, IF(F144&lt;=250, 23, IF(F144&lt;=500, 35, IF(F144&lt;=1000, 40, F144*0.04)))),
IF(Basic3456789101112131415161718192021222324252627282930[[#This Row],[نوع الخدمة]]="كاش اوت",
    IF(F144&lt;=100, 15, IF(F144&lt;=250, 20, IF(F144&lt;=500, 30, IF(F144&lt;=1000, 35, F144*0.035)))),
0)))</f>
        <v>0</v>
      </c>
      <c r="H144" s="159">
        <f>IF(I144="مخالفات",50,Basic3456789101112131415161718192021222324252627282930[[#This Row],[قيمة الرسوم / العموله]]+Basic3456789101112131415161718192021222324252627282930[[#This Row],[قيمة الشحنه]])</f>
        <v>0</v>
      </c>
      <c r="I144" s="90"/>
      <c r="J144" s="142" t="str">
        <f t="shared" si="2"/>
        <v>3.5.2026</v>
      </c>
      <c r="L144" s="153">
        <v>133</v>
      </c>
      <c r="M144" s="92"/>
    </row>
    <row r="145" spans="1:13" ht="21.6" x14ac:dyDescent="0.65">
      <c r="A145" s="195"/>
      <c r="B145" s="144">
        <v>142</v>
      </c>
      <c r="C145" s="2"/>
      <c r="D145" s="1"/>
      <c r="E145" s="3"/>
      <c r="F145" s="1"/>
      <c r="G145" s="141">
        <f>IF(Basic3456789101112131415161718192021222324252627282930[[#This Row],[نوع الخدمة]]="مخالفات", 50,
IF(Basic3456789101112131415161718192021222324252627282930[[#This Row],[نوع الخدمة]]="كاش ان",
    IF(F145&lt;=100, 18, IF(F145&lt;=250, 23, IF(F145&lt;=500, 35, IF(F145&lt;=1000, 40, F145*0.04)))),
IF(Basic3456789101112131415161718192021222324252627282930[[#This Row],[نوع الخدمة]]="كاش اوت",
    IF(F145&lt;=100, 15, IF(F145&lt;=250, 20, IF(F145&lt;=500, 30, IF(F145&lt;=1000, 35, F145*0.035)))),
0)))</f>
        <v>0</v>
      </c>
      <c r="H145" s="159">
        <f>IF(I145="مخالفات",50,Basic3456789101112131415161718192021222324252627282930[[#This Row],[قيمة الرسوم / العموله]]+Basic3456789101112131415161718192021222324252627282930[[#This Row],[قيمة الشحنه]])</f>
        <v>0</v>
      </c>
      <c r="I145" s="90"/>
      <c r="J145" s="142" t="str">
        <f t="shared" si="2"/>
        <v>3.5.2026</v>
      </c>
      <c r="L145" s="153">
        <v>134</v>
      </c>
      <c r="M145" s="92"/>
    </row>
    <row r="146" spans="1:13" ht="21.6" x14ac:dyDescent="0.65">
      <c r="A146" s="195"/>
      <c r="B146" s="140">
        <v>143</v>
      </c>
      <c r="C146" s="2"/>
      <c r="D146" s="1"/>
      <c r="E146" s="3"/>
      <c r="F146" s="1"/>
      <c r="G146" s="141">
        <f>IF(Basic3456789101112131415161718192021222324252627282930[[#This Row],[نوع الخدمة]]="مخالفات", 50,
IF(Basic3456789101112131415161718192021222324252627282930[[#This Row],[نوع الخدمة]]="كاش ان",
    IF(F146&lt;=100, 18, IF(F146&lt;=250, 23, IF(F146&lt;=500, 35, IF(F146&lt;=1000, 40, F146*0.04)))),
IF(Basic3456789101112131415161718192021222324252627282930[[#This Row],[نوع الخدمة]]="كاش اوت",
    IF(F146&lt;=100, 15, IF(F146&lt;=250, 20, IF(F146&lt;=500, 30, IF(F146&lt;=1000, 35, F146*0.035)))),
0)))</f>
        <v>0</v>
      </c>
      <c r="H146" s="159">
        <f>IF(I146="مخالفات",50,Basic3456789101112131415161718192021222324252627282930[[#This Row],[قيمة الرسوم / العموله]]+Basic3456789101112131415161718192021222324252627282930[[#This Row],[قيمة الشحنه]])</f>
        <v>0</v>
      </c>
      <c r="I146" s="90"/>
      <c r="J146" s="142" t="str">
        <f t="shared" si="2"/>
        <v>3.5.2026</v>
      </c>
      <c r="L146" s="153">
        <v>135</v>
      </c>
      <c r="M146" s="92"/>
    </row>
    <row r="147" spans="1:13" ht="21.6" x14ac:dyDescent="0.65">
      <c r="A147" s="195"/>
      <c r="B147" s="140">
        <v>144</v>
      </c>
      <c r="C147" s="2"/>
      <c r="D147" s="1"/>
      <c r="E147" s="3"/>
      <c r="F147" s="1"/>
      <c r="G147" s="141">
        <f>IF(Basic3456789101112131415161718192021222324252627282930[[#This Row],[نوع الخدمة]]="مخالفات", 50,
IF(Basic3456789101112131415161718192021222324252627282930[[#This Row],[نوع الخدمة]]="كاش ان",
    IF(F147&lt;=100, 18, IF(F147&lt;=250, 23, IF(F147&lt;=500, 35, IF(F147&lt;=1000, 40, F147*0.04)))),
IF(Basic3456789101112131415161718192021222324252627282930[[#This Row],[نوع الخدمة]]="كاش اوت",
    IF(F147&lt;=100, 15, IF(F147&lt;=250, 20, IF(F147&lt;=500, 30, IF(F147&lt;=1000, 35, F147*0.035)))),
0)))</f>
        <v>0</v>
      </c>
      <c r="H147" s="159">
        <f>IF(I147="مخالفات",50,Basic3456789101112131415161718192021222324252627282930[[#This Row],[قيمة الرسوم / العموله]]+Basic3456789101112131415161718192021222324252627282930[[#This Row],[قيمة الشحنه]])</f>
        <v>0</v>
      </c>
      <c r="I147" s="90"/>
      <c r="J147" s="142" t="str">
        <f t="shared" si="2"/>
        <v>3.5.2026</v>
      </c>
      <c r="L147" s="153">
        <v>136</v>
      </c>
      <c r="M147" s="92"/>
    </row>
    <row r="148" spans="1:13" ht="21.6" x14ac:dyDescent="0.65">
      <c r="A148" s="195"/>
      <c r="B148" s="140">
        <v>145</v>
      </c>
      <c r="C148" s="2"/>
      <c r="D148" s="1"/>
      <c r="E148" s="3"/>
      <c r="F148" s="1"/>
      <c r="G148" s="141">
        <f>IF(Basic3456789101112131415161718192021222324252627282930[[#This Row],[نوع الخدمة]]="مخالفات", 50,
IF(Basic3456789101112131415161718192021222324252627282930[[#This Row],[نوع الخدمة]]="كاش ان",
    IF(F148&lt;=100, 18, IF(F148&lt;=250, 23, IF(F148&lt;=500, 35, IF(F148&lt;=1000, 40, F148*0.04)))),
IF(Basic3456789101112131415161718192021222324252627282930[[#This Row],[نوع الخدمة]]="كاش اوت",
    IF(F148&lt;=100, 15, IF(F148&lt;=250, 20, IF(F148&lt;=500, 30, IF(F148&lt;=1000, 35, F148*0.035)))),
0)))</f>
        <v>0</v>
      </c>
      <c r="H148" s="159">
        <f>IF(I148="مخالفات",50,Basic3456789101112131415161718192021222324252627282930[[#This Row],[قيمة الرسوم / العموله]]+Basic3456789101112131415161718192021222324252627282930[[#This Row],[قيمة الشحنه]])</f>
        <v>0</v>
      </c>
      <c r="I148" s="90"/>
      <c r="J148" s="142" t="str">
        <f t="shared" si="2"/>
        <v>3.5.2026</v>
      </c>
      <c r="L148" s="153">
        <v>137</v>
      </c>
      <c r="M148" s="92"/>
    </row>
    <row r="149" spans="1:13" ht="21.6" x14ac:dyDescent="0.65">
      <c r="A149" s="195"/>
      <c r="B149" s="144">
        <v>146</v>
      </c>
      <c r="C149" s="2"/>
      <c r="D149" s="1"/>
      <c r="E149" s="3"/>
      <c r="F149" s="1"/>
      <c r="G149" s="141">
        <f>IF(Basic3456789101112131415161718192021222324252627282930[[#This Row],[نوع الخدمة]]="مخالفات", 50,
IF(Basic3456789101112131415161718192021222324252627282930[[#This Row],[نوع الخدمة]]="كاش ان",
    IF(F149&lt;=100, 18, IF(F149&lt;=250, 23, IF(F149&lt;=500, 35, IF(F149&lt;=1000, 40, F149*0.04)))),
IF(Basic3456789101112131415161718192021222324252627282930[[#This Row],[نوع الخدمة]]="كاش اوت",
    IF(F149&lt;=100, 15, IF(F149&lt;=250, 20, IF(F149&lt;=500, 30, IF(F149&lt;=1000, 35, F149*0.035)))),
0)))</f>
        <v>0</v>
      </c>
      <c r="H149" s="159">
        <f>IF(I149="مخالفات",50,Basic3456789101112131415161718192021222324252627282930[[#This Row],[قيمة الرسوم / العموله]]+Basic3456789101112131415161718192021222324252627282930[[#This Row],[قيمة الشحنه]])</f>
        <v>0</v>
      </c>
      <c r="I149" s="90"/>
      <c r="J149" s="142" t="str">
        <f t="shared" si="2"/>
        <v>3.5.2026</v>
      </c>
      <c r="L149" s="153">
        <v>138</v>
      </c>
      <c r="M149" s="92"/>
    </row>
    <row r="150" spans="1:13" ht="21.6" x14ac:dyDescent="0.65">
      <c r="A150" s="195"/>
      <c r="B150" s="140">
        <v>147</v>
      </c>
      <c r="C150" s="2"/>
      <c r="D150" s="1"/>
      <c r="E150" s="3"/>
      <c r="F150" s="1"/>
      <c r="G150" s="141">
        <f>IF(Basic3456789101112131415161718192021222324252627282930[[#This Row],[نوع الخدمة]]="مخالفات", 50,
IF(Basic3456789101112131415161718192021222324252627282930[[#This Row],[نوع الخدمة]]="كاش ان",
    IF(F150&lt;=100, 18, IF(F150&lt;=250, 23, IF(F150&lt;=500, 35, IF(F150&lt;=1000, 40, F150*0.04)))),
IF(Basic3456789101112131415161718192021222324252627282930[[#This Row],[نوع الخدمة]]="كاش اوت",
    IF(F150&lt;=100, 15, IF(F150&lt;=250, 20, IF(F150&lt;=500, 30, IF(F150&lt;=1000, 35, F150*0.035)))),
0)))</f>
        <v>0</v>
      </c>
      <c r="H150" s="159">
        <f>IF(I150="مخالفات",50,Basic3456789101112131415161718192021222324252627282930[[#This Row],[قيمة الرسوم / العموله]]+Basic3456789101112131415161718192021222324252627282930[[#This Row],[قيمة الشحنه]])</f>
        <v>0</v>
      </c>
      <c r="I150" s="90"/>
      <c r="J150" s="142" t="str">
        <f t="shared" si="2"/>
        <v>3.5.2026</v>
      </c>
      <c r="L150" s="153">
        <v>139</v>
      </c>
      <c r="M150" s="92"/>
    </row>
    <row r="151" spans="1:13" ht="21.6" x14ac:dyDescent="0.65">
      <c r="A151" s="195"/>
      <c r="B151" s="140">
        <v>148</v>
      </c>
      <c r="C151" s="2"/>
      <c r="D151" s="1"/>
      <c r="E151" s="3"/>
      <c r="F151" s="1"/>
      <c r="G151" s="141">
        <f>IF(Basic3456789101112131415161718192021222324252627282930[[#This Row],[نوع الخدمة]]="مخالفات", 50,
IF(Basic3456789101112131415161718192021222324252627282930[[#This Row],[نوع الخدمة]]="كاش ان",
    IF(F151&lt;=100, 18, IF(F151&lt;=250, 23, IF(F151&lt;=500, 35, IF(F151&lt;=1000, 40, F151*0.04)))),
IF(Basic3456789101112131415161718192021222324252627282930[[#This Row],[نوع الخدمة]]="كاش اوت",
    IF(F151&lt;=100, 15, IF(F151&lt;=250, 20, IF(F151&lt;=500, 30, IF(F151&lt;=1000, 35, F151*0.035)))),
0)))</f>
        <v>0</v>
      </c>
      <c r="H151" s="159">
        <f>IF(I151="مخالفات",50,Basic3456789101112131415161718192021222324252627282930[[#This Row],[قيمة الرسوم / العموله]]+Basic3456789101112131415161718192021222324252627282930[[#This Row],[قيمة الشحنه]])</f>
        <v>0</v>
      </c>
      <c r="I151" s="90"/>
      <c r="J151" s="142" t="str">
        <f t="shared" si="2"/>
        <v>3.5.2026</v>
      </c>
      <c r="L151" s="153">
        <v>140</v>
      </c>
      <c r="M151" s="92"/>
    </row>
    <row r="152" spans="1:13" ht="21.6" x14ac:dyDescent="0.65">
      <c r="A152" s="195"/>
      <c r="B152" s="140">
        <v>149</v>
      </c>
      <c r="C152" s="2"/>
      <c r="D152" s="1"/>
      <c r="E152" s="3"/>
      <c r="F152" s="1"/>
      <c r="G152" s="141">
        <f>IF(Basic3456789101112131415161718192021222324252627282930[[#This Row],[نوع الخدمة]]="مخالفات", 50,
IF(Basic3456789101112131415161718192021222324252627282930[[#This Row],[نوع الخدمة]]="كاش ان",
    IF(F152&lt;=100, 18, IF(F152&lt;=250, 23, IF(F152&lt;=500, 35, IF(F152&lt;=1000, 40, F152*0.04)))),
IF(Basic3456789101112131415161718192021222324252627282930[[#This Row],[نوع الخدمة]]="كاش اوت",
    IF(F152&lt;=100, 15, IF(F152&lt;=250, 20, IF(F152&lt;=500, 30, IF(F152&lt;=1000, 35, F152*0.035)))),
0)))</f>
        <v>0</v>
      </c>
      <c r="H152" s="159">
        <f>IF(I152="مخالفات",50,Basic3456789101112131415161718192021222324252627282930[[#This Row],[قيمة الرسوم / العموله]]+Basic3456789101112131415161718192021222324252627282930[[#This Row],[قيمة الشحنه]])</f>
        <v>0</v>
      </c>
      <c r="I152" s="90"/>
      <c r="J152" s="142" t="str">
        <f t="shared" si="2"/>
        <v>3.5.2026</v>
      </c>
      <c r="L152" s="153">
        <v>141</v>
      </c>
      <c r="M152" s="92"/>
    </row>
    <row r="153" spans="1:13" ht="21.6" x14ac:dyDescent="0.65">
      <c r="A153" s="195"/>
      <c r="B153" s="144">
        <v>150</v>
      </c>
      <c r="C153" s="2"/>
      <c r="D153" s="1"/>
      <c r="E153" s="3"/>
      <c r="F153" s="1"/>
      <c r="G153" s="141">
        <f>IF(Basic3456789101112131415161718192021222324252627282930[[#This Row],[نوع الخدمة]]="مخالفات", 50,
IF(Basic3456789101112131415161718192021222324252627282930[[#This Row],[نوع الخدمة]]="كاش ان",
    IF(F153&lt;=100, 18, IF(F153&lt;=250, 23, IF(F153&lt;=500, 35, IF(F153&lt;=1000, 40, F153*0.04)))),
IF(Basic3456789101112131415161718192021222324252627282930[[#This Row],[نوع الخدمة]]="كاش اوت",
    IF(F153&lt;=100, 15, IF(F153&lt;=250, 20, IF(F153&lt;=500, 30, IF(F153&lt;=1000, 35, F153*0.035)))),
0)))</f>
        <v>0</v>
      </c>
      <c r="H153" s="159">
        <f>IF(I153="مخالفات",50,Basic3456789101112131415161718192021222324252627282930[[#This Row],[قيمة الرسوم / العموله]]+Basic3456789101112131415161718192021222324252627282930[[#This Row],[قيمة الشحنه]])</f>
        <v>0</v>
      </c>
      <c r="I153" s="90"/>
      <c r="J153" s="142" t="str">
        <f t="shared" si="2"/>
        <v>3.5.2026</v>
      </c>
      <c r="L153" s="153">
        <v>142</v>
      </c>
      <c r="M153" s="92"/>
    </row>
    <row r="154" spans="1:13" ht="21.6" x14ac:dyDescent="0.65">
      <c r="A154" s="195"/>
      <c r="B154" s="140">
        <v>151</v>
      </c>
      <c r="C154" s="2"/>
      <c r="D154" s="1"/>
      <c r="E154" s="3"/>
      <c r="F154" s="1"/>
      <c r="G154" s="141">
        <f>IF(Basic3456789101112131415161718192021222324252627282930[[#This Row],[نوع الخدمة]]="مخالفات", 50,
IF(Basic3456789101112131415161718192021222324252627282930[[#This Row],[نوع الخدمة]]="كاش ان",
    IF(F154&lt;=100, 18, IF(F154&lt;=250, 23, IF(F154&lt;=500, 35, IF(F154&lt;=1000, 40, F154*0.04)))),
IF(Basic3456789101112131415161718192021222324252627282930[[#This Row],[نوع الخدمة]]="كاش اوت",
    IF(F154&lt;=100, 15, IF(F154&lt;=250, 20, IF(F154&lt;=500, 30, IF(F154&lt;=1000, 35, F154*0.035)))),
0)))</f>
        <v>0</v>
      </c>
      <c r="H154" s="159">
        <f>IF(I154="مخالفات",50,Basic3456789101112131415161718192021222324252627282930[[#This Row],[قيمة الرسوم / العموله]]+Basic3456789101112131415161718192021222324252627282930[[#This Row],[قيمة الشحنه]])</f>
        <v>0</v>
      </c>
      <c r="I154" s="90"/>
      <c r="J154" s="142" t="str">
        <f t="shared" si="2"/>
        <v>3.5.2026</v>
      </c>
      <c r="L154" s="153">
        <v>143</v>
      </c>
      <c r="M154" s="92"/>
    </row>
    <row r="155" spans="1:13" ht="21.6" x14ac:dyDescent="0.65">
      <c r="A155" s="195"/>
      <c r="B155" s="140">
        <v>152</v>
      </c>
      <c r="C155" s="2"/>
      <c r="D155" s="1"/>
      <c r="E155" s="3"/>
      <c r="F155" s="1"/>
      <c r="G155" s="141">
        <f>IF(Basic3456789101112131415161718192021222324252627282930[[#This Row],[نوع الخدمة]]="مخالفات", 50,
IF(Basic3456789101112131415161718192021222324252627282930[[#This Row],[نوع الخدمة]]="كاش ان",
    IF(F155&lt;=100, 18, IF(F155&lt;=250, 23, IF(F155&lt;=500, 35, IF(F155&lt;=1000, 40, F155*0.04)))),
IF(Basic3456789101112131415161718192021222324252627282930[[#This Row],[نوع الخدمة]]="كاش اوت",
    IF(F155&lt;=100, 15, IF(F155&lt;=250, 20, IF(F155&lt;=500, 30, IF(F155&lt;=1000, 35, F155*0.035)))),
0)))</f>
        <v>0</v>
      </c>
      <c r="H155" s="159">
        <f>IF(I155="مخالفات",50,Basic3456789101112131415161718192021222324252627282930[[#This Row],[قيمة الرسوم / العموله]]+Basic3456789101112131415161718192021222324252627282930[[#This Row],[قيمة الشحنه]])</f>
        <v>0</v>
      </c>
      <c r="I155" s="90"/>
      <c r="J155" s="142" t="str">
        <f t="shared" si="2"/>
        <v>3.5.2026</v>
      </c>
      <c r="L155" s="153">
        <v>144</v>
      </c>
      <c r="M155" s="92"/>
    </row>
    <row r="156" spans="1:13" ht="21.6" x14ac:dyDescent="0.65">
      <c r="A156" s="195"/>
      <c r="B156" s="140">
        <v>153</v>
      </c>
      <c r="C156" s="2"/>
      <c r="D156" s="1"/>
      <c r="E156" s="3"/>
      <c r="F156" s="1"/>
      <c r="G156" s="141">
        <f>IF(Basic3456789101112131415161718192021222324252627282930[[#This Row],[نوع الخدمة]]="مخالفات", 50,
IF(Basic3456789101112131415161718192021222324252627282930[[#This Row],[نوع الخدمة]]="كاش ان",
    IF(F156&lt;=100, 18, IF(F156&lt;=250, 23, IF(F156&lt;=500, 35, IF(F156&lt;=1000, 40, F156*0.04)))),
IF(Basic3456789101112131415161718192021222324252627282930[[#This Row],[نوع الخدمة]]="كاش اوت",
    IF(F156&lt;=100, 15, IF(F156&lt;=250, 20, IF(F156&lt;=500, 30, IF(F156&lt;=1000, 35, F156*0.035)))),
0)))</f>
        <v>0</v>
      </c>
      <c r="H156" s="159">
        <f>IF(I156="مخالفات",50,Basic3456789101112131415161718192021222324252627282930[[#This Row],[قيمة الرسوم / العموله]]+Basic3456789101112131415161718192021222324252627282930[[#This Row],[قيمة الشحنه]])</f>
        <v>0</v>
      </c>
      <c r="I156" s="90"/>
      <c r="J156" s="142" t="str">
        <f t="shared" si="2"/>
        <v>3.5.2026</v>
      </c>
      <c r="L156" s="153">
        <v>145</v>
      </c>
      <c r="M156" s="92"/>
    </row>
    <row r="157" spans="1:13" ht="21.6" x14ac:dyDescent="0.65">
      <c r="A157" s="195"/>
      <c r="B157" s="144">
        <v>154</v>
      </c>
      <c r="C157" s="2"/>
      <c r="D157" s="1"/>
      <c r="E157" s="3"/>
      <c r="F157" s="1"/>
      <c r="G157" s="141">
        <f>IF(Basic3456789101112131415161718192021222324252627282930[[#This Row],[نوع الخدمة]]="مخالفات", 50,
IF(Basic3456789101112131415161718192021222324252627282930[[#This Row],[نوع الخدمة]]="كاش ان",
    IF(F157&lt;=100, 18, IF(F157&lt;=250, 23, IF(F157&lt;=500, 35, IF(F157&lt;=1000, 40, F157*0.04)))),
IF(Basic3456789101112131415161718192021222324252627282930[[#This Row],[نوع الخدمة]]="كاش اوت",
    IF(F157&lt;=100, 15, IF(F157&lt;=250, 20, IF(F157&lt;=500, 30, IF(F157&lt;=1000, 35, F157*0.035)))),
0)))</f>
        <v>0</v>
      </c>
      <c r="H157" s="159">
        <f>IF(I157="مخالفات",50,Basic3456789101112131415161718192021222324252627282930[[#This Row],[قيمة الرسوم / العموله]]+Basic3456789101112131415161718192021222324252627282930[[#This Row],[قيمة الشحنه]])</f>
        <v>0</v>
      </c>
      <c r="I157" s="90"/>
      <c r="J157" s="142" t="str">
        <f t="shared" si="2"/>
        <v>3.5.2026</v>
      </c>
      <c r="L157" s="153">
        <v>146</v>
      </c>
      <c r="M157" s="92"/>
    </row>
    <row r="158" spans="1:13" ht="21.6" x14ac:dyDescent="0.65">
      <c r="A158" s="195"/>
      <c r="B158" s="140">
        <v>155</v>
      </c>
      <c r="C158" s="2"/>
      <c r="D158" s="1"/>
      <c r="E158" s="3"/>
      <c r="F158" s="1"/>
      <c r="G158" s="141">
        <f>IF(Basic3456789101112131415161718192021222324252627282930[[#This Row],[نوع الخدمة]]="مخالفات", 50,
IF(Basic3456789101112131415161718192021222324252627282930[[#This Row],[نوع الخدمة]]="كاش ان",
    IF(F158&lt;=100, 18, IF(F158&lt;=250, 23, IF(F158&lt;=500, 35, IF(F158&lt;=1000, 40, F158*0.04)))),
IF(Basic3456789101112131415161718192021222324252627282930[[#This Row],[نوع الخدمة]]="كاش اوت",
    IF(F158&lt;=100, 15, IF(F158&lt;=250, 20, IF(F158&lt;=500, 30, IF(F158&lt;=1000, 35, F158*0.035)))),
0)))</f>
        <v>0</v>
      </c>
      <c r="H158" s="159">
        <f>IF(I158="مخالفات",50,Basic3456789101112131415161718192021222324252627282930[[#This Row],[قيمة الرسوم / العموله]]+Basic3456789101112131415161718192021222324252627282930[[#This Row],[قيمة الشحنه]])</f>
        <v>0</v>
      </c>
      <c r="I158" s="90"/>
      <c r="J158" s="142" t="str">
        <f t="shared" si="2"/>
        <v>3.5.2026</v>
      </c>
      <c r="L158" s="153">
        <v>147</v>
      </c>
      <c r="M158" s="92"/>
    </row>
    <row r="159" spans="1:13" ht="21.6" x14ac:dyDescent="0.65">
      <c r="A159" s="195"/>
      <c r="B159" s="140">
        <v>156</v>
      </c>
      <c r="C159" s="2"/>
      <c r="D159" s="1"/>
      <c r="E159" s="3"/>
      <c r="F159" s="1"/>
      <c r="G159" s="141">
        <f>IF(Basic3456789101112131415161718192021222324252627282930[[#This Row],[نوع الخدمة]]="مخالفات", 50,
IF(Basic3456789101112131415161718192021222324252627282930[[#This Row],[نوع الخدمة]]="كاش ان",
    IF(F159&lt;=100, 18, IF(F159&lt;=250, 23, IF(F159&lt;=500, 35, IF(F159&lt;=1000, 40, F159*0.04)))),
IF(Basic3456789101112131415161718192021222324252627282930[[#This Row],[نوع الخدمة]]="كاش اوت",
    IF(F159&lt;=100, 15, IF(F159&lt;=250, 20, IF(F159&lt;=500, 30, IF(F159&lt;=1000, 35, F159*0.035)))),
0)))</f>
        <v>0</v>
      </c>
      <c r="H159" s="159">
        <f>IF(I159="مخالفات",50,Basic3456789101112131415161718192021222324252627282930[[#This Row],[قيمة الرسوم / العموله]]+Basic3456789101112131415161718192021222324252627282930[[#This Row],[قيمة الشحنه]])</f>
        <v>0</v>
      </c>
      <c r="I159" s="90"/>
      <c r="J159" s="142" t="str">
        <f t="shared" si="2"/>
        <v>3.5.2026</v>
      </c>
      <c r="L159" s="153">
        <v>148</v>
      </c>
      <c r="M159" s="92"/>
    </row>
    <row r="160" spans="1:13" ht="21.6" x14ac:dyDescent="0.65">
      <c r="A160" s="195"/>
      <c r="B160" s="140">
        <v>157</v>
      </c>
      <c r="C160" s="2"/>
      <c r="D160" s="1"/>
      <c r="E160" s="3"/>
      <c r="F160" s="1"/>
      <c r="G160" s="141">
        <f>IF(Basic3456789101112131415161718192021222324252627282930[[#This Row],[نوع الخدمة]]="مخالفات", 50,
IF(Basic3456789101112131415161718192021222324252627282930[[#This Row],[نوع الخدمة]]="كاش ان",
    IF(F160&lt;=100, 18, IF(F160&lt;=250, 23, IF(F160&lt;=500, 35, IF(F160&lt;=1000, 40, F160*0.04)))),
IF(Basic3456789101112131415161718192021222324252627282930[[#This Row],[نوع الخدمة]]="كاش اوت",
    IF(F160&lt;=100, 15, IF(F160&lt;=250, 20, IF(F160&lt;=500, 30, IF(F160&lt;=1000, 35, F160*0.035)))),
0)))</f>
        <v>0</v>
      </c>
      <c r="H160" s="159">
        <f>IF(I160="مخالفات",50,Basic3456789101112131415161718192021222324252627282930[[#This Row],[قيمة الرسوم / العموله]]+Basic3456789101112131415161718192021222324252627282930[[#This Row],[قيمة الشحنه]])</f>
        <v>0</v>
      </c>
      <c r="I160" s="90"/>
      <c r="J160" s="142" t="str">
        <f t="shared" si="2"/>
        <v>3.5.2026</v>
      </c>
      <c r="L160" s="153">
        <v>149</v>
      </c>
      <c r="M160" s="92"/>
    </row>
    <row r="161" spans="1:13" ht="21.6" x14ac:dyDescent="0.65">
      <c r="A161" s="195"/>
      <c r="B161" s="144">
        <v>158</v>
      </c>
      <c r="C161" s="2"/>
      <c r="D161" s="1"/>
      <c r="E161" s="3"/>
      <c r="F161" s="1"/>
      <c r="G161" s="141">
        <f>IF(Basic3456789101112131415161718192021222324252627282930[[#This Row],[نوع الخدمة]]="مخالفات", 50,
IF(Basic3456789101112131415161718192021222324252627282930[[#This Row],[نوع الخدمة]]="كاش ان",
    IF(F161&lt;=100, 18, IF(F161&lt;=250, 23, IF(F161&lt;=500, 35, IF(F161&lt;=1000, 40, F161*0.04)))),
IF(Basic3456789101112131415161718192021222324252627282930[[#This Row],[نوع الخدمة]]="كاش اوت",
    IF(F161&lt;=100, 15, IF(F161&lt;=250, 20, IF(F161&lt;=500, 30, IF(F161&lt;=1000, 35, F161*0.035)))),
0)))</f>
        <v>0</v>
      </c>
      <c r="H161" s="159">
        <f>IF(I161="مخالفات",50,Basic3456789101112131415161718192021222324252627282930[[#This Row],[قيمة الرسوم / العموله]]+Basic3456789101112131415161718192021222324252627282930[[#This Row],[قيمة الشحنه]])</f>
        <v>0</v>
      </c>
      <c r="I161" s="90"/>
      <c r="J161" s="142" t="str">
        <f t="shared" si="2"/>
        <v>3.5.2026</v>
      </c>
      <c r="L161" s="153">
        <v>150</v>
      </c>
      <c r="M161" s="92"/>
    </row>
    <row r="162" spans="1:13" ht="21.6" x14ac:dyDescent="0.65">
      <c r="A162" s="195"/>
      <c r="B162" s="140">
        <v>159</v>
      </c>
      <c r="C162" s="2"/>
      <c r="D162" s="1"/>
      <c r="E162" s="3"/>
      <c r="F162" s="1"/>
      <c r="G162" s="141">
        <f>IF(Basic3456789101112131415161718192021222324252627282930[[#This Row],[نوع الخدمة]]="مخالفات", 50,
IF(Basic3456789101112131415161718192021222324252627282930[[#This Row],[نوع الخدمة]]="كاش ان",
    IF(F162&lt;=100, 18, IF(F162&lt;=250, 23, IF(F162&lt;=500, 35, IF(F162&lt;=1000, 40, F162*0.04)))),
IF(Basic3456789101112131415161718192021222324252627282930[[#This Row],[نوع الخدمة]]="كاش اوت",
    IF(F162&lt;=100, 15, IF(F162&lt;=250, 20, IF(F162&lt;=500, 30, IF(F162&lt;=1000, 35, F162*0.035)))),
0)))</f>
        <v>0</v>
      </c>
      <c r="H162" s="159">
        <f>IF(I162="مخالفات",50,Basic3456789101112131415161718192021222324252627282930[[#This Row],[قيمة الرسوم / العموله]]+Basic3456789101112131415161718192021222324252627282930[[#This Row],[قيمة الشحنه]])</f>
        <v>0</v>
      </c>
      <c r="I162" s="90"/>
      <c r="J162" s="142" t="str">
        <f t="shared" si="2"/>
        <v>3.5.2026</v>
      </c>
      <c r="L162" s="153">
        <v>151</v>
      </c>
      <c r="M162" s="92"/>
    </row>
    <row r="163" spans="1:13" ht="21.6" x14ac:dyDescent="0.65">
      <c r="A163" s="195"/>
      <c r="B163" s="140">
        <v>160</v>
      </c>
      <c r="C163" s="2"/>
      <c r="D163" s="1"/>
      <c r="E163" s="3"/>
      <c r="F163" s="1"/>
      <c r="G163" s="141">
        <f>IF(Basic3456789101112131415161718192021222324252627282930[[#This Row],[نوع الخدمة]]="مخالفات", 50,
IF(Basic3456789101112131415161718192021222324252627282930[[#This Row],[نوع الخدمة]]="كاش ان",
    IF(F163&lt;=100, 18, IF(F163&lt;=250, 23, IF(F163&lt;=500, 35, IF(F163&lt;=1000, 40, F163*0.04)))),
IF(Basic3456789101112131415161718192021222324252627282930[[#This Row],[نوع الخدمة]]="كاش اوت",
    IF(F163&lt;=100, 15, IF(F163&lt;=250, 20, IF(F163&lt;=500, 30, IF(F163&lt;=1000, 35, F163*0.035)))),
0)))</f>
        <v>0</v>
      </c>
      <c r="H163" s="159">
        <f>IF(I163="مخالفات",50,Basic3456789101112131415161718192021222324252627282930[[#This Row],[قيمة الرسوم / العموله]]+Basic3456789101112131415161718192021222324252627282930[[#This Row],[قيمة الشحنه]])</f>
        <v>0</v>
      </c>
      <c r="I163" s="90"/>
      <c r="J163" s="142" t="str">
        <f t="shared" si="2"/>
        <v>3.5.2026</v>
      </c>
      <c r="L163" s="153">
        <v>152</v>
      </c>
      <c r="M163" s="92"/>
    </row>
    <row r="164" spans="1:13" ht="21.6" x14ac:dyDescent="0.65">
      <c r="A164" s="195"/>
      <c r="B164" s="140">
        <v>161</v>
      </c>
      <c r="C164" s="2"/>
      <c r="D164" s="1"/>
      <c r="E164" s="3"/>
      <c r="F164" s="1"/>
      <c r="G164" s="141">
        <f>IF(Basic3456789101112131415161718192021222324252627282930[[#This Row],[نوع الخدمة]]="مخالفات", 50,
IF(Basic3456789101112131415161718192021222324252627282930[[#This Row],[نوع الخدمة]]="كاش ان",
    IF(F164&lt;=100, 18, IF(F164&lt;=250, 23, IF(F164&lt;=500, 35, IF(F164&lt;=1000, 40, F164*0.04)))),
IF(Basic3456789101112131415161718192021222324252627282930[[#This Row],[نوع الخدمة]]="كاش اوت",
    IF(F164&lt;=100, 15, IF(F164&lt;=250, 20, IF(F164&lt;=500, 30, IF(F164&lt;=1000, 35, F164*0.035)))),
0)))</f>
        <v>0</v>
      </c>
      <c r="H164" s="159">
        <f>IF(I164="مخالفات",50,Basic3456789101112131415161718192021222324252627282930[[#This Row],[قيمة الرسوم / العموله]]+Basic3456789101112131415161718192021222324252627282930[[#This Row],[قيمة الشحنه]])</f>
        <v>0</v>
      </c>
      <c r="I164" s="90"/>
      <c r="J164" s="142" t="str">
        <f t="shared" si="2"/>
        <v>3.5.2026</v>
      </c>
      <c r="L164" s="153">
        <v>153</v>
      </c>
      <c r="M164" s="92"/>
    </row>
    <row r="165" spans="1:13" ht="21.6" x14ac:dyDescent="0.65">
      <c r="A165" s="195"/>
      <c r="B165" s="144">
        <v>162</v>
      </c>
      <c r="C165" s="2"/>
      <c r="D165" s="1"/>
      <c r="E165" s="3"/>
      <c r="F165" s="1"/>
      <c r="G165" s="141">
        <f>IF(Basic3456789101112131415161718192021222324252627282930[[#This Row],[نوع الخدمة]]="مخالفات", 50,
IF(Basic3456789101112131415161718192021222324252627282930[[#This Row],[نوع الخدمة]]="كاش ان",
    IF(F165&lt;=100, 18, IF(F165&lt;=250, 23, IF(F165&lt;=500, 35, IF(F165&lt;=1000, 40, F165*0.04)))),
IF(Basic3456789101112131415161718192021222324252627282930[[#This Row],[نوع الخدمة]]="كاش اوت",
    IF(F165&lt;=100, 15, IF(F165&lt;=250, 20, IF(F165&lt;=500, 30, IF(F165&lt;=1000, 35, F165*0.035)))),
0)))</f>
        <v>0</v>
      </c>
      <c r="H165" s="159">
        <f>IF(I165="مخالفات",50,Basic3456789101112131415161718192021222324252627282930[[#This Row],[قيمة الرسوم / العموله]]+Basic3456789101112131415161718192021222324252627282930[[#This Row],[قيمة الشحنه]])</f>
        <v>0</v>
      </c>
      <c r="I165" s="90"/>
      <c r="J165" s="142" t="str">
        <f t="shared" si="2"/>
        <v>3.5.2026</v>
      </c>
      <c r="L165" s="153">
        <v>154</v>
      </c>
      <c r="M165" s="92"/>
    </row>
    <row r="166" spans="1:13" ht="21.6" x14ac:dyDescent="0.65">
      <c r="A166" s="195"/>
      <c r="B166" s="140">
        <v>163</v>
      </c>
      <c r="C166" s="2"/>
      <c r="D166" s="1"/>
      <c r="E166" s="3"/>
      <c r="F166" s="1"/>
      <c r="G166" s="141">
        <f>IF(Basic3456789101112131415161718192021222324252627282930[[#This Row],[نوع الخدمة]]="مخالفات", 50,
IF(Basic3456789101112131415161718192021222324252627282930[[#This Row],[نوع الخدمة]]="كاش ان",
    IF(F166&lt;=100, 18, IF(F166&lt;=250, 23, IF(F166&lt;=500, 35, IF(F166&lt;=1000, 40, F166*0.04)))),
IF(Basic3456789101112131415161718192021222324252627282930[[#This Row],[نوع الخدمة]]="كاش اوت",
    IF(F166&lt;=100, 15, IF(F166&lt;=250, 20, IF(F166&lt;=500, 30, IF(F166&lt;=1000, 35, F166*0.035)))),
0)))</f>
        <v>0</v>
      </c>
      <c r="H166" s="159">
        <f>IF(I166="مخالفات",50,Basic3456789101112131415161718192021222324252627282930[[#This Row],[قيمة الرسوم / العموله]]+Basic3456789101112131415161718192021222324252627282930[[#This Row],[قيمة الشحنه]])</f>
        <v>0</v>
      </c>
      <c r="I166" s="90"/>
      <c r="J166" s="142" t="str">
        <f t="shared" si="2"/>
        <v>3.5.2026</v>
      </c>
      <c r="L166" s="153">
        <v>155</v>
      </c>
      <c r="M166" s="92"/>
    </row>
    <row r="167" spans="1:13" ht="21.6" x14ac:dyDescent="0.65">
      <c r="A167" s="195"/>
      <c r="B167" s="140">
        <v>164</v>
      </c>
      <c r="C167" s="2"/>
      <c r="D167" s="1"/>
      <c r="E167" s="3"/>
      <c r="F167" s="1"/>
      <c r="G167" s="141">
        <f>IF(Basic3456789101112131415161718192021222324252627282930[[#This Row],[نوع الخدمة]]="مخالفات", 50,
IF(Basic3456789101112131415161718192021222324252627282930[[#This Row],[نوع الخدمة]]="كاش ان",
    IF(F167&lt;=100, 18, IF(F167&lt;=250, 23, IF(F167&lt;=500, 35, IF(F167&lt;=1000, 40, F167*0.04)))),
IF(Basic3456789101112131415161718192021222324252627282930[[#This Row],[نوع الخدمة]]="كاش اوت",
    IF(F167&lt;=100, 15, IF(F167&lt;=250, 20, IF(F167&lt;=500, 30, IF(F167&lt;=1000, 35, F167*0.035)))),
0)))</f>
        <v>0</v>
      </c>
      <c r="H167" s="159">
        <f>IF(I167="مخالفات",50,Basic3456789101112131415161718192021222324252627282930[[#This Row],[قيمة الرسوم / العموله]]+Basic3456789101112131415161718192021222324252627282930[[#This Row],[قيمة الشحنه]])</f>
        <v>0</v>
      </c>
      <c r="I167" s="90"/>
      <c r="J167" s="142" t="str">
        <f t="shared" si="2"/>
        <v>3.5.2026</v>
      </c>
      <c r="L167" s="153">
        <v>156</v>
      </c>
      <c r="M167" s="92"/>
    </row>
    <row r="168" spans="1:13" ht="21.6" x14ac:dyDescent="0.65">
      <c r="A168" s="195"/>
      <c r="B168" s="140">
        <v>165</v>
      </c>
      <c r="C168" s="2"/>
      <c r="D168" s="1"/>
      <c r="E168" s="3"/>
      <c r="F168" s="1"/>
      <c r="G168" s="141">
        <f>IF(Basic3456789101112131415161718192021222324252627282930[[#This Row],[نوع الخدمة]]="مخالفات", 50,
IF(Basic3456789101112131415161718192021222324252627282930[[#This Row],[نوع الخدمة]]="كاش ان",
    IF(F168&lt;=100, 18, IF(F168&lt;=250, 23, IF(F168&lt;=500, 35, IF(F168&lt;=1000, 40, F168*0.04)))),
IF(Basic3456789101112131415161718192021222324252627282930[[#This Row],[نوع الخدمة]]="كاش اوت",
    IF(F168&lt;=100, 15, IF(F168&lt;=250, 20, IF(F168&lt;=500, 30, IF(F168&lt;=1000, 35, F168*0.035)))),
0)))</f>
        <v>0</v>
      </c>
      <c r="H168" s="159">
        <f>IF(I168="مخالفات",50,Basic3456789101112131415161718192021222324252627282930[[#This Row],[قيمة الرسوم / العموله]]+Basic3456789101112131415161718192021222324252627282930[[#This Row],[قيمة الشحنه]])</f>
        <v>0</v>
      </c>
      <c r="I168" s="90"/>
      <c r="J168" s="142" t="str">
        <f t="shared" si="2"/>
        <v>3.5.2026</v>
      </c>
      <c r="L168" s="153">
        <v>157</v>
      </c>
      <c r="M168" s="92"/>
    </row>
    <row r="169" spans="1:13" ht="21.6" x14ac:dyDescent="0.65">
      <c r="A169" s="195"/>
      <c r="B169" s="144">
        <v>166</v>
      </c>
      <c r="C169" s="2"/>
      <c r="D169" s="1"/>
      <c r="E169" s="3"/>
      <c r="F169" s="1"/>
      <c r="G169" s="141">
        <f>IF(Basic3456789101112131415161718192021222324252627282930[[#This Row],[نوع الخدمة]]="مخالفات", 50,
IF(Basic3456789101112131415161718192021222324252627282930[[#This Row],[نوع الخدمة]]="كاش ان",
    IF(F169&lt;=100, 18, IF(F169&lt;=250, 23, IF(F169&lt;=500, 35, IF(F169&lt;=1000, 40, F169*0.04)))),
IF(Basic3456789101112131415161718192021222324252627282930[[#This Row],[نوع الخدمة]]="كاش اوت",
    IF(F169&lt;=100, 15, IF(F169&lt;=250, 20, IF(F169&lt;=500, 30, IF(F169&lt;=1000, 35, F169*0.035)))),
0)))</f>
        <v>0</v>
      </c>
      <c r="H169" s="159">
        <f>IF(I169="مخالفات",50,Basic3456789101112131415161718192021222324252627282930[[#This Row],[قيمة الرسوم / العموله]]+Basic3456789101112131415161718192021222324252627282930[[#This Row],[قيمة الشحنه]])</f>
        <v>0</v>
      </c>
      <c r="I169" s="90"/>
      <c r="J169" s="142" t="str">
        <f t="shared" si="2"/>
        <v>3.5.2026</v>
      </c>
      <c r="L169" s="153">
        <v>158</v>
      </c>
      <c r="M169" s="92"/>
    </row>
    <row r="170" spans="1:13" ht="21.6" x14ac:dyDescent="0.65">
      <c r="A170" s="195"/>
      <c r="B170" s="140">
        <v>167</v>
      </c>
      <c r="C170" s="2"/>
      <c r="D170" s="1"/>
      <c r="E170" s="3"/>
      <c r="F170" s="1"/>
      <c r="G170" s="141">
        <f>IF(Basic3456789101112131415161718192021222324252627282930[[#This Row],[نوع الخدمة]]="مخالفات", 50,
IF(Basic3456789101112131415161718192021222324252627282930[[#This Row],[نوع الخدمة]]="كاش ان",
    IF(F170&lt;=100, 18, IF(F170&lt;=250, 23, IF(F170&lt;=500, 35, IF(F170&lt;=1000, 40, F170*0.04)))),
IF(Basic3456789101112131415161718192021222324252627282930[[#This Row],[نوع الخدمة]]="كاش اوت",
    IF(F170&lt;=100, 15, IF(F170&lt;=250, 20, IF(F170&lt;=500, 30, IF(F170&lt;=1000, 35, F170*0.035)))),
0)))</f>
        <v>0</v>
      </c>
      <c r="H170" s="159">
        <f>IF(I170="مخالفات",50,Basic3456789101112131415161718192021222324252627282930[[#This Row],[قيمة الرسوم / العموله]]+Basic3456789101112131415161718192021222324252627282930[[#This Row],[قيمة الشحنه]])</f>
        <v>0</v>
      </c>
      <c r="I170" s="90"/>
      <c r="J170" s="142" t="str">
        <f t="shared" si="2"/>
        <v>3.5.2026</v>
      </c>
      <c r="L170" s="153">
        <v>159</v>
      </c>
      <c r="M170" s="92"/>
    </row>
    <row r="171" spans="1:13" ht="21.6" x14ac:dyDescent="0.65">
      <c r="A171" s="195"/>
      <c r="B171" s="140">
        <v>168</v>
      </c>
      <c r="C171" s="2"/>
      <c r="D171" s="1"/>
      <c r="E171" s="3"/>
      <c r="F171" s="1"/>
      <c r="G171" s="141">
        <f>IF(Basic3456789101112131415161718192021222324252627282930[[#This Row],[نوع الخدمة]]="مخالفات", 50,
IF(Basic3456789101112131415161718192021222324252627282930[[#This Row],[نوع الخدمة]]="كاش ان",
    IF(F171&lt;=100, 18, IF(F171&lt;=250, 23, IF(F171&lt;=500, 35, IF(F171&lt;=1000, 40, F171*0.04)))),
IF(Basic3456789101112131415161718192021222324252627282930[[#This Row],[نوع الخدمة]]="كاش اوت",
    IF(F171&lt;=100, 15, IF(F171&lt;=250, 20, IF(F171&lt;=500, 30, IF(F171&lt;=1000, 35, F171*0.035)))),
0)))</f>
        <v>0</v>
      </c>
      <c r="H171" s="159">
        <f>IF(I171="مخالفات",50,Basic3456789101112131415161718192021222324252627282930[[#This Row],[قيمة الرسوم / العموله]]+Basic3456789101112131415161718192021222324252627282930[[#This Row],[قيمة الشحنه]])</f>
        <v>0</v>
      </c>
      <c r="I171" s="90"/>
      <c r="J171" s="142" t="str">
        <f t="shared" si="2"/>
        <v>3.5.2026</v>
      </c>
      <c r="L171" s="153">
        <v>160</v>
      </c>
      <c r="M171" s="92"/>
    </row>
    <row r="172" spans="1:13" ht="21.6" x14ac:dyDescent="0.65">
      <c r="A172" s="195"/>
      <c r="B172" s="140">
        <v>169</v>
      </c>
      <c r="C172" s="2"/>
      <c r="D172" s="1"/>
      <c r="E172" s="3"/>
      <c r="F172" s="1"/>
      <c r="G172" s="141">
        <f>IF(Basic3456789101112131415161718192021222324252627282930[[#This Row],[نوع الخدمة]]="مخالفات", 50,
IF(Basic3456789101112131415161718192021222324252627282930[[#This Row],[نوع الخدمة]]="كاش ان",
    IF(F172&lt;=100, 18, IF(F172&lt;=250, 23, IF(F172&lt;=500, 35, IF(F172&lt;=1000, 40, F172*0.04)))),
IF(Basic3456789101112131415161718192021222324252627282930[[#This Row],[نوع الخدمة]]="كاش اوت",
    IF(F172&lt;=100, 15, IF(F172&lt;=250, 20, IF(F172&lt;=500, 30, IF(F172&lt;=1000, 35, F172*0.035)))),
0)))</f>
        <v>0</v>
      </c>
      <c r="H172" s="159">
        <f>IF(I172="مخالفات",50,Basic3456789101112131415161718192021222324252627282930[[#This Row],[قيمة الرسوم / العموله]]+Basic3456789101112131415161718192021222324252627282930[[#This Row],[قيمة الشحنه]])</f>
        <v>0</v>
      </c>
      <c r="I172" s="90"/>
      <c r="J172" s="142" t="str">
        <f t="shared" si="2"/>
        <v>3.5.2026</v>
      </c>
      <c r="L172" s="153">
        <v>161</v>
      </c>
      <c r="M172" s="92"/>
    </row>
    <row r="173" spans="1:13" ht="21.6" x14ac:dyDescent="0.65">
      <c r="A173" s="195"/>
      <c r="B173" s="144">
        <v>170</v>
      </c>
      <c r="C173" s="2"/>
      <c r="D173" s="1"/>
      <c r="E173" s="3"/>
      <c r="F173" s="1"/>
      <c r="G173" s="141">
        <f>IF(Basic3456789101112131415161718192021222324252627282930[[#This Row],[نوع الخدمة]]="مخالفات", 50,
IF(Basic3456789101112131415161718192021222324252627282930[[#This Row],[نوع الخدمة]]="كاش ان",
    IF(F173&lt;=100, 18, IF(F173&lt;=250, 23, IF(F173&lt;=500, 35, IF(F173&lt;=1000, 40, F173*0.04)))),
IF(Basic3456789101112131415161718192021222324252627282930[[#This Row],[نوع الخدمة]]="كاش اوت",
    IF(F173&lt;=100, 15, IF(F173&lt;=250, 20, IF(F173&lt;=500, 30, IF(F173&lt;=1000, 35, F173*0.035)))),
0)))</f>
        <v>0</v>
      </c>
      <c r="H173" s="159">
        <f>IF(I173="مخالفات",50,Basic3456789101112131415161718192021222324252627282930[[#This Row],[قيمة الرسوم / العموله]]+Basic3456789101112131415161718192021222324252627282930[[#This Row],[قيمة الشحنه]])</f>
        <v>0</v>
      </c>
      <c r="I173" s="90"/>
      <c r="J173" s="142" t="str">
        <f t="shared" si="2"/>
        <v>3.5.2026</v>
      </c>
      <c r="L173" s="153">
        <v>162</v>
      </c>
      <c r="M173" s="92"/>
    </row>
    <row r="174" spans="1:13" ht="21.6" x14ac:dyDescent="0.65">
      <c r="A174" s="195"/>
      <c r="B174" s="140">
        <v>171</v>
      </c>
      <c r="C174" s="2"/>
      <c r="D174" s="1"/>
      <c r="E174" s="3"/>
      <c r="F174" s="1"/>
      <c r="G174" s="141">
        <f>IF(Basic3456789101112131415161718192021222324252627282930[[#This Row],[نوع الخدمة]]="مخالفات", 50,
IF(Basic3456789101112131415161718192021222324252627282930[[#This Row],[نوع الخدمة]]="كاش ان",
    IF(F174&lt;=100, 18, IF(F174&lt;=250, 23, IF(F174&lt;=500, 35, IF(F174&lt;=1000, 40, F174*0.04)))),
IF(Basic3456789101112131415161718192021222324252627282930[[#This Row],[نوع الخدمة]]="كاش اوت",
    IF(F174&lt;=100, 15, IF(F174&lt;=250, 20, IF(F174&lt;=500, 30, IF(F174&lt;=1000, 35, F174*0.035)))),
0)))</f>
        <v>0</v>
      </c>
      <c r="H174" s="159">
        <f>IF(I174="مخالفات",50,Basic3456789101112131415161718192021222324252627282930[[#This Row],[قيمة الرسوم / العموله]]+Basic3456789101112131415161718192021222324252627282930[[#This Row],[قيمة الشحنه]])</f>
        <v>0</v>
      </c>
      <c r="I174" s="90"/>
      <c r="J174" s="142" t="str">
        <f t="shared" si="2"/>
        <v>3.5.2026</v>
      </c>
      <c r="L174" s="153">
        <v>163</v>
      </c>
      <c r="M174" s="92"/>
    </row>
    <row r="175" spans="1:13" ht="21.6" x14ac:dyDescent="0.65">
      <c r="A175" s="195"/>
      <c r="B175" s="140">
        <v>172</v>
      </c>
      <c r="C175" s="2"/>
      <c r="D175" s="1"/>
      <c r="E175" s="3"/>
      <c r="F175" s="1"/>
      <c r="G175" s="141">
        <f>IF(Basic3456789101112131415161718192021222324252627282930[[#This Row],[نوع الخدمة]]="مخالفات", 50,
IF(Basic3456789101112131415161718192021222324252627282930[[#This Row],[نوع الخدمة]]="كاش ان",
    IF(F175&lt;=100, 18, IF(F175&lt;=250, 23, IF(F175&lt;=500, 35, IF(F175&lt;=1000, 40, F175*0.04)))),
IF(Basic3456789101112131415161718192021222324252627282930[[#This Row],[نوع الخدمة]]="كاش اوت",
    IF(F175&lt;=100, 15, IF(F175&lt;=250, 20, IF(F175&lt;=500, 30, IF(F175&lt;=1000, 35, F175*0.035)))),
0)))</f>
        <v>0</v>
      </c>
      <c r="H175" s="159">
        <f>IF(I175="مخالفات",50,Basic3456789101112131415161718192021222324252627282930[[#This Row],[قيمة الرسوم / العموله]]+Basic3456789101112131415161718192021222324252627282930[[#This Row],[قيمة الشحنه]])</f>
        <v>0</v>
      </c>
      <c r="I175" s="90"/>
      <c r="J175" s="142" t="str">
        <f t="shared" si="2"/>
        <v>3.5.2026</v>
      </c>
      <c r="L175" s="153">
        <v>164</v>
      </c>
      <c r="M175" s="92"/>
    </row>
    <row r="176" spans="1:13" ht="21.6" x14ac:dyDescent="0.65">
      <c r="A176" s="195"/>
      <c r="B176" s="140">
        <v>173</v>
      </c>
      <c r="C176" s="2"/>
      <c r="D176" s="1"/>
      <c r="E176" s="3"/>
      <c r="F176" s="1"/>
      <c r="G176" s="141">
        <f>IF(Basic3456789101112131415161718192021222324252627282930[[#This Row],[نوع الخدمة]]="مخالفات", 50,
IF(Basic3456789101112131415161718192021222324252627282930[[#This Row],[نوع الخدمة]]="كاش ان",
    IF(F176&lt;=100, 18, IF(F176&lt;=250, 23, IF(F176&lt;=500, 35, IF(F176&lt;=1000, 40, F176*0.04)))),
IF(Basic3456789101112131415161718192021222324252627282930[[#This Row],[نوع الخدمة]]="كاش اوت",
    IF(F176&lt;=100, 15, IF(F176&lt;=250, 20, IF(F176&lt;=500, 30, IF(F176&lt;=1000, 35, F176*0.035)))),
0)))</f>
        <v>0</v>
      </c>
      <c r="H176" s="159">
        <f>IF(I176="مخالفات",50,Basic3456789101112131415161718192021222324252627282930[[#This Row],[قيمة الرسوم / العموله]]+Basic3456789101112131415161718192021222324252627282930[[#This Row],[قيمة الشحنه]])</f>
        <v>0</v>
      </c>
      <c r="I176" s="90"/>
      <c r="J176" s="142" t="str">
        <f t="shared" si="2"/>
        <v>3.5.2026</v>
      </c>
      <c r="L176" s="153">
        <v>165</v>
      </c>
      <c r="M176" s="92"/>
    </row>
    <row r="177" spans="1:13" ht="21.6" x14ac:dyDescent="0.65">
      <c r="A177" s="195"/>
      <c r="B177" s="144">
        <v>174</v>
      </c>
      <c r="C177" s="2"/>
      <c r="D177" s="1"/>
      <c r="E177" s="3"/>
      <c r="F177" s="1"/>
      <c r="G177" s="141">
        <f>IF(Basic3456789101112131415161718192021222324252627282930[[#This Row],[نوع الخدمة]]="مخالفات", 50,
IF(Basic3456789101112131415161718192021222324252627282930[[#This Row],[نوع الخدمة]]="كاش ان",
    IF(F177&lt;=100, 18, IF(F177&lt;=250, 23, IF(F177&lt;=500, 35, IF(F177&lt;=1000, 40, F177*0.04)))),
IF(Basic3456789101112131415161718192021222324252627282930[[#This Row],[نوع الخدمة]]="كاش اوت",
    IF(F177&lt;=100, 15, IF(F177&lt;=250, 20, IF(F177&lt;=500, 30, IF(F177&lt;=1000, 35, F177*0.035)))),
0)))</f>
        <v>0</v>
      </c>
      <c r="H177" s="159">
        <f>IF(I177="مخالفات",50,Basic3456789101112131415161718192021222324252627282930[[#This Row],[قيمة الرسوم / العموله]]+Basic3456789101112131415161718192021222324252627282930[[#This Row],[قيمة الشحنه]])</f>
        <v>0</v>
      </c>
      <c r="I177" s="90"/>
      <c r="J177" s="142" t="str">
        <f t="shared" si="2"/>
        <v>3.5.2026</v>
      </c>
      <c r="L177" s="153">
        <v>166</v>
      </c>
      <c r="M177" s="92"/>
    </row>
    <row r="178" spans="1:13" ht="21.6" x14ac:dyDescent="0.65">
      <c r="A178" s="195"/>
      <c r="B178" s="140">
        <v>175</v>
      </c>
      <c r="C178" s="2"/>
      <c r="D178" s="1"/>
      <c r="E178" s="3"/>
      <c r="F178" s="1"/>
      <c r="G178" s="141">
        <f>IF(Basic3456789101112131415161718192021222324252627282930[[#This Row],[نوع الخدمة]]="مخالفات", 50,
IF(Basic3456789101112131415161718192021222324252627282930[[#This Row],[نوع الخدمة]]="كاش ان",
    IF(F178&lt;=100, 18, IF(F178&lt;=250, 23, IF(F178&lt;=500, 35, IF(F178&lt;=1000, 40, F178*0.04)))),
IF(Basic3456789101112131415161718192021222324252627282930[[#This Row],[نوع الخدمة]]="كاش اوت",
    IF(F178&lt;=100, 15, IF(F178&lt;=250, 20, IF(F178&lt;=500, 30, IF(F178&lt;=1000, 35, F178*0.035)))),
0)))</f>
        <v>0</v>
      </c>
      <c r="H178" s="159">
        <f>IF(I178="مخالفات",50,Basic3456789101112131415161718192021222324252627282930[[#This Row],[قيمة الرسوم / العموله]]+Basic3456789101112131415161718192021222324252627282930[[#This Row],[قيمة الشحنه]])</f>
        <v>0</v>
      </c>
      <c r="I178" s="90"/>
      <c r="J178" s="142" t="str">
        <f t="shared" si="2"/>
        <v>3.5.2026</v>
      </c>
      <c r="L178" s="153">
        <v>167</v>
      </c>
      <c r="M178" s="92"/>
    </row>
    <row r="179" spans="1:13" ht="21.6" x14ac:dyDescent="0.65">
      <c r="A179" s="195"/>
      <c r="B179" s="140">
        <v>176</v>
      </c>
      <c r="C179" s="2"/>
      <c r="D179" s="1"/>
      <c r="E179" s="3"/>
      <c r="F179" s="1"/>
      <c r="G179" s="141">
        <f>IF(Basic3456789101112131415161718192021222324252627282930[[#This Row],[نوع الخدمة]]="مخالفات", 50,
IF(Basic3456789101112131415161718192021222324252627282930[[#This Row],[نوع الخدمة]]="كاش ان",
    IF(F179&lt;=100, 18, IF(F179&lt;=250, 23, IF(F179&lt;=500, 35, IF(F179&lt;=1000, 40, F179*0.04)))),
IF(Basic3456789101112131415161718192021222324252627282930[[#This Row],[نوع الخدمة]]="كاش اوت",
    IF(F179&lt;=100, 15, IF(F179&lt;=250, 20, IF(F179&lt;=500, 30, IF(F179&lt;=1000, 35, F179*0.035)))),
0)))</f>
        <v>0</v>
      </c>
      <c r="H179" s="159">
        <f>IF(I179="مخالفات",50,Basic3456789101112131415161718192021222324252627282930[[#This Row],[قيمة الرسوم / العموله]]+Basic3456789101112131415161718192021222324252627282930[[#This Row],[قيمة الشحنه]])</f>
        <v>0</v>
      </c>
      <c r="I179" s="90"/>
      <c r="J179" s="142" t="str">
        <f t="shared" si="2"/>
        <v>3.5.2026</v>
      </c>
      <c r="L179" s="153">
        <v>168</v>
      </c>
      <c r="M179" s="92"/>
    </row>
    <row r="180" spans="1:13" ht="21.6" x14ac:dyDescent="0.65">
      <c r="A180" s="195"/>
      <c r="B180" s="140">
        <v>177</v>
      </c>
      <c r="C180" s="2"/>
      <c r="D180" s="1"/>
      <c r="E180" s="3"/>
      <c r="F180" s="1"/>
      <c r="G180" s="141">
        <f>IF(Basic3456789101112131415161718192021222324252627282930[[#This Row],[نوع الخدمة]]="مخالفات", 50,
IF(Basic3456789101112131415161718192021222324252627282930[[#This Row],[نوع الخدمة]]="كاش ان",
    IF(F180&lt;=100, 18, IF(F180&lt;=250, 23, IF(F180&lt;=500, 35, IF(F180&lt;=1000, 40, F180*0.04)))),
IF(Basic3456789101112131415161718192021222324252627282930[[#This Row],[نوع الخدمة]]="كاش اوت",
    IF(F180&lt;=100, 15, IF(F180&lt;=250, 20, IF(F180&lt;=500, 30, IF(F180&lt;=1000, 35, F180*0.035)))),
0)))</f>
        <v>0</v>
      </c>
      <c r="H180" s="159">
        <f>IF(I180="مخالفات",50,Basic3456789101112131415161718192021222324252627282930[[#This Row],[قيمة الرسوم / العموله]]+Basic3456789101112131415161718192021222324252627282930[[#This Row],[قيمة الشحنه]])</f>
        <v>0</v>
      </c>
      <c r="I180" s="90"/>
      <c r="J180" s="142" t="str">
        <f t="shared" si="2"/>
        <v>3.5.2026</v>
      </c>
      <c r="L180" s="153">
        <v>169</v>
      </c>
      <c r="M180" s="92"/>
    </row>
    <row r="181" spans="1:13" ht="21.6" x14ac:dyDescent="0.65">
      <c r="A181" s="195"/>
      <c r="B181" s="144">
        <v>178</v>
      </c>
      <c r="C181" s="2"/>
      <c r="D181" s="1"/>
      <c r="E181" s="3"/>
      <c r="F181" s="1"/>
      <c r="G181" s="141">
        <f>IF(Basic3456789101112131415161718192021222324252627282930[[#This Row],[نوع الخدمة]]="مخالفات", 50,
IF(Basic3456789101112131415161718192021222324252627282930[[#This Row],[نوع الخدمة]]="كاش ان",
    IF(F181&lt;=100, 18, IF(F181&lt;=250, 23, IF(F181&lt;=500, 35, IF(F181&lt;=1000, 40, F181*0.04)))),
IF(Basic3456789101112131415161718192021222324252627282930[[#This Row],[نوع الخدمة]]="كاش اوت",
    IF(F181&lt;=100, 15, IF(F181&lt;=250, 20, IF(F181&lt;=500, 30, IF(F181&lt;=1000, 35, F181*0.035)))),
0)))</f>
        <v>0</v>
      </c>
      <c r="H181" s="159">
        <f>IF(I181="مخالفات",50,Basic3456789101112131415161718192021222324252627282930[[#This Row],[قيمة الرسوم / العموله]]+Basic3456789101112131415161718192021222324252627282930[[#This Row],[قيمة الشحنه]])</f>
        <v>0</v>
      </c>
      <c r="I181" s="90"/>
      <c r="J181" s="142" t="str">
        <f t="shared" si="2"/>
        <v>3.5.2026</v>
      </c>
      <c r="L181" s="153">
        <v>170</v>
      </c>
      <c r="M181" s="92"/>
    </row>
    <row r="182" spans="1:13" ht="21.6" x14ac:dyDescent="0.65">
      <c r="A182" s="195"/>
      <c r="B182" s="140">
        <v>179</v>
      </c>
      <c r="C182" s="2"/>
      <c r="D182" s="1"/>
      <c r="E182" s="3"/>
      <c r="F182" s="1"/>
      <c r="G182" s="141">
        <f>IF(Basic3456789101112131415161718192021222324252627282930[[#This Row],[نوع الخدمة]]="مخالفات", 50,
IF(Basic3456789101112131415161718192021222324252627282930[[#This Row],[نوع الخدمة]]="كاش ان",
    IF(F182&lt;=100, 18, IF(F182&lt;=250, 23, IF(F182&lt;=500, 35, IF(F182&lt;=1000, 40, F182*0.04)))),
IF(Basic3456789101112131415161718192021222324252627282930[[#This Row],[نوع الخدمة]]="كاش اوت",
    IF(F182&lt;=100, 15, IF(F182&lt;=250, 20, IF(F182&lt;=500, 30, IF(F182&lt;=1000, 35, F182*0.035)))),
0)))</f>
        <v>0</v>
      </c>
      <c r="H182" s="159">
        <f>IF(I182="مخالفات",50,Basic3456789101112131415161718192021222324252627282930[[#This Row],[قيمة الرسوم / العموله]]+Basic3456789101112131415161718192021222324252627282930[[#This Row],[قيمة الشحنه]])</f>
        <v>0</v>
      </c>
      <c r="I182" s="90"/>
      <c r="J182" s="142" t="str">
        <f t="shared" si="2"/>
        <v>3.5.2026</v>
      </c>
      <c r="L182" s="153">
        <v>171</v>
      </c>
      <c r="M182" s="92"/>
    </row>
    <row r="183" spans="1:13" ht="21.6" x14ac:dyDescent="0.65">
      <c r="A183" s="195"/>
      <c r="B183" s="140">
        <v>180</v>
      </c>
      <c r="C183" s="2"/>
      <c r="D183" s="1"/>
      <c r="E183" s="3"/>
      <c r="F183" s="1"/>
      <c r="G183" s="141">
        <f>IF(Basic3456789101112131415161718192021222324252627282930[[#This Row],[نوع الخدمة]]="مخالفات", 50,
IF(Basic3456789101112131415161718192021222324252627282930[[#This Row],[نوع الخدمة]]="كاش ان",
    IF(F183&lt;=100, 18, IF(F183&lt;=250, 23, IF(F183&lt;=500, 35, IF(F183&lt;=1000, 40, F183*0.04)))),
IF(Basic3456789101112131415161718192021222324252627282930[[#This Row],[نوع الخدمة]]="كاش اوت",
    IF(F183&lt;=100, 15, IF(F183&lt;=250, 20, IF(F183&lt;=500, 30, IF(F183&lt;=1000, 35, F183*0.035)))),
0)))</f>
        <v>0</v>
      </c>
      <c r="H183" s="159">
        <f>IF(I183="مخالفات",50,Basic3456789101112131415161718192021222324252627282930[[#This Row],[قيمة الرسوم / العموله]]+Basic3456789101112131415161718192021222324252627282930[[#This Row],[قيمة الشحنه]])</f>
        <v>0</v>
      </c>
      <c r="I183" s="90"/>
      <c r="J183" s="142" t="str">
        <f t="shared" si="2"/>
        <v>3.5.2026</v>
      </c>
      <c r="L183" s="153">
        <v>172</v>
      </c>
      <c r="M183" s="92"/>
    </row>
    <row r="184" spans="1:13" ht="21.6" x14ac:dyDescent="0.65">
      <c r="A184" s="195"/>
      <c r="B184" s="140">
        <v>181</v>
      </c>
      <c r="C184" s="2"/>
      <c r="D184" s="1"/>
      <c r="E184" s="3"/>
      <c r="F184" s="1"/>
      <c r="G184" s="141">
        <f>IF(Basic3456789101112131415161718192021222324252627282930[[#This Row],[نوع الخدمة]]="مخالفات", 50,
IF(Basic3456789101112131415161718192021222324252627282930[[#This Row],[نوع الخدمة]]="كاش ان",
    IF(F184&lt;=100, 18, IF(F184&lt;=250, 23, IF(F184&lt;=500, 35, IF(F184&lt;=1000, 40, F184*0.04)))),
IF(Basic3456789101112131415161718192021222324252627282930[[#This Row],[نوع الخدمة]]="كاش اوت",
    IF(F184&lt;=100, 15, IF(F184&lt;=250, 20, IF(F184&lt;=500, 30, IF(F184&lt;=1000, 35, F184*0.035)))),
0)))</f>
        <v>0</v>
      </c>
      <c r="H184" s="159">
        <f>IF(I184="مخالفات",50,Basic3456789101112131415161718192021222324252627282930[[#This Row],[قيمة الرسوم / العموله]]+Basic3456789101112131415161718192021222324252627282930[[#This Row],[قيمة الشحنه]])</f>
        <v>0</v>
      </c>
      <c r="I184" s="90"/>
      <c r="J184" s="142" t="str">
        <f t="shared" si="2"/>
        <v>3.5.2026</v>
      </c>
      <c r="L184" s="153">
        <v>173</v>
      </c>
      <c r="M184" s="92"/>
    </row>
    <row r="185" spans="1:13" ht="21.6" x14ac:dyDescent="0.65">
      <c r="A185" s="195"/>
      <c r="B185" s="144">
        <v>182</v>
      </c>
      <c r="C185" s="2"/>
      <c r="D185" s="1"/>
      <c r="E185" s="3"/>
      <c r="F185" s="1"/>
      <c r="G185" s="141">
        <f>IF(Basic3456789101112131415161718192021222324252627282930[[#This Row],[نوع الخدمة]]="مخالفات", 50,
IF(Basic3456789101112131415161718192021222324252627282930[[#This Row],[نوع الخدمة]]="كاش ان",
    IF(F185&lt;=100, 18, IF(F185&lt;=250, 23, IF(F185&lt;=500, 35, IF(F185&lt;=1000, 40, F185*0.04)))),
IF(Basic3456789101112131415161718192021222324252627282930[[#This Row],[نوع الخدمة]]="كاش اوت",
    IF(F185&lt;=100, 15, IF(F185&lt;=250, 20, IF(F185&lt;=500, 30, IF(F185&lt;=1000, 35, F185*0.035)))),
0)))</f>
        <v>0</v>
      </c>
      <c r="H185" s="159">
        <f>IF(I185="مخالفات",50,Basic3456789101112131415161718192021222324252627282930[[#This Row],[قيمة الرسوم / العموله]]+Basic3456789101112131415161718192021222324252627282930[[#This Row],[قيمة الشحنه]])</f>
        <v>0</v>
      </c>
      <c r="I185" s="90"/>
      <c r="J185" s="142" t="str">
        <f t="shared" si="2"/>
        <v>3.5.2026</v>
      </c>
      <c r="L185" s="153">
        <v>174</v>
      </c>
      <c r="M185" s="92"/>
    </row>
    <row r="186" spans="1:13" ht="21.6" x14ac:dyDescent="0.65">
      <c r="A186" s="195"/>
      <c r="B186" s="140">
        <v>183</v>
      </c>
      <c r="C186" s="2"/>
      <c r="D186" s="1"/>
      <c r="E186" s="3"/>
      <c r="F186" s="1"/>
      <c r="G186" s="141">
        <f>IF(Basic3456789101112131415161718192021222324252627282930[[#This Row],[نوع الخدمة]]="مخالفات", 50,
IF(Basic3456789101112131415161718192021222324252627282930[[#This Row],[نوع الخدمة]]="كاش ان",
    IF(F186&lt;=100, 18, IF(F186&lt;=250, 23, IF(F186&lt;=500, 35, IF(F186&lt;=1000, 40, F186*0.04)))),
IF(Basic3456789101112131415161718192021222324252627282930[[#This Row],[نوع الخدمة]]="كاش اوت",
    IF(F186&lt;=100, 15, IF(F186&lt;=250, 20, IF(F186&lt;=500, 30, IF(F186&lt;=1000, 35, F186*0.035)))),
0)))</f>
        <v>0</v>
      </c>
      <c r="H186" s="159">
        <f>IF(I186="مخالفات",50,Basic3456789101112131415161718192021222324252627282930[[#This Row],[قيمة الرسوم / العموله]]+Basic3456789101112131415161718192021222324252627282930[[#This Row],[قيمة الشحنه]])</f>
        <v>0</v>
      </c>
      <c r="I186" s="90"/>
      <c r="J186" s="142" t="str">
        <f t="shared" si="2"/>
        <v>3.5.2026</v>
      </c>
      <c r="L186" s="153">
        <v>175</v>
      </c>
      <c r="M186" s="92"/>
    </row>
    <row r="187" spans="1:13" ht="21.6" x14ac:dyDescent="0.65">
      <c r="A187" s="195"/>
      <c r="B187" s="140">
        <v>184</v>
      </c>
      <c r="C187" s="2"/>
      <c r="D187" s="1"/>
      <c r="E187" s="3"/>
      <c r="F187" s="1"/>
      <c r="G187" s="141">
        <f>IF(Basic3456789101112131415161718192021222324252627282930[[#This Row],[نوع الخدمة]]="مخالفات", 50,
IF(Basic3456789101112131415161718192021222324252627282930[[#This Row],[نوع الخدمة]]="كاش ان",
    IF(F187&lt;=100, 18, IF(F187&lt;=250, 23, IF(F187&lt;=500, 35, IF(F187&lt;=1000, 40, F187*0.04)))),
IF(Basic3456789101112131415161718192021222324252627282930[[#This Row],[نوع الخدمة]]="كاش اوت",
    IF(F187&lt;=100, 15, IF(F187&lt;=250, 20, IF(F187&lt;=500, 30, IF(F187&lt;=1000, 35, F187*0.035)))),
0)))</f>
        <v>0</v>
      </c>
      <c r="H187" s="159">
        <f>IF(I187="مخالفات",50,Basic3456789101112131415161718192021222324252627282930[[#This Row],[قيمة الرسوم / العموله]]+Basic3456789101112131415161718192021222324252627282930[[#This Row],[قيمة الشحنه]])</f>
        <v>0</v>
      </c>
      <c r="I187" s="90"/>
      <c r="J187" s="142" t="str">
        <f t="shared" si="2"/>
        <v>3.5.2026</v>
      </c>
      <c r="L187" s="153">
        <v>176</v>
      </c>
      <c r="M187" s="92"/>
    </row>
    <row r="188" spans="1:13" ht="21.6" x14ac:dyDescent="0.65">
      <c r="A188" s="195"/>
      <c r="B188" s="140">
        <v>185</v>
      </c>
      <c r="C188" s="2"/>
      <c r="D188" s="1"/>
      <c r="E188" s="3"/>
      <c r="F188" s="1"/>
      <c r="G188" s="141">
        <f>IF(Basic3456789101112131415161718192021222324252627282930[[#This Row],[نوع الخدمة]]="مخالفات", 50,
IF(Basic3456789101112131415161718192021222324252627282930[[#This Row],[نوع الخدمة]]="كاش ان",
    IF(F188&lt;=100, 18, IF(F188&lt;=250, 23, IF(F188&lt;=500, 35, IF(F188&lt;=1000, 40, F188*0.04)))),
IF(Basic3456789101112131415161718192021222324252627282930[[#This Row],[نوع الخدمة]]="كاش اوت",
    IF(F188&lt;=100, 15, IF(F188&lt;=250, 20, IF(F188&lt;=500, 30, IF(F188&lt;=1000, 35, F188*0.035)))),
0)))</f>
        <v>0</v>
      </c>
      <c r="H188" s="159">
        <f>IF(I188="مخالفات",50,Basic3456789101112131415161718192021222324252627282930[[#This Row],[قيمة الرسوم / العموله]]+Basic3456789101112131415161718192021222324252627282930[[#This Row],[قيمة الشحنه]])</f>
        <v>0</v>
      </c>
      <c r="I188" s="90"/>
      <c r="J188" s="142" t="str">
        <f t="shared" si="2"/>
        <v>3.5.2026</v>
      </c>
      <c r="L188" s="153">
        <v>177</v>
      </c>
      <c r="M188" s="92"/>
    </row>
    <row r="189" spans="1:13" ht="21.6" x14ac:dyDescent="0.65">
      <c r="A189" s="195"/>
      <c r="B189" s="144">
        <v>186</v>
      </c>
      <c r="C189" s="2"/>
      <c r="D189" s="1"/>
      <c r="E189" s="3"/>
      <c r="F189" s="1"/>
      <c r="G189" s="141">
        <f>IF(Basic3456789101112131415161718192021222324252627282930[[#This Row],[نوع الخدمة]]="مخالفات", 50,
IF(Basic3456789101112131415161718192021222324252627282930[[#This Row],[نوع الخدمة]]="كاش ان",
    IF(F189&lt;=100, 18, IF(F189&lt;=250, 23, IF(F189&lt;=500, 35, IF(F189&lt;=1000, 40, F189*0.04)))),
IF(Basic3456789101112131415161718192021222324252627282930[[#This Row],[نوع الخدمة]]="كاش اوت",
    IF(F189&lt;=100, 15, IF(F189&lt;=250, 20, IF(F189&lt;=500, 30, IF(F189&lt;=1000, 35, F189*0.035)))),
0)))</f>
        <v>0</v>
      </c>
      <c r="H189" s="159">
        <f>IF(I189="مخالفات",50,Basic3456789101112131415161718192021222324252627282930[[#This Row],[قيمة الرسوم / العموله]]+Basic3456789101112131415161718192021222324252627282930[[#This Row],[قيمة الشحنه]])</f>
        <v>0</v>
      </c>
      <c r="I189" s="90"/>
      <c r="J189" s="142" t="str">
        <f t="shared" si="2"/>
        <v>3.5.2026</v>
      </c>
      <c r="L189" s="153">
        <v>178</v>
      </c>
      <c r="M189" s="92"/>
    </row>
    <row r="190" spans="1:13" ht="21.6" x14ac:dyDescent="0.65">
      <c r="A190" s="195"/>
      <c r="B190" s="140">
        <v>187</v>
      </c>
      <c r="C190" s="2"/>
      <c r="D190" s="1"/>
      <c r="E190" s="3"/>
      <c r="F190" s="1"/>
      <c r="G190" s="141">
        <f>IF(Basic3456789101112131415161718192021222324252627282930[[#This Row],[نوع الخدمة]]="مخالفات", 50,
IF(Basic3456789101112131415161718192021222324252627282930[[#This Row],[نوع الخدمة]]="كاش ان",
    IF(F190&lt;=100, 18, IF(F190&lt;=250, 23, IF(F190&lt;=500, 35, IF(F190&lt;=1000, 40, F190*0.04)))),
IF(Basic3456789101112131415161718192021222324252627282930[[#This Row],[نوع الخدمة]]="كاش اوت",
    IF(F190&lt;=100, 15, IF(F190&lt;=250, 20, IF(F190&lt;=500, 30, IF(F190&lt;=1000, 35, F190*0.035)))),
0)))</f>
        <v>0</v>
      </c>
      <c r="H190" s="159">
        <f>IF(I190="مخالفات",50,Basic3456789101112131415161718192021222324252627282930[[#This Row],[قيمة الرسوم / العموله]]+Basic3456789101112131415161718192021222324252627282930[[#This Row],[قيمة الشحنه]])</f>
        <v>0</v>
      </c>
      <c r="I190" s="90"/>
      <c r="J190" s="142" t="str">
        <f t="shared" si="2"/>
        <v>3.5.2026</v>
      </c>
      <c r="L190" s="153">
        <v>179</v>
      </c>
      <c r="M190" s="92"/>
    </row>
    <row r="191" spans="1:13" ht="21.6" x14ac:dyDescent="0.65">
      <c r="A191" s="195"/>
      <c r="B191" s="140">
        <v>188</v>
      </c>
      <c r="C191" s="2"/>
      <c r="D191" s="1"/>
      <c r="E191" s="3"/>
      <c r="F191" s="1"/>
      <c r="G191" s="141">
        <f>IF(Basic3456789101112131415161718192021222324252627282930[[#This Row],[نوع الخدمة]]="مخالفات", 50,
IF(Basic3456789101112131415161718192021222324252627282930[[#This Row],[نوع الخدمة]]="كاش ان",
    IF(F191&lt;=100, 18, IF(F191&lt;=250, 23, IF(F191&lt;=500, 35, IF(F191&lt;=1000, 40, F191*0.04)))),
IF(Basic3456789101112131415161718192021222324252627282930[[#This Row],[نوع الخدمة]]="كاش اوت",
    IF(F191&lt;=100, 15, IF(F191&lt;=250, 20, IF(F191&lt;=500, 30, IF(F191&lt;=1000, 35, F191*0.035)))),
0)))</f>
        <v>0</v>
      </c>
      <c r="H191" s="159">
        <f>IF(I191="مخالفات",50,Basic3456789101112131415161718192021222324252627282930[[#This Row],[قيمة الرسوم / العموله]]+Basic3456789101112131415161718192021222324252627282930[[#This Row],[قيمة الشحنه]])</f>
        <v>0</v>
      </c>
      <c r="I191" s="90"/>
      <c r="J191" s="142" t="str">
        <f t="shared" si="2"/>
        <v>3.5.2026</v>
      </c>
      <c r="L191" s="153">
        <v>180</v>
      </c>
      <c r="M191" s="92"/>
    </row>
    <row r="192" spans="1:13" ht="21.6" x14ac:dyDescent="0.65">
      <c r="A192" s="195"/>
      <c r="B192" s="140">
        <v>189</v>
      </c>
      <c r="C192" s="2"/>
      <c r="D192" s="1"/>
      <c r="E192" s="3"/>
      <c r="F192" s="1"/>
      <c r="G192" s="141">
        <f>IF(Basic3456789101112131415161718192021222324252627282930[[#This Row],[نوع الخدمة]]="مخالفات", 50,
IF(Basic3456789101112131415161718192021222324252627282930[[#This Row],[نوع الخدمة]]="كاش ان",
    IF(F192&lt;=100, 18, IF(F192&lt;=250, 23, IF(F192&lt;=500, 35, IF(F192&lt;=1000, 40, F192*0.04)))),
IF(Basic3456789101112131415161718192021222324252627282930[[#This Row],[نوع الخدمة]]="كاش اوت",
    IF(F192&lt;=100, 15, IF(F192&lt;=250, 20, IF(F192&lt;=500, 30, IF(F192&lt;=1000, 35, F192*0.035)))),
0)))</f>
        <v>0</v>
      </c>
      <c r="H192" s="159">
        <f>IF(I192="مخالفات",50,Basic3456789101112131415161718192021222324252627282930[[#This Row],[قيمة الرسوم / العموله]]+Basic3456789101112131415161718192021222324252627282930[[#This Row],[قيمة الشحنه]])</f>
        <v>0</v>
      </c>
      <c r="I192" s="90"/>
      <c r="J192" s="142" t="str">
        <f t="shared" si="2"/>
        <v>3.5.2026</v>
      </c>
      <c r="L192" s="153">
        <v>181</v>
      </c>
      <c r="M192" s="92"/>
    </row>
    <row r="193" spans="1:13" ht="21.6" x14ac:dyDescent="0.65">
      <c r="A193" s="195"/>
      <c r="B193" s="144">
        <v>190</v>
      </c>
      <c r="C193" s="2"/>
      <c r="D193" s="1"/>
      <c r="E193" s="3"/>
      <c r="F193" s="1"/>
      <c r="G193" s="141">
        <f>IF(Basic3456789101112131415161718192021222324252627282930[[#This Row],[نوع الخدمة]]="مخالفات", 50,
IF(Basic3456789101112131415161718192021222324252627282930[[#This Row],[نوع الخدمة]]="كاش ان",
    IF(F193&lt;=100, 18, IF(F193&lt;=250, 23, IF(F193&lt;=500, 35, IF(F193&lt;=1000, 40, F193*0.04)))),
IF(Basic3456789101112131415161718192021222324252627282930[[#This Row],[نوع الخدمة]]="كاش اوت",
    IF(F193&lt;=100, 15, IF(F193&lt;=250, 20, IF(F193&lt;=500, 30, IF(F193&lt;=1000, 35, F193*0.035)))),
0)))</f>
        <v>0</v>
      </c>
      <c r="H193" s="159">
        <f>IF(I193="مخالفات",50,Basic3456789101112131415161718192021222324252627282930[[#This Row],[قيمة الرسوم / العموله]]+Basic3456789101112131415161718192021222324252627282930[[#This Row],[قيمة الشحنه]])</f>
        <v>0</v>
      </c>
      <c r="I193" s="90"/>
      <c r="J193" s="142" t="str">
        <f t="shared" si="2"/>
        <v>3.5.2026</v>
      </c>
      <c r="L193" s="153">
        <v>182</v>
      </c>
      <c r="M193" s="92"/>
    </row>
    <row r="194" spans="1:13" ht="21.6" x14ac:dyDescent="0.65">
      <c r="A194" s="195"/>
      <c r="B194" s="140">
        <v>191</v>
      </c>
      <c r="C194" s="2"/>
      <c r="D194" s="1"/>
      <c r="E194" s="3"/>
      <c r="F194" s="1"/>
      <c r="G194" s="141">
        <f>IF(Basic3456789101112131415161718192021222324252627282930[[#This Row],[نوع الخدمة]]="مخالفات", 50,
IF(Basic3456789101112131415161718192021222324252627282930[[#This Row],[نوع الخدمة]]="كاش ان",
    IF(F194&lt;=100, 18, IF(F194&lt;=250, 23, IF(F194&lt;=500, 35, IF(F194&lt;=1000, 40, F194*0.04)))),
IF(Basic3456789101112131415161718192021222324252627282930[[#This Row],[نوع الخدمة]]="كاش اوت",
    IF(F194&lt;=100, 15, IF(F194&lt;=250, 20, IF(F194&lt;=500, 30, IF(F194&lt;=1000, 35, F194*0.035)))),
0)))</f>
        <v>0</v>
      </c>
      <c r="H194" s="159">
        <f>IF(I194="مخالفات",50,Basic3456789101112131415161718192021222324252627282930[[#This Row],[قيمة الرسوم / العموله]]+Basic3456789101112131415161718192021222324252627282930[[#This Row],[قيمة الشحنه]])</f>
        <v>0</v>
      </c>
      <c r="I194" s="90"/>
      <c r="J194" s="142" t="str">
        <f t="shared" si="2"/>
        <v>3.5.2026</v>
      </c>
      <c r="L194" s="153">
        <v>183</v>
      </c>
      <c r="M194" s="92"/>
    </row>
    <row r="195" spans="1:13" ht="21.6" x14ac:dyDescent="0.65">
      <c r="A195" s="195"/>
      <c r="B195" s="140">
        <v>192</v>
      </c>
      <c r="C195" s="2"/>
      <c r="D195" s="1"/>
      <c r="E195" s="3"/>
      <c r="F195" s="1"/>
      <c r="G195" s="141">
        <f>IF(Basic3456789101112131415161718192021222324252627282930[[#This Row],[نوع الخدمة]]="مخالفات", 50,
IF(Basic3456789101112131415161718192021222324252627282930[[#This Row],[نوع الخدمة]]="كاش ان",
    IF(F195&lt;=100, 18, IF(F195&lt;=250, 23, IF(F195&lt;=500, 35, IF(F195&lt;=1000, 40, F195*0.04)))),
IF(Basic3456789101112131415161718192021222324252627282930[[#This Row],[نوع الخدمة]]="كاش اوت",
    IF(F195&lt;=100, 15, IF(F195&lt;=250, 20, IF(F195&lt;=500, 30, IF(F195&lt;=1000, 35, F195*0.035)))),
0)))</f>
        <v>0</v>
      </c>
      <c r="H195" s="159">
        <f>IF(I195="مخالفات",50,Basic3456789101112131415161718192021222324252627282930[[#This Row],[قيمة الرسوم / العموله]]+Basic3456789101112131415161718192021222324252627282930[[#This Row],[قيمة الشحنه]])</f>
        <v>0</v>
      </c>
      <c r="I195" s="90"/>
      <c r="J195" s="142" t="str">
        <f t="shared" si="2"/>
        <v>3.5.2026</v>
      </c>
      <c r="L195" s="153">
        <v>184</v>
      </c>
      <c r="M195" s="92"/>
    </row>
    <row r="196" spans="1:13" ht="21.6" x14ac:dyDescent="0.65">
      <c r="A196" s="195"/>
      <c r="B196" s="140">
        <v>193</v>
      </c>
      <c r="C196" s="2"/>
      <c r="D196" s="1"/>
      <c r="E196" s="3"/>
      <c r="F196" s="1"/>
      <c r="G196" s="141">
        <f>IF(Basic3456789101112131415161718192021222324252627282930[[#This Row],[نوع الخدمة]]="مخالفات", 50,
IF(Basic3456789101112131415161718192021222324252627282930[[#This Row],[نوع الخدمة]]="كاش ان",
    IF(F196&lt;=100, 18, IF(F196&lt;=250, 23, IF(F196&lt;=500, 35, IF(F196&lt;=1000, 40, F196*0.04)))),
IF(Basic3456789101112131415161718192021222324252627282930[[#This Row],[نوع الخدمة]]="كاش اوت",
    IF(F196&lt;=100, 15, IF(F196&lt;=250, 20, IF(F196&lt;=500, 30, IF(F196&lt;=1000, 35, F196*0.035)))),
0)))</f>
        <v>0</v>
      </c>
      <c r="H196" s="159">
        <f>IF(I196="مخالفات",50,Basic3456789101112131415161718192021222324252627282930[[#This Row],[قيمة الرسوم / العموله]]+Basic3456789101112131415161718192021222324252627282930[[#This Row],[قيمة الشحنه]])</f>
        <v>0</v>
      </c>
      <c r="I196" s="90"/>
      <c r="J196" s="142" t="str">
        <f t="shared" ref="J196:J226" si="3">M$3</f>
        <v>3.5.2026</v>
      </c>
      <c r="L196" s="153">
        <v>185</v>
      </c>
      <c r="M196" s="92"/>
    </row>
    <row r="197" spans="1:13" ht="21.6" x14ac:dyDescent="0.65">
      <c r="A197" s="195"/>
      <c r="B197" s="144">
        <v>194</v>
      </c>
      <c r="C197" s="2"/>
      <c r="D197" s="1"/>
      <c r="E197" s="3"/>
      <c r="F197" s="1"/>
      <c r="G197" s="141">
        <f>IF(Basic3456789101112131415161718192021222324252627282930[[#This Row],[نوع الخدمة]]="مخالفات", 50,
IF(Basic3456789101112131415161718192021222324252627282930[[#This Row],[نوع الخدمة]]="كاش ان",
    IF(F197&lt;=100, 18, IF(F197&lt;=250, 23, IF(F197&lt;=500, 35, IF(F197&lt;=1000, 40, F197*0.04)))),
IF(Basic3456789101112131415161718192021222324252627282930[[#This Row],[نوع الخدمة]]="كاش اوت",
    IF(F197&lt;=100, 15, IF(F197&lt;=250, 20, IF(F197&lt;=500, 30, IF(F197&lt;=1000, 35, F197*0.035)))),
0)))</f>
        <v>0</v>
      </c>
      <c r="H197" s="159">
        <f>IF(I197="مخالفات",50,Basic3456789101112131415161718192021222324252627282930[[#This Row],[قيمة الرسوم / العموله]]+Basic3456789101112131415161718192021222324252627282930[[#This Row],[قيمة الشحنه]])</f>
        <v>0</v>
      </c>
      <c r="I197" s="90"/>
      <c r="J197" s="142" t="str">
        <f t="shared" si="3"/>
        <v>3.5.2026</v>
      </c>
      <c r="L197" s="153">
        <v>186</v>
      </c>
      <c r="M197" s="92"/>
    </row>
    <row r="198" spans="1:13" ht="21.6" x14ac:dyDescent="0.65">
      <c r="A198" s="195"/>
      <c r="B198" s="140">
        <v>195</v>
      </c>
      <c r="C198" s="2"/>
      <c r="D198" s="1"/>
      <c r="E198" s="3"/>
      <c r="F198" s="1"/>
      <c r="G198" s="141">
        <f>IF(Basic3456789101112131415161718192021222324252627282930[[#This Row],[نوع الخدمة]]="مخالفات", 50,
IF(Basic3456789101112131415161718192021222324252627282930[[#This Row],[نوع الخدمة]]="كاش ان",
    IF(F198&lt;=100, 18, IF(F198&lt;=250, 23, IF(F198&lt;=500, 35, IF(F198&lt;=1000, 40, F198*0.04)))),
IF(Basic3456789101112131415161718192021222324252627282930[[#This Row],[نوع الخدمة]]="كاش اوت",
    IF(F198&lt;=100, 15, IF(F198&lt;=250, 20, IF(F198&lt;=500, 30, IF(F198&lt;=1000, 35, F198*0.035)))),
0)))</f>
        <v>0</v>
      </c>
      <c r="H198" s="159">
        <f>IF(I198="مخالفات",50,Basic3456789101112131415161718192021222324252627282930[[#This Row],[قيمة الرسوم / العموله]]+Basic3456789101112131415161718192021222324252627282930[[#This Row],[قيمة الشحنه]])</f>
        <v>0</v>
      </c>
      <c r="I198" s="90"/>
      <c r="J198" s="142" t="str">
        <f t="shared" si="3"/>
        <v>3.5.2026</v>
      </c>
      <c r="L198" s="153">
        <v>187</v>
      </c>
      <c r="M198" s="92"/>
    </row>
    <row r="199" spans="1:13" ht="21.6" x14ac:dyDescent="0.65">
      <c r="A199" s="195"/>
      <c r="B199" s="140">
        <v>196</v>
      </c>
      <c r="C199" s="2"/>
      <c r="D199" s="1"/>
      <c r="E199" s="3"/>
      <c r="F199" s="1"/>
      <c r="G199" s="141">
        <f>IF(Basic3456789101112131415161718192021222324252627282930[[#This Row],[نوع الخدمة]]="مخالفات", 50,
IF(Basic3456789101112131415161718192021222324252627282930[[#This Row],[نوع الخدمة]]="كاش ان",
    IF(F199&lt;=100, 18, IF(F199&lt;=250, 23, IF(F199&lt;=500, 35, IF(F199&lt;=1000, 40, F199*0.04)))),
IF(Basic3456789101112131415161718192021222324252627282930[[#This Row],[نوع الخدمة]]="كاش اوت",
    IF(F199&lt;=100, 15, IF(F199&lt;=250, 20, IF(F199&lt;=500, 30, IF(F199&lt;=1000, 35, F199*0.035)))),
0)))</f>
        <v>0</v>
      </c>
      <c r="H199" s="159">
        <f>IF(I199="مخالفات",50,Basic3456789101112131415161718192021222324252627282930[[#This Row],[قيمة الرسوم / العموله]]+Basic3456789101112131415161718192021222324252627282930[[#This Row],[قيمة الشحنه]])</f>
        <v>0</v>
      </c>
      <c r="I199" s="90"/>
      <c r="J199" s="142" t="str">
        <f t="shared" si="3"/>
        <v>3.5.2026</v>
      </c>
      <c r="L199" s="153">
        <v>188</v>
      </c>
      <c r="M199" s="92"/>
    </row>
    <row r="200" spans="1:13" ht="21.6" x14ac:dyDescent="0.65">
      <c r="A200" s="195"/>
      <c r="B200" s="140">
        <v>197</v>
      </c>
      <c r="C200" s="2"/>
      <c r="D200" s="1"/>
      <c r="E200" s="3"/>
      <c r="F200" s="1"/>
      <c r="G200" s="141">
        <f>IF(Basic3456789101112131415161718192021222324252627282930[[#This Row],[نوع الخدمة]]="مخالفات", 50,
IF(Basic3456789101112131415161718192021222324252627282930[[#This Row],[نوع الخدمة]]="كاش ان",
    IF(F200&lt;=100, 18, IF(F200&lt;=250, 23, IF(F200&lt;=500, 35, IF(F200&lt;=1000, 40, F200*0.04)))),
IF(Basic3456789101112131415161718192021222324252627282930[[#This Row],[نوع الخدمة]]="كاش اوت",
    IF(F200&lt;=100, 15, IF(F200&lt;=250, 20, IF(F200&lt;=500, 30, IF(F200&lt;=1000, 35, F200*0.035)))),
0)))</f>
        <v>0</v>
      </c>
      <c r="H200" s="159">
        <f>IF(I200="مخالفات",50,Basic3456789101112131415161718192021222324252627282930[[#This Row],[قيمة الرسوم / العموله]]+Basic3456789101112131415161718192021222324252627282930[[#This Row],[قيمة الشحنه]])</f>
        <v>0</v>
      </c>
      <c r="I200" s="90"/>
      <c r="J200" s="142" t="str">
        <f t="shared" si="3"/>
        <v>3.5.2026</v>
      </c>
      <c r="L200" s="153">
        <v>189</v>
      </c>
      <c r="M200" s="92"/>
    </row>
    <row r="201" spans="1:13" ht="21.6" x14ac:dyDescent="0.65">
      <c r="A201" s="195"/>
      <c r="B201" s="144">
        <v>198</v>
      </c>
      <c r="C201" s="2"/>
      <c r="D201" s="1"/>
      <c r="E201" s="3"/>
      <c r="F201" s="1"/>
      <c r="G201" s="141">
        <f>IF(Basic3456789101112131415161718192021222324252627282930[[#This Row],[نوع الخدمة]]="مخالفات", 50,
IF(Basic3456789101112131415161718192021222324252627282930[[#This Row],[نوع الخدمة]]="كاش ان",
    IF(F201&lt;=100, 18, IF(F201&lt;=250, 23, IF(F201&lt;=500, 35, IF(F201&lt;=1000, 40, F201*0.04)))),
IF(Basic3456789101112131415161718192021222324252627282930[[#This Row],[نوع الخدمة]]="كاش اوت",
    IF(F201&lt;=100, 15, IF(F201&lt;=250, 20, IF(F201&lt;=500, 30, IF(F201&lt;=1000, 35, F201*0.035)))),
0)))</f>
        <v>0</v>
      </c>
      <c r="H201" s="159">
        <f>IF(I201="مخالفات",50,Basic3456789101112131415161718192021222324252627282930[[#This Row],[قيمة الرسوم / العموله]]+Basic3456789101112131415161718192021222324252627282930[[#This Row],[قيمة الشحنه]])</f>
        <v>0</v>
      </c>
      <c r="I201" s="90"/>
      <c r="J201" s="142" t="str">
        <f t="shared" si="3"/>
        <v>3.5.2026</v>
      </c>
      <c r="L201" s="153">
        <v>190</v>
      </c>
      <c r="M201" s="92"/>
    </row>
    <row r="202" spans="1:13" ht="21.6" x14ac:dyDescent="0.65">
      <c r="A202" s="195"/>
      <c r="B202" s="140">
        <v>199</v>
      </c>
      <c r="C202" s="2"/>
      <c r="D202" s="1"/>
      <c r="E202" s="3"/>
      <c r="F202" s="1"/>
      <c r="G202" s="141">
        <f>IF(Basic3456789101112131415161718192021222324252627282930[[#This Row],[نوع الخدمة]]="مخالفات", 50,
IF(Basic3456789101112131415161718192021222324252627282930[[#This Row],[نوع الخدمة]]="كاش ان",
    IF(F202&lt;=100, 18, IF(F202&lt;=250, 23, IF(F202&lt;=500, 35, IF(F202&lt;=1000, 40, F202*0.04)))),
IF(Basic3456789101112131415161718192021222324252627282930[[#This Row],[نوع الخدمة]]="كاش اوت",
    IF(F202&lt;=100, 15, IF(F202&lt;=250, 20, IF(F202&lt;=500, 30, IF(F202&lt;=1000, 35, F202*0.035)))),
0)))</f>
        <v>0</v>
      </c>
      <c r="H202" s="159">
        <f>IF(I202="مخالفات",50,Basic3456789101112131415161718192021222324252627282930[[#This Row],[قيمة الرسوم / العموله]]+Basic3456789101112131415161718192021222324252627282930[[#This Row],[قيمة الشحنه]])</f>
        <v>0</v>
      </c>
      <c r="I202" s="90"/>
      <c r="J202" s="142" t="str">
        <f t="shared" si="3"/>
        <v>3.5.2026</v>
      </c>
      <c r="L202" s="153">
        <v>191</v>
      </c>
      <c r="M202" s="92"/>
    </row>
    <row r="203" spans="1:13" ht="21.6" x14ac:dyDescent="0.65">
      <c r="A203" s="195"/>
      <c r="B203" s="140">
        <v>200</v>
      </c>
      <c r="C203" s="2"/>
      <c r="D203" s="1"/>
      <c r="E203" s="3"/>
      <c r="F203" s="1"/>
      <c r="G203" s="141">
        <f>IF(Basic3456789101112131415161718192021222324252627282930[[#This Row],[نوع الخدمة]]="مخالفات", 50,
IF(Basic3456789101112131415161718192021222324252627282930[[#This Row],[نوع الخدمة]]="كاش ان",
    IF(F203&lt;=100, 18, IF(F203&lt;=250, 23, IF(F203&lt;=500, 35, IF(F203&lt;=1000, 40, F203*0.04)))),
IF(Basic3456789101112131415161718192021222324252627282930[[#This Row],[نوع الخدمة]]="كاش اوت",
    IF(F203&lt;=100, 15, IF(F203&lt;=250, 20, IF(F203&lt;=500, 30, IF(F203&lt;=1000, 35, F203*0.035)))),
0)))</f>
        <v>0</v>
      </c>
      <c r="H203" s="159">
        <f>IF(I203="مخالفات",50,Basic3456789101112131415161718192021222324252627282930[[#This Row],[قيمة الرسوم / العموله]]+Basic3456789101112131415161718192021222324252627282930[[#This Row],[قيمة الشحنه]])</f>
        <v>0</v>
      </c>
      <c r="I203" s="90"/>
      <c r="J203" s="142" t="str">
        <f t="shared" si="3"/>
        <v>3.5.2026</v>
      </c>
      <c r="L203" s="153">
        <v>192</v>
      </c>
      <c r="M203" s="92"/>
    </row>
    <row r="204" spans="1:13" ht="21.6" x14ac:dyDescent="0.65">
      <c r="A204" s="195"/>
      <c r="B204" s="140">
        <v>201</v>
      </c>
      <c r="C204" s="2"/>
      <c r="D204" s="1"/>
      <c r="E204" s="3"/>
      <c r="F204" s="1"/>
      <c r="G204" s="141">
        <f>IF(Basic3456789101112131415161718192021222324252627282930[[#This Row],[نوع الخدمة]]="مخالفات", 50,
IF(Basic3456789101112131415161718192021222324252627282930[[#This Row],[نوع الخدمة]]="كاش ان",
    IF(F204&lt;=100, 18, IF(F204&lt;=250, 23, IF(F204&lt;=500, 35, IF(F204&lt;=1000, 40, F204*0.04)))),
IF(Basic3456789101112131415161718192021222324252627282930[[#This Row],[نوع الخدمة]]="كاش اوت",
    IF(F204&lt;=100, 15, IF(F204&lt;=250, 20, IF(F204&lt;=500, 30, IF(F204&lt;=1000, 35, F204*0.035)))),
0)))</f>
        <v>0</v>
      </c>
      <c r="H204" s="159">
        <f>IF(I204="مخالفات",50,Basic3456789101112131415161718192021222324252627282930[[#This Row],[قيمة الرسوم / العموله]]+Basic3456789101112131415161718192021222324252627282930[[#This Row],[قيمة الشحنه]])</f>
        <v>0</v>
      </c>
      <c r="I204" s="90"/>
      <c r="J204" s="142" t="str">
        <f t="shared" si="3"/>
        <v>3.5.2026</v>
      </c>
      <c r="L204" s="153">
        <v>193</v>
      </c>
      <c r="M204" s="92"/>
    </row>
    <row r="205" spans="1:13" ht="21.6" x14ac:dyDescent="0.65">
      <c r="A205" s="195"/>
      <c r="B205" s="144">
        <v>202</v>
      </c>
      <c r="C205" s="2"/>
      <c r="D205" s="1"/>
      <c r="E205" s="3"/>
      <c r="F205" s="1"/>
      <c r="G205" s="141">
        <f>IF(Basic3456789101112131415161718192021222324252627282930[[#This Row],[نوع الخدمة]]="مخالفات", 50,
IF(Basic3456789101112131415161718192021222324252627282930[[#This Row],[نوع الخدمة]]="كاش ان",
    IF(F205&lt;=100, 18, IF(F205&lt;=250, 23, IF(F205&lt;=500, 35, IF(F205&lt;=1000, 40, F205*0.04)))),
IF(Basic3456789101112131415161718192021222324252627282930[[#This Row],[نوع الخدمة]]="كاش اوت",
    IF(F205&lt;=100, 15, IF(F205&lt;=250, 20, IF(F205&lt;=500, 30, IF(F205&lt;=1000, 35, F205*0.035)))),
0)))</f>
        <v>0</v>
      </c>
      <c r="H205" s="159">
        <f>IF(I205="مخالفات",50,Basic3456789101112131415161718192021222324252627282930[[#This Row],[قيمة الرسوم / العموله]]+Basic3456789101112131415161718192021222324252627282930[[#This Row],[قيمة الشحنه]])</f>
        <v>0</v>
      </c>
      <c r="I205" s="90"/>
      <c r="J205" s="142" t="str">
        <f t="shared" si="3"/>
        <v>3.5.2026</v>
      </c>
      <c r="L205" s="153">
        <v>194</v>
      </c>
      <c r="M205" s="92"/>
    </row>
    <row r="206" spans="1:13" ht="21.6" x14ac:dyDescent="0.65">
      <c r="A206" s="195"/>
      <c r="B206" s="140">
        <v>203</v>
      </c>
      <c r="C206" s="2"/>
      <c r="D206" s="1"/>
      <c r="E206" s="3"/>
      <c r="F206" s="1"/>
      <c r="G206" s="141">
        <f>IF(Basic3456789101112131415161718192021222324252627282930[[#This Row],[نوع الخدمة]]="مخالفات", 50,
IF(Basic3456789101112131415161718192021222324252627282930[[#This Row],[نوع الخدمة]]="كاش ان",
    IF(F206&lt;=100, 18, IF(F206&lt;=250, 23, IF(F206&lt;=500, 35, IF(F206&lt;=1000, 40, F206*0.04)))),
IF(Basic3456789101112131415161718192021222324252627282930[[#This Row],[نوع الخدمة]]="كاش اوت",
    IF(F206&lt;=100, 15, IF(F206&lt;=250, 20, IF(F206&lt;=500, 30, IF(F206&lt;=1000, 35, F206*0.035)))),
0)))</f>
        <v>0</v>
      </c>
      <c r="H206" s="159">
        <f>IF(I206="مخالفات",50,Basic3456789101112131415161718192021222324252627282930[[#This Row],[قيمة الرسوم / العموله]]+Basic3456789101112131415161718192021222324252627282930[[#This Row],[قيمة الشحنه]])</f>
        <v>0</v>
      </c>
      <c r="I206" s="90"/>
      <c r="J206" s="142" t="str">
        <f t="shared" si="3"/>
        <v>3.5.2026</v>
      </c>
      <c r="L206" s="153">
        <v>195</v>
      </c>
      <c r="M206" s="92"/>
    </row>
    <row r="207" spans="1:13" ht="21.6" x14ac:dyDescent="0.65">
      <c r="A207" s="195"/>
      <c r="B207" s="140">
        <v>204</v>
      </c>
      <c r="C207" s="2"/>
      <c r="D207" s="1"/>
      <c r="E207" s="3"/>
      <c r="F207" s="1"/>
      <c r="G207" s="141">
        <f>IF(Basic3456789101112131415161718192021222324252627282930[[#This Row],[نوع الخدمة]]="مخالفات", 50,
IF(Basic3456789101112131415161718192021222324252627282930[[#This Row],[نوع الخدمة]]="كاش ان",
    IF(F207&lt;=100, 18, IF(F207&lt;=250, 23, IF(F207&lt;=500, 35, IF(F207&lt;=1000, 40, F207*0.04)))),
IF(Basic3456789101112131415161718192021222324252627282930[[#This Row],[نوع الخدمة]]="كاش اوت",
    IF(F207&lt;=100, 15, IF(F207&lt;=250, 20, IF(F207&lt;=500, 30, IF(F207&lt;=1000, 35, F207*0.035)))),
0)))</f>
        <v>0</v>
      </c>
      <c r="H207" s="159">
        <f>IF(I207="مخالفات",50,Basic3456789101112131415161718192021222324252627282930[[#This Row],[قيمة الرسوم / العموله]]+Basic3456789101112131415161718192021222324252627282930[[#This Row],[قيمة الشحنه]])</f>
        <v>0</v>
      </c>
      <c r="I207" s="90"/>
      <c r="J207" s="142" t="str">
        <f t="shared" si="3"/>
        <v>3.5.2026</v>
      </c>
      <c r="L207" s="153">
        <v>196</v>
      </c>
      <c r="M207" s="92"/>
    </row>
    <row r="208" spans="1:13" ht="21.6" x14ac:dyDescent="0.65">
      <c r="A208" s="195"/>
      <c r="B208" s="140">
        <v>205</v>
      </c>
      <c r="C208" s="2"/>
      <c r="D208" s="1"/>
      <c r="E208" s="3"/>
      <c r="F208" s="1"/>
      <c r="G208" s="141">
        <f>IF(Basic3456789101112131415161718192021222324252627282930[[#This Row],[نوع الخدمة]]="مخالفات", 50,
IF(Basic3456789101112131415161718192021222324252627282930[[#This Row],[نوع الخدمة]]="كاش ان",
    IF(F208&lt;=100, 18, IF(F208&lt;=250, 23, IF(F208&lt;=500, 35, IF(F208&lt;=1000, 40, F208*0.04)))),
IF(Basic3456789101112131415161718192021222324252627282930[[#This Row],[نوع الخدمة]]="كاش اوت",
    IF(F208&lt;=100, 15, IF(F208&lt;=250, 20, IF(F208&lt;=500, 30, IF(F208&lt;=1000, 35, F208*0.035)))),
0)))</f>
        <v>0</v>
      </c>
      <c r="H208" s="159">
        <f>IF(I208="مخالفات",50,Basic3456789101112131415161718192021222324252627282930[[#This Row],[قيمة الرسوم / العموله]]+Basic3456789101112131415161718192021222324252627282930[[#This Row],[قيمة الشحنه]])</f>
        <v>0</v>
      </c>
      <c r="I208" s="90"/>
      <c r="J208" s="142" t="str">
        <f t="shared" si="3"/>
        <v>3.5.2026</v>
      </c>
      <c r="L208" s="153">
        <v>197</v>
      </c>
      <c r="M208" s="92"/>
    </row>
    <row r="209" spans="1:13" ht="21.6" x14ac:dyDescent="0.65">
      <c r="A209" s="195"/>
      <c r="B209" s="144">
        <v>206</v>
      </c>
      <c r="C209" s="2"/>
      <c r="D209" s="1"/>
      <c r="E209" s="3"/>
      <c r="F209" s="1"/>
      <c r="G209" s="141">
        <f>IF(Basic3456789101112131415161718192021222324252627282930[[#This Row],[نوع الخدمة]]="مخالفات", 50,
IF(Basic3456789101112131415161718192021222324252627282930[[#This Row],[نوع الخدمة]]="كاش ان",
    IF(F209&lt;=100, 18, IF(F209&lt;=250, 23, IF(F209&lt;=500, 35, IF(F209&lt;=1000, 40, F209*0.04)))),
IF(Basic3456789101112131415161718192021222324252627282930[[#This Row],[نوع الخدمة]]="كاش اوت",
    IF(F209&lt;=100, 15, IF(F209&lt;=250, 20, IF(F209&lt;=500, 30, IF(F209&lt;=1000, 35, F209*0.035)))),
0)))</f>
        <v>0</v>
      </c>
      <c r="H209" s="159">
        <f>IF(I209="مخالفات",50,Basic3456789101112131415161718192021222324252627282930[[#This Row],[قيمة الرسوم / العموله]]+Basic3456789101112131415161718192021222324252627282930[[#This Row],[قيمة الشحنه]])</f>
        <v>0</v>
      </c>
      <c r="I209" s="90"/>
      <c r="J209" s="142" t="str">
        <f t="shared" si="3"/>
        <v>3.5.2026</v>
      </c>
      <c r="L209" s="153">
        <v>198</v>
      </c>
      <c r="M209" s="92"/>
    </row>
    <row r="210" spans="1:13" ht="21.6" x14ac:dyDescent="0.65">
      <c r="A210" s="195"/>
      <c r="B210" s="140">
        <v>207</v>
      </c>
      <c r="C210" s="2"/>
      <c r="D210" s="1"/>
      <c r="E210" s="3"/>
      <c r="F210" s="1"/>
      <c r="G210" s="141">
        <f>IF(Basic3456789101112131415161718192021222324252627282930[[#This Row],[نوع الخدمة]]="مخالفات", 50,
IF(Basic3456789101112131415161718192021222324252627282930[[#This Row],[نوع الخدمة]]="كاش ان",
    IF(F210&lt;=100, 18, IF(F210&lt;=250, 23, IF(F210&lt;=500, 35, IF(F210&lt;=1000, 40, F210*0.04)))),
IF(Basic3456789101112131415161718192021222324252627282930[[#This Row],[نوع الخدمة]]="كاش اوت",
    IF(F210&lt;=100, 15, IF(F210&lt;=250, 20, IF(F210&lt;=500, 30, IF(F210&lt;=1000, 35, F210*0.035)))),
0)))</f>
        <v>0</v>
      </c>
      <c r="H210" s="159">
        <f>IF(I210="مخالفات",50,Basic3456789101112131415161718192021222324252627282930[[#This Row],[قيمة الرسوم / العموله]]+Basic3456789101112131415161718192021222324252627282930[[#This Row],[قيمة الشحنه]])</f>
        <v>0</v>
      </c>
      <c r="I210" s="90"/>
      <c r="J210" s="142" t="str">
        <f t="shared" si="3"/>
        <v>3.5.2026</v>
      </c>
      <c r="L210" s="153">
        <v>199</v>
      </c>
      <c r="M210" s="92"/>
    </row>
    <row r="211" spans="1:13" ht="21.6" x14ac:dyDescent="0.65">
      <c r="A211" s="195"/>
      <c r="B211" s="140">
        <v>208</v>
      </c>
      <c r="C211" s="2"/>
      <c r="D211" s="1"/>
      <c r="E211" s="3"/>
      <c r="F211" s="1"/>
      <c r="G211" s="141">
        <f>IF(Basic3456789101112131415161718192021222324252627282930[[#This Row],[نوع الخدمة]]="مخالفات", 50,
IF(Basic3456789101112131415161718192021222324252627282930[[#This Row],[نوع الخدمة]]="كاش ان",
    IF(F211&lt;=100, 18, IF(F211&lt;=250, 23, IF(F211&lt;=500, 35, IF(F211&lt;=1000, 40, F211*0.04)))),
IF(Basic3456789101112131415161718192021222324252627282930[[#This Row],[نوع الخدمة]]="كاش اوت",
    IF(F211&lt;=100, 15, IF(F211&lt;=250, 20, IF(F211&lt;=500, 30, IF(F211&lt;=1000, 35, F211*0.035)))),
0)))</f>
        <v>0</v>
      </c>
      <c r="H211" s="159">
        <f>IF(I211="مخالفات",50,Basic3456789101112131415161718192021222324252627282930[[#This Row],[قيمة الرسوم / العموله]]+Basic3456789101112131415161718192021222324252627282930[[#This Row],[قيمة الشحنه]])</f>
        <v>0</v>
      </c>
      <c r="I211" s="90"/>
      <c r="J211" s="142" t="str">
        <f t="shared" si="3"/>
        <v>3.5.2026</v>
      </c>
      <c r="L211" s="153">
        <v>200</v>
      </c>
      <c r="M211" s="92"/>
    </row>
    <row r="212" spans="1:13" ht="21.6" x14ac:dyDescent="0.65">
      <c r="A212" s="195"/>
      <c r="B212" s="140">
        <v>209</v>
      </c>
      <c r="C212" s="2"/>
      <c r="D212" s="1"/>
      <c r="E212" s="3"/>
      <c r="F212" s="1"/>
      <c r="G212" s="141">
        <f>IF(Basic3456789101112131415161718192021222324252627282930[[#This Row],[نوع الخدمة]]="مخالفات", 50,
IF(Basic3456789101112131415161718192021222324252627282930[[#This Row],[نوع الخدمة]]="كاش ان",
    IF(F212&lt;=100, 18, IF(F212&lt;=250, 23, IF(F212&lt;=500, 35, IF(F212&lt;=1000, 40, F212*0.04)))),
IF(Basic3456789101112131415161718192021222324252627282930[[#This Row],[نوع الخدمة]]="كاش اوت",
    IF(F212&lt;=100, 15, IF(F212&lt;=250, 20, IF(F212&lt;=500, 30, IF(F212&lt;=1000, 35, F212*0.035)))),
0)))</f>
        <v>0</v>
      </c>
      <c r="H212" s="159">
        <f>IF(I212="مخالفات",50,Basic3456789101112131415161718192021222324252627282930[[#This Row],[قيمة الرسوم / العموله]]+Basic3456789101112131415161718192021222324252627282930[[#This Row],[قيمة الشحنه]])</f>
        <v>0</v>
      </c>
      <c r="I212" s="90"/>
      <c r="J212" s="142" t="str">
        <f t="shared" si="3"/>
        <v>3.5.2026</v>
      </c>
      <c r="L212" s="153">
        <v>201</v>
      </c>
      <c r="M212" s="92"/>
    </row>
    <row r="213" spans="1:13" ht="21.6" x14ac:dyDescent="0.65">
      <c r="A213" s="195"/>
      <c r="B213" s="144">
        <v>210</v>
      </c>
      <c r="C213" s="2"/>
      <c r="D213" s="1"/>
      <c r="E213" s="3"/>
      <c r="F213" s="1"/>
      <c r="G213" s="141">
        <f>IF(Basic3456789101112131415161718192021222324252627282930[[#This Row],[نوع الخدمة]]="مخالفات", 50,
IF(Basic3456789101112131415161718192021222324252627282930[[#This Row],[نوع الخدمة]]="كاش ان",
    IF(F213&lt;=100, 18, IF(F213&lt;=250, 23, IF(F213&lt;=500, 35, IF(F213&lt;=1000, 40, F213*0.04)))),
IF(Basic3456789101112131415161718192021222324252627282930[[#This Row],[نوع الخدمة]]="كاش اوت",
    IF(F213&lt;=100, 15, IF(F213&lt;=250, 20, IF(F213&lt;=500, 30, IF(F213&lt;=1000, 35, F213*0.035)))),
0)))</f>
        <v>0</v>
      </c>
      <c r="H213" s="159">
        <f>IF(I213="مخالفات",50,Basic3456789101112131415161718192021222324252627282930[[#This Row],[قيمة الرسوم / العموله]]+Basic3456789101112131415161718192021222324252627282930[[#This Row],[قيمة الشحنه]])</f>
        <v>0</v>
      </c>
      <c r="I213" s="90"/>
      <c r="J213" s="142" t="str">
        <f t="shared" si="3"/>
        <v>3.5.2026</v>
      </c>
      <c r="L213" s="153">
        <v>202</v>
      </c>
      <c r="M213" s="92"/>
    </row>
    <row r="214" spans="1:13" ht="21.6" x14ac:dyDescent="0.65">
      <c r="A214" s="195"/>
      <c r="B214" s="140">
        <v>211</v>
      </c>
      <c r="C214" s="2"/>
      <c r="D214" s="1"/>
      <c r="E214" s="3"/>
      <c r="F214" s="1"/>
      <c r="G214" s="141">
        <f>IF(Basic3456789101112131415161718192021222324252627282930[[#This Row],[نوع الخدمة]]="مخالفات", 50,
IF(Basic3456789101112131415161718192021222324252627282930[[#This Row],[نوع الخدمة]]="كاش ان",
    IF(F214&lt;=100, 18, IF(F214&lt;=250, 23, IF(F214&lt;=500, 35, IF(F214&lt;=1000, 40, F214*0.04)))),
IF(Basic3456789101112131415161718192021222324252627282930[[#This Row],[نوع الخدمة]]="كاش اوت",
    IF(F214&lt;=100, 15, IF(F214&lt;=250, 20, IF(F214&lt;=500, 30, IF(F214&lt;=1000, 35, F214*0.035)))),
0)))</f>
        <v>0</v>
      </c>
      <c r="H214" s="159">
        <f>IF(I214="مخالفات",50,Basic3456789101112131415161718192021222324252627282930[[#This Row],[قيمة الرسوم / العموله]]+Basic3456789101112131415161718192021222324252627282930[[#This Row],[قيمة الشحنه]])</f>
        <v>0</v>
      </c>
      <c r="I214" s="90"/>
      <c r="J214" s="142" t="str">
        <f t="shared" si="3"/>
        <v>3.5.2026</v>
      </c>
      <c r="L214" s="153">
        <v>203</v>
      </c>
      <c r="M214" s="92"/>
    </row>
    <row r="215" spans="1:13" ht="21.6" x14ac:dyDescent="0.65">
      <c r="A215" s="195"/>
      <c r="B215" s="140">
        <v>212</v>
      </c>
      <c r="C215" s="2"/>
      <c r="D215" s="1"/>
      <c r="E215" s="3"/>
      <c r="F215" s="1"/>
      <c r="G215" s="141">
        <f>IF(Basic3456789101112131415161718192021222324252627282930[[#This Row],[نوع الخدمة]]="مخالفات", 50,
IF(Basic3456789101112131415161718192021222324252627282930[[#This Row],[نوع الخدمة]]="كاش ان",
    IF(F215&lt;=100, 18, IF(F215&lt;=250, 23, IF(F215&lt;=500, 35, IF(F215&lt;=1000, 40, F215*0.04)))),
IF(Basic3456789101112131415161718192021222324252627282930[[#This Row],[نوع الخدمة]]="كاش اوت",
    IF(F215&lt;=100, 15, IF(F215&lt;=250, 20, IF(F215&lt;=500, 30, IF(F215&lt;=1000, 35, F215*0.035)))),
0)))</f>
        <v>0</v>
      </c>
      <c r="H215" s="159">
        <f>IF(I215="مخالفات",50,Basic3456789101112131415161718192021222324252627282930[[#This Row],[قيمة الرسوم / العموله]]+Basic3456789101112131415161718192021222324252627282930[[#This Row],[قيمة الشحنه]])</f>
        <v>0</v>
      </c>
      <c r="I215" s="90"/>
      <c r="J215" s="142" t="str">
        <f t="shared" si="3"/>
        <v>3.5.2026</v>
      </c>
      <c r="L215" s="153">
        <v>204</v>
      </c>
      <c r="M215" s="92"/>
    </row>
    <row r="216" spans="1:13" ht="21.6" x14ac:dyDescent="0.65">
      <c r="A216" s="195"/>
      <c r="B216" s="140">
        <v>213</v>
      </c>
      <c r="C216" s="2"/>
      <c r="D216" s="1"/>
      <c r="E216" s="3"/>
      <c r="F216" s="1"/>
      <c r="G216" s="141">
        <f>IF(Basic3456789101112131415161718192021222324252627282930[[#This Row],[نوع الخدمة]]="مخالفات", 50,
IF(Basic3456789101112131415161718192021222324252627282930[[#This Row],[نوع الخدمة]]="كاش ان",
    IF(F216&lt;=100, 18, IF(F216&lt;=250, 23, IF(F216&lt;=500, 35, IF(F216&lt;=1000, 40, F216*0.04)))),
IF(Basic3456789101112131415161718192021222324252627282930[[#This Row],[نوع الخدمة]]="كاش اوت",
    IF(F216&lt;=100, 15, IF(F216&lt;=250, 20, IF(F216&lt;=500, 30, IF(F216&lt;=1000, 35, F216*0.035)))),
0)))</f>
        <v>0</v>
      </c>
      <c r="H216" s="159">
        <f>IF(I216="مخالفات",50,Basic3456789101112131415161718192021222324252627282930[[#This Row],[قيمة الرسوم / العموله]]+Basic3456789101112131415161718192021222324252627282930[[#This Row],[قيمة الشحنه]])</f>
        <v>0</v>
      </c>
      <c r="I216" s="90"/>
      <c r="J216" s="142" t="str">
        <f t="shared" si="3"/>
        <v>3.5.2026</v>
      </c>
      <c r="L216" s="153">
        <v>205</v>
      </c>
      <c r="M216" s="92"/>
    </row>
    <row r="217" spans="1:13" ht="21.6" x14ac:dyDescent="0.65">
      <c r="A217" s="195"/>
      <c r="B217" s="144">
        <v>214</v>
      </c>
      <c r="C217" s="2"/>
      <c r="D217" s="1"/>
      <c r="E217" s="3"/>
      <c r="F217" s="1"/>
      <c r="G217" s="141">
        <f>IF(Basic3456789101112131415161718192021222324252627282930[[#This Row],[نوع الخدمة]]="مخالفات", 50,
IF(Basic3456789101112131415161718192021222324252627282930[[#This Row],[نوع الخدمة]]="كاش ان",
    IF(F217&lt;=100, 18, IF(F217&lt;=250, 23, IF(F217&lt;=500, 35, IF(F217&lt;=1000, 40, F217*0.04)))),
IF(Basic3456789101112131415161718192021222324252627282930[[#This Row],[نوع الخدمة]]="كاش اوت",
    IF(F217&lt;=100, 15, IF(F217&lt;=250, 20, IF(F217&lt;=500, 30, IF(F217&lt;=1000, 35, F217*0.035)))),
0)))</f>
        <v>0</v>
      </c>
      <c r="H217" s="159">
        <f>IF(I217="مخالفات",50,Basic3456789101112131415161718192021222324252627282930[[#This Row],[قيمة الرسوم / العموله]]+Basic3456789101112131415161718192021222324252627282930[[#This Row],[قيمة الشحنه]])</f>
        <v>0</v>
      </c>
      <c r="I217" s="90"/>
      <c r="J217" s="142" t="str">
        <f t="shared" si="3"/>
        <v>3.5.2026</v>
      </c>
      <c r="L217" s="153">
        <v>206</v>
      </c>
      <c r="M217" s="92"/>
    </row>
    <row r="218" spans="1:13" ht="21.6" x14ac:dyDescent="0.65">
      <c r="A218" s="195"/>
      <c r="B218" s="140">
        <v>215</v>
      </c>
      <c r="C218" s="2"/>
      <c r="D218" s="1"/>
      <c r="E218" s="3"/>
      <c r="F218" s="1"/>
      <c r="G218" s="141">
        <f>IF(Basic3456789101112131415161718192021222324252627282930[[#This Row],[نوع الخدمة]]="مخالفات", 50,
IF(Basic3456789101112131415161718192021222324252627282930[[#This Row],[نوع الخدمة]]="كاش ان",
    IF(F218&lt;=100, 18, IF(F218&lt;=250, 23, IF(F218&lt;=500, 35, IF(F218&lt;=1000, 40, F218*0.04)))),
IF(Basic3456789101112131415161718192021222324252627282930[[#This Row],[نوع الخدمة]]="كاش اوت",
    IF(F218&lt;=100, 15, IF(F218&lt;=250, 20, IF(F218&lt;=500, 30, IF(F218&lt;=1000, 35, F218*0.035)))),
0)))</f>
        <v>0</v>
      </c>
      <c r="H218" s="159">
        <f>IF(I218="مخالفات",50,Basic3456789101112131415161718192021222324252627282930[[#This Row],[قيمة الرسوم / العموله]]+Basic3456789101112131415161718192021222324252627282930[[#This Row],[قيمة الشحنه]])</f>
        <v>0</v>
      </c>
      <c r="I218" s="90"/>
      <c r="J218" s="142" t="str">
        <f t="shared" si="3"/>
        <v>3.5.2026</v>
      </c>
      <c r="L218" s="153">
        <v>207</v>
      </c>
      <c r="M218" s="92"/>
    </row>
    <row r="219" spans="1:13" ht="21.6" x14ac:dyDescent="0.65">
      <c r="A219" s="195"/>
      <c r="B219" s="140">
        <v>216</v>
      </c>
      <c r="C219" s="2"/>
      <c r="D219" s="1"/>
      <c r="E219" s="3"/>
      <c r="F219" s="1"/>
      <c r="G219" s="141">
        <f>IF(Basic3456789101112131415161718192021222324252627282930[[#This Row],[نوع الخدمة]]="مخالفات", 50,
IF(Basic3456789101112131415161718192021222324252627282930[[#This Row],[نوع الخدمة]]="كاش ان",
    IF(F219&lt;=100, 18, IF(F219&lt;=250, 23, IF(F219&lt;=500, 35, IF(F219&lt;=1000, 40, F219*0.04)))),
IF(Basic3456789101112131415161718192021222324252627282930[[#This Row],[نوع الخدمة]]="كاش اوت",
    IF(F219&lt;=100, 15, IF(F219&lt;=250, 20, IF(F219&lt;=500, 30, IF(F219&lt;=1000, 35, F219*0.035)))),
0)))</f>
        <v>0</v>
      </c>
      <c r="H219" s="159">
        <f>IF(I219="مخالفات",50,Basic3456789101112131415161718192021222324252627282930[[#This Row],[قيمة الرسوم / العموله]]+Basic3456789101112131415161718192021222324252627282930[[#This Row],[قيمة الشحنه]])</f>
        <v>0</v>
      </c>
      <c r="I219" s="90"/>
      <c r="J219" s="142" t="str">
        <f t="shared" si="3"/>
        <v>3.5.2026</v>
      </c>
      <c r="L219" s="153">
        <v>208</v>
      </c>
      <c r="M219" s="92"/>
    </row>
    <row r="220" spans="1:13" ht="21.6" x14ac:dyDescent="0.65">
      <c r="A220" s="195"/>
      <c r="B220" s="140">
        <v>217</v>
      </c>
      <c r="C220" s="2"/>
      <c r="D220" s="1"/>
      <c r="E220" s="3"/>
      <c r="F220" s="1"/>
      <c r="G220" s="141">
        <f>IF(Basic3456789101112131415161718192021222324252627282930[[#This Row],[نوع الخدمة]]="مخالفات", 50,
IF(Basic3456789101112131415161718192021222324252627282930[[#This Row],[نوع الخدمة]]="كاش ان",
    IF(F220&lt;=100, 18, IF(F220&lt;=250, 23, IF(F220&lt;=500, 35, IF(F220&lt;=1000, 40, F220*0.04)))),
IF(Basic3456789101112131415161718192021222324252627282930[[#This Row],[نوع الخدمة]]="كاش اوت",
    IF(F220&lt;=100, 15, IF(F220&lt;=250, 20, IF(F220&lt;=500, 30, IF(F220&lt;=1000, 35, F220*0.035)))),
0)))</f>
        <v>0</v>
      </c>
      <c r="H220" s="159">
        <f>IF(I220="مخالفات",50,Basic3456789101112131415161718192021222324252627282930[[#This Row],[قيمة الرسوم / العموله]]+Basic3456789101112131415161718192021222324252627282930[[#This Row],[قيمة الشحنه]])</f>
        <v>0</v>
      </c>
      <c r="I220" s="90"/>
      <c r="J220" s="142" t="str">
        <f t="shared" si="3"/>
        <v>3.5.2026</v>
      </c>
      <c r="L220" s="153">
        <v>209</v>
      </c>
      <c r="M220" s="92"/>
    </row>
    <row r="221" spans="1:13" ht="21.6" x14ac:dyDescent="0.65">
      <c r="A221" s="195"/>
      <c r="B221" s="144">
        <v>218</v>
      </c>
      <c r="C221" s="2"/>
      <c r="D221" s="1"/>
      <c r="E221" s="3"/>
      <c r="F221" s="1"/>
      <c r="G221" s="141">
        <f>IF(Basic3456789101112131415161718192021222324252627282930[[#This Row],[نوع الخدمة]]="مخالفات", 50,
IF(Basic3456789101112131415161718192021222324252627282930[[#This Row],[نوع الخدمة]]="كاش ان",
    IF(F221&lt;=100, 18, IF(F221&lt;=250, 23, IF(F221&lt;=500, 35, IF(F221&lt;=1000, 40, F221*0.04)))),
IF(Basic3456789101112131415161718192021222324252627282930[[#This Row],[نوع الخدمة]]="كاش اوت",
    IF(F221&lt;=100, 15, IF(F221&lt;=250, 20, IF(F221&lt;=500, 30, IF(F221&lt;=1000, 35, F221*0.035)))),
0)))</f>
        <v>0</v>
      </c>
      <c r="H221" s="159">
        <f>IF(I221="مخالفات",50,Basic3456789101112131415161718192021222324252627282930[[#This Row],[قيمة الرسوم / العموله]]+Basic3456789101112131415161718192021222324252627282930[[#This Row],[قيمة الشحنه]])</f>
        <v>0</v>
      </c>
      <c r="I221" s="90"/>
      <c r="J221" s="142" t="str">
        <f t="shared" si="3"/>
        <v>3.5.2026</v>
      </c>
      <c r="L221" s="153">
        <v>210</v>
      </c>
      <c r="M221" s="92"/>
    </row>
    <row r="222" spans="1:13" ht="21.6" x14ac:dyDescent="0.65">
      <c r="A222" s="195"/>
      <c r="B222" s="140">
        <v>219</v>
      </c>
      <c r="C222" s="2"/>
      <c r="D222" s="1"/>
      <c r="E222" s="3"/>
      <c r="F222" s="1"/>
      <c r="G222" s="141">
        <f>IF(Basic3456789101112131415161718192021222324252627282930[[#This Row],[نوع الخدمة]]="مخالفات", 50,
IF(Basic3456789101112131415161718192021222324252627282930[[#This Row],[نوع الخدمة]]="كاش ان",
    IF(F222&lt;=100, 18, IF(F222&lt;=250, 23, IF(F222&lt;=500, 35, IF(F222&lt;=1000, 40, F222*0.04)))),
IF(Basic3456789101112131415161718192021222324252627282930[[#This Row],[نوع الخدمة]]="كاش اوت",
    IF(F222&lt;=100, 15, IF(F222&lt;=250, 20, IF(F222&lt;=500, 30, IF(F222&lt;=1000, 35, F222*0.035)))),
0)))</f>
        <v>0</v>
      </c>
      <c r="H222" s="159">
        <f>IF(I222="مخالفات",50,Basic3456789101112131415161718192021222324252627282930[[#This Row],[قيمة الرسوم / العموله]]+Basic3456789101112131415161718192021222324252627282930[[#This Row],[قيمة الشحنه]])</f>
        <v>0</v>
      </c>
      <c r="I222" s="90"/>
      <c r="J222" s="142" t="str">
        <f t="shared" si="3"/>
        <v>3.5.2026</v>
      </c>
      <c r="L222" s="153">
        <v>211</v>
      </c>
      <c r="M222" s="92"/>
    </row>
    <row r="223" spans="1:13" ht="21.6" x14ac:dyDescent="0.65">
      <c r="A223" s="195"/>
      <c r="B223" s="140">
        <v>220</v>
      </c>
      <c r="C223" s="2"/>
      <c r="D223" s="1"/>
      <c r="E223" s="3"/>
      <c r="F223" s="1"/>
      <c r="G223" s="141">
        <f>IF(Basic3456789101112131415161718192021222324252627282930[[#This Row],[نوع الخدمة]]="مخالفات", 50,
IF(Basic3456789101112131415161718192021222324252627282930[[#This Row],[نوع الخدمة]]="كاش ان",
    IF(F223&lt;=100, 18, IF(F223&lt;=250, 23, IF(F223&lt;=500, 35, IF(F223&lt;=1000, 40, F223*0.04)))),
IF(Basic3456789101112131415161718192021222324252627282930[[#This Row],[نوع الخدمة]]="كاش اوت",
    IF(F223&lt;=100, 15, IF(F223&lt;=250, 20, IF(F223&lt;=500, 30, IF(F223&lt;=1000, 35, F223*0.035)))),
0)))</f>
        <v>0</v>
      </c>
      <c r="H223" s="159">
        <f>IF(I223="مخالفات",50,Basic3456789101112131415161718192021222324252627282930[[#This Row],[قيمة الرسوم / العموله]]+Basic3456789101112131415161718192021222324252627282930[[#This Row],[قيمة الشحنه]])</f>
        <v>0</v>
      </c>
      <c r="I223" s="90"/>
      <c r="J223" s="142" t="str">
        <f t="shared" si="3"/>
        <v>3.5.2026</v>
      </c>
      <c r="L223" s="153">
        <v>212</v>
      </c>
      <c r="M223" s="92"/>
    </row>
    <row r="224" spans="1:13" ht="21.6" x14ac:dyDescent="0.65">
      <c r="A224" s="195"/>
      <c r="B224" s="140">
        <v>221</v>
      </c>
      <c r="C224" s="2"/>
      <c r="D224" s="1"/>
      <c r="E224" s="3"/>
      <c r="F224" s="1"/>
      <c r="G224" s="141">
        <f>IF(Basic3456789101112131415161718192021222324252627282930[[#This Row],[نوع الخدمة]]="مخالفات", 50,
IF(Basic3456789101112131415161718192021222324252627282930[[#This Row],[نوع الخدمة]]="كاش ان",
    IF(F224&lt;=100, 18, IF(F224&lt;=250, 23, IF(F224&lt;=500, 35, IF(F224&lt;=1000, 40, F224*0.04)))),
IF(Basic3456789101112131415161718192021222324252627282930[[#This Row],[نوع الخدمة]]="كاش اوت",
    IF(F224&lt;=100, 15, IF(F224&lt;=250, 20, IF(F224&lt;=500, 30, IF(F224&lt;=1000, 35, F224*0.035)))),
0)))</f>
        <v>0</v>
      </c>
      <c r="H224" s="159">
        <f>IF(I224="مخالفات",50,Basic3456789101112131415161718192021222324252627282930[[#This Row],[قيمة الرسوم / العموله]]+Basic3456789101112131415161718192021222324252627282930[[#This Row],[قيمة الشحنه]])</f>
        <v>0</v>
      </c>
      <c r="I224" s="90"/>
      <c r="J224" s="142" t="str">
        <f t="shared" si="3"/>
        <v>3.5.2026</v>
      </c>
      <c r="L224" s="153">
        <v>213</v>
      </c>
      <c r="M224" s="92"/>
    </row>
    <row r="225" spans="1:13" ht="21.6" x14ac:dyDescent="0.65">
      <c r="A225" s="195"/>
      <c r="B225" s="144">
        <v>222</v>
      </c>
      <c r="C225" s="2"/>
      <c r="D225" s="1"/>
      <c r="E225" s="3"/>
      <c r="F225" s="1"/>
      <c r="G225" s="141">
        <f>IF(Basic3456789101112131415161718192021222324252627282930[[#This Row],[نوع الخدمة]]="مخالفات", 50,
IF(Basic3456789101112131415161718192021222324252627282930[[#This Row],[نوع الخدمة]]="كاش ان",
    IF(F225&lt;=100, 18, IF(F225&lt;=250, 23, IF(F225&lt;=500, 35, IF(F225&lt;=1000, 40, F225*0.04)))),
IF(Basic3456789101112131415161718192021222324252627282930[[#This Row],[نوع الخدمة]]="كاش اوت",
    IF(F225&lt;=100, 15, IF(F225&lt;=250, 20, IF(F225&lt;=500, 30, IF(F225&lt;=1000, 35, F225*0.035)))),
0)))</f>
        <v>0</v>
      </c>
      <c r="H225" s="159">
        <f>IF(I225="مخالفات",50,Basic3456789101112131415161718192021222324252627282930[[#This Row],[قيمة الرسوم / العموله]]+Basic3456789101112131415161718192021222324252627282930[[#This Row],[قيمة الشحنه]])</f>
        <v>0</v>
      </c>
      <c r="I225" s="90"/>
      <c r="J225" s="142" t="str">
        <f t="shared" si="3"/>
        <v>3.5.2026</v>
      </c>
      <c r="L225" s="153">
        <v>214</v>
      </c>
      <c r="M225" s="92"/>
    </row>
    <row r="226" spans="1:13" ht="21.6" x14ac:dyDescent="0.65">
      <c r="A226" s="195"/>
      <c r="B226" s="140">
        <v>223</v>
      </c>
      <c r="C226" s="4"/>
      <c r="D226" s="5"/>
      <c r="E226" s="6"/>
      <c r="F226" s="5"/>
      <c r="G226" s="141">
        <f>IF(Basic3456789101112131415161718192021222324252627282930[[#This Row],[نوع الخدمة]]="مخالفات", 50,
IF(Basic3456789101112131415161718192021222324252627282930[[#This Row],[نوع الخدمة]]="كاش ان",
    IF(F226&lt;=100, 18, IF(F226&lt;=250, 23, IF(F226&lt;=500, 35, IF(F226&lt;=1000, 40, F226*0.04)))),
IF(Basic3456789101112131415161718192021222324252627282930[[#This Row],[نوع الخدمة]]="كاش اوت",
    IF(F226&lt;=100, 15, IF(F226&lt;=250, 20, IF(F226&lt;=500, 30, IF(F226&lt;=1000, 35, F226*0.035)))),
0)))</f>
        <v>0</v>
      </c>
      <c r="H226" s="160">
        <f>IF(I226="مخالفات",50,Basic3456789101112131415161718192021222324252627282930[[#This Row],[قيمة الرسوم / العموله]]+Basic3456789101112131415161718192021222324252627282930[[#This Row],[قيمة الشحنه]])</f>
        <v>0</v>
      </c>
      <c r="I226" s="90"/>
      <c r="J226" s="142" t="str">
        <f t="shared" si="3"/>
        <v>3.5.2026</v>
      </c>
      <c r="L226" s="156">
        <v>215</v>
      </c>
      <c r="M226" s="93"/>
    </row>
  </sheetData>
  <sheetProtection algorithmName="SHA-512" hashValue="HNtKtrI1W+O6ITdVMkkHSem0hXYqThK09GVC6LWORXSoV92T0wGDamfBvCtOCYJHJ1+PPTjGRoFM9Eq8IgT1qw==" saltValue="7ltUSxfMP35zEk/GOO5Yzw==" spinCount="100000" sheet="1" objects="1" scenarios="1"/>
  <mergeCells count="7">
    <mergeCell ref="A4:A226"/>
    <mergeCell ref="O27:P27"/>
    <mergeCell ref="R10:W10"/>
    <mergeCell ref="F1:H1"/>
    <mergeCell ref="O20:P20"/>
    <mergeCell ref="O21:P21"/>
    <mergeCell ref="O24:P24"/>
  </mergeCells>
  <conditionalFormatting sqref="I4:I226">
    <cfRule type="cellIs" dxfId="115" priority="12" operator="equal">
      <formula>$BH$10</formula>
    </cfRule>
    <cfRule type="cellIs" dxfId="114" priority="13" operator="equal">
      <formula>$BH$9</formula>
    </cfRule>
    <cfRule type="cellIs" dxfId="113" priority="14" operator="equal">
      <formula>$BH$8</formula>
    </cfRule>
  </conditionalFormatting>
  <conditionalFormatting sqref="P11">
    <cfRule type="cellIs" dxfId="112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{4A92F0C0-044D-44A1-8C0A-416E69390C6E}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{82F3B678-51BA-43B9-B0FE-0AE211F01D9D}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{FA2A481B-5BFF-462D-B7A2-5CC8A6C47E37}</x14:id>
        </ext>
      </extLst>
    </cfRule>
  </conditionalFormatting>
  <dataValidations count="2">
    <dataValidation type="list" allowBlank="1" showInputMessage="1" showErrorMessage="1" sqref="I4:I226" xr:uid="{00000000-0002-0000-0200-000000000000}">
      <formula1>$BH$8:$BH$10</formula1>
    </dataValidation>
    <dataValidation type="textLength" operator="equal" allowBlank="1" showInputMessage="1" showErrorMessage="1" errorTitle="يجب إخال رقم IPN صحيح 13 رقم" sqref="C1:C1048576" xr:uid="{00000000-0002-0000-0200-000001000000}">
      <formula1>13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A92F0C0-044D-44A1-8C0A-416E69390C6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82F3B678-51BA-43B9-B0FE-0AE211F01D9D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FA2A481B-5BFF-462D-B7A2-5CC8A6C47E37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G226"/>
  <sheetViews>
    <sheetView showGridLines="0" showRowColHeaders="0" rightToLeft="1" tabSelected="1" zoomScale="85" zoomScaleNormal="85" workbookViewId="0">
      <selection activeCell="I4" sqref="I4:J17"/>
    </sheetView>
  </sheetViews>
  <sheetFormatPr defaultColWidth="9.109375" defaultRowHeight="14.4" x14ac:dyDescent="0.3"/>
  <cols>
    <col min="1" max="1" width="4.109375" style="124" customWidth="1"/>
    <col min="2" max="2" width="6.5546875" style="125" bestFit="1" customWidth="1"/>
    <col min="3" max="3" width="28.5546875" style="126" customWidth="1"/>
    <col min="4" max="4" width="15.6640625" style="124" customWidth="1"/>
    <col min="5" max="5" width="17.5546875" style="157" customWidth="1"/>
    <col min="6" max="6" width="12.88671875" style="124" bestFit="1" customWidth="1"/>
    <col min="7" max="7" width="19" style="124" bestFit="1" customWidth="1"/>
    <col min="8" max="8" width="19" style="124" customWidth="1"/>
    <col min="9" max="9" width="12.44140625" style="128" bestFit="1" customWidth="1"/>
    <col min="10" max="10" width="17.5546875" style="129" customWidth="1"/>
    <col min="11" max="11" width="3.5546875" style="124" customWidth="1"/>
    <col min="12" max="12" width="8.5546875" style="124" bestFit="1" customWidth="1"/>
    <col min="13" max="13" width="25.5546875" style="124" customWidth="1"/>
    <col min="14" max="14" width="3.5546875" style="124" customWidth="1"/>
    <col min="15" max="15" width="26.5546875" style="124" bestFit="1" customWidth="1"/>
    <col min="16" max="16" width="13.5546875" style="124" customWidth="1"/>
    <col min="17" max="17" width="3.5546875" style="124" customWidth="1"/>
    <col min="18" max="19" width="18" style="128" customWidth="1"/>
    <col min="20" max="20" width="11.5546875" style="128" bestFit="1" customWidth="1"/>
    <col min="21" max="21" width="10.5546875" style="128" bestFit="1" customWidth="1"/>
    <col min="22" max="22" width="10.109375" style="128" bestFit="1" customWidth="1"/>
    <col min="23" max="23" width="8.44140625" style="128" customWidth="1"/>
    <col min="24" max="31" width="9.109375" style="128"/>
    <col min="32" max="16384" width="9.109375" style="124"/>
  </cols>
  <sheetData>
    <row r="1" spans="1:59" x14ac:dyDescent="0.3">
      <c r="E1" s="127">
        <f>Total!F5</f>
        <v>69</v>
      </c>
      <c r="F1" s="192" t="str">
        <f>Total!G5</f>
        <v>العبور</v>
      </c>
      <c r="G1" s="192"/>
      <c r="H1" s="192"/>
    </row>
    <row r="3" spans="1:59" ht="15.6" x14ac:dyDescent="0.3">
      <c r="B3" s="130" t="s">
        <v>0</v>
      </c>
      <c r="C3" s="131" t="s">
        <v>1</v>
      </c>
      <c r="D3" s="132" t="s">
        <v>2</v>
      </c>
      <c r="E3" s="133" t="s">
        <v>3</v>
      </c>
      <c r="F3" s="132" t="s">
        <v>4</v>
      </c>
      <c r="G3" s="132" t="s">
        <v>5</v>
      </c>
      <c r="H3" s="158" t="s">
        <v>76</v>
      </c>
      <c r="I3" s="132" t="s">
        <v>6</v>
      </c>
      <c r="J3" s="134" t="s">
        <v>7</v>
      </c>
      <c r="L3" s="135" t="s">
        <v>7</v>
      </c>
      <c r="M3" s="136" t="s">
        <v>89</v>
      </c>
      <c r="O3" s="137" t="s">
        <v>17</v>
      </c>
      <c r="P3" s="138">
        <f>M5+M6</f>
        <v>1</v>
      </c>
      <c r="S3" s="173"/>
      <c r="T3" s="173"/>
      <c r="U3" s="173"/>
      <c r="V3" s="173"/>
      <c r="W3" s="173"/>
    </row>
    <row r="4" spans="1:59" ht="21.6" x14ac:dyDescent="0.65">
      <c r="A4" s="195"/>
      <c r="B4" s="140">
        <v>1</v>
      </c>
      <c r="C4" s="8">
        <v>1111111111111</v>
      </c>
      <c r="D4" s="9" t="s">
        <v>113</v>
      </c>
      <c r="E4" s="10" t="s">
        <v>114</v>
      </c>
      <c r="F4" s="9">
        <v>1000</v>
      </c>
      <c r="G4" s="141">
        <f>IF(Basic34567891011121314151617181920212223242526272829[[#This Row],[نوع الخدمة]]="مخالفات", 50,
IF(Basic34567891011121314151617181920212223242526272829[[#This Row],[نوع الخدمة]]="كاش ان",
    IF(F4&lt;=100, 18, IF(F4&lt;=250, 23, IF(F4&lt;=500, 35, IF(F4&lt;=1000, 40, F4*0.04)))),
IF(Basic34567891011121314151617181920212223242526272829[[#This Row],[نوع الخدمة]]="كاش اوت",
    IF(F4&lt;=100, 15, IF(F4&lt;=250, 20, IF(F4&lt;=500, 30, IF(F4&lt;=1000, 35, F4*0.035)))),
0)))</f>
        <v>35</v>
      </c>
      <c r="H4" s="141">
        <f>IF(I4="مخالفات",50,Basic34567891011121314151617181920212223242526272829[[#This Row],[قيمة الرسوم / العموله]]+Basic34567891011121314151617181920212223242526272829[[#This Row],[قيمة الشحنه]])</f>
        <v>1035</v>
      </c>
      <c r="I4" s="90" t="s">
        <v>9</v>
      </c>
      <c r="J4" s="142" t="str">
        <f t="shared" ref="J4:J67" si="0">M$3</f>
        <v>4.5.2026</v>
      </c>
      <c r="L4" s="135" t="s">
        <v>26</v>
      </c>
      <c r="M4" s="90">
        <v>10000</v>
      </c>
      <c r="O4" s="137" t="s">
        <v>18</v>
      </c>
      <c r="P4" s="138">
        <f>M4</f>
        <v>10000</v>
      </c>
      <c r="S4" s="143" t="s">
        <v>22</v>
      </c>
      <c r="T4" s="143" t="s">
        <v>23</v>
      </c>
      <c r="U4" s="173"/>
      <c r="V4" s="173"/>
      <c r="W4" s="173"/>
    </row>
    <row r="5" spans="1:59" ht="21.6" x14ac:dyDescent="0.65">
      <c r="A5" s="195"/>
      <c r="B5" s="144">
        <v>2</v>
      </c>
      <c r="C5" s="8">
        <v>1111111111111</v>
      </c>
      <c r="D5" s="9" t="s">
        <v>113</v>
      </c>
      <c r="E5" s="10" t="s">
        <v>114</v>
      </c>
      <c r="F5" s="9">
        <v>1000</v>
      </c>
      <c r="G5" s="141">
        <f>IF(Basic34567891011121314151617181920212223242526272829[[#This Row],[نوع الخدمة]]="مخالفات", 50,
IF(Basic34567891011121314151617181920212223242526272829[[#This Row],[نوع الخدمة]]="كاش ان",
    IF(F5&lt;=100, 18, IF(F5&lt;=250, 23, IF(F5&lt;=500, 35, IF(F5&lt;=1000, 40, F5*0.04)))),
IF(Basic34567891011121314151617181920212223242526272829[[#This Row],[نوع الخدمة]]="كاش اوت",
    IF(F5&lt;=100, 15, IF(F5&lt;=250, 20, IF(F5&lt;=500, 30, IF(F5&lt;=1000, 35, F5*0.035)))),
0)))</f>
        <v>35</v>
      </c>
      <c r="H5" s="141">
        <f>IF(I5="مخالفات",50,Basic34567891011121314151617181920212223242526272829[[#This Row],[قيمة الرسوم / العموله]]+Basic34567891011121314151617181920212223242526272829[[#This Row],[قيمة الشحنه]])</f>
        <v>1035</v>
      </c>
      <c r="I5" s="90" t="s">
        <v>9</v>
      </c>
      <c r="J5" s="142" t="str">
        <f t="shared" si="0"/>
        <v>4.5.2026</v>
      </c>
      <c r="L5" s="135" t="s">
        <v>27</v>
      </c>
      <c r="M5" s="90">
        <v>1</v>
      </c>
      <c r="O5" s="137" t="s">
        <v>19</v>
      </c>
      <c r="P5" s="138">
        <f>SUMIF(Basic34567891011121314151617181920212223242526272829[نوع الخدمة],"كاش ان",Basic34567891011121314151617181920212223242526272829[قيمة الشحنه])</f>
        <v>4375</v>
      </c>
      <c r="S5" s="145">
        <f>P5+P9+P12+P7</f>
        <v>11870</v>
      </c>
      <c r="T5" s="145">
        <f>P3</f>
        <v>1</v>
      </c>
    </row>
    <row r="6" spans="1:59" ht="21.6" x14ac:dyDescent="0.65">
      <c r="A6" s="195"/>
      <c r="B6" s="140">
        <v>3</v>
      </c>
      <c r="C6" s="8">
        <v>1111111111111</v>
      </c>
      <c r="D6" s="9" t="s">
        <v>113</v>
      </c>
      <c r="E6" s="10" t="s">
        <v>114</v>
      </c>
      <c r="F6" s="9">
        <v>450</v>
      </c>
      <c r="G6" s="141">
        <f>IF(Basic34567891011121314151617181920212223242526272829[[#This Row],[نوع الخدمة]]="مخالفات", 50,
IF(Basic34567891011121314151617181920212223242526272829[[#This Row],[نوع الخدمة]]="كاش ان",
    IF(F6&lt;=100, 18, IF(F6&lt;=250, 23, IF(F6&lt;=500, 35, IF(F6&lt;=1000, 40, F6*0.04)))),
IF(Basic34567891011121314151617181920212223242526272829[[#This Row],[نوع الخدمة]]="كاش اوت",
    IF(F6&lt;=100, 15, IF(F6&lt;=250, 20, IF(F6&lt;=500, 30, IF(F6&lt;=1000, 35, F6*0.035)))),
0)))</f>
        <v>30</v>
      </c>
      <c r="H6" s="141">
        <f>IF(I6="مخالفات",50,Basic34567891011121314151617181920212223242526272829[[#This Row],[قيمة الرسوم / العموله]]+Basic34567891011121314151617181920212223242526272829[[#This Row],[قيمة الشحنه]])</f>
        <v>480</v>
      </c>
      <c r="I6" s="90" t="s">
        <v>9</v>
      </c>
      <c r="J6" s="142" t="str">
        <f t="shared" si="0"/>
        <v>4.5.2026</v>
      </c>
      <c r="L6" s="135" t="s">
        <v>28</v>
      </c>
      <c r="M6" s="90"/>
      <c r="O6" s="146" t="s">
        <v>12</v>
      </c>
      <c r="P6" s="138">
        <f>P3*150</f>
        <v>150</v>
      </c>
    </row>
    <row r="7" spans="1:59" ht="21.6" x14ac:dyDescent="0.65">
      <c r="A7" s="195"/>
      <c r="B7" s="140">
        <v>4</v>
      </c>
      <c r="C7" s="8">
        <v>1111111111111</v>
      </c>
      <c r="D7" s="9" t="s">
        <v>113</v>
      </c>
      <c r="E7" s="10" t="s">
        <v>114</v>
      </c>
      <c r="F7" s="9">
        <v>500</v>
      </c>
      <c r="G7" s="141">
        <f>IF(Basic34567891011121314151617181920212223242526272829[[#This Row],[نوع الخدمة]]="مخالفات", 50,
IF(Basic34567891011121314151617181920212223242526272829[[#This Row],[نوع الخدمة]]="كاش ان",
    IF(F7&lt;=100, 18, IF(F7&lt;=250, 23, IF(F7&lt;=500, 35, IF(F7&lt;=1000, 40, F7*0.04)))),
IF(Basic34567891011121314151617181920212223242526272829[[#This Row],[نوع الخدمة]]="كاش اوت",
    IF(F7&lt;=100, 15, IF(F7&lt;=250, 20, IF(F7&lt;=500, 30, IF(F7&lt;=1000, 35, F7*0.035)))),
0)))</f>
        <v>30</v>
      </c>
      <c r="H7" s="141">
        <f>IF(I7="مخالفات",50,Basic34567891011121314151617181920212223242526272829[[#This Row],[قيمة الرسوم / العموله]]+Basic34567891011121314151617181920212223242526272829[[#This Row],[قيمة الشحنه]])</f>
        <v>530</v>
      </c>
      <c r="I7" s="90" t="s">
        <v>9</v>
      </c>
      <c r="J7" s="142" t="str">
        <f t="shared" si="0"/>
        <v>4.5.2026</v>
      </c>
      <c r="L7" s="137" t="s">
        <v>11</v>
      </c>
      <c r="M7" s="165"/>
      <c r="O7" s="137" t="s">
        <v>74</v>
      </c>
      <c r="P7" s="138">
        <f>SUMIF(Basic34567891011121314151617181920212223242526272829[نوع الخدمة],"مخالفات",Basic34567891011121314151617181920212223242526272829[الاجمــــــــــالي])</f>
        <v>50</v>
      </c>
      <c r="R7" s="173"/>
      <c r="S7" s="173"/>
    </row>
    <row r="8" spans="1:59" ht="21.6" x14ac:dyDescent="0.65">
      <c r="A8" s="195"/>
      <c r="B8" s="140">
        <v>5</v>
      </c>
      <c r="C8" s="8">
        <v>1111111111111</v>
      </c>
      <c r="D8" s="9" t="s">
        <v>113</v>
      </c>
      <c r="E8" s="10" t="s">
        <v>114</v>
      </c>
      <c r="F8" s="9">
        <v>500</v>
      </c>
      <c r="G8" s="141">
        <f>IF(Basic34567891011121314151617181920212223242526272829[[#This Row],[نوع الخدمة]]="مخالفات", 50,
IF(Basic34567891011121314151617181920212223242526272829[[#This Row],[نوع الخدمة]]="كاش ان",
    IF(F8&lt;=100, 18, IF(F8&lt;=250, 23, IF(F8&lt;=500, 35, IF(F8&lt;=1000, 40, F8*0.04)))),
IF(Basic34567891011121314151617181920212223242526272829[[#This Row],[نوع الخدمة]]="كاش اوت",
    IF(F8&lt;=100, 15, IF(F8&lt;=250, 20, IF(F8&lt;=500, 30, IF(F8&lt;=1000, 35, F8*0.035)))),
0)))</f>
        <v>30</v>
      </c>
      <c r="H8" s="141">
        <f>IF(I8="مخالفات",50,Basic34567891011121314151617181920212223242526272829[[#This Row],[قيمة الرسوم / العموله]]+Basic34567891011121314151617181920212223242526272829[[#This Row],[قيمة الشحنه]])</f>
        <v>530</v>
      </c>
      <c r="I8" s="90" t="s">
        <v>9</v>
      </c>
      <c r="J8" s="142" t="str">
        <f t="shared" si="0"/>
        <v>4.5.2026</v>
      </c>
      <c r="L8" s="166" t="s">
        <v>79</v>
      </c>
      <c r="M8" s="167">
        <v>0</v>
      </c>
      <c r="O8" s="137" t="s">
        <v>11</v>
      </c>
      <c r="P8" s="138">
        <f>M7</f>
        <v>0</v>
      </c>
      <c r="R8" s="143" t="s">
        <v>72</v>
      </c>
      <c r="S8" s="143" t="s">
        <v>25</v>
      </c>
      <c r="T8" s="143" t="s">
        <v>24</v>
      </c>
      <c r="U8" s="143" t="s">
        <v>73</v>
      </c>
      <c r="V8" s="143" t="s">
        <v>25</v>
      </c>
      <c r="W8" s="143" t="s">
        <v>24</v>
      </c>
      <c r="BG8" s="148" t="s">
        <v>8</v>
      </c>
    </row>
    <row r="9" spans="1:59" ht="18" customHeight="1" x14ac:dyDescent="0.65">
      <c r="A9" s="195"/>
      <c r="B9" s="144">
        <v>6</v>
      </c>
      <c r="C9" s="8">
        <v>1111111111111</v>
      </c>
      <c r="D9" s="9" t="s">
        <v>113</v>
      </c>
      <c r="E9" s="10" t="s">
        <v>114</v>
      </c>
      <c r="F9" s="9">
        <v>500</v>
      </c>
      <c r="G9" s="141">
        <f>IF(Basic34567891011121314151617181920212223242526272829[[#This Row],[نوع الخدمة]]="مخالفات", 50,
IF(Basic34567891011121314151617181920212223242526272829[[#This Row],[نوع الخدمة]]="كاش ان",
    IF(F9&lt;=100, 18, IF(F9&lt;=250, 23, IF(F9&lt;=500, 35, IF(F9&lt;=1000, 40, F9*0.04)))),
IF(Basic34567891011121314151617181920212223242526272829[[#This Row],[نوع الخدمة]]="كاش اوت",
    IF(F9&lt;=100, 15, IF(F9&lt;=250, 20, IF(F9&lt;=500, 30, IF(F9&lt;=1000, 35, F9*0.035)))),
0)))</f>
        <v>30</v>
      </c>
      <c r="H9" s="141">
        <f>IF(I9="مخالفات",50,Basic34567891011121314151617181920212223242526272829[[#This Row],[قيمة الرسوم / العموله]]+Basic34567891011121314151617181920212223242526272829[[#This Row],[قيمة الشحنه]])</f>
        <v>530</v>
      </c>
      <c r="I9" s="90" t="s">
        <v>9</v>
      </c>
      <c r="J9" s="142" t="str">
        <f t="shared" si="0"/>
        <v>4.5.2026</v>
      </c>
      <c r="L9" s="166" t="s">
        <v>80</v>
      </c>
      <c r="M9" s="167">
        <v>0</v>
      </c>
      <c r="O9" s="137" t="s">
        <v>20</v>
      </c>
      <c r="P9" s="138">
        <f>SUMIF(Basic34567891011121314151617181920212223242526272829[نوع الخدمة],"كاش ان",Basic34567891011121314151617181920212223242526272829[قيمة الرسوم / العموله])</f>
        <v>175</v>
      </c>
      <c r="R9" s="149">
        <f>Total!H5/24</f>
        <v>29166.666666666668</v>
      </c>
      <c r="S9" s="149">
        <f>S5</f>
        <v>11870</v>
      </c>
      <c r="T9" s="150">
        <f>S9/R9</f>
        <v>0.40697142857142854</v>
      </c>
      <c r="U9" s="149">
        <f>Total!K5/24</f>
        <v>2.9166666666666665</v>
      </c>
      <c r="V9" s="149">
        <f>T5</f>
        <v>1</v>
      </c>
      <c r="W9" s="150">
        <f>V9/U9</f>
        <v>0.34285714285714286</v>
      </c>
      <c r="BG9" s="148" t="s">
        <v>9</v>
      </c>
    </row>
    <row r="10" spans="1:59" ht="21.6" x14ac:dyDescent="0.65">
      <c r="A10" s="195"/>
      <c r="B10" s="140">
        <v>7</v>
      </c>
      <c r="C10" s="184">
        <v>2605040002470</v>
      </c>
      <c r="D10" s="9" t="s">
        <v>129</v>
      </c>
      <c r="E10" s="10" t="s">
        <v>130</v>
      </c>
      <c r="F10" s="9">
        <v>1920</v>
      </c>
      <c r="G10" s="141">
        <f>IF(Basic34567891011121314151617181920212223242526272829[[#This Row],[نوع الخدمة]]="مخالفات", 50,
IF(Basic34567891011121314151617181920212223242526272829[[#This Row],[نوع الخدمة]]="كاش ان",
    IF(F10&lt;=100, 18, IF(F10&lt;=250, 23, IF(F10&lt;=500, 35, IF(F10&lt;=1000, 40, F10*0.04)))),
IF(Basic34567891011121314151617181920212223242526272829[[#This Row],[نوع الخدمة]]="كاش اوت",
    IF(F10&lt;=100, 15, IF(F10&lt;=250, 20, IF(F10&lt;=500, 30, IF(F10&lt;=1000, 35, F10*0.035)))),
0)))</f>
        <v>76.8</v>
      </c>
      <c r="H10" s="141">
        <f>IF(I10="مخالفات",50,Basic34567891011121314151617181920212223242526272829[[#This Row],[قيمة الرسوم / العموله]]+Basic34567891011121314151617181920212223242526272829[[#This Row],[قيمة الشحنه]])</f>
        <v>1996.8</v>
      </c>
      <c r="I10" s="90" t="s">
        <v>8</v>
      </c>
      <c r="J10" s="142" t="str">
        <f t="shared" si="0"/>
        <v>4.5.2026</v>
      </c>
      <c r="O10" s="137" t="s">
        <v>16</v>
      </c>
      <c r="P10" s="138">
        <f>SUMIF(Basic34567891011121314151617181920212223242526272829[نوع الخدمة],"كاش اوت",Basic34567891011121314151617181920212223242526272829[قيمة الشحنه])</f>
        <v>6950</v>
      </c>
      <c r="R10" s="191">
        <f>(W9+T9)/2</f>
        <v>0.3749142857142857</v>
      </c>
      <c r="S10" s="191"/>
      <c r="T10" s="191"/>
      <c r="U10" s="191"/>
      <c r="V10" s="191"/>
      <c r="W10" s="191"/>
      <c r="BG10" s="148" t="s">
        <v>10</v>
      </c>
    </row>
    <row r="11" spans="1:59" ht="21.6" x14ac:dyDescent="0.65">
      <c r="A11" s="195"/>
      <c r="B11" s="140">
        <v>8</v>
      </c>
      <c r="C11" s="8">
        <v>1111111111111</v>
      </c>
      <c r="D11" s="9" t="s">
        <v>131</v>
      </c>
      <c r="E11" s="10" t="s">
        <v>132</v>
      </c>
      <c r="F11" s="9">
        <v>1000</v>
      </c>
      <c r="G11" s="141">
        <f>IF(Basic34567891011121314151617181920212223242526272829[[#This Row],[نوع الخدمة]]="مخالفات", 50,
IF(Basic34567891011121314151617181920212223242526272829[[#This Row],[نوع الخدمة]]="كاش ان",
    IF(F11&lt;=100, 18, IF(F11&lt;=250, 23, IF(F11&lt;=500, 35, IF(F11&lt;=1000, 40, F11*0.04)))),
IF(Basic34567891011121314151617181920212223242526272829[[#This Row],[نوع الخدمة]]="كاش اوت",
    IF(F11&lt;=100, 15, IF(F11&lt;=250, 20, IF(F11&lt;=500, 30, IF(F11&lt;=1000, 35, F11*0.035)))),
0)))</f>
        <v>35</v>
      </c>
      <c r="H11" s="141">
        <f>IF(I11="مخالفات",50,Basic34567891011121314151617181920212223242526272829[[#This Row],[قيمة الرسوم / العموله]]+Basic34567891011121314151617181920212223242526272829[[#This Row],[قيمة الشحنه]])</f>
        <v>1035</v>
      </c>
      <c r="I11" s="90" t="s">
        <v>9</v>
      </c>
      <c r="J11" s="142" t="str">
        <f t="shared" si="0"/>
        <v>4.5.2026</v>
      </c>
      <c r="L11" s="169" t="s">
        <v>77</v>
      </c>
      <c r="M11" s="168" t="s">
        <v>78</v>
      </c>
      <c r="O11" s="151" t="s">
        <v>21</v>
      </c>
      <c r="P11" s="152">
        <f>(P5+P6+P9+P7+P4)-P10-P8</f>
        <v>7800</v>
      </c>
      <c r="S11" s="173"/>
    </row>
    <row r="12" spans="1:59" ht="21.6" x14ac:dyDescent="0.65">
      <c r="A12" s="195"/>
      <c r="B12" s="140">
        <v>9</v>
      </c>
      <c r="C12" s="8">
        <v>1111111111111</v>
      </c>
      <c r="D12" s="9" t="s">
        <v>131</v>
      </c>
      <c r="E12" s="10" t="s">
        <v>132</v>
      </c>
      <c r="F12" s="9">
        <v>500</v>
      </c>
      <c r="G12" s="141">
        <f>IF(Basic34567891011121314151617181920212223242526272829[[#This Row],[نوع الخدمة]]="مخالفات", 50,
IF(Basic34567891011121314151617181920212223242526272829[[#This Row],[نوع الخدمة]]="كاش ان",
    IF(F12&lt;=100, 18, IF(F12&lt;=250, 23, IF(F12&lt;=500, 35, IF(F12&lt;=1000, 40, F12*0.04)))),
IF(Basic34567891011121314151617181920212223242526272829[[#This Row],[نوع الخدمة]]="كاش اوت",
    IF(F12&lt;=100, 15, IF(F12&lt;=250, 20, IF(F12&lt;=500, 30, IF(F12&lt;=1000, 35, F12*0.035)))),
0)))</f>
        <v>30</v>
      </c>
      <c r="H12" s="141">
        <f>IF(I12="مخالفات",50,Basic34567891011121314151617181920212223242526272829[[#This Row],[قيمة الرسوم / العموله]]+Basic34567891011121314151617181920212223242526272829[[#This Row],[قيمة الشحنه]])</f>
        <v>530</v>
      </c>
      <c r="I12" s="90" t="s">
        <v>9</v>
      </c>
      <c r="J12" s="142" t="str">
        <f t="shared" si="0"/>
        <v>4.5.2026</v>
      </c>
      <c r="L12" s="153">
        <v>1</v>
      </c>
      <c r="M12" s="91" t="s">
        <v>115</v>
      </c>
      <c r="O12" s="137" t="s">
        <v>29</v>
      </c>
      <c r="P12" s="138">
        <f>SUMIF(Basic34567891011121314151617181920212223242526272829[نوع الخدمة],"كاش اوت",Basic34567891011121314151617181920212223242526272829[الاجمــــــــــالي])</f>
        <v>7270</v>
      </c>
    </row>
    <row r="13" spans="1:59" ht="21.6" x14ac:dyDescent="0.65">
      <c r="A13" s="195"/>
      <c r="B13" s="144">
        <v>10</v>
      </c>
      <c r="C13" s="8">
        <v>1111111111111</v>
      </c>
      <c r="D13" s="9" t="s">
        <v>131</v>
      </c>
      <c r="E13" s="10" t="s">
        <v>132</v>
      </c>
      <c r="F13" s="9">
        <v>500</v>
      </c>
      <c r="G13" s="141">
        <f>IF(Basic34567891011121314151617181920212223242526272829[[#This Row],[نوع الخدمة]]="مخالفات", 50,
IF(Basic34567891011121314151617181920212223242526272829[[#This Row],[نوع الخدمة]]="كاش ان",
    IF(F13&lt;=100, 18, IF(F13&lt;=250, 23, IF(F13&lt;=500, 35, IF(F13&lt;=1000, 40, F13*0.04)))),
IF(Basic34567891011121314151617181920212223242526272829[[#This Row],[نوع الخدمة]]="كاش اوت",
    IF(F13&lt;=100, 15, IF(F13&lt;=250, 20, IF(F13&lt;=500, 30, IF(F13&lt;=1000, 35, F13*0.035)))),
0)))</f>
        <v>30</v>
      </c>
      <c r="H13" s="141">
        <f>IF(I13="مخالفات",50,Basic34567891011121314151617181920212223242526272829[[#This Row],[قيمة الرسوم / العموله]]+Basic34567891011121314151617181920212223242526272829[[#This Row],[قيمة الشحنه]])</f>
        <v>530</v>
      </c>
      <c r="I13" s="90" t="s">
        <v>9</v>
      </c>
      <c r="J13" s="142" t="str">
        <f t="shared" si="0"/>
        <v>4.5.2026</v>
      </c>
      <c r="L13" s="153">
        <v>2</v>
      </c>
      <c r="M13" s="92"/>
    </row>
    <row r="14" spans="1:59" ht="21.6" x14ac:dyDescent="0.65">
      <c r="A14" s="195"/>
      <c r="B14" s="140">
        <v>11</v>
      </c>
      <c r="C14" s="8">
        <v>1111111111111</v>
      </c>
      <c r="D14" s="9" t="s">
        <v>131</v>
      </c>
      <c r="E14" s="10" t="s">
        <v>132</v>
      </c>
      <c r="F14" s="9">
        <v>1000</v>
      </c>
      <c r="G14" s="141">
        <f>IF(Basic34567891011121314151617181920212223242526272829[[#This Row],[نوع الخدمة]]="مخالفات", 50,
IF(Basic34567891011121314151617181920212223242526272829[[#This Row],[نوع الخدمة]]="كاش ان",
    IF(F14&lt;=100, 18, IF(F14&lt;=250, 23, IF(F14&lt;=500, 35, IF(F14&lt;=1000, 40, F14*0.04)))),
IF(Basic34567891011121314151617181920212223242526272829[[#This Row],[نوع الخدمة]]="كاش اوت",
    IF(F14&lt;=100, 15, IF(F14&lt;=250, 20, IF(F14&lt;=500, 30, IF(F14&lt;=1000, 35, F14*0.035)))),
0)))</f>
        <v>35</v>
      </c>
      <c r="H14" s="159">
        <f>IF(I14="مخالفات",50,Basic34567891011121314151617181920212223242526272829[[#This Row],[قيمة الرسوم / العموله]]+Basic34567891011121314151617181920212223242526272829[[#This Row],[قيمة الشحنه]])</f>
        <v>1035</v>
      </c>
      <c r="I14" s="90" t="s">
        <v>9</v>
      </c>
      <c r="J14" s="142" t="str">
        <f t="shared" si="0"/>
        <v>4.5.2026</v>
      </c>
      <c r="L14" s="153">
        <v>3</v>
      </c>
      <c r="M14" s="92"/>
    </row>
    <row r="15" spans="1:59" ht="21.6" x14ac:dyDescent="0.65">
      <c r="A15" s="195"/>
      <c r="B15" s="140">
        <v>12</v>
      </c>
      <c r="C15" s="190">
        <v>2605040005677</v>
      </c>
      <c r="D15" s="1" t="s">
        <v>153</v>
      </c>
      <c r="E15" s="3" t="s">
        <v>154</v>
      </c>
      <c r="F15" s="1">
        <v>1355</v>
      </c>
      <c r="G15" s="141">
        <f>IF(Basic34567891011121314151617181920212223242526272829[[#This Row],[نوع الخدمة]]="مخالفات", 50,
IF(Basic34567891011121314151617181920212223242526272829[[#This Row],[نوع الخدمة]]="كاش ان",
    IF(F15&lt;=100, 18, IF(F15&lt;=250, 23, IF(F15&lt;=500, 35, IF(F15&lt;=1000, 40, F15*0.04)))),
IF(Basic34567891011121314151617181920212223242526272829[[#This Row],[نوع الخدمة]]="كاش اوت",
    IF(F15&lt;=100, 15, IF(F15&lt;=250, 20, IF(F15&lt;=500, 30, IF(F15&lt;=1000, 35, F15*0.035)))),
0)))</f>
        <v>54.2</v>
      </c>
      <c r="H15" s="159">
        <f>IF(I15="مخالفات",50,Basic34567891011121314151617181920212223242526272829[[#This Row],[قيمة الرسوم / العموله]]+Basic34567891011121314151617181920212223242526272829[[#This Row],[قيمة الشحنه]])</f>
        <v>1409.2</v>
      </c>
      <c r="I15" s="90" t="s">
        <v>8</v>
      </c>
      <c r="J15" s="142" t="str">
        <f t="shared" si="0"/>
        <v>4.5.2026</v>
      </c>
      <c r="L15" s="153">
        <v>4</v>
      </c>
      <c r="M15" s="92"/>
      <c r="O15" s="154" t="s">
        <v>10</v>
      </c>
      <c r="P15" s="155">
        <f>COUNTIF(Basic34567891011121314151617181920212223242526272829[نوع الخدمة],"مخالفات")</f>
        <v>1</v>
      </c>
    </row>
    <row r="16" spans="1:59" ht="21.6" x14ac:dyDescent="0.65">
      <c r="A16" s="195"/>
      <c r="B16" s="140">
        <v>13</v>
      </c>
      <c r="C16" s="2">
        <v>9999999999999</v>
      </c>
      <c r="D16" s="1" t="s">
        <v>153</v>
      </c>
      <c r="E16" s="3" t="s">
        <v>154</v>
      </c>
      <c r="F16" s="1">
        <v>0</v>
      </c>
      <c r="G16" s="141">
        <f>IF(Basic34567891011121314151617181920212223242526272829[[#This Row],[نوع الخدمة]]="مخالفات", 50,
IF(Basic34567891011121314151617181920212223242526272829[[#This Row],[نوع الخدمة]]="كاش ان",
    IF(F16&lt;=100, 18, IF(F16&lt;=250, 23, IF(F16&lt;=500, 35, IF(F16&lt;=1000, 40, F16*0.04)))),
IF(Basic34567891011121314151617181920212223242526272829[[#This Row],[نوع الخدمة]]="كاش اوت",
    IF(F16&lt;=100, 15, IF(F16&lt;=250, 20, IF(F16&lt;=500, 30, IF(F16&lt;=1000, 35, F16*0.035)))),
0)))</f>
        <v>50</v>
      </c>
      <c r="H16" s="159">
        <f>IF(I16="مخالفات",50,Basic34567891011121314151617181920212223242526272829[[#This Row],[قيمة الرسوم / العموله]]+Basic34567891011121314151617181920212223242526272829[[#This Row],[قيمة الشحنه]])</f>
        <v>50</v>
      </c>
      <c r="I16" s="90" t="s">
        <v>10</v>
      </c>
      <c r="J16" s="142" t="str">
        <f t="shared" si="0"/>
        <v>4.5.2026</v>
      </c>
      <c r="L16" s="153">
        <v>5</v>
      </c>
      <c r="M16" s="92"/>
      <c r="O16" s="154" t="s">
        <v>13</v>
      </c>
      <c r="P16" s="155">
        <f>COUNTIF(Basic34567891011121314151617181920212223242526272829[نوع الخدمة],"كاش ان")</f>
        <v>3</v>
      </c>
    </row>
    <row r="17" spans="1:20" ht="21.6" x14ac:dyDescent="0.65">
      <c r="A17" s="195"/>
      <c r="B17" s="144">
        <v>14</v>
      </c>
      <c r="C17" s="2">
        <v>2605040005916</v>
      </c>
      <c r="D17" s="1" t="s">
        <v>155</v>
      </c>
      <c r="E17" s="3" t="s">
        <v>156</v>
      </c>
      <c r="F17" s="1">
        <v>1100</v>
      </c>
      <c r="G17" s="141">
        <f>IF(Basic34567891011121314151617181920212223242526272829[[#This Row],[نوع الخدمة]]="مخالفات", 50,
IF(Basic34567891011121314151617181920212223242526272829[[#This Row],[نوع الخدمة]]="كاش ان",
    IF(F17&lt;=100, 18, IF(F17&lt;=250, 23, IF(F17&lt;=500, 35, IF(F17&lt;=1000, 40, F17*0.04)))),
IF(Basic34567891011121314151617181920212223242526272829[[#This Row],[نوع الخدمة]]="كاش اوت",
    IF(F17&lt;=100, 15, IF(F17&lt;=250, 20, IF(F17&lt;=500, 30, IF(F17&lt;=1000, 35, F17*0.035)))),
0)))</f>
        <v>44</v>
      </c>
      <c r="H17" s="159">
        <f>IF(I17="مخالفات",50,Basic34567891011121314151617181920212223242526272829[[#This Row],[قيمة الرسوم / العموله]]+Basic34567891011121314151617181920212223242526272829[[#This Row],[قيمة الشحنه]])</f>
        <v>1144</v>
      </c>
      <c r="I17" s="90" t="s">
        <v>8</v>
      </c>
      <c r="J17" s="142" t="str">
        <f t="shared" si="0"/>
        <v>4.5.2026</v>
      </c>
      <c r="L17" s="153">
        <v>6</v>
      </c>
      <c r="M17" s="92"/>
      <c r="O17" s="154" t="s">
        <v>14</v>
      </c>
      <c r="P17" s="155">
        <f>COUNTIF(Basic34567891011121314151617181920212223242526272829[نوع الخدمة],"كاش اوت")</f>
        <v>10</v>
      </c>
    </row>
    <row r="18" spans="1:20" ht="21.6" x14ac:dyDescent="0.65">
      <c r="A18" s="195"/>
      <c r="B18" s="140">
        <v>15</v>
      </c>
      <c r="C18" s="2"/>
      <c r="D18" s="1"/>
      <c r="E18" s="3"/>
      <c r="F18" s="1"/>
      <c r="G18" s="141">
        <f>IF(Basic34567891011121314151617181920212223242526272829[[#This Row],[نوع الخدمة]]="مخالفات", 50,
IF(Basic34567891011121314151617181920212223242526272829[[#This Row],[نوع الخدمة]]="كاش ان",
    IF(F18&lt;=100, 18, IF(F18&lt;=250, 23, IF(F18&lt;=500, 35, IF(F18&lt;=1000, 40, F18*0.04)))),
IF(Basic34567891011121314151617181920212223242526272829[[#This Row],[نوع الخدمة]]="كاش اوت",
    IF(F18&lt;=100, 15, IF(F18&lt;=250, 20, IF(F18&lt;=500, 30, IF(F18&lt;=1000, 35, F18*0.035)))),
0)))</f>
        <v>0</v>
      </c>
      <c r="H18" s="159">
        <f>IF(I18="مخالفات",50,Basic34567891011121314151617181920212223242526272829[[#This Row],[قيمة الرسوم / العموله]]+Basic34567891011121314151617181920212223242526272829[[#This Row],[قيمة الشحنه]])</f>
        <v>0</v>
      </c>
      <c r="I18" s="90"/>
      <c r="J18" s="142" t="str">
        <f t="shared" si="0"/>
        <v>4.5.2026</v>
      </c>
      <c r="L18" s="153">
        <v>7</v>
      </c>
      <c r="M18" s="92"/>
      <c r="O18" s="154" t="s">
        <v>15</v>
      </c>
      <c r="P18" s="155">
        <f>P16+P17</f>
        <v>13</v>
      </c>
    </row>
    <row r="19" spans="1:20" ht="21.6" x14ac:dyDescent="0.65">
      <c r="A19" s="195"/>
      <c r="B19" s="140">
        <v>16</v>
      </c>
      <c r="C19" s="2"/>
      <c r="D19" s="1"/>
      <c r="E19" s="3"/>
      <c r="F19" s="1"/>
      <c r="G19" s="141">
        <f>IF(Basic34567891011121314151617181920212223242526272829[[#This Row],[نوع الخدمة]]="مخالفات", 50,
IF(Basic34567891011121314151617181920212223242526272829[[#This Row],[نوع الخدمة]]="كاش ان",
    IF(F19&lt;=100, 18, IF(F19&lt;=250, 23, IF(F19&lt;=500, 35, IF(F19&lt;=1000, 40, F19*0.04)))),
IF(Basic34567891011121314151617181920212223242526272829[[#This Row],[نوع الخدمة]]="كاش اوت",
    IF(F19&lt;=100, 15, IF(F19&lt;=250, 20, IF(F19&lt;=500, 30, IF(F19&lt;=1000, 35, F19*0.035)))),
0)))</f>
        <v>0</v>
      </c>
      <c r="H19" s="159">
        <f>IF(I19="مخالفات",50,Basic34567891011121314151617181920212223242526272829[[#This Row],[قيمة الرسوم / العموله]]+Basic34567891011121314151617181920212223242526272829[[#This Row],[قيمة الشحنه]])</f>
        <v>0</v>
      </c>
      <c r="I19" s="90"/>
      <c r="J19" s="142" t="str">
        <f t="shared" si="0"/>
        <v>4.5.2026</v>
      </c>
      <c r="L19" s="153">
        <v>8</v>
      </c>
      <c r="M19" s="92"/>
    </row>
    <row r="20" spans="1:20" ht="21.6" x14ac:dyDescent="0.65">
      <c r="A20" s="195"/>
      <c r="B20" s="140">
        <v>17</v>
      </c>
      <c r="C20" s="2"/>
      <c r="D20" s="1"/>
      <c r="E20" s="3"/>
      <c r="F20" s="1"/>
      <c r="G20" s="141">
        <f>IF(Basic34567891011121314151617181920212223242526272829[[#This Row],[نوع الخدمة]]="مخالفات", 50,
IF(Basic34567891011121314151617181920212223242526272829[[#This Row],[نوع الخدمة]]="كاش ان",
    IF(F20&lt;=100, 18, IF(F20&lt;=250, 23, IF(F20&lt;=500, 35, IF(F20&lt;=1000, 40, F20*0.04)))),
IF(Basic34567891011121314151617181920212223242526272829[[#This Row],[نوع الخدمة]]="كاش اوت",
    IF(F20&lt;=100, 15, IF(F20&lt;=250, 20, IF(F20&lt;=500, 30, IF(F20&lt;=1000, 35, F20*0.035)))),
0)))</f>
        <v>0</v>
      </c>
      <c r="H20" s="159">
        <f>IF(I20="مخالفات",50,Basic34567891011121314151617181920212223242526272829[[#This Row],[قيمة الرسوم / العموله]]+Basic34567891011121314151617181920212223242526272829[[#This Row],[قيمة الشحنه]])</f>
        <v>0</v>
      </c>
      <c r="I20" s="90"/>
      <c r="J20" s="142" t="str">
        <f t="shared" si="0"/>
        <v>4.5.2026</v>
      </c>
      <c r="L20" s="153">
        <v>9</v>
      </c>
      <c r="M20" s="92"/>
      <c r="O20" s="193" t="s">
        <v>30</v>
      </c>
      <c r="P20" s="194"/>
    </row>
    <row r="21" spans="1:20" ht="21.6" x14ac:dyDescent="0.65">
      <c r="A21" s="195"/>
      <c r="B21" s="144">
        <v>18</v>
      </c>
      <c r="C21" s="2"/>
      <c r="D21" s="1"/>
      <c r="E21" s="3"/>
      <c r="F21" s="1"/>
      <c r="G21" s="141">
        <f>IF(Basic34567891011121314151617181920212223242526272829[[#This Row],[نوع الخدمة]]="مخالفات", 50,
IF(Basic34567891011121314151617181920212223242526272829[[#This Row],[نوع الخدمة]]="كاش ان",
    IF(F21&lt;=100, 18, IF(F21&lt;=250, 23, IF(F21&lt;=500, 35, IF(F21&lt;=1000, 40, F21*0.04)))),
IF(Basic34567891011121314151617181920212223242526272829[[#This Row],[نوع الخدمة]]="كاش اوت",
    IF(F21&lt;=100, 15, IF(F21&lt;=250, 20, IF(F21&lt;=500, 30, IF(F21&lt;=1000, 35, F21*0.035)))),
0)))</f>
        <v>0</v>
      </c>
      <c r="H21" s="159">
        <f>IF(I21="مخالفات",50,Basic34567891011121314151617181920212223242526272829[[#This Row],[قيمة الرسوم / العموله]]+Basic34567891011121314151617181920212223242526272829[[#This Row],[قيمة الشحنه]])</f>
        <v>0</v>
      </c>
      <c r="I21" s="90"/>
      <c r="J21" s="142" t="str">
        <f t="shared" si="0"/>
        <v>4.5.2026</v>
      </c>
      <c r="L21" s="153">
        <v>10</v>
      </c>
      <c r="M21" s="92"/>
      <c r="O21" s="196" t="s">
        <v>31</v>
      </c>
      <c r="P21" s="197"/>
    </row>
    <row r="22" spans="1:20" ht="21.6" x14ac:dyDescent="0.65">
      <c r="A22" s="195"/>
      <c r="B22" s="140">
        <v>19</v>
      </c>
      <c r="C22" s="2"/>
      <c r="D22" s="1"/>
      <c r="E22" s="3"/>
      <c r="F22" s="1"/>
      <c r="G22" s="141">
        <f>IF(Basic34567891011121314151617181920212223242526272829[[#This Row],[نوع الخدمة]]="مخالفات", 50,
IF(Basic34567891011121314151617181920212223242526272829[[#This Row],[نوع الخدمة]]="كاش ان",
    IF(F22&lt;=100, 18, IF(F22&lt;=250, 23, IF(F22&lt;=500, 35, IF(F22&lt;=1000, 40, F22*0.04)))),
IF(Basic34567891011121314151617181920212223242526272829[[#This Row],[نوع الخدمة]]="كاش اوت",
    IF(F22&lt;=100, 15, IF(F22&lt;=250, 20, IF(F22&lt;=500, 30, IF(F22&lt;=1000, 35, F22*0.035)))),
0)))</f>
        <v>0</v>
      </c>
      <c r="H22" s="159">
        <f>IF(I22="مخالفات",50,Basic34567891011121314151617181920212223242526272829[[#This Row],[قيمة الرسوم / العموله]]+Basic34567891011121314151617181920212223242526272829[[#This Row],[قيمة الشحنه]])</f>
        <v>0</v>
      </c>
      <c r="I22" s="90"/>
      <c r="J22" s="142" t="str">
        <f t="shared" si="0"/>
        <v>4.5.2026</v>
      </c>
      <c r="L22" s="153">
        <v>11</v>
      </c>
      <c r="M22" s="92"/>
      <c r="O22" s="147" t="s">
        <v>27</v>
      </c>
      <c r="P22" s="135">
        <f>M8+'3'!P28</f>
        <v>-3</v>
      </c>
    </row>
    <row r="23" spans="1:20" ht="21.6" x14ac:dyDescent="0.65">
      <c r="A23" s="195"/>
      <c r="B23" s="140">
        <v>20</v>
      </c>
      <c r="C23" s="2"/>
      <c r="D23" s="1"/>
      <c r="E23" s="3"/>
      <c r="F23" s="1"/>
      <c r="G23" s="141">
        <f>IF(Basic34567891011121314151617181920212223242526272829[[#This Row],[نوع الخدمة]]="مخالفات", 50,
IF(Basic34567891011121314151617181920212223242526272829[[#This Row],[نوع الخدمة]]="كاش ان",
    IF(F23&lt;=100, 18, IF(F23&lt;=250, 23, IF(F23&lt;=500, 35, IF(F23&lt;=1000, 40, F23*0.04)))),
IF(Basic34567891011121314151617181920212223242526272829[[#This Row],[نوع الخدمة]]="كاش اوت",
    IF(F23&lt;=100, 15, IF(F23&lt;=250, 20, IF(F23&lt;=500, 30, IF(F23&lt;=1000, 35, F23*0.035)))),
0)))</f>
        <v>0</v>
      </c>
      <c r="H23" s="159">
        <f>IF(I23="مخالفات",50,Basic34567891011121314151617181920212223242526272829[[#This Row],[قيمة الرسوم / العموله]]+Basic34567891011121314151617181920212223242526272829[[#This Row],[قيمة الشحنه]])</f>
        <v>0</v>
      </c>
      <c r="I23" s="90"/>
      <c r="J23" s="142" t="str">
        <f t="shared" si="0"/>
        <v>4.5.2026</v>
      </c>
      <c r="L23" s="153">
        <v>12</v>
      </c>
      <c r="M23" s="92"/>
      <c r="O23" s="147" t="s">
        <v>28</v>
      </c>
      <c r="P23" s="135">
        <f>M9+'3'!P29</f>
        <v>0</v>
      </c>
      <c r="S23" s="173"/>
      <c r="T23" s="173"/>
    </row>
    <row r="24" spans="1:20" ht="21.6" x14ac:dyDescent="0.65">
      <c r="A24" s="195"/>
      <c r="B24" s="140">
        <v>21</v>
      </c>
      <c r="C24" s="2"/>
      <c r="D24" s="1"/>
      <c r="E24" s="3"/>
      <c r="F24" s="1"/>
      <c r="G24" s="141">
        <f>IF(Basic34567891011121314151617181920212223242526272829[[#This Row],[نوع الخدمة]]="مخالفات", 50,
IF(Basic34567891011121314151617181920212223242526272829[[#This Row],[نوع الخدمة]]="كاش ان",
    IF(F24&lt;=100, 18, IF(F24&lt;=250, 23, IF(F24&lt;=500, 35, IF(F24&lt;=1000, 40, F24*0.04)))),
IF(Basic34567891011121314151617181920212223242526272829[[#This Row],[نوع الخدمة]]="كاش اوت",
    IF(F24&lt;=100, 15, IF(F24&lt;=250, 20, IF(F24&lt;=500, 30, IF(F24&lt;=1000, 35, F24*0.035)))),
0)))</f>
        <v>0</v>
      </c>
      <c r="H24" s="159">
        <f>IF(I24="مخالفات",50,Basic34567891011121314151617181920212223242526272829[[#This Row],[قيمة الرسوم / العموله]]+Basic34567891011121314151617181920212223242526272829[[#This Row],[قيمة الشحنه]])</f>
        <v>0</v>
      </c>
      <c r="I24" s="90"/>
      <c r="J24" s="142" t="str">
        <f t="shared" si="0"/>
        <v>4.5.2026</v>
      </c>
      <c r="L24" s="153">
        <v>13</v>
      </c>
      <c r="M24" s="92"/>
      <c r="O24" s="196" t="s">
        <v>32</v>
      </c>
      <c r="P24" s="197"/>
    </row>
    <row r="25" spans="1:20" ht="21.6" x14ac:dyDescent="0.65">
      <c r="A25" s="195"/>
      <c r="B25" s="144">
        <v>22</v>
      </c>
      <c r="C25" s="2"/>
      <c r="D25" s="1"/>
      <c r="E25" s="3"/>
      <c r="F25" s="1"/>
      <c r="G25" s="141">
        <f>IF(Basic34567891011121314151617181920212223242526272829[[#This Row],[نوع الخدمة]]="مخالفات", 50,
IF(Basic34567891011121314151617181920212223242526272829[[#This Row],[نوع الخدمة]]="كاش ان",
    IF(F25&lt;=100, 18, IF(F25&lt;=250, 23, IF(F25&lt;=500, 35, IF(F25&lt;=1000, 40, F25*0.04)))),
IF(Basic34567891011121314151617181920212223242526272829[[#This Row],[نوع الخدمة]]="كاش اوت",
    IF(F25&lt;=100, 15, IF(F25&lt;=250, 20, IF(F25&lt;=500, 30, IF(F25&lt;=1000, 35, F25*0.035)))),
0)))</f>
        <v>0</v>
      </c>
      <c r="H25" s="159">
        <f>IF(I25="مخالفات",50,Basic34567891011121314151617181920212223242526272829[[#This Row],[قيمة الرسوم / العموله]]+Basic34567891011121314151617181920212223242526272829[[#This Row],[قيمة الشحنه]])</f>
        <v>0</v>
      </c>
      <c r="I25" s="90"/>
      <c r="J25" s="142" t="str">
        <f t="shared" si="0"/>
        <v>4.5.2026</v>
      </c>
      <c r="L25" s="153">
        <v>14</v>
      </c>
      <c r="M25" s="92"/>
      <c r="O25" s="147" t="s">
        <v>27</v>
      </c>
      <c r="P25" s="135">
        <f>M5</f>
        <v>1</v>
      </c>
    </row>
    <row r="26" spans="1:20" ht="21.6" x14ac:dyDescent="0.65">
      <c r="A26" s="195"/>
      <c r="B26" s="140">
        <v>23</v>
      </c>
      <c r="C26" s="2"/>
      <c r="D26" s="1"/>
      <c r="E26" s="3"/>
      <c r="F26" s="1"/>
      <c r="G26" s="141">
        <f>IF(Basic34567891011121314151617181920212223242526272829[[#This Row],[نوع الخدمة]]="مخالفات", 50,
IF(Basic34567891011121314151617181920212223242526272829[[#This Row],[نوع الخدمة]]="كاش ان",
    IF(F26&lt;=100, 18, IF(F26&lt;=250, 23, IF(F26&lt;=500, 35, IF(F26&lt;=1000, 40, F26*0.04)))),
IF(Basic34567891011121314151617181920212223242526272829[[#This Row],[نوع الخدمة]]="كاش اوت",
    IF(F26&lt;=100, 15, IF(F26&lt;=250, 20, IF(F26&lt;=500, 30, IF(F26&lt;=1000, 35, F26*0.035)))),
0)))</f>
        <v>0</v>
      </c>
      <c r="H26" s="159">
        <f>IF(I26="مخالفات",50,Basic34567891011121314151617181920212223242526272829[[#This Row],[قيمة الرسوم / العموله]]+Basic34567891011121314151617181920212223242526272829[[#This Row],[قيمة الشحنه]])</f>
        <v>0</v>
      </c>
      <c r="I26" s="90"/>
      <c r="J26" s="142" t="str">
        <f t="shared" si="0"/>
        <v>4.5.2026</v>
      </c>
      <c r="L26" s="153">
        <v>15</v>
      </c>
      <c r="M26" s="92"/>
      <c r="O26" s="147" t="s">
        <v>28</v>
      </c>
      <c r="P26" s="135">
        <f>M6</f>
        <v>0</v>
      </c>
    </row>
    <row r="27" spans="1:20" ht="21.6" x14ac:dyDescent="0.65">
      <c r="A27" s="195"/>
      <c r="B27" s="140">
        <v>24</v>
      </c>
      <c r="C27" s="2"/>
      <c r="D27" s="1"/>
      <c r="E27" s="3"/>
      <c r="F27" s="1"/>
      <c r="G27" s="141">
        <f>IF(Basic34567891011121314151617181920212223242526272829[[#This Row],[نوع الخدمة]]="مخالفات", 50,
IF(Basic34567891011121314151617181920212223242526272829[[#This Row],[نوع الخدمة]]="كاش ان",
    IF(F27&lt;=100, 18, IF(F27&lt;=250, 23, IF(F27&lt;=500, 35, IF(F27&lt;=1000, 40, F27*0.04)))),
IF(Basic34567891011121314151617181920212223242526272829[[#This Row],[نوع الخدمة]]="كاش اوت",
    IF(F27&lt;=100, 15, IF(F27&lt;=250, 20, IF(F27&lt;=500, 30, IF(F27&lt;=1000, 35, F27*0.035)))),
0)))</f>
        <v>0</v>
      </c>
      <c r="H27" s="159">
        <f>IF(I27="مخالفات",50,Basic34567891011121314151617181920212223242526272829[[#This Row],[قيمة الرسوم / العموله]]+Basic34567891011121314151617181920212223242526272829[[#This Row],[قيمة الشحنه]])</f>
        <v>0</v>
      </c>
      <c r="I27" s="90"/>
      <c r="J27" s="142" t="str">
        <f t="shared" si="0"/>
        <v>4.5.2026</v>
      </c>
      <c r="L27" s="153">
        <v>16</v>
      </c>
      <c r="M27" s="92"/>
      <c r="O27" s="196" t="s">
        <v>33</v>
      </c>
      <c r="P27" s="197"/>
    </row>
    <row r="28" spans="1:20" ht="21.6" x14ac:dyDescent="0.65">
      <c r="A28" s="195"/>
      <c r="B28" s="140">
        <v>25</v>
      </c>
      <c r="C28" s="2"/>
      <c r="D28" s="1"/>
      <c r="E28" s="3"/>
      <c r="F28" s="1"/>
      <c r="G28" s="141">
        <f>IF(Basic34567891011121314151617181920212223242526272829[[#This Row],[نوع الخدمة]]="مخالفات", 50,
IF(Basic34567891011121314151617181920212223242526272829[[#This Row],[نوع الخدمة]]="كاش ان",
    IF(F28&lt;=100, 18, IF(F28&lt;=250, 23, IF(F28&lt;=500, 35, IF(F28&lt;=1000, 40, F28*0.04)))),
IF(Basic34567891011121314151617181920212223242526272829[[#This Row],[نوع الخدمة]]="كاش اوت",
    IF(F28&lt;=100, 15, IF(F28&lt;=250, 20, IF(F28&lt;=500, 30, IF(F28&lt;=1000, 35, F28*0.035)))),
0)))</f>
        <v>0</v>
      </c>
      <c r="H28" s="159">
        <f>IF(I28="مخالفات",50,Basic34567891011121314151617181920212223242526272829[[#This Row],[قيمة الرسوم / العموله]]+Basic34567891011121314151617181920212223242526272829[[#This Row],[قيمة الشحنه]])</f>
        <v>0</v>
      </c>
      <c r="I28" s="90"/>
      <c r="J28" s="142" t="str">
        <f t="shared" si="0"/>
        <v>4.5.2026</v>
      </c>
      <c r="L28" s="153">
        <v>17</v>
      </c>
      <c r="M28" s="92"/>
      <c r="O28" s="147" t="s">
        <v>27</v>
      </c>
      <c r="P28" s="135">
        <f>P22-P25</f>
        <v>-4</v>
      </c>
    </row>
    <row r="29" spans="1:20" ht="21.6" x14ac:dyDescent="0.65">
      <c r="A29" s="195"/>
      <c r="B29" s="144">
        <v>26</v>
      </c>
      <c r="C29" s="2"/>
      <c r="D29" s="1"/>
      <c r="E29" s="3"/>
      <c r="F29" s="1"/>
      <c r="G29" s="141">
        <f>IF(Basic34567891011121314151617181920212223242526272829[[#This Row],[نوع الخدمة]]="مخالفات", 50,
IF(Basic34567891011121314151617181920212223242526272829[[#This Row],[نوع الخدمة]]="كاش ان",
    IF(F29&lt;=100, 18, IF(F29&lt;=250, 23, IF(F29&lt;=500, 35, IF(F29&lt;=1000, 40, F29*0.04)))),
IF(Basic34567891011121314151617181920212223242526272829[[#This Row],[نوع الخدمة]]="كاش اوت",
    IF(F29&lt;=100, 15, IF(F29&lt;=250, 20, IF(F29&lt;=500, 30, IF(F29&lt;=1000, 35, F29*0.035)))),
0)))</f>
        <v>0</v>
      </c>
      <c r="H29" s="159">
        <f>IF(I29="مخالفات",50,Basic34567891011121314151617181920212223242526272829[[#This Row],[قيمة الرسوم / العموله]]+Basic34567891011121314151617181920212223242526272829[[#This Row],[قيمة الشحنه]])</f>
        <v>0</v>
      </c>
      <c r="I29" s="90"/>
      <c r="J29" s="142" t="str">
        <f t="shared" si="0"/>
        <v>4.5.2026</v>
      </c>
      <c r="L29" s="153">
        <v>18</v>
      </c>
      <c r="M29" s="92"/>
      <c r="O29" s="147" t="s">
        <v>28</v>
      </c>
      <c r="P29" s="135">
        <f>P23-P26</f>
        <v>0</v>
      </c>
    </row>
    <row r="30" spans="1:20" ht="21.6" x14ac:dyDescent="0.65">
      <c r="A30" s="195"/>
      <c r="B30" s="140">
        <v>27</v>
      </c>
      <c r="C30" s="2"/>
      <c r="D30" s="1"/>
      <c r="E30" s="3"/>
      <c r="F30" s="1"/>
      <c r="G30" s="141">
        <f>IF(Basic34567891011121314151617181920212223242526272829[[#This Row],[نوع الخدمة]]="مخالفات", 50,
IF(Basic34567891011121314151617181920212223242526272829[[#This Row],[نوع الخدمة]]="كاش ان",
    IF(F30&lt;=100, 18, IF(F30&lt;=250, 23, IF(F30&lt;=500, 35, IF(F30&lt;=1000, 40, F30*0.04)))),
IF(Basic34567891011121314151617181920212223242526272829[[#This Row],[نوع الخدمة]]="كاش اوت",
    IF(F30&lt;=100, 15, IF(F30&lt;=250, 20, IF(F30&lt;=500, 30, IF(F30&lt;=1000, 35, F30*0.035)))),
0)))</f>
        <v>0</v>
      </c>
      <c r="H30" s="159">
        <f>IF(I30="مخالفات",50,Basic34567891011121314151617181920212223242526272829[[#This Row],[قيمة الرسوم / العموله]]+Basic34567891011121314151617181920212223242526272829[[#This Row],[قيمة الشحنه]])</f>
        <v>0</v>
      </c>
      <c r="I30" s="90"/>
      <c r="J30" s="142" t="str">
        <f t="shared" si="0"/>
        <v>4.5.2026</v>
      </c>
      <c r="L30" s="153">
        <v>19</v>
      </c>
      <c r="M30" s="92"/>
    </row>
    <row r="31" spans="1:20" ht="21.6" x14ac:dyDescent="0.65">
      <c r="A31" s="195"/>
      <c r="B31" s="140">
        <v>28</v>
      </c>
      <c r="C31" s="2"/>
      <c r="D31" s="1"/>
      <c r="E31" s="3"/>
      <c r="F31" s="1"/>
      <c r="G31" s="141">
        <f>IF(Basic34567891011121314151617181920212223242526272829[[#This Row],[نوع الخدمة]]="مخالفات", 50,
IF(Basic34567891011121314151617181920212223242526272829[[#This Row],[نوع الخدمة]]="كاش ان",
    IF(F31&lt;=100, 18, IF(F31&lt;=250, 23, IF(F31&lt;=500, 35, IF(F31&lt;=1000, 40, F31*0.04)))),
IF(Basic34567891011121314151617181920212223242526272829[[#This Row],[نوع الخدمة]]="كاش اوت",
    IF(F31&lt;=100, 15, IF(F31&lt;=250, 20, IF(F31&lt;=500, 30, IF(F31&lt;=1000, 35, F31*0.035)))),
0)))</f>
        <v>0</v>
      </c>
      <c r="H31" s="159">
        <f>IF(I31="مخالفات",50,Basic34567891011121314151617181920212223242526272829[[#This Row],[قيمة الرسوم / العموله]]+Basic34567891011121314151617181920212223242526272829[[#This Row],[قيمة الشحنه]])</f>
        <v>0</v>
      </c>
      <c r="I31" s="90"/>
      <c r="J31" s="142" t="str">
        <f t="shared" si="0"/>
        <v>4.5.2026</v>
      </c>
      <c r="L31" s="153">
        <v>20</v>
      </c>
      <c r="M31" s="92"/>
    </row>
    <row r="32" spans="1:20" ht="21.6" x14ac:dyDescent="0.65">
      <c r="A32" s="195"/>
      <c r="B32" s="140">
        <v>29</v>
      </c>
      <c r="C32" s="2"/>
      <c r="D32" s="1"/>
      <c r="E32" s="3"/>
      <c r="F32" s="1"/>
      <c r="G32" s="141">
        <f>IF(Basic34567891011121314151617181920212223242526272829[[#This Row],[نوع الخدمة]]="مخالفات", 50,
IF(Basic34567891011121314151617181920212223242526272829[[#This Row],[نوع الخدمة]]="كاش ان",
    IF(F32&lt;=100, 18, IF(F32&lt;=250, 23, IF(F32&lt;=500, 35, IF(F32&lt;=1000, 40, F32*0.04)))),
IF(Basic34567891011121314151617181920212223242526272829[[#This Row],[نوع الخدمة]]="كاش اوت",
    IF(F32&lt;=100, 15, IF(F32&lt;=250, 20, IF(F32&lt;=500, 30, IF(F32&lt;=1000, 35, F32*0.035)))),
0)))</f>
        <v>0</v>
      </c>
      <c r="H32" s="159">
        <f>IF(I32="مخالفات",50,Basic34567891011121314151617181920212223242526272829[[#This Row],[قيمة الرسوم / العموله]]+Basic34567891011121314151617181920212223242526272829[[#This Row],[قيمة الشحنه]])</f>
        <v>0</v>
      </c>
      <c r="I32" s="90"/>
      <c r="J32" s="142" t="str">
        <f t="shared" si="0"/>
        <v>4.5.2026</v>
      </c>
      <c r="L32" s="153">
        <v>21</v>
      </c>
      <c r="M32" s="92"/>
    </row>
    <row r="33" spans="1:13" ht="21.6" x14ac:dyDescent="0.65">
      <c r="A33" s="195"/>
      <c r="B33" s="144">
        <v>30</v>
      </c>
      <c r="C33" s="2"/>
      <c r="D33" s="1"/>
      <c r="E33" s="3"/>
      <c r="F33" s="1"/>
      <c r="G33" s="141">
        <f>IF(Basic34567891011121314151617181920212223242526272829[[#This Row],[نوع الخدمة]]="مخالفات", 50,
IF(Basic34567891011121314151617181920212223242526272829[[#This Row],[نوع الخدمة]]="كاش ان",
    IF(F33&lt;=100, 18, IF(F33&lt;=250, 23, IF(F33&lt;=500, 35, IF(F33&lt;=1000, 40, F33*0.04)))),
IF(Basic34567891011121314151617181920212223242526272829[[#This Row],[نوع الخدمة]]="كاش اوت",
    IF(F33&lt;=100, 15, IF(F33&lt;=250, 20, IF(F33&lt;=500, 30, IF(F33&lt;=1000, 35, F33*0.035)))),
0)))</f>
        <v>0</v>
      </c>
      <c r="H33" s="159">
        <f>IF(I33="مخالفات",50,Basic34567891011121314151617181920212223242526272829[[#This Row],[قيمة الرسوم / العموله]]+Basic34567891011121314151617181920212223242526272829[[#This Row],[قيمة الشحنه]])</f>
        <v>0</v>
      </c>
      <c r="I33" s="90"/>
      <c r="J33" s="142" t="str">
        <f t="shared" si="0"/>
        <v>4.5.2026</v>
      </c>
      <c r="L33" s="153">
        <v>22</v>
      </c>
      <c r="M33" s="92"/>
    </row>
    <row r="34" spans="1:13" ht="21.6" x14ac:dyDescent="0.65">
      <c r="A34" s="195"/>
      <c r="B34" s="140">
        <v>31</v>
      </c>
      <c r="C34" s="2"/>
      <c r="D34" s="1"/>
      <c r="E34" s="3"/>
      <c r="F34" s="1"/>
      <c r="G34" s="141">
        <f>IF(Basic34567891011121314151617181920212223242526272829[[#This Row],[نوع الخدمة]]="مخالفات", 50,
IF(Basic34567891011121314151617181920212223242526272829[[#This Row],[نوع الخدمة]]="كاش ان",
    IF(F34&lt;=100, 18, IF(F34&lt;=250, 23, IF(F34&lt;=500, 35, IF(F34&lt;=1000, 40, F34*0.04)))),
IF(Basic34567891011121314151617181920212223242526272829[[#This Row],[نوع الخدمة]]="كاش اوت",
    IF(F34&lt;=100, 15, IF(F34&lt;=250, 20, IF(F34&lt;=500, 30, IF(F34&lt;=1000, 35, F34*0.035)))),
0)))</f>
        <v>0</v>
      </c>
      <c r="H34" s="159">
        <f>IF(I34="مخالفات",50,Basic34567891011121314151617181920212223242526272829[[#This Row],[قيمة الرسوم / العموله]]+Basic34567891011121314151617181920212223242526272829[[#This Row],[قيمة الشحنه]])</f>
        <v>0</v>
      </c>
      <c r="I34" s="90"/>
      <c r="J34" s="142" t="str">
        <f t="shared" si="0"/>
        <v>4.5.2026</v>
      </c>
      <c r="L34" s="153">
        <v>23</v>
      </c>
      <c r="M34" s="92"/>
    </row>
    <row r="35" spans="1:13" ht="21.6" x14ac:dyDescent="0.65">
      <c r="A35" s="195"/>
      <c r="B35" s="140">
        <v>32</v>
      </c>
      <c r="C35" s="2"/>
      <c r="D35" s="1"/>
      <c r="E35" s="3"/>
      <c r="F35" s="1"/>
      <c r="G35" s="141">
        <f>IF(Basic34567891011121314151617181920212223242526272829[[#This Row],[نوع الخدمة]]="مخالفات", 50,
IF(Basic34567891011121314151617181920212223242526272829[[#This Row],[نوع الخدمة]]="كاش ان",
    IF(F35&lt;=100, 18, IF(F35&lt;=250, 23, IF(F35&lt;=500, 35, IF(F35&lt;=1000, 40, F35*0.04)))),
IF(Basic34567891011121314151617181920212223242526272829[[#This Row],[نوع الخدمة]]="كاش اوت",
    IF(F35&lt;=100, 15, IF(F35&lt;=250, 20, IF(F35&lt;=500, 30, IF(F35&lt;=1000, 35, F35*0.035)))),
0)))</f>
        <v>0</v>
      </c>
      <c r="H35" s="159">
        <f>IF(I35="مخالفات",50,Basic34567891011121314151617181920212223242526272829[[#This Row],[قيمة الرسوم / العموله]]+Basic34567891011121314151617181920212223242526272829[[#This Row],[قيمة الشحنه]])</f>
        <v>0</v>
      </c>
      <c r="I35" s="90"/>
      <c r="J35" s="142" t="str">
        <f t="shared" si="0"/>
        <v>4.5.2026</v>
      </c>
      <c r="L35" s="153">
        <v>24</v>
      </c>
      <c r="M35" s="92"/>
    </row>
    <row r="36" spans="1:13" ht="21.6" x14ac:dyDescent="0.65">
      <c r="A36" s="195"/>
      <c r="B36" s="140">
        <v>33</v>
      </c>
      <c r="C36" s="2"/>
      <c r="D36" s="1"/>
      <c r="E36" s="3"/>
      <c r="F36" s="1"/>
      <c r="G36" s="141">
        <f>IF(Basic34567891011121314151617181920212223242526272829[[#This Row],[نوع الخدمة]]="مخالفات", 50,
IF(Basic34567891011121314151617181920212223242526272829[[#This Row],[نوع الخدمة]]="كاش ان",
    IF(F36&lt;=100, 18, IF(F36&lt;=250, 23, IF(F36&lt;=500, 35, IF(F36&lt;=1000, 40, F36*0.04)))),
IF(Basic34567891011121314151617181920212223242526272829[[#This Row],[نوع الخدمة]]="كاش اوت",
    IF(F36&lt;=100, 15, IF(F36&lt;=250, 20, IF(F36&lt;=500, 30, IF(F36&lt;=1000, 35, F36*0.035)))),
0)))</f>
        <v>0</v>
      </c>
      <c r="H36" s="159">
        <f>IF(I36="مخالفات",50,Basic34567891011121314151617181920212223242526272829[[#This Row],[قيمة الرسوم / العموله]]+Basic34567891011121314151617181920212223242526272829[[#This Row],[قيمة الشحنه]])</f>
        <v>0</v>
      </c>
      <c r="I36" s="90"/>
      <c r="J36" s="142" t="str">
        <f t="shared" si="0"/>
        <v>4.5.2026</v>
      </c>
      <c r="L36" s="153">
        <v>25</v>
      </c>
      <c r="M36" s="92"/>
    </row>
    <row r="37" spans="1:13" ht="21.6" x14ac:dyDescent="0.65">
      <c r="A37" s="195"/>
      <c r="B37" s="144">
        <v>34</v>
      </c>
      <c r="C37" s="2"/>
      <c r="D37" s="1"/>
      <c r="E37" s="3"/>
      <c r="F37" s="1"/>
      <c r="G37" s="141">
        <f>IF(Basic34567891011121314151617181920212223242526272829[[#This Row],[نوع الخدمة]]="مخالفات", 50,
IF(Basic34567891011121314151617181920212223242526272829[[#This Row],[نوع الخدمة]]="كاش ان",
    IF(F37&lt;=100, 18, IF(F37&lt;=250, 23, IF(F37&lt;=500, 35, IF(F37&lt;=1000, 40, F37*0.04)))),
IF(Basic34567891011121314151617181920212223242526272829[[#This Row],[نوع الخدمة]]="كاش اوت",
    IF(F37&lt;=100, 15, IF(F37&lt;=250, 20, IF(F37&lt;=500, 30, IF(F37&lt;=1000, 35, F37*0.035)))),
0)))</f>
        <v>0</v>
      </c>
      <c r="H37" s="159">
        <f>IF(I37="مخالفات",50,Basic34567891011121314151617181920212223242526272829[[#This Row],[قيمة الرسوم / العموله]]+Basic34567891011121314151617181920212223242526272829[[#This Row],[قيمة الشحنه]])</f>
        <v>0</v>
      </c>
      <c r="I37" s="90"/>
      <c r="J37" s="142" t="str">
        <f t="shared" si="0"/>
        <v>4.5.2026</v>
      </c>
      <c r="L37" s="153">
        <v>26</v>
      </c>
      <c r="M37" s="92"/>
    </row>
    <row r="38" spans="1:13" ht="21.6" x14ac:dyDescent="0.65">
      <c r="A38" s="195"/>
      <c r="B38" s="140">
        <v>35</v>
      </c>
      <c r="C38" s="2"/>
      <c r="D38" s="1"/>
      <c r="E38" s="3"/>
      <c r="F38" s="1"/>
      <c r="G38" s="141">
        <f>IF(Basic34567891011121314151617181920212223242526272829[[#This Row],[نوع الخدمة]]="مخالفات", 50,
IF(Basic34567891011121314151617181920212223242526272829[[#This Row],[نوع الخدمة]]="كاش ان",
    IF(F38&lt;=100, 18, IF(F38&lt;=250, 23, IF(F38&lt;=500, 35, IF(F38&lt;=1000, 40, F38*0.04)))),
IF(Basic34567891011121314151617181920212223242526272829[[#This Row],[نوع الخدمة]]="كاش اوت",
    IF(F38&lt;=100, 15, IF(F38&lt;=250, 20, IF(F38&lt;=500, 30, IF(F38&lt;=1000, 35, F38*0.035)))),
0)))</f>
        <v>0</v>
      </c>
      <c r="H38" s="159">
        <f>IF(I38="مخالفات",50,Basic34567891011121314151617181920212223242526272829[[#This Row],[قيمة الرسوم / العموله]]+Basic34567891011121314151617181920212223242526272829[[#This Row],[قيمة الشحنه]])</f>
        <v>0</v>
      </c>
      <c r="I38" s="90"/>
      <c r="J38" s="142" t="str">
        <f t="shared" si="0"/>
        <v>4.5.2026</v>
      </c>
      <c r="L38" s="153">
        <v>27</v>
      </c>
      <c r="M38" s="92"/>
    </row>
    <row r="39" spans="1:13" ht="21.6" x14ac:dyDescent="0.65">
      <c r="A39" s="195"/>
      <c r="B39" s="140">
        <v>36</v>
      </c>
      <c r="C39" s="2"/>
      <c r="D39" s="1"/>
      <c r="E39" s="3"/>
      <c r="F39" s="1"/>
      <c r="G39" s="141">
        <f>IF(Basic34567891011121314151617181920212223242526272829[[#This Row],[نوع الخدمة]]="مخالفات", 50,
IF(Basic34567891011121314151617181920212223242526272829[[#This Row],[نوع الخدمة]]="كاش ان",
    IF(F39&lt;=100, 18, IF(F39&lt;=250, 23, IF(F39&lt;=500, 35, IF(F39&lt;=1000, 40, F39*0.04)))),
IF(Basic34567891011121314151617181920212223242526272829[[#This Row],[نوع الخدمة]]="كاش اوت",
    IF(F39&lt;=100, 15, IF(F39&lt;=250, 20, IF(F39&lt;=500, 30, IF(F39&lt;=1000, 35, F39*0.035)))),
0)))</f>
        <v>0</v>
      </c>
      <c r="H39" s="159">
        <f>IF(I39="مخالفات",50,Basic34567891011121314151617181920212223242526272829[[#This Row],[قيمة الرسوم / العموله]]+Basic34567891011121314151617181920212223242526272829[[#This Row],[قيمة الشحنه]])</f>
        <v>0</v>
      </c>
      <c r="I39" s="90"/>
      <c r="J39" s="142" t="str">
        <f t="shared" si="0"/>
        <v>4.5.2026</v>
      </c>
      <c r="L39" s="153">
        <v>28</v>
      </c>
      <c r="M39" s="92"/>
    </row>
    <row r="40" spans="1:13" ht="21.6" x14ac:dyDescent="0.65">
      <c r="A40" s="195"/>
      <c r="B40" s="140">
        <v>37</v>
      </c>
      <c r="C40" s="2"/>
      <c r="D40" s="1"/>
      <c r="E40" s="3"/>
      <c r="F40" s="1"/>
      <c r="G40" s="141">
        <f>IF(Basic34567891011121314151617181920212223242526272829[[#This Row],[نوع الخدمة]]="مخالفات", 50,
IF(Basic34567891011121314151617181920212223242526272829[[#This Row],[نوع الخدمة]]="كاش ان",
    IF(F40&lt;=100, 18, IF(F40&lt;=250, 23, IF(F40&lt;=500, 35, IF(F40&lt;=1000, 40, F40*0.04)))),
IF(Basic34567891011121314151617181920212223242526272829[[#This Row],[نوع الخدمة]]="كاش اوت",
    IF(F40&lt;=100, 15, IF(F40&lt;=250, 20, IF(F40&lt;=500, 30, IF(F40&lt;=1000, 35, F40*0.035)))),
0)))</f>
        <v>0</v>
      </c>
      <c r="H40" s="159">
        <f>IF(I40="مخالفات",50,Basic34567891011121314151617181920212223242526272829[[#This Row],[قيمة الرسوم / العموله]]+Basic34567891011121314151617181920212223242526272829[[#This Row],[قيمة الشحنه]])</f>
        <v>0</v>
      </c>
      <c r="I40" s="90"/>
      <c r="J40" s="142" t="str">
        <f t="shared" si="0"/>
        <v>4.5.2026</v>
      </c>
      <c r="L40" s="153">
        <v>29</v>
      </c>
      <c r="M40" s="92"/>
    </row>
    <row r="41" spans="1:13" ht="21.6" x14ac:dyDescent="0.65">
      <c r="A41" s="195"/>
      <c r="B41" s="144">
        <v>38</v>
      </c>
      <c r="C41" s="2"/>
      <c r="D41" s="1"/>
      <c r="E41" s="3"/>
      <c r="F41" s="1"/>
      <c r="G41" s="141">
        <f>IF(Basic34567891011121314151617181920212223242526272829[[#This Row],[نوع الخدمة]]="مخالفات", 50,
IF(Basic34567891011121314151617181920212223242526272829[[#This Row],[نوع الخدمة]]="كاش ان",
    IF(F41&lt;=100, 18, IF(F41&lt;=250, 23, IF(F41&lt;=500, 35, IF(F41&lt;=1000, 40, F41*0.04)))),
IF(Basic34567891011121314151617181920212223242526272829[[#This Row],[نوع الخدمة]]="كاش اوت",
    IF(F41&lt;=100, 15, IF(F41&lt;=250, 20, IF(F41&lt;=500, 30, IF(F41&lt;=1000, 35, F41*0.035)))),
0)))</f>
        <v>0</v>
      </c>
      <c r="H41" s="159">
        <f>IF(I41="مخالفات",50,Basic34567891011121314151617181920212223242526272829[[#This Row],[قيمة الرسوم / العموله]]+Basic34567891011121314151617181920212223242526272829[[#This Row],[قيمة الشحنه]])</f>
        <v>0</v>
      </c>
      <c r="I41" s="90"/>
      <c r="J41" s="142" t="str">
        <f t="shared" si="0"/>
        <v>4.5.2026</v>
      </c>
      <c r="L41" s="153">
        <v>30</v>
      </c>
      <c r="M41" s="92"/>
    </row>
    <row r="42" spans="1:13" ht="21.6" x14ac:dyDescent="0.65">
      <c r="A42" s="195"/>
      <c r="B42" s="140">
        <v>39</v>
      </c>
      <c r="C42" s="2"/>
      <c r="D42" s="1"/>
      <c r="E42" s="3"/>
      <c r="F42" s="1"/>
      <c r="G42" s="141">
        <f>IF(Basic34567891011121314151617181920212223242526272829[[#This Row],[نوع الخدمة]]="مخالفات", 50,
IF(Basic34567891011121314151617181920212223242526272829[[#This Row],[نوع الخدمة]]="كاش ان",
    IF(F42&lt;=100, 18, IF(F42&lt;=250, 23, IF(F42&lt;=500, 35, IF(F42&lt;=1000, 40, F42*0.04)))),
IF(Basic34567891011121314151617181920212223242526272829[[#This Row],[نوع الخدمة]]="كاش اوت",
    IF(F42&lt;=100, 15, IF(F42&lt;=250, 20, IF(F42&lt;=500, 30, IF(F42&lt;=1000, 35, F42*0.035)))),
0)))</f>
        <v>0</v>
      </c>
      <c r="H42" s="159">
        <f>IF(I42="مخالفات",50,Basic34567891011121314151617181920212223242526272829[[#This Row],[قيمة الرسوم / العموله]]+Basic34567891011121314151617181920212223242526272829[[#This Row],[قيمة الشحنه]])</f>
        <v>0</v>
      </c>
      <c r="I42" s="90"/>
      <c r="J42" s="142" t="str">
        <f t="shared" si="0"/>
        <v>4.5.2026</v>
      </c>
      <c r="L42" s="153">
        <v>31</v>
      </c>
      <c r="M42" s="92"/>
    </row>
    <row r="43" spans="1:13" ht="21.6" x14ac:dyDescent="0.65">
      <c r="A43" s="195"/>
      <c r="B43" s="140">
        <v>40</v>
      </c>
      <c r="C43" s="2"/>
      <c r="D43" s="1"/>
      <c r="E43" s="3"/>
      <c r="F43" s="1"/>
      <c r="G43" s="141">
        <f>IF(Basic34567891011121314151617181920212223242526272829[[#This Row],[نوع الخدمة]]="مخالفات", 50,
IF(Basic34567891011121314151617181920212223242526272829[[#This Row],[نوع الخدمة]]="كاش ان",
    IF(F43&lt;=100, 18, IF(F43&lt;=250, 23, IF(F43&lt;=500, 35, IF(F43&lt;=1000, 40, F43*0.04)))),
IF(Basic34567891011121314151617181920212223242526272829[[#This Row],[نوع الخدمة]]="كاش اوت",
    IF(F43&lt;=100, 15, IF(F43&lt;=250, 20, IF(F43&lt;=500, 30, IF(F43&lt;=1000, 35, F43*0.035)))),
0)))</f>
        <v>0</v>
      </c>
      <c r="H43" s="159">
        <f>IF(I43="مخالفات",50,Basic34567891011121314151617181920212223242526272829[[#This Row],[قيمة الرسوم / العموله]]+Basic34567891011121314151617181920212223242526272829[[#This Row],[قيمة الشحنه]])</f>
        <v>0</v>
      </c>
      <c r="I43" s="90"/>
      <c r="J43" s="142" t="str">
        <f t="shared" si="0"/>
        <v>4.5.2026</v>
      </c>
      <c r="L43" s="153">
        <v>32</v>
      </c>
      <c r="M43" s="92"/>
    </row>
    <row r="44" spans="1:13" ht="21.6" x14ac:dyDescent="0.65">
      <c r="A44" s="195"/>
      <c r="B44" s="140">
        <v>41</v>
      </c>
      <c r="C44" s="2"/>
      <c r="D44" s="1"/>
      <c r="E44" s="3"/>
      <c r="F44" s="1"/>
      <c r="G44" s="141">
        <f>IF(Basic34567891011121314151617181920212223242526272829[[#This Row],[نوع الخدمة]]="مخالفات", 50,
IF(Basic34567891011121314151617181920212223242526272829[[#This Row],[نوع الخدمة]]="كاش ان",
    IF(F44&lt;=100, 18, IF(F44&lt;=250, 23, IF(F44&lt;=500, 35, IF(F44&lt;=1000, 40, F44*0.04)))),
IF(Basic34567891011121314151617181920212223242526272829[[#This Row],[نوع الخدمة]]="كاش اوت",
    IF(F44&lt;=100, 15, IF(F44&lt;=250, 20, IF(F44&lt;=500, 30, IF(F44&lt;=1000, 35, F44*0.035)))),
0)))</f>
        <v>0</v>
      </c>
      <c r="H44" s="159">
        <f>IF(I44="مخالفات",50,Basic34567891011121314151617181920212223242526272829[[#This Row],[قيمة الرسوم / العموله]]+Basic34567891011121314151617181920212223242526272829[[#This Row],[قيمة الشحنه]])</f>
        <v>0</v>
      </c>
      <c r="I44" s="90"/>
      <c r="J44" s="142" t="str">
        <f t="shared" si="0"/>
        <v>4.5.2026</v>
      </c>
      <c r="L44" s="153">
        <v>33</v>
      </c>
      <c r="M44" s="92"/>
    </row>
    <row r="45" spans="1:13" ht="21.6" x14ac:dyDescent="0.65">
      <c r="A45" s="195"/>
      <c r="B45" s="144">
        <v>42</v>
      </c>
      <c r="C45" s="2"/>
      <c r="D45" s="1"/>
      <c r="E45" s="3"/>
      <c r="F45" s="1"/>
      <c r="G45" s="141">
        <f>IF(Basic34567891011121314151617181920212223242526272829[[#This Row],[نوع الخدمة]]="مخالفات", 50,
IF(Basic34567891011121314151617181920212223242526272829[[#This Row],[نوع الخدمة]]="كاش ان",
    IF(F45&lt;=100, 18, IF(F45&lt;=250, 23, IF(F45&lt;=500, 35, IF(F45&lt;=1000, 40, F45*0.04)))),
IF(Basic34567891011121314151617181920212223242526272829[[#This Row],[نوع الخدمة]]="كاش اوت",
    IF(F45&lt;=100, 15, IF(F45&lt;=250, 20, IF(F45&lt;=500, 30, IF(F45&lt;=1000, 35, F45*0.035)))),
0)))</f>
        <v>0</v>
      </c>
      <c r="H45" s="159">
        <f>IF(I45="مخالفات",50,Basic34567891011121314151617181920212223242526272829[[#This Row],[قيمة الرسوم / العموله]]+Basic34567891011121314151617181920212223242526272829[[#This Row],[قيمة الشحنه]])</f>
        <v>0</v>
      </c>
      <c r="I45" s="90"/>
      <c r="J45" s="142" t="str">
        <f t="shared" si="0"/>
        <v>4.5.2026</v>
      </c>
      <c r="L45" s="153">
        <v>34</v>
      </c>
      <c r="M45" s="92"/>
    </row>
    <row r="46" spans="1:13" ht="21.6" x14ac:dyDescent="0.65">
      <c r="A46" s="195"/>
      <c r="B46" s="140">
        <v>43</v>
      </c>
      <c r="C46" s="2"/>
      <c r="D46" s="1"/>
      <c r="E46" s="3"/>
      <c r="F46" s="1"/>
      <c r="G46" s="141">
        <f>IF(Basic34567891011121314151617181920212223242526272829[[#This Row],[نوع الخدمة]]="مخالفات", 50,
IF(Basic34567891011121314151617181920212223242526272829[[#This Row],[نوع الخدمة]]="كاش ان",
    IF(F46&lt;=100, 18, IF(F46&lt;=250, 23, IF(F46&lt;=500, 35, IF(F46&lt;=1000, 40, F46*0.04)))),
IF(Basic34567891011121314151617181920212223242526272829[[#This Row],[نوع الخدمة]]="كاش اوت",
    IF(F46&lt;=100, 15, IF(F46&lt;=250, 20, IF(F46&lt;=500, 30, IF(F46&lt;=1000, 35, F46*0.035)))),
0)))</f>
        <v>0</v>
      </c>
      <c r="H46" s="159">
        <f>IF(I46="مخالفات",50,Basic34567891011121314151617181920212223242526272829[[#This Row],[قيمة الرسوم / العموله]]+Basic34567891011121314151617181920212223242526272829[[#This Row],[قيمة الشحنه]])</f>
        <v>0</v>
      </c>
      <c r="I46" s="90"/>
      <c r="J46" s="142" t="str">
        <f t="shared" si="0"/>
        <v>4.5.2026</v>
      </c>
      <c r="L46" s="153">
        <v>35</v>
      </c>
      <c r="M46" s="92"/>
    </row>
    <row r="47" spans="1:13" ht="21.6" x14ac:dyDescent="0.65">
      <c r="A47" s="195"/>
      <c r="B47" s="140">
        <v>44</v>
      </c>
      <c r="C47" s="2"/>
      <c r="D47" s="1"/>
      <c r="E47" s="3"/>
      <c r="F47" s="1"/>
      <c r="G47" s="141">
        <f>IF(Basic34567891011121314151617181920212223242526272829[[#This Row],[نوع الخدمة]]="مخالفات", 50,
IF(Basic34567891011121314151617181920212223242526272829[[#This Row],[نوع الخدمة]]="كاش ان",
    IF(F47&lt;=100, 18, IF(F47&lt;=250, 23, IF(F47&lt;=500, 35, IF(F47&lt;=1000, 40, F47*0.04)))),
IF(Basic34567891011121314151617181920212223242526272829[[#This Row],[نوع الخدمة]]="كاش اوت",
    IF(F47&lt;=100, 15, IF(F47&lt;=250, 20, IF(F47&lt;=500, 30, IF(F47&lt;=1000, 35, F47*0.035)))),
0)))</f>
        <v>0</v>
      </c>
      <c r="H47" s="159">
        <f>IF(I47="مخالفات",50,Basic34567891011121314151617181920212223242526272829[[#This Row],[قيمة الرسوم / العموله]]+Basic34567891011121314151617181920212223242526272829[[#This Row],[قيمة الشحنه]])</f>
        <v>0</v>
      </c>
      <c r="I47" s="90"/>
      <c r="J47" s="142" t="str">
        <f t="shared" si="0"/>
        <v>4.5.2026</v>
      </c>
      <c r="L47" s="153">
        <v>36</v>
      </c>
      <c r="M47" s="92"/>
    </row>
    <row r="48" spans="1:13" ht="21.6" x14ac:dyDescent="0.65">
      <c r="A48" s="195"/>
      <c r="B48" s="140">
        <v>45</v>
      </c>
      <c r="C48" s="2"/>
      <c r="D48" s="1"/>
      <c r="E48" s="3"/>
      <c r="F48" s="1"/>
      <c r="G48" s="141">
        <f>IF(Basic34567891011121314151617181920212223242526272829[[#This Row],[نوع الخدمة]]="مخالفات", 50,
IF(Basic34567891011121314151617181920212223242526272829[[#This Row],[نوع الخدمة]]="كاش ان",
    IF(F48&lt;=100, 18, IF(F48&lt;=250, 23, IF(F48&lt;=500, 35, IF(F48&lt;=1000, 40, F48*0.04)))),
IF(Basic34567891011121314151617181920212223242526272829[[#This Row],[نوع الخدمة]]="كاش اوت",
    IF(F48&lt;=100, 15, IF(F48&lt;=250, 20, IF(F48&lt;=500, 30, IF(F48&lt;=1000, 35, F48*0.035)))),
0)))</f>
        <v>0</v>
      </c>
      <c r="H48" s="159">
        <f>IF(I48="مخالفات",50,Basic34567891011121314151617181920212223242526272829[[#This Row],[قيمة الرسوم / العموله]]+Basic34567891011121314151617181920212223242526272829[[#This Row],[قيمة الشحنه]])</f>
        <v>0</v>
      </c>
      <c r="I48" s="90"/>
      <c r="J48" s="142" t="str">
        <f t="shared" si="0"/>
        <v>4.5.2026</v>
      </c>
      <c r="L48" s="153">
        <v>37</v>
      </c>
      <c r="M48" s="92"/>
    </row>
    <row r="49" spans="1:13" ht="21.6" x14ac:dyDescent="0.65">
      <c r="A49" s="195"/>
      <c r="B49" s="144">
        <v>46</v>
      </c>
      <c r="C49" s="2"/>
      <c r="D49" s="1"/>
      <c r="E49" s="3"/>
      <c r="F49" s="1"/>
      <c r="G49" s="141">
        <f>IF(Basic34567891011121314151617181920212223242526272829[[#This Row],[نوع الخدمة]]="مخالفات", 50,
IF(Basic34567891011121314151617181920212223242526272829[[#This Row],[نوع الخدمة]]="كاش ان",
    IF(F49&lt;=100, 18, IF(F49&lt;=250, 23, IF(F49&lt;=500, 35, IF(F49&lt;=1000, 40, F49*0.04)))),
IF(Basic34567891011121314151617181920212223242526272829[[#This Row],[نوع الخدمة]]="كاش اوت",
    IF(F49&lt;=100, 15, IF(F49&lt;=250, 20, IF(F49&lt;=500, 30, IF(F49&lt;=1000, 35, F49*0.035)))),
0)))</f>
        <v>0</v>
      </c>
      <c r="H49" s="159">
        <f>IF(I49="مخالفات",50,Basic34567891011121314151617181920212223242526272829[[#This Row],[قيمة الرسوم / العموله]]+Basic34567891011121314151617181920212223242526272829[[#This Row],[قيمة الشحنه]])</f>
        <v>0</v>
      </c>
      <c r="I49" s="90"/>
      <c r="J49" s="142" t="str">
        <f t="shared" si="0"/>
        <v>4.5.2026</v>
      </c>
      <c r="L49" s="153">
        <v>38</v>
      </c>
      <c r="M49" s="92"/>
    </row>
    <row r="50" spans="1:13" ht="21.6" x14ac:dyDescent="0.65">
      <c r="A50" s="195"/>
      <c r="B50" s="140">
        <v>47</v>
      </c>
      <c r="C50" s="2"/>
      <c r="D50" s="1"/>
      <c r="E50" s="3"/>
      <c r="F50" s="1"/>
      <c r="G50" s="141">
        <f>IF(Basic34567891011121314151617181920212223242526272829[[#This Row],[نوع الخدمة]]="مخالفات", 50,
IF(Basic34567891011121314151617181920212223242526272829[[#This Row],[نوع الخدمة]]="كاش ان",
    IF(F50&lt;=100, 18, IF(F50&lt;=250, 23, IF(F50&lt;=500, 35, IF(F50&lt;=1000, 40, F50*0.04)))),
IF(Basic34567891011121314151617181920212223242526272829[[#This Row],[نوع الخدمة]]="كاش اوت",
    IF(F50&lt;=100, 15, IF(F50&lt;=250, 20, IF(F50&lt;=500, 30, IF(F50&lt;=1000, 35, F50*0.035)))),
0)))</f>
        <v>0</v>
      </c>
      <c r="H50" s="159">
        <f>IF(I50="مخالفات",50,Basic34567891011121314151617181920212223242526272829[[#This Row],[قيمة الرسوم / العموله]]+Basic34567891011121314151617181920212223242526272829[[#This Row],[قيمة الشحنه]])</f>
        <v>0</v>
      </c>
      <c r="I50" s="90"/>
      <c r="J50" s="142" t="str">
        <f t="shared" si="0"/>
        <v>4.5.2026</v>
      </c>
      <c r="L50" s="153">
        <v>39</v>
      </c>
      <c r="M50" s="92"/>
    </row>
    <row r="51" spans="1:13" ht="21.6" x14ac:dyDescent="0.65">
      <c r="A51" s="195"/>
      <c r="B51" s="140">
        <v>48</v>
      </c>
      <c r="C51" s="2"/>
      <c r="D51" s="1"/>
      <c r="E51" s="3"/>
      <c r="F51" s="1"/>
      <c r="G51" s="141">
        <f>IF(Basic34567891011121314151617181920212223242526272829[[#This Row],[نوع الخدمة]]="مخالفات", 50,
IF(Basic34567891011121314151617181920212223242526272829[[#This Row],[نوع الخدمة]]="كاش ان",
    IF(F51&lt;=100, 18, IF(F51&lt;=250, 23, IF(F51&lt;=500, 35, IF(F51&lt;=1000, 40, F51*0.04)))),
IF(Basic34567891011121314151617181920212223242526272829[[#This Row],[نوع الخدمة]]="كاش اوت",
    IF(F51&lt;=100, 15, IF(F51&lt;=250, 20, IF(F51&lt;=500, 30, IF(F51&lt;=1000, 35, F51*0.035)))),
0)))</f>
        <v>0</v>
      </c>
      <c r="H51" s="159">
        <f>IF(I51="مخالفات",50,Basic34567891011121314151617181920212223242526272829[[#This Row],[قيمة الرسوم / العموله]]+Basic34567891011121314151617181920212223242526272829[[#This Row],[قيمة الشحنه]])</f>
        <v>0</v>
      </c>
      <c r="I51" s="90"/>
      <c r="J51" s="142" t="str">
        <f t="shared" si="0"/>
        <v>4.5.2026</v>
      </c>
      <c r="L51" s="153">
        <v>40</v>
      </c>
      <c r="M51" s="92"/>
    </row>
    <row r="52" spans="1:13" ht="21.6" x14ac:dyDescent="0.65">
      <c r="A52" s="195"/>
      <c r="B52" s="140">
        <v>49</v>
      </c>
      <c r="C52" s="2"/>
      <c r="D52" s="1"/>
      <c r="E52" s="3"/>
      <c r="F52" s="1"/>
      <c r="G52" s="141">
        <f>IF(Basic34567891011121314151617181920212223242526272829[[#This Row],[نوع الخدمة]]="مخالفات", 50,
IF(Basic34567891011121314151617181920212223242526272829[[#This Row],[نوع الخدمة]]="كاش ان",
    IF(F52&lt;=100, 18, IF(F52&lt;=250, 23, IF(F52&lt;=500, 35, IF(F52&lt;=1000, 40, F52*0.04)))),
IF(Basic34567891011121314151617181920212223242526272829[[#This Row],[نوع الخدمة]]="كاش اوت",
    IF(F52&lt;=100, 15, IF(F52&lt;=250, 20, IF(F52&lt;=500, 30, IF(F52&lt;=1000, 35, F52*0.035)))),
0)))</f>
        <v>0</v>
      </c>
      <c r="H52" s="159">
        <f>IF(I52="مخالفات",50,Basic34567891011121314151617181920212223242526272829[[#This Row],[قيمة الرسوم / العموله]]+Basic34567891011121314151617181920212223242526272829[[#This Row],[قيمة الشحنه]])</f>
        <v>0</v>
      </c>
      <c r="I52" s="90"/>
      <c r="J52" s="142" t="str">
        <f t="shared" si="0"/>
        <v>4.5.2026</v>
      </c>
      <c r="L52" s="153">
        <v>41</v>
      </c>
      <c r="M52" s="92"/>
    </row>
    <row r="53" spans="1:13" ht="21.6" x14ac:dyDescent="0.65">
      <c r="A53" s="195"/>
      <c r="B53" s="144">
        <v>50</v>
      </c>
      <c r="C53" s="2"/>
      <c r="D53" s="1"/>
      <c r="E53" s="3"/>
      <c r="F53" s="1"/>
      <c r="G53" s="141">
        <f>IF(Basic34567891011121314151617181920212223242526272829[[#This Row],[نوع الخدمة]]="مخالفات", 50,
IF(Basic34567891011121314151617181920212223242526272829[[#This Row],[نوع الخدمة]]="كاش ان",
    IF(F53&lt;=100, 18, IF(F53&lt;=250, 23, IF(F53&lt;=500, 35, IF(F53&lt;=1000, 40, F53*0.04)))),
IF(Basic34567891011121314151617181920212223242526272829[[#This Row],[نوع الخدمة]]="كاش اوت",
    IF(F53&lt;=100, 15, IF(F53&lt;=250, 20, IF(F53&lt;=500, 30, IF(F53&lt;=1000, 35, F53*0.035)))),
0)))</f>
        <v>0</v>
      </c>
      <c r="H53" s="159">
        <f>IF(I53="مخالفات",50,Basic34567891011121314151617181920212223242526272829[[#This Row],[قيمة الرسوم / العموله]]+Basic34567891011121314151617181920212223242526272829[[#This Row],[قيمة الشحنه]])</f>
        <v>0</v>
      </c>
      <c r="I53" s="90"/>
      <c r="J53" s="142" t="str">
        <f t="shared" si="0"/>
        <v>4.5.2026</v>
      </c>
      <c r="L53" s="153">
        <v>42</v>
      </c>
      <c r="M53" s="92"/>
    </row>
    <row r="54" spans="1:13" ht="21.6" x14ac:dyDescent="0.65">
      <c r="A54" s="195"/>
      <c r="B54" s="140">
        <v>51</v>
      </c>
      <c r="C54" s="2"/>
      <c r="D54" s="1"/>
      <c r="E54" s="3"/>
      <c r="F54" s="1"/>
      <c r="G54" s="141">
        <f>IF(Basic34567891011121314151617181920212223242526272829[[#This Row],[نوع الخدمة]]="مخالفات", 50,
IF(Basic34567891011121314151617181920212223242526272829[[#This Row],[نوع الخدمة]]="كاش ان",
    IF(F54&lt;=100, 18, IF(F54&lt;=250, 23, IF(F54&lt;=500, 35, IF(F54&lt;=1000, 40, F54*0.04)))),
IF(Basic34567891011121314151617181920212223242526272829[[#This Row],[نوع الخدمة]]="كاش اوت",
    IF(F54&lt;=100, 15, IF(F54&lt;=250, 20, IF(F54&lt;=500, 30, IF(F54&lt;=1000, 35, F54*0.035)))),
0)))</f>
        <v>0</v>
      </c>
      <c r="H54" s="159">
        <f>IF(I54="مخالفات",50,Basic34567891011121314151617181920212223242526272829[[#This Row],[قيمة الرسوم / العموله]]+Basic34567891011121314151617181920212223242526272829[[#This Row],[قيمة الشحنه]])</f>
        <v>0</v>
      </c>
      <c r="I54" s="90"/>
      <c r="J54" s="142" t="str">
        <f t="shared" si="0"/>
        <v>4.5.2026</v>
      </c>
      <c r="L54" s="153">
        <v>43</v>
      </c>
      <c r="M54" s="92"/>
    </row>
    <row r="55" spans="1:13" ht="21.6" x14ac:dyDescent="0.65">
      <c r="A55" s="195"/>
      <c r="B55" s="140">
        <v>52</v>
      </c>
      <c r="C55" s="2"/>
      <c r="D55" s="1"/>
      <c r="E55" s="3"/>
      <c r="F55" s="1"/>
      <c r="G55" s="141">
        <f>IF(Basic34567891011121314151617181920212223242526272829[[#This Row],[نوع الخدمة]]="مخالفات", 50,
IF(Basic34567891011121314151617181920212223242526272829[[#This Row],[نوع الخدمة]]="كاش ان",
    IF(F55&lt;=100, 18, IF(F55&lt;=250, 23, IF(F55&lt;=500, 35, IF(F55&lt;=1000, 40, F55*0.04)))),
IF(Basic34567891011121314151617181920212223242526272829[[#This Row],[نوع الخدمة]]="كاش اوت",
    IF(F55&lt;=100, 15, IF(F55&lt;=250, 20, IF(F55&lt;=500, 30, IF(F55&lt;=1000, 35, F55*0.035)))),
0)))</f>
        <v>0</v>
      </c>
      <c r="H55" s="159">
        <f>IF(I55="مخالفات",50,Basic34567891011121314151617181920212223242526272829[[#This Row],[قيمة الرسوم / العموله]]+Basic34567891011121314151617181920212223242526272829[[#This Row],[قيمة الشحنه]])</f>
        <v>0</v>
      </c>
      <c r="I55" s="90"/>
      <c r="J55" s="142" t="str">
        <f t="shared" si="0"/>
        <v>4.5.2026</v>
      </c>
      <c r="L55" s="153">
        <v>44</v>
      </c>
      <c r="M55" s="92"/>
    </row>
    <row r="56" spans="1:13" ht="21.6" x14ac:dyDescent="0.65">
      <c r="A56" s="195"/>
      <c r="B56" s="140">
        <v>53</v>
      </c>
      <c r="C56" s="2"/>
      <c r="D56" s="1"/>
      <c r="E56" s="3"/>
      <c r="F56" s="1"/>
      <c r="G56" s="141">
        <f>IF(Basic34567891011121314151617181920212223242526272829[[#This Row],[نوع الخدمة]]="مخالفات", 50,
IF(Basic34567891011121314151617181920212223242526272829[[#This Row],[نوع الخدمة]]="كاش ان",
    IF(F56&lt;=100, 18, IF(F56&lt;=250, 23, IF(F56&lt;=500, 35, IF(F56&lt;=1000, 40, F56*0.04)))),
IF(Basic34567891011121314151617181920212223242526272829[[#This Row],[نوع الخدمة]]="كاش اوت",
    IF(F56&lt;=100, 15, IF(F56&lt;=250, 20, IF(F56&lt;=500, 30, IF(F56&lt;=1000, 35, F56*0.035)))),
0)))</f>
        <v>0</v>
      </c>
      <c r="H56" s="159">
        <f>IF(I56="مخالفات",50,Basic34567891011121314151617181920212223242526272829[[#This Row],[قيمة الرسوم / العموله]]+Basic34567891011121314151617181920212223242526272829[[#This Row],[قيمة الشحنه]])</f>
        <v>0</v>
      </c>
      <c r="I56" s="90"/>
      <c r="J56" s="142" t="str">
        <f t="shared" si="0"/>
        <v>4.5.2026</v>
      </c>
      <c r="L56" s="153">
        <v>45</v>
      </c>
      <c r="M56" s="92"/>
    </row>
    <row r="57" spans="1:13" ht="21.6" x14ac:dyDescent="0.65">
      <c r="A57" s="195"/>
      <c r="B57" s="144">
        <v>54</v>
      </c>
      <c r="C57" s="2"/>
      <c r="D57" s="1"/>
      <c r="E57" s="3"/>
      <c r="F57" s="1"/>
      <c r="G57" s="141">
        <f>IF(Basic34567891011121314151617181920212223242526272829[[#This Row],[نوع الخدمة]]="مخالفات", 50,
IF(Basic34567891011121314151617181920212223242526272829[[#This Row],[نوع الخدمة]]="كاش ان",
    IF(F57&lt;=100, 18, IF(F57&lt;=250, 23, IF(F57&lt;=500, 35, IF(F57&lt;=1000, 40, F57*0.04)))),
IF(Basic34567891011121314151617181920212223242526272829[[#This Row],[نوع الخدمة]]="كاش اوت",
    IF(F57&lt;=100, 15, IF(F57&lt;=250, 20, IF(F57&lt;=500, 30, IF(F57&lt;=1000, 35, F57*0.035)))),
0)))</f>
        <v>0</v>
      </c>
      <c r="H57" s="159">
        <f>IF(I57="مخالفات",50,Basic34567891011121314151617181920212223242526272829[[#This Row],[قيمة الرسوم / العموله]]+Basic34567891011121314151617181920212223242526272829[[#This Row],[قيمة الشحنه]])</f>
        <v>0</v>
      </c>
      <c r="I57" s="90"/>
      <c r="J57" s="142" t="str">
        <f t="shared" si="0"/>
        <v>4.5.2026</v>
      </c>
      <c r="L57" s="153">
        <v>46</v>
      </c>
      <c r="M57" s="92"/>
    </row>
    <row r="58" spans="1:13" ht="21.6" x14ac:dyDescent="0.65">
      <c r="A58" s="195"/>
      <c r="B58" s="140">
        <v>55</v>
      </c>
      <c r="C58" s="2"/>
      <c r="D58" s="1"/>
      <c r="E58" s="3"/>
      <c r="F58" s="1"/>
      <c r="G58" s="141">
        <f>IF(Basic34567891011121314151617181920212223242526272829[[#This Row],[نوع الخدمة]]="مخالفات", 50,
IF(Basic34567891011121314151617181920212223242526272829[[#This Row],[نوع الخدمة]]="كاش ان",
    IF(F58&lt;=100, 18, IF(F58&lt;=250, 23, IF(F58&lt;=500, 35, IF(F58&lt;=1000, 40, F58*0.04)))),
IF(Basic34567891011121314151617181920212223242526272829[[#This Row],[نوع الخدمة]]="كاش اوت",
    IF(F58&lt;=100, 15, IF(F58&lt;=250, 20, IF(F58&lt;=500, 30, IF(F58&lt;=1000, 35, F58*0.035)))),
0)))</f>
        <v>0</v>
      </c>
      <c r="H58" s="159">
        <f>IF(I58="مخالفات",50,Basic34567891011121314151617181920212223242526272829[[#This Row],[قيمة الرسوم / العموله]]+Basic34567891011121314151617181920212223242526272829[[#This Row],[قيمة الشحنه]])</f>
        <v>0</v>
      </c>
      <c r="I58" s="90"/>
      <c r="J58" s="142" t="str">
        <f t="shared" si="0"/>
        <v>4.5.2026</v>
      </c>
      <c r="L58" s="153">
        <v>47</v>
      </c>
      <c r="M58" s="92"/>
    </row>
    <row r="59" spans="1:13" ht="21.6" x14ac:dyDescent="0.65">
      <c r="A59" s="195"/>
      <c r="B59" s="140">
        <v>56</v>
      </c>
      <c r="C59" s="2"/>
      <c r="D59" s="1"/>
      <c r="E59" s="3"/>
      <c r="F59" s="1"/>
      <c r="G59" s="141">
        <f>IF(Basic34567891011121314151617181920212223242526272829[[#This Row],[نوع الخدمة]]="مخالفات", 50,
IF(Basic34567891011121314151617181920212223242526272829[[#This Row],[نوع الخدمة]]="كاش ان",
    IF(F59&lt;=100, 18, IF(F59&lt;=250, 23, IF(F59&lt;=500, 35, IF(F59&lt;=1000, 40, F59*0.04)))),
IF(Basic34567891011121314151617181920212223242526272829[[#This Row],[نوع الخدمة]]="كاش اوت",
    IF(F59&lt;=100, 15, IF(F59&lt;=250, 20, IF(F59&lt;=500, 30, IF(F59&lt;=1000, 35, F59*0.035)))),
0)))</f>
        <v>0</v>
      </c>
      <c r="H59" s="159">
        <f>IF(I59="مخالفات",50,Basic34567891011121314151617181920212223242526272829[[#This Row],[قيمة الرسوم / العموله]]+Basic34567891011121314151617181920212223242526272829[[#This Row],[قيمة الشحنه]])</f>
        <v>0</v>
      </c>
      <c r="I59" s="90"/>
      <c r="J59" s="142" t="str">
        <f t="shared" si="0"/>
        <v>4.5.2026</v>
      </c>
      <c r="L59" s="153">
        <v>48</v>
      </c>
      <c r="M59" s="92"/>
    </row>
    <row r="60" spans="1:13" ht="21.6" x14ac:dyDescent="0.65">
      <c r="A60" s="195"/>
      <c r="B60" s="140">
        <v>57</v>
      </c>
      <c r="C60" s="2"/>
      <c r="D60" s="1"/>
      <c r="E60" s="3"/>
      <c r="F60" s="1"/>
      <c r="G60" s="141">
        <f>IF(Basic34567891011121314151617181920212223242526272829[[#This Row],[نوع الخدمة]]="مخالفات", 50,
IF(Basic34567891011121314151617181920212223242526272829[[#This Row],[نوع الخدمة]]="كاش ان",
    IF(F60&lt;=100, 18, IF(F60&lt;=250, 23, IF(F60&lt;=500, 35, IF(F60&lt;=1000, 40, F60*0.04)))),
IF(Basic34567891011121314151617181920212223242526272829[[#This Row],[نوع الخدمة]]="كاش اوت",
    IF(F60&lt;=100, 15, IF(F60&lt;=250, 20, IF(F60&lt;=500, 30, IF(F60&lt;=1000, 35, F60*0.035)))),
0)))</f>
        <v>0</v>
      </c>
      <c r="H60" s="159">
        <f>IF(I60="مخالفات",50,Basic34567891011121314151617181920212223242526272829[[#This Row],[قيمة الرسوم / العموله]]+Basic34567891011121314151617181920212223242526272829[[#This Row],[قيمة الشحنه]])</f>
        <v>0</v>
      </c>
      <c r="I60" s="90"/>
      <c r="J60" s="142" t="str">
        <f t="shared" si="0"/>
        <v>4.5.2026</v>
      </c>
      <c r="L60" s="153">
        <v>49</v>
      </c>
      <c r="M60" s="92"/>
    </row>
    <row r="61" spans="1:13" ht="21.6" x14ac:dyDescent="0.65">
      <c r="A61" s="195"/>
      <c r="B61" s="144">
        <v>58</v>
      </c>
      <c r="C61" s="2"/>
      <c r="D61" s="1"/>
      <c r="E61" s="3"/>
      <c r="F61" s="1"/>
      <c r="G61" s="141">
        <f>IF(Basic34567891011121314151617181920212223242526272829[[#This Row],[نوع الخدمة]]="مخالفات", 50,
IF(Basic34567891011121314151617181920212223242526272829[[#This Row],[نوع الخدمة]]="كاش ان",
    IF(F61&lt;=100, 18, IF(F61&lt;=250, 23, IF(F61&lt;=500, 35, IF(F61&lt;=1000, 40, F61*0.04)))),
IF(Basic34567891011121314151617181920212223242526272829[[#This Row],[نوع الخدمة]]="كاش اوت",
    IF(F61&lt;=100, 15, IF(F61&lt;=250, 20, IF(F61&lt;=500, 30, IF(F61&lt;=1000, 35, F61*0.035)))),
0)))</f>
        <v>0</v>
      </c>
      <c r="H61" s="159">
        <f>IF(I61="مخالفات",50,Basic34567891011121314151617181920212223242526272829[[#This Row],[قيمة الرسوم / العموله]]+Basic34567891011121314151617181920212223242526272829[[#This Row],[قيمة الشحنه]])</f>
        <v>0</v>
      </c>
      <c r="I61" s="90"/>
      <c r="J61" s="142" t="str">
        <f t="shared" si="0"/>
        <v>4.5.2026</v>
      </c>
      <c r="L61" s="153">
        <v>50</v>
      </c>
      <c r="M61" s="92"/>
    </row>
    <row r="62" spans="1:13" ht="21.6" x14ac:dyDescent="0.65">
      <c r="A62" s="195"/>
      <c r="B62" s="140">
        <v>59</v>
      </c>
      <c r="C62" s="2"/>
      <c r="D62" s="1"/>
      <c r="E62" s="3"/>
      <c r="F62" s="1"/>
      <c r="G62" s="141">
        <f>IF(Basic34567891011121314151617181920212223242526272829[[#This Row],[نوع الخدمة]]="مخالفات", 50,
IF(Basic34567891011121314151617181920212223242526272829[[#This Row],[نوع الخدمة]]="كاش ان",
    IF(F62&lt;=100, 18, IF(F62&lt;=250, 23, IF(F62&lt;=500, 35, IF(F62&lt;=1000, 40, F62*0.04)))),
IF(Basic34567891011121314151617181920212223242526272829[[#This Row],[نوع الخدمة]]="كاش اوت",
    IF(F62&lt;=100, 15, IF(F62&lt;=250, 20, IF(F62&lt;=500, 30, IF(F62&lt;=1000, 35, F62*0.035)))),
0)))</f>
        <v>0</v>
      </c>
      <c r="H62" s="159">
        <f>IF(I62="مخالفات",50,Basic34567891011121314151617181920212223242526272829[[#This Row],[قيمة الرسوم / العموله]]+Basic34567891011121314151617181920212223242526272829[[#This Row],[قيمة الشحنه]])</f>
        <v>0</v>
      </c>
      <c r="I62" s="90"/>
      <c r="J62" s="142" t="str">
        <f t="shared" si="0"/>
        <v>4.5.2026</v>
      </c>
      <c r="L62" s="153">
        <v>51</v>
      </c>
      <c r="M62" s="92"/>
    </row>
    <row r="63" spans="1:13" ht="21.6" x14ac:dyDescent="0.65">
      <c r="A63" s="195"/>
      <c r="B63" s="140">
        <v>60</v>
      </c>
      <c r="C63" s="2"/>
      <c r="D63" s="1"/>
      <c r="E63" s="3"/>
      <c r="F63" s="1"/>
      <c r="G63" s="141">
        <f>IF(Basic34567891011121314151617181920212223242526272829[[#This Row],[نوع الخدمة]]="مخالفات", 50,
IF(Basic34567891011121314151617181920212223242526272829[[#This Row],[نوع الخدمة]]="كاش ان",
    IF(F63&lt;=100, 18, IF(F63&lt;=250, 23, IF(F63&lt;=500, 35, IF(F63&lt;=1000, 40, F63*0.04)))),
IF(Basic34567891011121314151617181920212223242526272829[[#This Row],[نوع الخدمة]]="كاش اوت",
    IF(F63&lt;=100, 15, IF(F63&lt;=250, 20, IF(F63&lt;=500, 30, IF(F63&lt;=1000, 35, F63*0.035)))),
0)))</f>
        <v>0</v>
      </c>
      <c r="H63" s="159">
        <f>IF(I63="مخالفات",50,Basic34567891011121314151617181920212223242526272829[[#This Row],[قيمة الرسوم / العموله]]+Basic34567891011121314151617181920212223242526272829[[#This Row],[قيمة الشحنه]])</f>
        <v>0</v>
      </c>
      <c r="I63" s="90"/>
      <c r="J63" s="142" t="str">
        <f t="shared" si="0"/>
        <v>4.5.2026</v>
      </c>
      <c r="L63" s="153">
        <v>52</v>
      </c>
      <c r="M63" s="92"/>
    </row>
    <row r="64" spans="1:13" ht="21.6" x14ac:dyDescent="0.65">
      <c r="A64" s="195"/>
      <c r="B64" s="140">
        <v>61</v>
      </c>
      <c r="C64" s="2"/>
      <c r="D64" s="1"/>
      <c r="E64" s="3"/>
      <c r="F64" s="1"/>
      <c r="G64" s="141">
        <f>IF(Basic34567891011121314151617181920212223242526272829[[#This Row],[نوع الخدمة]]="مخالفات", 50,
IF(Basic34567891011121314151617181920212223242526272829[[#This Row],[نوع الخدمة]]="كاش ان",
    IF(F64&lt;=100, 18, IF(F64&lt;=250, 23, IF(F64&lt;=500, 35, IF(F64&lt;=1000, 40, F64*0.04)))),
IF(Basic34567891011121314151617181920212223242526272829[[#This Row],[نوع الخدمة]]="كاش اوت",
    IF(F64&lt;=100, 15, IF(F64&lt;=250, 20, IF(F64&lt;=500, 30, IF(F64&lt;=1000, 35, F64*0.035)))),
0)))</f>
        <v>0</v>
      </c>
      <c r="H64" s="159">
        <f>IF(I64="مخالفات",50,Basic34567891011121314151617181920212223242526272829[[#This Row],[قيمة الرسوم / العموله]]+Basic34567891011121314151617181920212223242526272829[[#This Row],[قيمة الشحنه]])</f>
        <v>0</v>
      </c>
      <c r="I64" s="90"/>
      <c r="J64" s="142" t="str">
        <f t="shared" si="0"/>
        <v>4.5.2026</v>
      </c>
      <c r="L64" s="153">
        <v>53</v>
      </c>
      <c r="M64" s="92"/>
    </row>
    <row r="65" spans="1:13" ht="21.6" x14ac:dyDescent="0.65">
      <c r="A65" s="195"/>
      <c r="B65" s="144">
        <v>62</v>
      </c>
      <c r="C65" s="2"/>
      <c r="D65" s="1"/>
      <c r="E65" s="3"/>
      <c r="F65" s="1"/>
      <c r="G65" s="141">
        <f>IF(Basic34567891011121314151617181920212223242526272829[[#This Row],[نوع الخدمة]]="مخالفات", 50,
IF(Basic34567891011121314151617181920212223242526272829[[#This Row],[نوع الخدمة]]="كاش ان",
    IF(F65&lt;=100, 18, IF(F65&lt;=250, 23, IF(F65&lt;=500, 35, IF(F65&lt;=1000, 40, F65*0.04)))),
IF(Basic34567891011121314151617181920212223242526272829[[#This Row],[نوع الخدمة]]="كاش اوت",
    IF(F65&lt;=100, 15, IF(F65&lt;=250, 20, IF(F65&lt;=500, 30, IF(F65&lt;=1000, 35, F65*0.035)))),
0)))</f>
        <v>0</v>
      </c>
      <c r="H65" s="159">
        <f>IF(I65="مخالفات",50,Basic34567891011121314151617181920212223242526272829[[#This Row],[قيمة الرسوم / العموله]]+Basic34567891011121314151617181920212223242526272829[[#This Row],[قيمة الشحنه]])</f>
        <v>0</v>
      </c>
      <c r="I65" s="90"/>
      <c r="J65" s="142" t="str">
        <f t="shared" si="0"/>
        <v>4.5.2026</v>
      </c>
      <c r="L65" s="153">
        <v>54</v>
      </c>
      <c r="M65" s="92"/>
    </row>
    <row r="66" spans="1:13" ht="21.6" x14ac:dyDescent="0.65">
      <c r="A66" s="195"/>
      <c r="B66" s="140">
        <v>63</v>
      </c>
      <c r="C66" s="2"/>
      <c r="D66" s="1"/>
      <c r="E66" s="3"/>
      <c r="F66" s="1"/>
      <c r="G66" s="141">
        <f>IF(Basic34567891011121314151617181920212223242526272829[[#This Row],[نوع الخدمة]]="مخالفات", 50,
IF(Basic34567891011121314151617181920212223242526272829[[#This Row],[نوع الخدمة]]="كاش ان",
    IF(F66&lt;=100, 18, IF(F66&lt;=250, 23, IF(F66&lt;=500, 35, IF(F66&lt;=1000, 40, F66*0.04)))),
IF(Basic34567891011121314151617181920212223242526272829[[#This Row],[نوع الخدمة]]="كاش اوت",
    IF(F66&lt;=100, 15, IF(F66&lt;=250, 20, IF(F66&lt;=500, 30, IF(F66&lt;=1000, 35, F66*0.035)))),
0)))</f>
        <v>0</v>
      </c>
      <c r="H66" s="159">
        <f>IF(I66="مخالفات",50,Basic34567891011121314151617181920212223242526272829[[#This Row],[قيمة الرسوم / العموله]]+Basic34567891011121314151617181920212223242526272829[[#This Row],[قيمة الشحنه]])</f>
        <v>0</v>
      </c>
      <c r="I66" s="90"/>
      <c r="J66" s="142" t="str">
        <f t="shared" si="0"/>
        <v>4.5.2026</v>
      </c>
      <c r="L66" s="153">
        <v>55</v>
      </c>
      <c r="M66" s="92"/>
    </row>
    <row r="67" spans="1:13" ht="21.6" x14ac:dyDescent="0.65">
      <c r="A67" s="195"/>
      <c r="B67" s="140">
        <v>64</v>
      </c>
      <c r="C67" s="2"/>
      <c r="D67" s="1"/>
      <c r="E67" s="3"/>
      <c r="F67" s="1"/>
      <c r="G67" s="141">
        <f>IF(Basic34567891011121314151617181920212223242526272829[[#This Row],[نوع الخدمة]]="مخالفات", 50,
IF(Basic34567891011121314151617181920212223242526272829[[#This Row],[نوع الخدمة]]="كاش ان",
    IF(F67&lt;=100, 18, IF(F67&lt;=250, 23, IF(F67&lt;=500, 35, IF(F67&lt;=1000, 40, F67*0.04)))),
IF(Basic34567891011121314151617181920212223242526272829[[#This Row],[نوع الخدمة]]="كاش اوت",
    IF(F67&lt;=100, 15, IF(F67&lt;=250, 20, IF(F67&lt;=500, 30, IF(F67&lt;=1000, 35, F67*0.035)))),
0)))</f>
        <v>0</v>
      </c>
      <c r="H67" s="159">
        <f>IF(I67="مخالفات",50,Basic34567891011121314151617181920212223242526272829[[#This Row],[قيمة الرسوم / العموله]]+Basic34567891011121314151617181920212223242526272829[[#This Row],[قيمة الشحنه]])</f>
        <v>0</v>
      </c>
      <c r="I67" s="90"/>
      <c r="J67" s="142" t="str">
        <f t="shared" si="0"/>
        <v>4.5.2026</v>
      </c>
      <c r="L67" s="153">
        <v>56</v>
      </c>
      <c r="M67" s="92"/>
    </row>
    <row r="68" spans="1:13" ht="21.6" x14ac:dyDescent="0.65">
      <c r="A68" s="195"/>
      <c r="B68" s="140">
        <v>65</v>
      </c>
      <c r="C68" s="2"/>
      <c r="D68" s="1"/>
      <c r="E68" s="3"/>
      <c r="F68" s="1"/>
      <c r="G68" s="141">
        <f>IF(Basic34567891011121314151617181920212223242526272829[[#This Row],[نوع الخدمة]]="مخالفات", 50,
IF(Basic34567891011121314151617181920212223242526272829[[#This Row],[نوع الخدمة]]="كاش ان",
    IF(F68&lt;=100, 18, IF(F68&lt;=250, 23, IF(F68&lt;=500, 35, IF(F68&lt;=1000, 40, F68*0.04)))),
IF(Basic34567891011121314151617181920212223242526272829[[#This Row],[نوع الخدمة]]="كاش اوت",
    IF(F68&lt;=100, 15, IF(F68&lt;=250, 20, IF(F68&lt;=500, 30, IF(F68&lt;=1000, 35, F68*0.035)))),
0)))</f>
        <v>0</v>
      </c>
      <c r="H68" s="159">
        <f>IF(I68="مخالفات",50,Basic34567891011121314151617181920212223242526272829[[#This Row],[قيمة الرسوم / العموله]]+Basic34567891011121314151617181920212223242526272829[[#This Row],[قيمة الشحنه]])</f>
        <v>0</v>
      </c>
      <c r="I68" s="90"/>
      <c r="J68" s="142" t="str">
        <f t="shared" ref="J68:J131" si="1">M$3</f>
        <v>4.5.2026</v>
      </c>
      <c r="L68" s="153">
        <v>57</v>
      </c>
      <c r="M68" s="92"/>
    </row>
    <row r="69" spans="1:13" ht="21.6" x14ac:dyDescent="0.65">
      <c r="A69" s="195"/>
      <c r="B69" s="144">
        <v>66</v>
      </c>
      <c r="C69" s="2"/>
      <c r="D69" s="1"/>
      <c r="E69" s="3"/>
      <c r="F69" s="1"/>
      <c r="G69" s="141">
        <f>IF(Basic34567891011121314151617181920212223242526272829[[#This Row],[نوع الخدمة]]="مخالفات", 50,
IF(Basic34567891011121314151617181920212223242526272829[[#This Row],[نوع الخدمة]]="كاش ان",
    IF(F69&lt;=100, 18, IF(F69&lt;=250, 23, IF(F69&lt;=500, 35, IF(F69&lt;=1000, 40, F69*0.04)))),
IF(Basic34567891011121314151617181920212223242526272829[[#This Row],[نوع الخدمة]]="كاش اوت",
    IF(F69&lt;=100, 15, IF(F69&lt;=250, 20, IF(F69&lt;=500, 30, IF(F69&lt;=1000, 35, F69*0.035)))),
0)))</f>
        <v>0</v>
      </c>
      <c r="H69" s="159">
        <f>IF(I69="مخالفات",50,Basic34567891011121314151617181920212223242526272829[[#This Row],[قيمة الرسوم / العموله]]+Basic34567891011121314151617181920212223242526272829[[#This Row],[قيمة الشحنه]])</f>
        <v>0</v>
      </c>
      <c r="I69" s="90"/>
      <c r="J69" s="142" t="str">
        <f t="shared" si="1"/>
        <v>4.5.2026</v>
      </c>
      <c r="L69" s="153">
        <v>58</v>
      </c>
      <c r="M69" s="92"/>
    </row>
    <row r="70" spans="1:13" ht="21.6" x14ac:dyDescent="0.65">
      <c r="A70" s="195"/>
      <c r="B70" s="140">
        <v>67</v>
      </c>
      <c r="C70" s="2"/>
      <c r="D70" s="1"/>
      <c r="E70" s="3"/>
      <c r="F70" s="1"/>
      <c r="G70" s="141">
        <f>IF(Basic34567891011121314151617181920212223242526272829[[#This Row],[نوع الخدمة]]="مخالفات", 50,
IF(Basic34567891011121314151617181920212223242526272829[[#This Row],[نوع الخدمة]]="كاش ان",
    IF(F70&lt;=100, 18, IF(F70&lt;=250, 23, IF(F70&lt;=500, 35, IF(F70&lt;=1000, 40, F70*0.04)))),
IF(Basic34567891011121314151617181920212223242526272829[[#This Row],[نوع الخدمة]]="كاش اوت",
    IF(F70&lt;=100, 15, IF(F70&lt;=250, 20, IF(F70&lt;=500, 30, IF(F70&lt;=1000, 35, F70*0.035)))),
0)))</f>
        <v>0</v>
      </c>
      <c r="H70" s="159">
        <f>IF(I70="مخالفات",50,Basic34567891011121314151617181920212223242526272829[[#This Row],[قيمة الرسوم / العموله]]+Basic34567891011121314151617181920212223242526272829[[#This Row],[قيمة الشحنه]])</f>
        <v>0</v>
      </c>
      <c r="I70" s="90"/>
      <c r="J70" s="142" t="str">
        <f t="shared" si="1"/>
        <v>4.5.2026</v>
      </c>
      <c r="L70" s="153">
        <v>59</v>
      </c>
      <c r="M70" s="92"/>
    </row>
    <row r="71" spans="1:13" ht="21.6" x14ac:dyDescent="0.65">
      <c r="A71" s="195"/>
      <c r="B71" s="140">
        <v>68</v>
      </c>
      <c r="C71" s="2"/>
      <c r="D71" s="1"/>
      <c r="E71" s="3"/>
      <c r="F71" s="1"/>
      <c r="G71" s="141">
        <f>IF(Basic34567891011121314151617181920212223242526272829[[#This Row],[نوع الخدمة]]="مخالفات", 50,
IF(Basic34567891011121314151617181920212223242526272829[[#This Row],[نوع الخدمة]]="كاش ان",
    IF(F71&lt;=100, 18, IF(F71&lt;=250, 23, IF(F71&lt;=500, 35, IF(F71&lt;=1000, 40, F71*0.04)))),
IF(Basic34567891011121314151617181920212223242526272829[[#This Row],[نوع الخدمة]]="كاش اوت",
    IF(F71&lt;=100, 15, IF(F71&lt;=250, 20, IF(F71&lt;=500, 30, IF(F71&lt;=1000, 35, F71*0.035)))),
0)))</f>
        <v>0</v>
      </c>
      <c r="H71" s="159">
        <f>IF(I71="مخالفات",50,Basic34567891011121314151617181920212223242526272829[[#This Row],[قيمة الرسوم / العموله]]+Basic34567891011121314151617181920212223242526272829[[#This Row],[قيمة الشحنه]])</f>
        <v>0</v>
      </c>
      <c r="I71" s="90"/>
      <c r="J71" s="142" t="str">
        <f t="shared" si="1"/>
        <v>4.5.2026</v>
      </c>
      <c r="L71" s="153">
        <v>60</v>
      </c>
      <c r="M71" s="92"/>
    </row>
    <row r="72" spans="1:13" ht="21.6" x14ac:dyDescent="0.65">
      <c r="A72" s="195"/>
      <c r="B72" s="140">
        <v>69</v>
      </c>
      <c r="C72" s="2"/>
      <c r="D72" s="1"/>
      <c r="E72" s="3"/>
      <c r="F72" s="1"/>
      <c r="G72" s="141">
        <f>IF(Basic34567891011121314151617181920212223242526272829[[#This Row],[نوع الخدمة]]="مخالفات", 50,
IF(Basic34567891011121314151617181920212223242526272829[[#This Row],[نوع الخدمة]]="كاش ان",
    IF(F72&lt;=100, 18, IF(F72&lt;=250, 23, IF(F72&lt;=500, 35, IF(F72&lt;=1000, 40, F72*0.04)))),
IF(Basic34567891011121314151617181920212223242526272829[[#This Row],[نوع الخدمة]]="كاش اوت",
    IF(F72&lt;=100, 15, IF(F72&lt;=250, 20, IF(F72&lt;=500, 30, IF(F72&lt;=1000, 35, F72*0.035)))),
0)))</f>
        <v>0</v>
      </c>
      <c r="H72" s="159">
        <f>IF(I72="مخالفات",50,Basic34567891011121314151617181920212223242526272829[[#This Row],[قيمة الرسوم / العموله]]+Basic34567891011121314151617181920212223242526272829[[#This Row],[قيمة الشحنه]])</f>
        <v>0</v>
      </c>
      <c r="I72" s="90"/>
      <c r="J72" s="142" t="str">
        <f t="shared" si="1"/>
        <v>4.5.2026</v>
      </c>
      <c r="L72" s="153">
        <v>61</v>
      </c>
      <c r="M72" s="92"/>
    </row>
    <row r="73" spans="1:13" ht="21.6" x14ac:dyDescent="0.65">
      <c r="A73" s="195"/>
      <c r="B73" s="144">
        <v>70</v>
      </c>
      <c r="C73" s="2"/>
      <c r="D73" s="1"/>
      <c r="E73" s="3"/>
      <c r="F73" s="1"/>
      <c r="G73" s="141">
        <f>IF(Basic34567891011121314151617181920212223242526272829[[#This Row],[نوع الخدمة]]="مخالفات", 50,
IF(Basic34567891011121314151617181920212223242526272829[[#This Row],[نوع الخدمة]]="كاش ان",
    IF(F73&lt;=100, 18, IF(F73&lt;=250, 23, IF(F73&lt;=500, 35, IF(F73&lt;=1000, 40, F73*0.04)))),
IF(Basic34567891011121314151617181920212223242526272829[[#This Row],[نوع الخدمة]]="كاش اوت",
    IF(F73&lt;=100, 15, IF(F73&lt;=250, 20, IF(F73&lt;=500, 30, IF(F73&lt;=1000, 35, F73*0.035)))),
0)))</f>
        <v>0</v>
      </c>
      <c r="H73" s="159">
        <f>IF(I73="مخالفات",50,Basic34567891011121314151617181920212223242526272829[[#This Row],[قيمة الرسوم / العموله]]+Basic34567891011121314151617181920212223242526272829[[#This Row],[قيمة الشحنه]])</f>
        <v>0</v>
      </c>
      <c r="I73" s="90"/>
      <c r="J73" s="142" t="str">
        <f t="shared" si="1"/>
        <v>4.5.2026</v>
      </c>
      <c r="L73" s="153">
        <v>62</v>
      </c>
      <c r="M73" s="92"/>
    </row>
    <row r="74" spans="1:13" ht="21.6" x14ac:dyDescent="0.65">
      <c r="A74" s="195"/>
      <c r="B74" s="140">
        <v>71</v>
      </c>
      <c r="C74" s="2"/>
      <c r="D74" s="1"/>
      <c r="E74" s="3"/>
      <c r="F74" s="1"/>
      <c r="G74" s="141">
        <f>IF(Basic34567891011121314151617181920212223242526272829[[#This Row],[نوع الخدمة]]="مخالفات", 50,
IF(Basic34567891011121314151617181920212223242526272829[[#This Row],[نوع الخدمة]]="كاش ان",
    IF(F74&lt;=100, 18, IF(F74&lt;=250, 23, IF(F74&lt;=500, 35, IF(F74&lt;=1000, 40, F74*0.04)))),
IF(Basic34567891011121314151617181920212223242526272829[[#This Row],[نوع الخدمة]]="كاش اوت",
    IF(F74&lt;=100, 15, IF(F74&lt;=250, 20, IF(F74&lt;=500, 30, IF(F74&lt;=1000, 35, F74*0.035)))),
0)))</f>
        <v>0</v>
      </c>
      <c r="H74" s="159">
        <f>IF(I74="مخالفات",50,Basic34567891011121314151617181920212223242526272829[[#This Row],[قيمة الرسوم / العموله]]+Basic34567891011121314151617181920212223242526272829[[#This Row],[قيمة الشحنه]])</f>
        <v>0</v>
      </c>
      <c r="I74" s="90"/>
      <c r="J74" s="142" t="str">
        <f t="shared" si="1"/>
        <v>4.5.2026</v>
      </c>
      <c r="L74" s="153">
        <v>63</v>
      </c>
      <c r="M74" s="92"/>
    </row>
    <row r="75" spans="1:13" ht="21.6" x14ac:dyDescent="0.65">
      <c r="A75" s="195"/>
      <c r="B75" s="140">
        <v>72</v>
      </c>
      <c r="C75" s="2"/>
      <c r="D75" s="1"/>
      <c r="E75" s="3"/>
      <c r="F75" s="1"/>
      <c r="G75" s="141">
        <f>IF(Basic34567891011121314151617181920212223242526272829[[#This Row],[نوع الخدمة]]="مخالفات", 50,
IF(Basic34567891011121314151617181920212223242526272829[[#This Row],[نوع الخدمة]]="كاش ان",
    IF(F75&lt;=100, 18, IF(F75&lt;=250, 23, IF(F75&lt;=500, 35, IF(F75&lt;=1000, 40, F75*0.04)))),
IF(Basic34567891011121314151617181920212223242526272829[[#This Row],[نوع الخدمة]]="كاش اوت",
    IF(F75&lt;=100, 15, IF(F75&lt;=250, 20, IF(F75&lt;=500, 30, IF(F75&lt;=1000, 35, F75*0.035)))),
0)))</f>
        <v>0</v>
      </c>
      <c r="H75" s="159">
        <f>IF(I75="مخالفات",50,Basic34567891011121314151617181920212223242526272829[[#This Row],[قيمة الرسوم / العموله]]+Basic34567891011121314151617181920212223242526272829[[#This Row],[قيمة الشحنه]])</f>
        <v>0</v>
      </c>
      <c r="I75" s="90"/>
      <c r="J75" s="142" t="str">
        <f t="shared" si="1"/>
        <v>4.5.2026</v>
      </c>
      <c r="L75" s="153">
        <v>64</v>
      </c>
      <c r="M75" s="92"/>
    </row>
    <row r="76" spans="1:13" ht="21.6" x14ac:dyDescent="0.65">
      <c r="A76" s="195"/>
      <c r="B76" s="140">
        <v>73</v>
      </c>
      <c r="C76" s="2"/>
      <c r="D76" s="1"/>
      <c r="E76" s="3"/>
      <c r="F76" s="1"/>
      <c r="G76" s="141">
        <f>IF(Basic34567891011121314151617181920212223242526272829[[#This Row],[نوع الخدمة]]="مخالفات", 50,
IF(Basic34567891011121314151617181920212223242526272829[[#This Row],[نوع الخدمة]]="كاش ان",
    IF(F76&lt;=100, 18, IF(F76&lt;=250, 23, IF(F76&lt;=500, 35, IF(F76&lt;=1000, 40, F76*0.04)))),
IF(Basic34567891011121314151617181920212223242526272829[[#This Row],[نوع الخدمة]]="كاش اوت",
    IF(F76&lt;=100, 15, IF(F76&lt;=250, 20, IF(F76&lt;=500, 30, IF(F76&lt;=1000, 35, F76*0.035)))),
0)))</f>
        <v>0</v>
      </c>
      <c r="H76" s="159">
        <f>IF(I76="مخالفات",50,Basic34567891011121314151617181920212223242526272829[[#This Row],[قيمة الرسوم / العموله]]+Basic34567891011121314151617181920212223242526272829[[#This Row],[قيمة الشحنه]])</f>
        <v>0</v>
      </c>
      <c r="I76" s="90"/>
      <c r="J76" s="142" t="str">
        <f t="shared" si="1"/>
        <v>4.5.2026</v>
      </c>
      <c r="L76" s="153">
        <v>65</v>
      </c>
      <c r="M76" s="92"/>
    </row>
    <row r="77" spans="1:13" ht="21.6" x14ac:dyDescent="0.65">
      <c r="A77" s="195"/>
      <c r="B77" s="144">
        <v>74</v>
      </c>
      <c r="C77" s="2"/>
      <c r="D77" s="1"/>
      <c r="E77" s="3"/>
      <c r="F77" s="1"/>
      <c r="G77" s="141">
        <f>IF(Basic34567891011121314151617181920212223242526272829[[#This Row],[نوع الخدمة]]="مخالفات", 50,
IF(Basic34567891011121314151617181920212223242526272829[[#This Row],[نوع الخدمة]]="كاش ان",
    IF(F77&lt;=100, 18, IF(F77&lt;=250, 23, IF(F77&lt;=500, 35, IF(F77&lt;=1000, 40, F77*0.04)))),
IF(Basic34567891011121314151617181920212223242526272829[[#This Row],[نوع الخدمة]]="كاش اوت",
    IF(F77&lt;=100, 15, IF(F77&lt;=250, 20, IF(F77&lt;=500, 30, IF(F77&lt;=1000, 35, F77*0.035)))),
0)))</f>
        <v>0</v>
      </c>
      <c r="H77" s="159">
        <f>IF(I77="مخالفات",50,Basic34567891011121314151617181920212223242526272829[[#This Row],[قيمة الرسوم / العموله]]+Basic34567891011121314151617181920212223242526272829[[#This Row],[قيمة الشحنه]])</f>
        <v>0</v>
      </c>
      <c r="I77" s="90"/>
      <c r="J77" s="142" t="str">
        <f t="shared" si="1"/>
        <v>4.5.2026</v>
      </c>
      <c r="L77" s="153">
        <v>66</v>
      </c>
      <c r="M77" s="92"/>
    </row>
    <row r="78" spans="1:13" ht="21.6" x14ac:dyDescent="0.65">
      <c r="A78" s="195"/>
      <c r="B78" s="140">
        <v>75</v>
      </c>
      <c r="C78" s="2"/>
      <c r="D78" s="1"/>
      <c r="E78" s="3"/>
      <c r="F78" s="1"/>
      <c r="G78" s="141">
        <f>IF(Basic34567891011121314151617181920212223242526272829[[#This Row],[نوع الخدمة]]="مخالفات", 50,
IF(Basic34567891011121314151617181920212223242526272829[[#This Row],[نوع الخدمة]]="كاش ان",
    IF(F78&lt;=100, 18, IF(F78&lt;=250, 23, IF(F78&lt;=500, 35, IF(F78&lt;=1000, 40, F78*0.04)))),
IF(Basic34567891011121314151617181920212223242526272829[[#This Row],[نوع الخدمة]]="كاش اوت",
    IF(F78&lt;=100, 15, IF(F78&lt;=250, 20, IF(F78&lt;=500, 30, IF(F78&lt;=1000, 35, F78*0.035)))),
0)))</f>
        <v>0</v>
      </c>
      <c r="H78" s="159">
        <f>IF(I78="مخالفات",50,Basic34567891011121314151617181920212223242526272829[[#This Row],[قيمة الرسوم / العموله]]+Basic34567891011121314151617181920212223242526272829[[#This Row],[قيمة الشحنه]])</f>
        <v>0</v>
      </c>
      <c r="I78" s="90"/>
      <c r="J78" s="142" t="str">
        <f t="shared" si="1"/>
        <v>4.5.2026</v>
      </c>
      <c r="L78" s="153">
        <v>67</v>
      </c>
      <c r="M78" s="92"/>
    </row>
    <row r="79" spans="1:13" ht="21.6" x14ac:dyDescent="0.65">
      <c r="A79" s="195"/>
      <c r="B79" s="140">
        <v>76</v>
      </c>
      <c r="C79" s="2"/>
      <c r="D79" s="1"/>
      <c r="E79" s="3"/>
      <c r="F79" s="1"/>
      <c r="G79" s="141">
        <f>IF(Basic34567891011121314151617181920212223242526272829[[#This Row],[نوع الخدمة]]="مخالفات", 50,
IF(Basic34567891011121314151617181920212223242526272829[[#This Row],[نوع الخدمة]]="كاش ان",
    IF(F79&lt;=100, 18, IF(F79&lt;=250, 23, IF(F79&lt;=500, 35, IF(F79&lt;=1000, 40, F79*0.04)))),
IF(Basic34567891011121314151617181920212223242526272829[[#This Row],[نوع الخدمة]]="كاش اوت",
    IF(F79&lt;=100, 15, IF(F79&lt;=250, 20, IF(F79&lt;=500, 30, IF(F79&lt;=1000, 35, F79*0.035)))),
0)))</f>
        <v>0</v>
      </c>
      <c r="H79" s="159">
        <f>IF(I79="مخالفات",50,Basic34567891011121314151617181920212223242526272829[[#This Row],[قيمة الرسوم / العموله]]+Basic34567891011121314151617181920212223242526272829[[#This Row],[قيمة الشحنه]])</f>
        <v>0</v>
      </c>
      <c r="I79" s="90"/>
      <c r="J79" s="142" t="str">
        <f t="shared" si="1"/>
        <v>4.5.2026</v>
      </c>
      <c r="L79" s="153">
        <v>68</v>
      </c>
      <c r="M79" s="92"/>
    </row>
    <row r="80" spans="1:13" ht="21.6" x14ac:dyDescent="0.65">
      <c r="A80" s="195"/>
      <c r="B80" s="140">
        <v>77</v>
      </c>
      <c r="C80" s="2"/>
      <c r="D80" s="1"/>
      <c r="E80" s="3"/>
      <c r="F80" s="1"/>
      <c r="G80" s="141">
        <f>IF(Basic34567891011121314151617181920212223242526272829[[#This Row],[نوع الخدمة]]="مخالفات", 50,
IF(Basic34567891011121314151617181920212223242526272829[[#This Row],[نوع الخدمة]]="كاش ان",
    IF(F80&lt;=100, 18, IF(F80&lt;=250, 23, IF(F80&lt;=500, 35, IF(F80&lt;=1000, 40, F80*0.04)))),
IF(Basic34567891011121314151617181920212223242526272829[[#This Row],[نوع الخدمة]]="كاش اوت",
    IF(F80&lt;=100, 15, IF(F80&lt;=250, 20, IF(F80&lt;=500, 30, IF(F80&lt;=1000, 35, F80*0.035)))),
0)))</f>
        <v>0</v>
      </c>
      <c r="H80" s="159">
        <f>IF(I80="مخالفات",50,Basic34567891011121314151617181920212223242526272829[[#This Row],[قيمة الرسوم / العموله]]+Basic34567891011121314151617181920212223242526272829[[#This Row],[قيمة الشحنه]])</f>
        <v>0</v>
      </c>
      <c r="I80" s="90"/>
      <c r="J80" s="142" t="str">
        <f t="shared" si="1"/>
        <v>4.5.2026</v>
      </c>
      <c r="L80" s="153">
        <v>69</v>
      </c>
      <c r="M80" s="92"/>
    </row>
    <row r="81" spans="1:13" ht="21.6" x14ac:dyDescent="0.65">
      <c r="A81" s="195"/>
      <c r="B81" s="144">
        <v>78</v>
      </c>
      <c r="C81" s="2"/>
      <c r="D81" s="1"/>
      <c r="E81" s="3"/>
      <c r="F81" s="1"/>
      <c r="G81" s="141">
        <f>IF(Basic34567891011121314151617181920212223242526272829[[#This Row],[نوع الخدمة]]="مخالفات", 50,
IF(Basic34567891011121314151617181920212223242526272829[[#This Row],[نوع الخدمة]]="كاش ان",
    IF(F81&lt;=100, 18, IF(F81&lt;=250, 23, IF(F81&lt;=500, 35, IF(F81&lt;=1000, 40, F81*0.04)))),
IF(Basic34567891011121314151617181920212223242526272829[[#This Row],[نوع الخدمة]]="كاش اوت",
    IF(F81&lt;=100, 15, IF(F81&lt;=250, 20, IF(F81&lt;=500, 30, IF(F81&lt;=1000, 35, F81*0.035)))),
0)))</f>
        <v>0</v>
      </c>
      <c r="H81" s="159">
        <f>IF(I81="مخالفات",50,Basic34567891011121314151617181920212223242526272829[[#This Row],[قيمة الرسوم / العموله]]+Basic34567891011121314151617181920212223242526272829[[#This Row],[قيمة الشحنه]])</f>
        <v>0</v>
      </c>
      <c r="I81" s="90"/>
      <c r="J81" s="142" t="str">
        <f t="shared" si="1"/>
        <v>4.5.2026</v>
      </c>
      <c r="L81" s="153">
        <v>70</v>
      </c>
      <c r="M81" s="92"/>
    </row>
    <row r="82" spans="1:13" ht="21.6" x14ac:dyDescent="0.65">
      <c r="A82" s="195"/>
      <c r="B82" s="140">
        <v>79</v>
      </c>
      <c r="C82" s="2"/>
      <c r="D82" s="1"/>
      <c r="E82" s="3"/>
      <c r="F82" s="1"/>
      <c r="G82" s="141">
        <f>IF(Basic34567891011121314151617181920212223242526272829[[#This Row],[نوع الخدمة]]="مخالفات", 50,
IF(Basic34567891011121314151617181920212223242526272829[[#This Row],[نوع الخدمة]]="كاش ان",
    IF(F82&lt;=100, 18, IF(F82&lt;=250, 23, IF(F82&lt;=500, 35, IF(F82&lt;=1000, 40, F82*0.04)))),
IF(Basic34567891011121314151617181920212223242526272829[[#This Row],[نوع الخدمة]]="كاش اوت",
    IF(F82&lt;=100, 15, IF(F82&lt;=250, 20, IF(F82&lt;=500, 30, IF(F82&lt;=1000, 35, F82*0.035)))),
0)))</f>
        <v>0</v>
      </c>
      <c r="H82" s="159">
        <f>IF(I82="مخالفات",50,Basic34567891011121314151617181920212223242526272829[[#This Row],[قيمة الرسوم / العموله]]+Basic34567891011121314151617181920212223242526272829[[#This Row],[قيمة الشحنه]])</f>
        <v>0</v>
      </c>
      <c r="I82" s="90"/>
      <c r="J82" s="142" t="str">
        <f t="shared" si="1"/>
        <v>4.5.2026</v>
      </c>
      <c r="L82" s="153">
        <v>71</v>
      </c>
      <c r="M82" s="92"/>
    </row>
    <row r="83" spans="1:13" ht="21.6" x14ac:dyDescent="0.65">
      <c r="A83" s="195"/>
      <c r="B83" s="140">
        <v>80</v>
      </c>
      <c r="C83" s="2"/>
      <c r="D83" s="1"/>
      <c r="E83" s="3"/>
      <c r="F83" s="1"/>
      <c r="G83" s="141">
        <f>IF(Basic34567891011121314151617181920212223242526272829[[#This Row],[نوع الخدمة]]="مخالفات", 50,
IF(Basic34567891011121314151617181920212223242526272829[[#This Row],[نوع الخدمة]]="كاش ان",
    IF(F83&lt;=100, 18, IF(F83&lt;=250, 23, IF(F83&lt;=500, 35, IF(F83&lt;=1000, 40, F83*0.04)))),
IF(Basic34567891011121314151617181920212223242526272829[[#This Row],[نوع الخدمة]]="كاش اوت",
    IF(F83&lt;=100, 15, IF(F83&lt;=250, 20, IF(F83&lt;=500, 30, IF(F83&lt;=1000, 35, F83*0.035)))),
0)))</f>
        <v>0</v>
      </c>
      <c r="H83" s="159">
        <f>IF(I83="مخالفات",50,Basic34567891011121314151617181920212223242526272829[[#This Row],[قيمة الرسوم / العموله]]+Basic34567891011121314151617181920212223242526272829[[#This Row],[قيمة الشحنه]])</f>
        <v>0</v>
      </c>
      <c r="I83" s="90"/>
      <c r="J83" s="142" t="str">
        <f t="shared" si="1"/>
        <v>4.5.2026</v>
      </c>
      <c r="L83" s="153">
        <v>72</v>
      </c>
      <c r="M83" s="92"/>
    </row>
    <row r="84" spans="1:13" ht="21.6" x14ac:dyDescent="0.65">
      <c r="A84" s="195"/>
      <c r="B84" s="140">
        <v>81</v>
      </c>
      <c r="C84" s="2"/>
      <c r="D84" s="1"/>
      <c r="E84" s="3"/>
      <c r="F84" s="1"/>
      <c r="G84" s="141">
        <f>IF(Basic34567891011121314151617181920212223242526272829[[#This Row],[نوع الخدمة]]="مخالفات", 50,
IF(Basic34567891011121314151617181920212223242526272829[[#This Row],[نوع الخدمة]]="كاش ان",
    IF(F84&lt;=100, 18, IF(F84&lt;=250, 23, IF(F84&lt;=500, 35, IF(F84&lt;=1000, 40, F84*0.04)))),
IF(Basic34567891011121314151617181920212223242526272829[[#This Row],[نوع الخدمة]]="كاش اوت",
    IF(F84&lt;=100, 15, IF(F84&lt;=250, 20, IF(F84&lt;=500, 30, IF(F84&lt;=1000, 35, F84*0.035)))),
0)))</f>
        <v>0</v>
      </c>
      <c r="H84" s="159">
        <f>IF(I84="مخالفات",50,Basic34567891011121314151617181920212223242526272829[[#This Row],[قيمة الرسوم / العموله]]+Basic34567891011121314151617181920212223242526272829[[#This Row],[قيمة الشحنه]])</f>
        <v>0</v>
      </c>
      <c r="I84" s="90"/>
      <c r="J84" s="142" t="str">
        <f t="shared" si="1"/>
        <v>4.5.2026</v>
      </c>
      <c r="L84" s="153">
        <v>73</v>
      </c>
      <c r="M84" s="92"/>
    </row>
    <row r="85" spans="1:13" ht="21.6" x14ac:dyDescent="0.65">
      <c r="A85" s="195"/>
      <c r="B85" s="144">
        <v>82</v>
      </c>
      <c r="C85" s="2"/>
      <c r="D85" s="1"/>
      <c r="E85" s="3"/>
      <c r="F85" s="1"/>
      <c r="G85" s="141">
        <f>IF(Basic34567891011121314151617181920212223242526272829[[#This Row],[نوع الخدمة]]="مخالفات", 50,
IF(Basic34567891011121314151617181920212223242526272829[[#This Row],[نوع الخدمة]]="كاش ان",
    IF(F85&lt;=100, 18, IF(F85&lt;=250, 23, IF(F85&lt;=500, 35, IF(F85&lt;=1000, 40, F85*0.04)))),
IF(Basic34567891011121314151617181920212223242526272829[[#This Row],[نوع الخدمة]]="كاش اوت",
    IF(F85&lt;=100, 15, IF(F85&lt;=250, 20, IF(F85&lt;=500, 30, IF(F85&lt;=1000, 35, F85*0.035)))),
0)))</f>
        <v>0</v>
      </c>
      <c r="H85" s="159">
        <f>IF(I85="مخالفات",50,Basic34567891011121314151617181920212223242526272829[[#This Row],[قيمة الرسوم / العموله]]+Basic34567891011121314151617181920212223242526272829[[#This Row],[قيمة الشحنه]])</f>
        <v>0</v>
      </c>
      <c r="I85" s="90"/>
      <c r="J85" s="142" t="str">
        <f t="shared" si="1"/>
        <v>4.5.2026</v>
      </c>
      <c r="L85" s="153">
        <v>74</v>
      </c>
      <c r="M85" s="92"/>
    </row>
    <row r="86" spans="1:13" ht="21.6" x14ac:dyDescent="0.65">
      <c r="A86" s="195"/>
      <c r="B86" s="140">
        <v>83</v>
      </c>
      <c r="C86" s="2"/>
      <c r="D86" s="1"/>
      <c r="E86" s="3"/>
      <c r="F86" s="1"/>
      <c r="G86" s="141">
        <f>IF(Basic34567891011121314151617181920212223242526272829[[#This Row],[نوع الخدمة]]="مخالفات", 50,
IF(Basic34567891011121314151617181920212223242526272829[[#This Row],[نوع الخدمة]]="كاش ان",
    IF(F86&lt;=100, 18, IF(F86&lt;=250, 23, IF(F86&lt;=500, 35, IF(F86&lt;=1000, 40, F86*0.04)))),
IF(Basic34567891011121314151617181920212223242526272829[[#This Row],[نوع الخدمة]]="كاش اوت",
    IF(F86&lt;=100, 15, IF(F86&lt;=250, 20, IF(F86&lt;=500, 30, IF(F86&lt;=1000, 35, F86*0.035)))),
0)))</f>
        <v>0</v>
      </c>
      <c r="H86" s="159">
        <f>IF(I86="مخالفات",50,Basic34567891011121314151617181920212223242526272829[[#This Row],[قيمة الرسوم / العموله]]+Basic34567891011121314151617181920212223242526272829[[#This Row],[قيمة الشحنه]])</f>
        <v>0</v>
      </c>
      <c r="I86" s="90"/>
      <c r="J86" s="142" t="str">
        <f t="shared" si="1"/>
        <v>4.5.2026</v>
      </c>
      <c r="L86" s="153">
        <v>75</v>
      </c>
      <c r="M86" s="92"/>
    </row>
    <row r="87" spans="1:13" ht="21.6" x14ac:dyDescent="0.65">
      <c r="A87" s="195"/>
      <c r="B87" s="140">
        <v>84</v>
      </c>
      <c r="C87" s="2"/>
      <c r="D87" s="1"/>
      <c r="E87" s="3"/>
      <c r="F87" s="1"/>
      <c r="G87" s="141">
        <f>IF(Basic34567891011121314151617181920212223242526272829[[#This Row],[نوع الخدمة]]="مخالفات", 50,
IF(Basic34567891011121314151617181920212223242526272829[[#This Row],[نوع الخدمة]]="كاش ان",
    IF(F87&lt;=100, 18, IF(F87&lt;=250, 23, IF(F87&lt;=500, 35, IF(F87&lt;=1000, 40, F87*0.04)))),
IF(Basic34567891011121314151617181920212223242526272829[[#This Row],[نوع الخدمة]]="كاش اوت",
    IF(F87&lt;=100, 15, IF(F87&lt;=250, 20, IF(F87&lt;=500, 30, IF(F87&lt;=1000, 35, F87*0.035)))),
0)))</f>
        <v>0</v>
      </c>
      <c r="H87" s="159">
        <f>IF(I87="مخالفات",50,Basic34567891011121314151617181920212223242526272829[[#This Row],[قيمة الرسوم / العموله]]+Basic34567891011121314151617181920212223242526272829[[#This Row],[قيمة الشحنه]])</f>
        <v>0</v>
      </c>
      <c r="I87" s="90"/>
      <c r="J87" s="142" t="str">
        <f t="shared" si="1"/>
        <v>4.5.2026</v>
      </c>
      <c r="L87" s="153">
        <v>76</v>
      </c>
      <c r="M87" s="92"/>
    </row>
    <row r="88" spans="1:13" ht="21.6" x14ac:dyDescent="0.65">
      <c r="A88" s="195"/>
      <c r="B88" s="140">
        <v>85</v>
      </c>
      <c r="C88" s="2"/>
      <c r="D88" s="1"/>
      <c r="E88" s="3"/>
      <c r="F88" s="1"/>
      <c r="G88" s="141">
        <f>IF(Basic34567891011121314151617181920212223242526272829[[#This Row],[نوع الخدمة]]="مخالفات", 50,
IF(Basic34567891011121314151617181920212223242526272829[[#This Row],[نوع الخدمة]]="كاش ان",
    IF(F88&lt;=100, 18, IF(F88&lt;=250, 23, IF(F88&lt;=500, 35, IF(F88&lt;=1000, 40, F88*0.04)))),
IF(Basic34567891011121314151617181920212223242526272829[[#This Row],[نوع الخدمة]]="كاش اوت",
    IF(F88&lt;=100, 15, IF(F88&lt;=250, 20, IF(F88&lt;=500, 30, IF(F88&lt;=1000, 35, F88*0.035)))),
0)))</f>
        <v>0</v>
      </c>
      <c r="H88" s="159">
        <f>IF(I88="مخالفات",50,Basic34567891011121314151617181920212223242526272829[[#This Row],[قيمة الرسوم / العموله]]+Basic34567891011121314151617181920212223242526272829[[#This Row],[قيمة الشحنه]])</f>
        <v>0</v>
      </c>
      <c r="I88" s="90"/>
      <c r="J88" s="142" t="str">
        <f t="shared" si="1"/>
        <v>4.5.2026</v>
      </c>
      <c r="L88" s="153">
        <v>77</v>
      </c>
      <c r="M88" s="92"/>
    </row>
    <row r="89" spans="1:13" ht="21.6" x14ac:dyDescent="0.65">
      <c r="A89" s="195"/>
      <c r="B89" s="144">
        <v>86</v>
      </c>
      <c r="C89" s="2"/>
      <c r="D89" s="1"/>
      <c r="E89" s="3"/>
      <c r="F89" s="1"/>
      <c r="G89" s="141">
        <f>IF(Basic34567891011121314151617181920212223242526272829[[#This Row],[نوع الخدمة]]="مخالفات", 50,
IF(Basic34567891011121314151617181920212223242526272829[[#This Row],[نوع الخدمة]]="كاش ان",
    IF(F89&lt;=100, 18, IF(F89&lt;=250, 23, IF(F89&lt;=500, 35, IF(F89&lt;=1000, 40, F89*0.04)))),
IF(Basic34567891011121314151617181920212223242526272829[[#This Row],[نوع الخدمة]]="كاش اوت",
    IF(F89&lt;=100, 15, IF(F89&lt;=250, 20, IF(F89&lt;=500, 30, IF(F89&lt;=1000, 35, F89*0.035)))),
0)))</f>
        <v>0</v>
      </c>
      <c r="H89" s="159">
        <f>IF(I89="مخالفات",50,Basic34567891011121314151617181920212223242526272829[[#This Row],[قيمة الرسوم / العموله]]+Basic34567891011121314151617181920212223242526272829[[#This Row],[قيمة الشحنه]])</f>
        <v>0</v>
      </c>
      <c r="I89" s="90"/>
      <c r="J89" s="142" t="str">
        <f t="shared" si="1"/>
        <v>4.5.2026</v>
      </c>
      <c r="L89" s="153">
        <v>78</v>
      </c>
      <c r="M89" s="92"/>
    </row>
    <row r="90" spans="1:13" ht="21.6" x14ac:dyDescent="0.65">
      <c r="A90" s="195"/>
      <c r="B90" s="140">
        <v>87</v>
      </c>
      <c r="C90" s="2"/>
      <c r="D90" s="1"/>
      <c r="E90" s="3"/>
      <c r="F90" s="1"/>
      <c r="G90" s="141">
        <f>IF(Basic34567891011121314151617181920212223242526272829[[#This Row],[نوع الخدمة]]="مخالفات", 50,
IF(Basic34567891011121314151617181920212223242526272829[[#This Row],[نوع الخدمة]]="كاش ان",
    IF(F90&lt;=100, 18, IF(F90&lt;=250, 23, IF(F90&lt;=500, 35, IF(F90&lt;=1000, 40, F90*0.04)))),
IF(Basic34567891011121314151617181920212223242526272829[[#This Row],[نوع الخدمة]]="كاش اوت",
    IF(F90&lt;=100, 15, IF(F90&lt;=250, 20, IF(F90&lt;=500, 30, IF(F90&lt;=1000, 35, F90*0.035)))),
0)))</f>
        <v>0</v>
      </c>
      <c r="H90" s="159">
        <f>IF(I90="مخالفات",50,Basic34567891011121314151617181920212223242526272829[[#This Row],[قيمة الرسوم / العموله]]+Basic34567891011121314151617181920212223242526272829[[#This Row],[قيمة الشحنه]])</f>
        <v>0</v>
      </c>
      <c r="I90" s="90"/>
      <c r="J90" s="142" t="str">
        <f t="shared" si="1"/>
        <v>4.5.2026</v>
      </c>
      <c r="L90" s="153">
        <v>79</v>
      </c>
      <c r="M90" s="92"/>
    </row>
    <row r="91" spans="1:13" ht="21.6" x14ac:dyDescent="0.65">
      <c r="A91" s="195"/>
      <c r="B91" s="140">
        <v>88</v>
      </c>
      <c r="C91" s="2"/>
      <c r="D91" s="1"/>
      <c r="E91" s="3"/>
      <c r="F91" s="1"/>
      <c r="G91" s="141">
        <f>IF(Basic34567891011121314151617181920212223242526272829[[#This Row],[نوع الخدمة]]="مخالفات", 50,
IF(Basic34567891011121314151617181920212223242526272829[[#This Row],[نوع الخدمة]]="كاش ان",
    IF(F91&lt;=100, 18, IF(F91&lt;=250, 23, IF(F91&lt;=500, 35, IF(F91&lt;=1000, 40, F91*0.04)))),
IF(Basic34567891011121314151617181920212223242526272829[[#This Row],[نوع الخدمة]]="كاش اوت",
    IF(F91&lt;=100, 15, IF(F91&lt;=250, 20, IF(F91&lt;=500, 30, IF(F91&lt;=1000, 35, F91*0.035)))),
0)))</f>
        <v>0</v>
      </c>
      <c r="H91" s="159">
        <f>IF(I91="مخالفات",50,Basic34567891011121314151617181920212223242526272829[[#This Row],[قيمة الرسوم / العموله]]+Basic34567891011121314151617181920212223242526272829[[#This Row],[قيمة الشحنه]])</f>
        <v>0</v>
      </c>
      <c r="I91" s="90"/>
      <c r="J91" s="142" t="str">
        <f t="shared" si="1"/>
        <v>4.5.2026</v>
      </c>
      <c r="L91" s="153">
        <v>80</v>
      </c>
      <c r="M91" s="92"/>
    </row>
    <row r="92" spans="1:13" ht="21.6" x14ac:dyDescent="0.65">
      <c r="A92" s="195"/>
      <c r="B92" s="140">
        <v>89</v>
      </c>
      <c r="C92" s="2"/>
      <c r="D92" s="1"/>
      <c r="E92" s="3"/>
      <c r="F92" s="1"/>
      <c r="G92" s="141">
        <f>IF(Basic34567891011121314151617181920212223242526272829[[#This Row],[نوع الخدمة]]="مخالفات", 50,
IF(Basic34567891011121314151617181920212223242526272829[[#This Row],[نوع الخدمة]]="كاش ان",
    IF(F92&lt;=100, 18, IF(F92&lt;=250, 23, IF(F92&lt;=500, 35, IF(F92&lt;=1000, 40, F92*0.04)))),
IF(Basic34567891011121314151617181920212223242526272829[[#This Row],[نوع الخدمة]]="كاش اوت",
    IF(F92&lt;=100, 15, IF(F92&lt;=250, 20, IF(F92&lt;=500, 30, IF(F92&lt;=1000, 35, F92*0.035)))),
0)))</f>
        <v>0</v>
      </c>
      <c r="H92" s="159">
        <f>IF(I92="مخالفات",50,Basic34567891011121314151617181920212223242526272829[[#This Row],[قيمة الرسوم / العموله]]+Basic34567891011121314151617181920212223242526272829[[#This Row],[قيمة الشحنه]])</f>
        <v>0</v>
      </c>
      <c r="I92" s="90"/>
      <c r="J92" s="142" t="str">
        <f t="shared" si="1"/>
        <v>4.5.2026</v>
      </c>
      <c r="L92" s="153">
        <v>81</v>
      </c>
      <c r="M92" s="92"/>
    </row>
    <row r="93" spans="1:13" ht="21.6" x14ac:dyDescent="0.65">
      <c r="A93" s="195"/>
      <c r="B93" s="144">
        <v>90</v>
      </c>
      <c r="C93" s="2"/>
      <c r="D93" s="1"/>
      <c r="E93" s="3"/>
      <c r="F93" s="1"/>
      <c r="G93" s="141">
        <f>IF(Basic34567891011121314151617181920212223242526272829[[#This Row],[نوع الخدمة]]="مخالفات", 50,
IF(Basic34567891011121314151617181920212223242526272829[[#This Row],[نوع الخدمة]]="كاش ان",
    IF(F93&lt;=100, 18, IF(F93&lt;=250, 23, IF(F93&lt;=500, 35, IF(F93&lt;=1000, 40, F93*0.04)))),
IF(Basic34567891011121314151617181920212223242526272829[[#This Row],[نوع الخدمة]]="كاش اوت",
    IF(F93&lt;=100, 15, IF(F93&lt;=250, 20, IF(F93&lt;=500, 30, IF(F93&lt;=1000, 35, F93*0.035)))),
0)))</f>
        <v>0</v>
      </c>
      <c r="H93" s="159">
        <f>IF(I93="مخالفات",50,Basic34567891011121314151617181920212223242526272829[[#This Row],[قيمة الرسوم / العموله]]+Basic34567891011121314151617181920212223242526272829[[#This Row],[قيمة الشحنه]])</f>
        <v>0</v>
      </c>
      <c r="I93" s="90"/>
      <c r="J93" s="142" t="str">
        <f t="shared" si="1"/>
        <v>4.5.2026</v>
      </c>
      <c r="L93" s="153">
        <v>82</v>
      </c>
      <c r="M93" s="92"/>
    </row>
    <row r="94" spans="1:13" ht="21.6" x14ac:dyDescent="0.65">
      <c r="A94" s="195"/>
      <c r="B94" s="140">
        <v>91</v>
      </c>
      <c r="C94" s="2"/>
      <c r="D94" s="1"/>
      <c r="E94" s="3"/>
      <c r="F94" s="1"/>
      <c r="G94" s="141">
        <f>IF(Basic34567891011121314151617181920212223242526272829[[#This Row],[نوع الخدمة]]="مخالفات", 50,
IF(Basic34567891011121314151617181920212223242526272829[[#This Row],[نوع الخدمة]]="كاش ان",
    IF(F94&lt;=100, 18, IF(F94&lt;=250, 23, IF(F94&lt;=500, 35, IF(F94&lt;=1000, 40, F94*0.04)))),
IF(Basic34567891011121314151617181920212223242526272829[[#This Row],[نوع الخدمة]]="كاش اوت",
    IF(F94&lt;=100, 15, IF(F94&lt;=250, 20, IF(F94&lt;=500, 30, IF(F94&lt;=1000, 35, F94*0.035)))),
0)))</f>
        <v>0</v>
      </c>
      <c r="H94" s="159">
        <f>IF(I94="مخالفات",50,Basic34567891011121314151617181920212223242526272829[[#This Row],[قيمة الرسوم / العموله]]+Basic34567891011121314151617181920212223242526272829[[#This Row],[قيمة الشحنه]])</f>
        <v>0</v>
      </c>
      <c r="I94" s="90"/>
      <c r="J94" s="142" t="str">
        <f t="shared" si="1"/>
        <v>4.5.2026</v>
      </c>
      <c r="L94" s="153">
        <v>83</v>
      </c>
      <c r="M94" s="92"/>
    </row>
    <row r="95" spans="1:13" ht="21.6" x14ac:dyDescent="0.65">
      <c r="A95" s="195"/>
      <c r="B95" s="140">
        <v>92</v>
      </c>
      <c r="C95" s="2"/>
      <c r="D95" s="1"/>
      <c r="E95" s="3"/>
      <c r="F95" s="1"/>
      <c r="G95" s="141">
        <f>IF(Basic34567891011121314151617181920212223242526272829[[#This Row],[نوع الخدمة]]="مخالفات", 50,
IF(Basic34567891011121314151617181920212223242526272829[[#This Row],[نوع الخدمة]]="كاش ان",
    IF(F95&lt;=100, 18, IF(F95&lt;=250, 23, IF(F95&lt;=500, 35, IF(F95&lt;=1000, 40, F95*0.04)))),
IF(Basic34567891011121314151617181920212223242526272829[[#This Row],[نوع الخدمة]]="كاش اوت",
    IF(F95&lt;=100, 15, IF(F95&lt;=250, 20, IF(F95&lt;=500, 30, IF(F95&lt;=1000, 35, F95*0.035)))),
0)))</f>
        <v>0</v>
      </c>
      <c r="H95" s="159">
        <f>IF(I95="مخالفات",50,Basic34567891011121314151617181920212223242526272829[[#This Row],[قيمة الرسوم / العموله]]+Basic34567891011121314151617181920212223242526272829[[#This Row],[قيمة الشحنه]])</f>
        <v>0</v>
      </c>
      <c r="I95" s="90"/>
      <c r="J95" s="142" t="str">
        <f t="shared" si="1"/>
        <v>4.5.2026</v>
      </c>
      <c r="L95" s="153">
        <v>84</v>
      </c>
      <c r="M95" s="92"/>
    </row>
    <row r="96" spans="1:13" ht="21.6" x14ac:dyDescent="0.65">
      <c r="A96" s="195"/>
      <c r="B96" s="140">
        <v>93</v>
      </c>
      <c r="C96" s="2"/>
      <c r="D96" s="1"/>
      <c r="E96" s="3"/>
      <c r="F96" s="1"/>
      <c r="G96" s="141">
        <f>IF(Basic34567891011121314151617181920212223242526272829[[#This Row],[نوع الخدمة]]="مخالفات", 50,
IF(Basic34567891011121314151617181920212223242526272829[[#This Row],[نوع الخدمة]]="كاش ان",
    IF(F96&lt;=100, 18, IF(F96&lt;=250, 23, IF(F96&lt;=500, 35, IF(F96&lt;=1000, 40, F96*0.04)))),
IF(Basic34567891011121314151617181920212223242526272829[[#This Row],[نوع الخدمة]]="كاش اوت",
    IF(F96&lt;=100, 15, IF(F96&lt;=250, 20, IF(F96&lt;=500, 30, IF(F96&lt;=1000, 35, F96*0.035)))),
0)))</f>
        <v>0</v>
      </c>
      <c r="H96" s="159">
        <f>IF(I96="مخالفات",50,Basic34567891011121314151617181920212223242526272829[[#This Row],[قيمة الرسوم / العموله]]+Basic34567891011121314151617181920212223242526272829[[#This Row],[قيمة الشحنه]])</f>
        <v>0</v>
      </c>
      <c r="I96" s="90"/>
      <c r="J96" s="142" t="str">
        <f t="shared" si="1"/>
        <v>4.5.2026</v>
      </c>
      <c r="L96" s="153">
        <v>85</v>
      </c>
      <c r="M96" s="92"/>
    </row>
    <row r="97" spans="1:13" ht="21.6" x14ac:dyDescent="0.65">
      <c r="A97" s="195"/>
      <c r="B97" s="144">
        <v>94</v>
      </c>
      <c r="C97" s="2"/>
      <c r="D97" s="1"/>
      <c r="E97" s="3"/>
      <c r="F97" s="1"/>
      <c r="G97" s="141">
        <f>IF(Basic34567891011121314151617181920212223242526272829[[#This Row],[نوع الخدمة]]="مخالفات", 50,
IF(Basic34567891011121314151617181920212223242526272829[[#This Row],[نوع الخدمة]]="كاش ان",
    IF(F97&lt;=100, 18, IF(F97&lt;=250, 23, IF(F97&lt;=500, 35, IF(F97&lt;=1000, 40, F97*0.04)))),
IF(Basic34567891011121314151617181920212223242526272829[[#This Row],[نوع الخدمة]]="كاش اوت",
    IF(F97&lt;=100, 15, IF(F97&lt;=250, 20, IF(F97&lt;=500, 30, IF(F97&lt;=1000, 35, F97*0.035)))),
0)))</f>
        <v>0</v>
      </c>
      <c r="H97" s="159">
        <f>IF(I97="مخالفات",50,Basic34567891011121314151617181920212223242526272829[[#This Row],[قيمة الرسوم / العموله]]+Basic34567891011121314151617181920212223242526272829[[#This Row],[قيمة الشحنه]])</f>
        <v>0</v>
      </c>
      <c r="I97" s="90"/>
      <c r="J97" s="142" t="str">
        <f t="shared" si="1"/>
        <v>4.5.2026</v>
      </c>
      <c r="L97" s="153">
        <v>86</v>
      </c>
      <c r="M97" s="92"/>
    </row>
    <row r="98" spans="1:13" ht="21.6" x14ac:dyDescent="0.65">
      <c r="A98" s="195"/>
      <c r="B98" s="140">
        <v>95</v>
      </c>
      <c r="C98" s="2"/>
      <c r="D98" s="1"/>
      <c r="E98" s="3"/>
      <c r="F98" s="1"/>
      <c r="G98" s="141">
        <f>IF(Basic34567891011121314151617181920212223242526272829[[#This Row],[نوع الخدمة]]="مخالفات", 50,
IF(Basic34567891011121314151617181920212223242526272829[[#This Row],[نوع الخدمة]]="كاش ان",
    IF(F98&lt;=100, 18, IF(F98&lt;=250, 23, IF(F98&lt;=500, 35, IF(F98&lt;=1000, 40, F98*0.04)))),
IF(Basic34567891011121314151617181920212223242526272829[[#This Row],[نوع الخدمة]]="كاش اوت",
    IF(F98&lt;=100, 15, IF(F98&lt;=250, 20, IF(F98&lt;=500, 30, IF(F98&lt;=1000, 35, F98*0.035)))),
0)))</f>
        <v>0</v>
      </c>
      <c r="H98" s="159">
        <f>IF(I98="مخالفات",50,Basic34567891011121314151617181920212223242526272829[[#This Row],[قيمة الرسوم / العموله]]+Basic34567891011121314151617181920212223242526272829[[#This Row],[قيمة الشحنه]])</f>
        <v>0</v>
      </c>
      <c r="I98" s="90"/>
      <c r="J98" s="142" t="str">
        <f t="shared" si="1"/>
        <v>4.5.2026</v>
      </c>
      <c r="L98" s="153">
        <v>87</v>
      </c>
      <c r="M98" s="92"/>
    </row>
    <row r="99" spans="1:13" ht="21.6" x14ac:dyDescent="0.65">
      <c r="A99" s="195"/>
      <c r="B99" s="140">
        <v>96</v>
      </c>
      <c r="C99" s="2"/>
      <c r="D99" s="1"/>
      <c r="E99" s="3"/>
      <c r="F99" s="1"/>
      <c r="G99" s="141">
        <f>IF(Basic34567891011121314151617181920212223242526272829[[#This Row],[نوع الخدمة]]="مخالفات", 50,
IF(Basic34567891011121314151617181920212223242526272829[[#This Row],[نوع الخدمة]]="كاش ان",
    IF(F99&lt;=100, 18, IF(F99&lt;=250, 23, IF(F99&lt;=500, 35, IF(F99&lt;=1000, 40, F99*0.04)))),
IF(Basic34567891011121314151617181920212223242526272829[[#This Row],[نوع الخدمة]]="كاش اوت",
    IF(F99&lt;=100, 15, IF(F99&lt;=250, 20, IF(F99&lt;=500, 30, IF(F99&lt;=1000, 35, F99*0.035)))),
0)))</f>
        <v>0</v>
      </c>
      <c r="H99" s="159">
        <f>IF(I99="مخالفات",50,Basic34567891011121314151617181920212223242526272829[[#This Row],[قيمة الرسوم / العموله]]+Basic34567891011121314151617181920212223242526272829[[#This Row],[قيمة الشحنه]])</f>
        <v>0</v>
      </c>
      <c r="I99" s="90"/>
      <c r="J99" s="142" t="str">
        <f t="shared" si="1"/>
        <v>4.5.2026</v>
      </c>
      <c r="L99" s="153">
        <v>88</v>
      </c>
      <c r="M99" s="92"/>
    </row>
    <row r="100" spans="1:13" ht="21.6" x14ac:dyDescent="0.65">
      <c r="A100" s="195"/>
      <c r="B100" s="140">
        <v>97</v>
      </c>
      <c r="C100" s="2"/>
      <c r="D100" s="1"/>
      <c r="E100" s="3"/>
      <c r="F100" s="1"/>
      <c r="G100" s="141">
        <f>IF(Basic34567891011121314151617181920212223242526272829[[#This Row],[نوع الخدمة]]="مخالفات", 50,
IF(Basic34567891011121314151617181920212223242526272829[[#This Row],[نوع الخدمة]]="كاش ان",
    IF(F100&lt;=100, 18, IF(F100&lt;=250, 23, IF(F100&lt;=500, 35, IF(F100&lt;=1000, 40, F100*0.04)))),
IF(Basic34567891011121314151617181920212223242526272829[[#This Row],[نوع الخدمة]]="كاش اوت",
    IF(F100&lt;=100, 15, IF(F100&lt;=250, 20, IF(F100&lt;=500, 30, IF(F100&lt;=1000, 35, F100*0.035)))),
0)))</f>
        <v>0</v>
      </c>
      <c r="H100" s="159">
        <f>IF(I100="مخالفات",50,Basic34567891011121314151617181920212223242526272829[[#This Row],[قيمة الرسوم / العموله]]+Basic34567891011121314151617181920212223242526272829[[#This Row],[قيمة الشحنه]])</f>
        <v>0</v>
      </c>
      <c r="I100" s="90"/>
      <c r="J100" s="142" t="str">
        <f t="shared" si="1"/>
        <v>4.5.2026</v>
      </c>
      <c r="L100" s="153">
        <v>89</v>
      </c>
      <c r="M100" s="92"/>
    </row>
    <row r="101" spans="1:13" ht="21.6" x14ac:dyDescent="0.65">
      <c r="A101" s="195"/>
      <c r="B101" s="144">
        <v>98</v>
      </c>
      <c r="C101" s="2"/>
      <c r="D101" s="1"/>
      <c r="E101" s="3"/>
      <c r="F101" s="1"/>
      <c r="G101" s="141">
        <f>IF(Basic34567891011121314151617181920212223242526272829[[#This Row],[نوع الخدمة]]="مخالفات", 50,
IF(Basic34567891011121314151617181920212223242526272829[[#This Row],[نوع الخدمة]]="كاش ان",
    IF(F101&lt;=100, 18, IF(F101&lt;=250, 23, IF(F101&lt;=500, 35, IF(F101&lt;=1000, 40, F101*0.04)))),
IF(Basic34567891011121314151617181920212223242526272829[[#This Row],[نوع الخدمة]]="كاش اوت",
    IF(F101&lt;=100, 15, IF(F101&lt;=250, 20, IF(F101&lt;=500, 30, IF(F101&lt;=1000, 35, F101*0.035)))),
0)))</f>
        <v>0</v>
      </c>
      <c r="H101" s="159">
        <f>IF(I101="مخالفات",50,Basic34567891011121314151617181920212223242526272829[[#This Row],[قيمة الرسوم / العموله]]+Basic34567891011121314151617181920212223242526272829[[#This Row],[قيمة الشحنه]])</f>
        <v>0</v>
      </c>
      <c r="I101" s="90"/>
      <c r="J101" s="142" t="str">
        <f t="shared" si="1"/>
        <v>4.5.2026</v>
      </c>
      <c r="L101" s="153">
        <v>90</v>
      </c>
      <c r="M101" s="92"/>
    </row>
    <row r="102" spans="1:13" ht="21.6" x14ac:dyDescent="0.65">
      <c r="A102" s="195"/>
      <c r="B102" s="140">
        <v>99</v>
      </c>
      <c r="C102" s="2"/>
      <c r="D102" s="1"/>
      <c r="E102" s="3"/>
      <c r="F102" s="1"/>
      <c r="G102" s="141">
        <f>IF(Basic34567891011121314151617181920212223242526272829[[#This Row],[نوع الخدمة]]="مخالفات", 50,
IF(Basic34567891011121314151617181920212223242526272829[[#This Row],[نوع الخدمة]]="كاش ان",
    IF(F102&lt;=100, 18, IF(F102&lt;=250, 23, IF(F102&lt;=500, 35, IF(F102&lt;=1000, 40, F102*0.04)))),
IF(Basic34567891011121314151617181920212223242526272829[[#This Row],[نوع الخدمة]]="كاش اوت",
    IF(F102&lt;=100, 15, IF(F102&lt;=250, 20, IF(F102&lt;=500, 30, IF(F102&lt;=1000, 35, F102*0.035)))),
0)))</f>
        <v>0</v>
      </c>
      <c r="H102" s="159">
        <f>IF(I102="مخالفات",50,Basic34567891011121314151617181920212223242526272829[[#This Row],[قيمة الرسوم / العموله]]+Basic34567891011121314151617181920212223242526272829[[#This Row],[قيمة الشحنه]])</f>
        <v>0</v>
      </c>
      <c r="I102" s="90"/>
      <c r="J102" s="142" t="str">
        <f t="shared" si="1"/>
        <v>4.5.2026</v>
      </c>
      <c r="L102" s="153">
        <v>91</v>
      </c>
      <c r="M102" s="92"/>
    </row>
    <row r="103" spans="1:13" ht="21.6" x14ac:dyDescent="0.65">
      <c r="A103" s="195"/>
      <c r="B103" s="140">
        <v>100</v>
      </c>
      <c r="C103" s="2"/>
      <c r="D103" s="1"/>
      <c r="E103" s="3"/>
      <c r="F103" s="1"/>
      <c r="G103" s="141">
        <f>IF(Basic34567891011121314151617181920212223242526272829[[#This Row],[نوع الخدمة]]="مخالفات", 50,
IF(Basic34567891011121314151617181920212223242526272829[[#This Row],[نوع الخدمة]]="كاش ان",
    IF(F103&lt;=100, 18, IF(F103&lt;=250, 23, IF(F103&lt;=500, 35, IF(F103&lt;=1000, 40, F103*0.04)))),
IF(Basic34567891011121314151617181920212223242526272829[[#This Row],[نوع الخدمة]]="كاش اوت",
    IF(F103&lt;=100, 15, IF(F103&lt;=250, 20, IF(F103&lt;=500, 30, IF(F103&lt;=1000, 35, F103*0.035)))),
0)))</f>
        <v>0</v>
      </c>
      <c r="H103" s="159">
        <f>IF(I103="مخالفات",50,Basic34567891011121314151617181920212223242526272829[[#This Row],[قيمة الرسوم / العموله]]+Basic34567891011121314151617181920212223242526272829[[#This Row],[قيمة الشحنه]])</f>
        <v>0</v>
      </c>
      <c r="I103" s="90"/>
      <c r="J103" s="142" t="str">
        <f t="shared" si="1"/>
        <v>4.5.2026</v>
      </c>
      <c r="L103" s="153">
        <v>92</v>
      </c>
      <c r="M103" s="92"/>
    </row>
    <row r="104" spans="1:13" ht="21.6" x14ac:dyDescent="0.65">
      <c r="A104" s="195"/>
      <c r="B104" s="140">
        <v>101</v>
      </c>
      <c r="C104" s="2"/>
      <c r="D104" s="1"/>
      <c r="E104" s="3"/>
      <c r="F104" s="1"/>
      <c r="G104" s="141">
        <f>IF(Basic34567891011121314151617181920212223242526272829[[#This Row],[نوع الخدمة]]="مخالفات", 50,
IF(Basic34567891011121314151617181920212223242526272829[[#This Row],[نوع الخدمة]]="كاش ان",
    IF(F104&lt;=100, 18, IF(F104&lt;=250, 23, IF(F104&lt;=500, 35, IF(F104&lt;=1000, 40, F104*0.04)))),
IF(Basic34567891011121314151617181920212223242526272829[[#This Row],[نوع الخدمة]]="كاش اوت",
    IF(F104&lt;=100, 15, IF(F104&lt;=250, 20, IF(F104&lt;=500, 30, IF(F104&lt;=1000, 35, F104*0.035)))),
0)))</f>
        <v>0</v>
      </c>
      <c r="H104" s="159">
        <f>IF(I104="مخالفات",50,Basic34567891011121314151617181920212223242526272829[[#This Row],[قيمة الرسوم / العموله]]+Basic34567891011121314151617181920212223242526272829[[#This Row],[قيمة الشحنه]])</f>
        <v>0</v>
      </c>
      <c r="I104" s="90"/>
      <c r="J104" s="142" t="str">
        <f t="shared" si="1"/>
        <v>4.5.2026</v>
      </c>
      <c r="L104" s="153">
        <v>93</v>
      </c>
      <c r="M104" s="92"/>
    </row>
    <row r="105" spans="1:13" ht="21.6" x14ac:dyDescent="0.65">
      <c r="A105" s="195"/>
      <c r="B105" s="144">
        <v>102</v>
      </c>
      <c r="C105" s="2"/>
      <c r="D105" s="1"/>
      <c r="E105" s="3"/>
      <c r="F105" s="1"/>
      <c r="G105" s="141">
        <f>IF(Basic34567891011121314151617181920212223242526272829[[#This Row],[نوع الخدمة]]="مخالفات", 50,
IF(Basic34567891011121314151617181920212223242526272829[[#This Row],[نوع الخدمة]]="كاش ان",
    IF(F105&lt;=100, 18, IF(F105&lt;=250, 23, IF(F105&lt;=500, 35, IF(F105&lt;=1000, 40, F105*0.04)))),
IF(Basic34567891011121314151617181920212223242526272829[[#This Row],[نوع الخدمة]]="كاش اوت",
    IF(F105&lt;=100, 15, IF(F105&lt;=250, 20, IF(F105&lt;=500, 30, IF(F105&lt;=1000, 35, F105*0.035)))),
0)))</f>
        <v>0</v>
      </c>
      <c r="H105" s="159">
        <f>IF(I105="مخالفات",50,Basic34567891011121314151617181920212223242526272829[[#This Row],[قيمة الرسوم / العموله]]+Basic34567891011121314151617181920212223242526272829[[#This Row],[قيمة الشحنه]])</f>
        <v>0</v>
      </c>
      <c r="I105" s="90"/>
      <c r="J105" s="142" t="str">
        <f t="shared" si="1"/>
        <v>4.5.2026</v>
      </c>
      <c r="L105" s="153">
        <v>94</v>
      </c>
      <c r="M105" s="92"/>
    </row>
    <row r="106" spans="1:13" ht="21.6" x14ac:dyDescent="0.65">
      <c r="A106" s="195"/>
      <c r="B106" s="140">
        <v>103</v>
      </c>
      <c r="C106" s="2"/>
      <c r="D106" s="1"/>
      <c r="E106" s="3"/>
      <c r="F106" s="1"/>
      <c r="G106" s="141">
        <f>IF(Basic34567891011121314151617181920212223242526272829[[#This Row],[نوع الخدمة]]="مخالفات", 50,
IF(Basic34567891011121314151617181920212223242526272829[[#This Row],[نوع الخدمة]]="كاش ان",
    IF(F106&lt;=100, 18, IF(F106&lt;=250, 23, IF(F106&lt;=500, 35, IF(F106&lt;=1000, 40, F106*0.04)))),
IF(Basic34567891011121314151617181920212223242526272829[[#This Row],[نوع الخدمة]]="كاش اوت",
    IF(F106&lt;=100, 15, IF(F106&lt;=250, 20, IF(F106&lt;=500, 30, IF(F106&lt;=1000, 35, F106*0.035)))),
0)))</f>
        <v>0</v>
      </c>
      <c r="H106" s="159">
        <f>IF(I106="مخالفات",50,Basic34567891011121314151617181920212223242526272829[[#This Row],[قيمة الرسوم / العموله]]+Basic34567891011121314151617181920212223242526272829[[#This Row],[قيمة الشحنه]])</f>
        <v>0</v>
      </c>
      <c r="I106" s="90"/>
      <c r="J106" s="142" t="str">
        <f t="shared" si="1"/>
        <v>4.5.2026</v>
      </c>
      <c r="L106" s="153">
        <v>95</v>
      </c>
      <c r="M106" s="92"/>
    </row>
    <row r="107" spans="1:13" ht="21.6" x14ac:dyDescent="0.65">
      <c r="A107" s="195"/>
      <c r="B107" s="140">
        <v>104</v>
      </c>
      <c r="C107" s="2"/>
      <c r="D107" s="1"/>
      <c r="E107" s="3"/>
      <c r="F107" s="1"/>
      <c r="G107" s="141">
        <f>IF(Basic34567891011121314151617181920212223242526272829[[#This Row],[نوع الخدمة]]="مخالفات", 50,
IF(Basic34567891011121314151617181920212223242526272829[[#This Row],[نوع الخدمة]]="كاش ان",
    IF(F107&lt;=100, 18, IF(F107&lt;=250, 23, IF(F107&lt;=500, 35, IF(F107&lt;=1000, 40, F107*0.04)))),
IF(Basic34567891011121314151617181920212223242526272829[[#This Row],[نوع الخدمة]]="كاش اوت",
    IF(F107&lt;=100, 15, IF(F107&lt;=250, 20, IF(F107&lt;=500, 30, IF(F107&lt;=1000, 35, F107*0.035)))),
0)))</f>
        <v>0</v>
      </c>
      <c r="H107" s="159">
        <f>IF(I107="مخالفات",50,Basic34567891011121314151617181920212223242526272829[[#This Row],[قيمة الرسوم / العموله]]+Basic34567891011121314151617181920212223242526272829[[#This Row],[قيمة الشحنه]])</f>
        <v>0</v>
      </c>
      <c r="I107" s="90"/>
      <c r="J107" s="142" t="str">
        <f t="shared" si="1"/>
        <v>4.5.2026</v>
      </c>
      <c r="L107" s="153">
        <v>96</v>
      </c>
      <c r="M107" s="92"/>
    </row>
    <row r="108" spans="1:13" ht="21.6" x14ac:dyDescent="0.65">
      <c r="A108" s="195"/>
      <c r="B108" s="140">
        <v>105</v>
      </c>
      <c r="C108" s="2"/>
      <c r="D108" s="1"/>
      <c r="E108" s="3"/>
      <c r="F108" s="1"/>
      <c r="G108" s="141">
        <f>IF(Basic34567891011121314151617181920212223242526272829[[#This Row],[نوع الخدمة]]="مخالفات", 50,
IF(Basic34567891011121314151617181920212223242526272829[[#This Row],[نوع الخدمة]]="كاش ان",
    IF(F108&lt;=100, 18, IF(F108&lt;=250, 23, IF(F108&lt;=500, 35, IF(F108&lt;=1000, 40, F108*0.04)))),
IF(Basic34567891011121314151617181920212223242526272829[[#This Row],[نوع الخدمة]]="كاش اوت",
    IF(F108&lt;=100, 15, IF(F108&lt;=250, 20, IF(F108&lt;=500, 30, IF(F108&lt;=1000, 35, F108*0.035)))),
0)))</f>
        <v>0</v>
      </c>
      <c r="H108" s="159">
        <f>IF(I108="مخالفات",50,Basic34567891011121314151617181920212223242526272829[[#This Row],[قيمة الرسوم / العموله]]+Basic34567891011121314151617181920212223242526272829[[#This Row],[قيمة الشحنه]])</f>
        <v>0</v>
      </c>
      <c r="I108" s="90"/>
      <c r="J108" s="142" t="str">
        <f t="shared" si="1"/>
        <v>4.5.2026</v>
      </c>
      <c r="L108" s="153">
        <v>97</v>
      </c>
      <c r="M108" s="92"/>
    </row>
    <row r="109" spans="1:13" ht="21.6" x14ac:dyDescent="0.65">
      <c r="A109" s="195"/>
      <c r="B109" s="144">
        <v>106</v>
      </c>
      <c r="C109" s="2"/>
      <c r="D109" s="1"/>
      <c r="E109" s="3"/>
      <c r="F109" s="1"/>
      <c r="G109" s="141">
        <f>IF(Basic34567891011121314151617181920212223242526272829[[#This Row],[نوع الخدمة]]="مخالفات", 50,
IF(Basic34567891011121314151617181920212223242526272829[[#This Row],[نوع الخدمة]]="كاش ان",
    IF(F109&lt;=100, 18, IF(F109&lt;=250, 23, IF(F109&lt;=500, 35, IF(F109&lt;=1000, 40, F109*0.04)))),
IF(Basic34567891011121314151617181920212223242526272829[[#This Row],[نوع الخدمة]]="كاش اوت",
    IF(F109&lt;=100, 15, IF(F109&lt;=250, 20, IF(F109&lt;=500, 30, IF(F109&lt;=1000, 35, F109*0.035)))),
0)))</f>
        <v>0</v>
      </c>
      <c r="H109" s="159">
        <f>IF(I109="مخالفات",50,Basic34567891011121314151617181920212223242526272829[[#This Row],[قيمة الرسوم / العموله]]+Basic34567891011121314151617181920212223242526272829[[#This Row],[قيمة الشحنه]])</f>
        <v>0</v>
      </c>
      <c r="I109" s="90"/>
      <c r="J109" s="142" t="str">
        <f t="shared" si="1"/>
        <v>4.5.2026</v>
      </c>
      <c r="L109" s="153">
        <v>98</v>
      </c>
      <c r="M109" s="92"/>
    </row>
    <row r="110" spans="1:13" ht="21.6" x14ac:dyDescent="0.65">
      <c r="A110" s="195"/>
      <c r="B110" s="140">
        <v>107</v>
      </c>
      <c r="C110" s="2"/>
      <c r="D110" s="1"/>
      <c r="E110" s="3"/>
      <c r="F110" s="1"/>
      <c r="G110" s="141">
        <f>IF(Basic34567891011121314151617181920212223242526272829[[#This Row],[نوع الخدمة]]="مخالفات", 50,
IF(Basic34567891011121314151617181920212223242526272829[[#This Row],[نوع الخدمة]]="كاش ان",
    IF(F110&lt;=100, 18, IF(F110&lt;=250, 23, IF(F110&lt;=500, 35, IF(F110&lt;=1000, 40, F110*0.04)))),
IF(Basic34567891011121314151617181920212223242526272829[[#This Row],[نوع الخدمة]]="كاش اوت",
    IF(F110&lt;=100, 15, IF(F110&lt;=250, 20, IF(F110&lt;=500, 30, IF(F110&lt;=1000, 35, F110*0.035)))),
0)))</f>
        <v>0</v>
      </c>
      <c r="H110" s="159">
        <f>IF(I110="مخالفات",50,Basic34567891011121314151617181920212223242526272829[[#This Row],[قيمة الرسوم / العموله]]+Basic34567891011121314151617181920212223242526272829[[#This Row],[قيمة الشحنه]])</f>
        <v>0</v>
      </c>
      <c r="I110" s="90"/>
      <c r="J110" s="142" t="str">
        <f t="shared" si="1"/>
        <v>4.5.2026</v>
      </c>
      <c r="L110" s="153">
        <v>99</v>
      </c>
      <c r="M110" s="92"/>
    </row>
    <row r="111" spans="1:13" ht="21.6" x14ac:dyDescent="0.65">
      <c r="A111" s="195"/>
      <c r="B111" s="140">
        <v>108</v>
      </c>
      <c r="C111" s="2"/>
      <c r="D111" s="1"/>
      <c r="E111" s="3"/>
      <c r="F111" s="1"/>
      <c r="G111" s="141">
        <f>IF(Basic34567891011121314151617181920212223242526272829[[#This Row],[نوع الخدمة]]="مخالفات", 50,
IF(Basic34567891011121314151617181920212223242526272829[[#This Row],[نوع الخدمة]]="كاش ان",
    IF(F111&lt;=100, 18, IF(F111&lt;=250, 23, IF(F111&lt;=500, 35, IF(F111&lt;=1000, 40, F111*0.04)))),
IF(Basic34567891011121314151617181920212223242526272829[[#This Row],[نوع الخدمة]]="كاش اوت",
    IF(F111&lt;=100, 15, IF(F111&lt;=250, 20, IF(F111&lt;=500, 30, IF(F111&lt;=1000, 35, F111*0.035)))),
0)))</f>
        <v>0</v>
      </c>
      <c r="H111" s="159">
        <f>IF(I111="مخالفات",50,Basic34567891011121314151617181920212223242526272829[[#This Row],[قيمة الرسوم / العموله]]+Basic34567891011121314151617181920212223242526272829[[#This Row],[قيمة الشحنه]])</f>
        <v>0</v>
      </c>
      <c r="I111" s="90"/>
      <c r="J111" s="142" t="str">
        <f t="shared" si="1"/>
        <v>4.5.2026</v>
      </c>
      <c r="L111" s="153">
        <v>100</v>
      </c>
      <c r="M111" s="92"/>
    </row>
    <row r="112" spans="1:13" ht="21.6" x14ac:dyDescent="0.65">
      <c r="A112" s="195"/>
      <c r="B112" s="140">
        <v>109</v>
      </c>
      <c r="C112" s="2"/>
      <c r="D112" s="1"/>
      <c r="E112" s="3"/>
      <c r="F112" s="1"/>
      <c r="G112" s="141">
        <f>IF(Basic34567891011121314151617181920212223242526272829[[#This Row],[نوع الخدمة]]="مخالفات", 50,
IF(Basic34567891011121314151617181920212223242526272829[[#This Row],[نوع الخدمة]]="كاش ان",
    IF(F112&lt;=100, 18, IF(F112&lt;=250, 23, IF(F112&lt;=500, 35, IF(F112&lt;=1000, 40, F112*0.04)))),
IF(Basic34567891011121314151617181920212223242526272829[[#This Row],[نوع الخدمة]]="كاش اوت",
    IF(F112&lt;=100, 15, IF(F112&lt;=250, 20, IF(F112&lt;=500, 30, IF(F112&lt;=1000, 35, F112*0.035)))),
0)))</f>
        <v>0</v>
      </c>
      <c r="H112" s="159">
        <f>IF(I112="مخالفات",50,Basic34567891011121314151617181920212223242526272829[[#This Row],[قيمة الرسوم / العموله]]+Basic34567891011121314151617181920212223242526272829[[#This Row],[قيمة الشحنه]])</f>
        <v>0</v>
      </c>
      <c r="I112" s="90"/>
      <c r="J112" s="142" t="str">
        <f t="shared" si="1"/>
        <v>4.5.2026</v>
      </c>
      <c r="L112" s="153">
        <v>101</v>
      </c>
      <c r="M112" s="92"/>
    </row>
    <row r="113" spans="1:13" ht="21.6" x14ac:dyDescent="0.65">
      <c r="A113" s="195"/>
      <c r="B113" s="144">
        <v>110</v>
      </c>
      <c r="C113" s="2"/>
      <c r="D113" s="1"/>
      <c r="E113" s="3"/>
      <c r="F113" s="1"/>
      <c r="G113" s="141">
        <f>IF(Basic34567891011121314151617181920212223242526272829[[#This Row],[نوع الخدمة]]="مخالفات", 50,
IF(Basic34567891011121314151617181920212223242526272829[[#This Row],[نوع الخدمة]]="كاش ان",
    IF(F113&lt;=100, 18, IF(F113&lt;=250, 23, IF(F113&lt;=500, 35, IF(F113&lt;=1000, 40, F113*0.04)))),
IF(Basic34567891011121314151617181920212223242526272829[[#This Row],[نوع الخدمة]]="كاش اوت",
    IF(F113&lt;=100, 15, IF(F113&lt;=250, 20, IF(F113&lt;=500, 30, IF(F113&lt;=1000, 35, F113*0.035)))),
0)))</f>
        <v>0</v>
      </c>
      <c r="H113" s="159">
        <f>IF(I113="مخالفات",50,Basic34567891011121314151617181920212223242526272829[[#This Row],[قيمة الرسوم / العموله]]+Basic34567891011121314151617181920212223242526272829[[#This Row],[قيمة الشحنه]])</f>
        <v>0</v>
      </c>
      <c r="I113" s="90"/>
      <c r="J113" s="142" t="str">
        <f t="shared" si="1"/>
        <v>4.5.2026</v>
      </c>
      <c r="L113" s="153">
        <v>102</v>
      </c>
      <c r="M113" s="92"/>
    </row>
    <row r="114" spans="1:13" ht="21.6" x14ac:dyDescent="0.65">
      <c r="A114" s="195"/>
      <c r="B114" s="140">
        <v>111</v>
      </c>
      <c r="C114" s="2"/>
      <c r="D114" s="1"/>
      <c r="E114" s="3"/>
      <c r="F114" s="1"/>
      <c r="G114" s="141">
        <f>IF(Basic34567891011121314151617181920212223242526272829[[#This Row],[نوع الخدمة]]="مخالفات", 50,
IF(Basic34567891011121314151617181920212223242526272829[[#This Row],[نوع الخدمة]]="كاش ان",
    IF(F114&lt;=100, 18, IF(F114&lt;=250, 23, IF(F114&lt;=500, 35, IF(F114&lt;=1000, 40, F114*0.04)))),
IF(Basic34567891011121314151617181920212223242526272829[[#This Row],[نوع الخدمة]]="كاش اوت",
    IF(F114&lt;=100, 15, IF(F114&lt;=250, 20, IF(F114&lt;=500, 30, IF(F114&lt;=1000, 35, F114*0.035)))),
0)))</f>
        <v>0</v>
      </c>
      <c r="H114" s="159">
        <f>IF(I114="مخالفات",50,Basic34567891011121314151617181920212223242526272829[[#This Row],[قيمة الرسوم / العموله]]+Basic34567891011121314151617181920212223242526272829[[#This Row],[قيمة الشحنه]])</f>
        <v>0</v>
      </c>
      <c r="I114" s="90"/>
      <c r="J114" s="142" t="str">
        <f t="shared" si="1"/>
        <v>4.5.2026</v>
      </c>
      <c r="L114" s="153">
        <v>103</v>
      </c>
      <c r="M114" s="92"/>
    </row>
    <row r="115" spans="1:13" ht="21.6" x14ac:dyDescent="0.65">
      <c r="A115" s="195"/>
      <c r="B115" s="140">
        <v>112</v>
      </c>
      <c r="C115" s="2"/>
      <c r="D115" s="1"/>
      <c r="E115" s="3"/>
      <c r="F115" s="1"/>
      <c r="G115" s="141">
        <f>IF(Basic34567891011121314151617181920212223242526272829[[#This Row],[نوع الخدمة]]="مخالفات", 50,
IF(Basic34567891011121314151617181920212223242526272829[[#This Row],[نوع الخدمة]]="كاش ان",
    IF(F115&lt;=100, 18, IF(F115&lt;=250, 23, IF(F115&lt;=500, 35, IF(F115&lt;=1000, 40, F115*0.04)))),
IF(Basic34567891011121314151617181920212223242526272829[[#This Row],[نوع الخدمة]]="كاش اوت",
    IF(F115&lt;=100, 15, IF(F115&lt;=250, 20, IF(F115&lt;=500, 30, IF(F115&lt;=1000, 35, F115*0.035)))),
0)))</f>
        <v>0</v>
      </c>
      <c r="H115" s="159">
        <f>IF(I115="مخالفات",50,Basic34567891011121314151617181920212223242526272829[[#This Row],[قيمة الرسوم / العموله]]+Basic34567891011121314151617181920212223242526272829[[#This Row],[قيمة الشحنه]])</f>
        <v>0</v>
      </c>
      <c r="I115" s="90"/>
      <c r="J115" s="142" t="str">
        <f t="shared" si="1"/>
        <v>4.5.2026</v>
      </c>
      <c r="L115" s="153">
        <v>104</v>
      </c>
      <c r="M115" s="92"/>
    </row>
    <row r="116" spans="1:13" ht="21.6" x14ac:dyDescent="0.65">
      <c r="A116" s="195"/>
      <c r="B116" s="140">
        <v>113</v>
      </c>
      <c r="C116" s="2"/>
      <c r="D116" s="1"/>
      <c r="E116" s="3"/>
      <c r="F116" s="1"/>
      <c r="G116" s="141">
        <f>IF(Basic34567891011121314151617181920212223242526272829[[#This Row],[نوع الخدمة]]="مخالفات", 50,
IF(Basic34567891011121314151617181920212223242526272829[[#This Row],[نوع الخدمة]]="كاش ان",
    IF(F116&lt;=100, 18, IF(F116&lt;=250, 23, IF(F116&lt;=500, 35, IF(F116&lt;=1000, 40, F116*0.04)))),
IF(Basic34567891011121314151617181920212223242526272829[[#This Row],[نوع الخدمة]]="كاش اوت",
    IF(F116&lt;=100, 15, IF(F116&lt;=250, 20, IF(F116&lt;=500, 30, IF(F116&lt;=1000, 35, F116*0.035)))),
0)))</f>
        <v>0</v>
      </c>
      <c r="H116" s="159">
        <f>IF(I116="مخالفات",50,Basic34567891011121314151617181920212223242526272829[[#This Row],[قيمة الرسوم / العموله]]+Basic34567891011121314151617181920212223242526272829[[#This Row],[قيمة الشحنه]])</f>
        <v>0</v>
      </c>
      <c r="I116" s="90"/>
      <c r="J116" s="142" t="str">
        <f t="shared" si="1"/>
        <v>4.5.2026</v>
      </c>
      <c r="L116" s="153">
        <v>105</v>
      </c>
      <c r="M116" s="92"/>
    </row>
    <row r="117" spans="1:13" ht="21.6" x14ac:dyDescent="0.65">
      <c r="A117" s="195"/>
      <c r="B117" s="144">
        <v>114</v>
      </c>
      <c r="C117" s="2"/>
      <c r="D117" s="1"/>
      <c r="E117" s="3"/>
      <c r="F117" s="1"/>
      <c r="G117" s="141">
        <f>IF(Basic34567891011121314151617181920212223242526272829[[#This Row],[نوع الخدمة]]="مخالفات", 50,
IF(Basic34567891011121314151617181920212223242526272829[[#This Row],[نوع الخدمة]]="كاش ان",
    IF(F117&lt;=100, 18, IF(F117&lt;=250, 23, IF(F117&lt;=500, 35, IF(F117&lt;=1000, 40, F117*0.04)))),
IF(Basic34567891011121314151617181920212223242526272829[[#This Row],[نوع الخدمة]]="كاش اوت",
    IF(F117&lt;=100, 15, IF(F117&lt;=250, 20, IF(F117&lt;=500, 30, IF(F117&lt;=1000, 35, F117*0.035)))),
0)))</f>
        <v>0</v>
      </c>
      <c r="H117" s="159">
        <f>IF(I117="مخالفات",50,Basic34567891011121314151617181920212223242526272829[[#This Row],[قيمة الرسوم / العموله]]+Basic34567891011121314151617181920212223242526272829[[#This Row],[قيمة الشحنه]])</f>
        <v>0</v>
      </c>
      <c r="I117" s="90"/>
      <c r="J117" s="142" t="str">
        <f t="shared" si="1"/>
        <v>4.5.2026</v>
      </c>
      <c r="L117" s="153">
        <v>106</v>
      </c>
      <c r="M117" s="92"/>
    </row>
    <row r="118" spans="1:13" ht="21.6" x14ac:dyDescent="0.65">
      <c r="A118" s="195"/>
      <c r="B118" s="140">
        <v>115</v>
      </c>
      <c r="C118" s="2"/>
      <c r="D118" s="1"/>
      <c r="E118" s="3"/>
      <c r="F118" s="1"/>
      <c r="G118" s="141">
        <f>IF(Basic34567891011121314151617181920212223242526272829[[#This Row],[نوع الخدمة]]="مخالفات", 50,
IF(Basic34567891011121314151617181920212223242526272829[[#This Row],[نوع الخدمة]]="كاش ان",
    IF(F118&lt;=100, 18, IF(F118&lt;=250, 23, IF(F118&lt;=500, 35, IF(F118&lt;=1000, 40, F118*0.04)))),
IF(Basic34567891011121314151617181920212223242526272829[[#This Row],[نوع الخدمة]]="كاش اوت",
    IF(F118&lt;=100, 15, IF(F118&lt;=250, 20, IF(F118&lt;=500, 30, IF(F118&lt;=1000, 35, F118*0.035)))),
0)))</f>
        <v>0</v>
      </c>
      <c r="H118" s="159">
        <f>IF(I118="مخالفات",50,Basic34567891011121314151617181920212223242526272829[[#This Row],[قيمة الرسوم / العموله]]+Basic34567891011121314151617181920212223242526272829[[#This Row],[قيمة الشحنه]])</f>
        <v>0</v>
      </c>
      <c r="I118" s="90"/>
      <c r="J118" s="142" t="str">
        <f t="shared" si="1"/>
        <v>4.5.2026</v>
      </c>
      <c r="L118" s="153">
        <v>107</v>
      </c>
      <c r="M118" s="92"/>
    </row>
    <row r="119" spans="1:13" ht="21.6" x14ac:dyDescent="0.65">
      <c r="A119" s="195"/>
      <c r="B119" s="140">
        <v>116</v>
      </c>
      <c r="C119" s="2"/>
      <c r="D119" s="1"/>
      <c r="E119" s="3"/>
      <c r="F119" s="1"/>
      <c r="G119" s="141">
        <f>IF(Basic34567891011121314151617181920212223242526272829[[#This Row],[نوع الخدمة]]="مخالفات", 50,
IF(Basic34567891011121314151617181920212223242526272829[[#This Row],[نوع الخدمة]]="كاش ان",
    IF(F119&lt;=100, 18, IF(F119&lt;=250, 23, IF(F119&lt;=500, 35, IF(F119&lt;=1000, 40, F119*0.04)))),
IF(Basic34567891011121314151617181920212223242526272829[[#This Row],[نوع الخدمة]]="كاش اوت",
    IF(F119&lt;=100, 15, IF(F119&lt;=250, 20, IF(F119&lt;=500, 30, IF(F119&lt;=1000, 35, F119*0.035)))),
0)))</f>
        <v>0</v>
      </c>
      <c r="H119" s="159">
        <f>IF(I119="مخالفات",50,Basic34567891011121314151617181920212223242526272829[[#This Row],[قيمة الرسوم / العموله]]+Basic34567891011121314151617181920212223242526272829[[#This Row],[قيمة الشحنه]])</f>
        <v>0</v>
      </c>
      <c r="I119" s="90"/>
      <c r="J119" s="142" t="str">
        <f t="shared" si="1"/>
        <v>4.5.2026</v>
      </c>
      <c r="L119" s="153">
        <v>108</v>
      </c>
      <c r="M119" s="92"/>
    </row>
    <row r="120" spans="1:13" ht="21.6" x14ac:dyDescent="0.65">
      <c r="A120" s="195"/>
      <c r="B120" s="140">
        <v>117</v>
      </c>
      <c r="C120" s="2"/>
      <c r="D120" s="1"/>
      <c r="E120" s="3"/>
      <c r="F120" s="1"/>
      <c r="G120" s="141">
        <f>IF(Basic34567891011121314151617181920212223242526272829[[#This Row],[نوع الخدمة]]="مخالفات", 50,
IF(Basic34567891011121314151617181920212223242526272829[[#This Row],[نوع الخدمة]]="كاش ان",
    IF(F120&lt;=100, 18, IF(F120&lt;=250, 23, IF(F120&lt;=500, 35, IF(F120&lt;=1000, 40, F120*0.04)))),
IF(Basic34567891011121314151617181920212223242526272829[[#This Row],[نوع الخدمة]]="كاش اوت",
    IF(F120&lt;=100, 15, IF(F120&lt;=250, 20, IF(F120&lt;=500, 30, IF(F120&lt;=1000, 35, F120*0.035)))),
0)))</f>
        <v>0</v>
      </c>
      <c r="H120" s="159">
        <f>IF(I120="مخالفات",50,Basic34567891011121314151617181920212223242526272829[[#This Row],[قيمة الرسوم / العموله]]+Basic34567891011121314151617181920212223242526272829[[#This Row],[قيمة الشحنه]])</f>
        <v>0</v>
      </c>
      <c r="I120" s="90"/>
      <c r="J120" s="142" t="str">
        <f t="shared" si="1"/>
        <v>4.5.2026</v>
      </c>
      <c r="L120" s="153">
        <v>109</v>
      </c>
      <c r="M120" s="92"/>
    </row>
    <row r="121" spans="1:13" ht="21.6" x14ac:dyDescent="0.65">
      <c r="A121" s="195"/>
      <c r="B121" s="144">
        <v>118</v>
      </c>
      <c r="C121" s="2"/>
      <c r="D121" s="1"/>
      <c r="E121" s="3"/>
      <c r="F121" s="1"/>
      <c r="G121" s="141">
        <f>IF(Basic34567891011121314151617181920212223242526272829[[#This Row],[نوع الخدمة]]="مخالفات", 50,
IF(Basic34567891011121314151617181920212223242526272829[[#This Row],[نوع الخدمة]]="كاش ان",
    IF(F121&lt;=100, 18, IF(F121&lt;=250, 23, IF(F121&lt;=500, 35, IF(F121&lt;=1000, 40, F121*0.04)))),
IF(Basic34567891011121314151617181920212223242526272829[[#This Row],[نوع الخدمة]]="كاش اوت",
    IF(F121&lt;=100, 15, IF(F121&lt;=250, 20, IF(F121&lt;=500, 30, IF(F121&lt;=1000, 35, F121*0.035)))),
0)))</f>
        <v>0</v>
      </c>
      <c r="H121" s="159">
        <f>IF(I121="مخالفات",50,Basic34567891011121314151617181920212223242526272829[[#This Row],[قيمة الرسوم / العموله]]+Basic34567891011121314151617181920212223242526272829[[#This Row],[قيمة الشحنه]])</f>
        <v>0</v>
      </c>
      <c r="I121" s="90"/>
      <c r="J121" s="142" t="str">
        <f t="shared" si="1"/>
        <v>4.5.2026</v>
      </c>
      <c r="L121" s="153">
        <v>110</v>
      </c>
      <c r="M121" s="92"/>
    </row>
    <row r="122" spans="1:13" ht="21.6" x14ac:dyDescent="0.65">
      <c r="A122" s="195"/>
      <c r="B122" s="140">
        <v>119</v>
      </c>
      <c r="C122" s="2"/>
      <c r="D122" s="1"/>
      <c r="E122" s="3"/>
      <c r="F122" s="1"/>
      <c r="G122" s="141">
        <f>IF(Basic34567891011121314151617181920212223242526272829[[#This Row],[نوع الخدمة]]="مخالفات", 50,
IF(Basic34567891011121314151617181920212223242526272829[[#This Row],[نوع الخدمة]]="كاش ان",
    IF(F122&lt;=100, 18, IF(F122&lt;=250, 23, IF(F122&lt;=500, 35, IF(F122&lt;=1000, 40, F122*0.04)))),
IF(Basic34567891011121314151617181920212223242526272829[[#This Row],[نوع الخدمة]]="كاش اوت",
    IF(F122&lt;=100, 15, IF(F122&lt;=250, 20, IF(F122&lt;=500, 30, IF(F122&lt;=1000, 35, F122*0.035)))),
0)))</f>
        <v>0</v>
      </c>
      <c r="H122" s="159">
        <f>IF(I122="مخالفات",50,Basic34567891011121314151617181920212223242526272829[[#This Row],[قيمة الرسوم / العموله]]+Basic34567891011121314151617181920212223242526272829[[#This Row],[قيمة الشحنه]])</f>
        <v>0</v>
      </c>
      <c r="I122" s="90"/>
      <c r="J122" s="142" t="str">
        <f t="shared" si="1"/>
        <v>4.5.2026</v>
      </c>
      <c r="L122" s="153">
        <v>111</v>
      </c>
      <c r="M122" s="92"/>
    </row>
    <row r="123" spans="1:13" ht="21.6" x14ac:dyDescent="0.65">
      <c r="A123" s="195"/>
      <c r="B123" s="140">
        <v>120</v>
      </c>
      <c r="C123" s="2"/>
      <c r="D123" s="1"/>
      <c r="E123" s="3"/>
      <c r="F123" s="1"/>
      <c r="G123" s="141">
        <f>IF(Basic34567891011121314151617181920212223242526272829[[#This Row],[نوع الخدمة]]="مخالفات", 50,
IF(Basic34567891011121314151617181920212223242526272829[[#This Row],[نوع الخدمة]]="كاش ان",
    IF(F123&lt;=100, 18, IF(F123&lt;=250, 23, IF(F123&lt;=500, 35, IF(F123&lt;=1000, 40, F123*0.04)))),
IF(Basic34567891011121314151617181920212223242526272829[[#This Row],[نوع الخدمة]]="كاش اوت",
    IF(F123&lt;=100, 15, IF(F123&lt;=250, 20, IF(F123&lt;=500, 30, IF(F123&lt;=1000, 35, F123*0.035)))),
0)))</f>
        <v>0</v>
      </c>
      <c r="H123" s="159">
        <f>IF(I123="مخالفات",50,Basic34567891011121314151617181920212223242526272829[[#This Row],[قيمة الرسوم / العموله]]+Basic34567891011121314151617181920212223242526272829[[#This Row],[قيمة الشحنه]])</f>
        <v>0</v>
      </c>
      <c r="I123" s="90"/>
      <c r="J123" s="142" t="str">
        <f t="shared" si="1"/>
        <v>4.5.2026</v>
      </c>
      <c r="L123" s="153">
        <v>112</v>
      </c>
      <c r="M123" s="92"/>
    </row>
    <row r="124" spans="1:13" ht="21.6" x14ac:dyDescent="0.65">
      <c r="A124" s="195"/>
      <c r="B124" s="140">
        <v>121</v>
      </c>
      <c r="C124" s="2"/>
      <c r="D124" s="1"/>
      <c r="E124" s="3"/>
      <c r="F124" s="1"/>
      <c r="G124" s="141">
        <f>IF(Basic34567891011121314151617181920212223242526272829[[#This Row],[نوع الخدمة]]="مخالفات", 50,
IF(Basic34567891011121314151617181920212223242526272829[[#This Row],[نوع الخدمة]]="كاش ان",
    IF(F124&lt;=100, 18, IF(F124&lt;=250, 23, IF(F124&lt;=500, 35, IF(F124&lt;=1000, 40, F124*0.04)))),
IF(Basic34567891011121314151617181920212223242526272829[[#This Row],[نوع الخدمة]]="كاش اوت",
    IF(F124&lt;=100, 15, IF(F124&lt;=250, 20, IF(F124&lt;=500, 30, IF(F124&lt;=1000, 35, F124*0.035)))),
0)))</f>
        <v>0</v>
      </c>
      <c r="H124" s="159">
        <f>IF(I124="مخالفات",50,Basic34567891011121314151617181920212223242526272829[[#This Row],[قيمة الرسوم / العموله]]+Basic34567891011121314151617181920212223242526272829[[#This Row],[قيمة الشحنه]])</f>
        <v>0</v>
      </c>
      <c r="I124" s="90"/>
      <c r="J124" s="142" t="str">
        <f t="shared" si="1"/>
        <v>4.5.2026</v>
      </c>
      <c r="L124" s="153">
        <v>113</v>
      </c>
      <c r="M124" s="92"/>
    </row>
    <row r="125" spans="1:13" ht="21.6" x14ac:dyDescent="0.65">
      <c r="A125" s="195"/>
      <c r="B125" s="144">
        <v>122</v>
      </c>
      <c r="C125" s="2"/>
      <c r="D125" s="1"/>
      <c r="E125" s="3"/>
      <c r="F125" s="1"/>
      <c r="G125" s="141">
        <f>IF(Basic34567891011121314151617181920212223242526272829[[#This Row],[نوع الخدمة]]="مخالفات", 50,
IF(Basic34567891011121314151617181920212223242526272829[[#This Row],[نوع الخدمة]]="كاش ان",
    IF(F125&lt;=100, 18, IF(F125&lt;=250, 23, IF(F125&lt;=500, 35, IF(F125&lt;=1000, 40, F125*0.04)))),
IF(Basic34567891011121314151617181920212223242526272829[[#This Row],[نوع الخدمة]]="كاش اوت",
    IF(F125&lt;=100, 15, IF(F125&lt;=250, 20, IF(F125&lt;=500, 30, IF(F125&lt;=1000, 35, F125*0.035)))),
0)))</f>
        <v>0</v>
      </c>
      <c r="H125" s="159">
        <f>IF(I125="مخالفات",50,Basic34567891011121314151617181920212223242526272829[[#This Row],[قيمة الرسوم / العموله]]+Basic34567891011121314151617181920212223242526272829[[#This Row],[قيمة الشحنه]])</f>
        <v>0</v>
      </c>
      <c r="I125" s="90"/>
      <c r="J125" s="142" t="str">
        <f t="shared" si="1"/>
        <v>4.5.2026</v>
      </c>
      <c r="L125" s="153">
        <v>114</v>
      </c>
      <c r="M125" s="92"/>
    </row>
    <row r="126" spans="1:13" ht="21.6" x14ac:dyDescent="0.65">
      <c r="A126" s="195"/>
      <c r="B126" s="140">
        <v>123</v>
      </c>
      <c r="C126" s="2"/>
      <c r="D126" s="1"/>
      <c r="E126" s="3"/>
      <c r="F126" s="1"/>
      <c r="G126" s="141">
        <f>IF(Basic34567891011121314151617181920212223242526272829[[#This Row],[نوع الخدمة]]="مخالفات", 50,
IF(Basic34567891011121314151617181920212223242526272829[[#This Row],[نوع الخدمة]]="كاش ان",
    IF(F126&lt;=100, 18, IF(F126&lt;=250, 23, IF(F126&lt;=500, 35, IF(F126&lt;=1000, 40, F126*0.04)))),
IF(Basic34567891011121314151617181920212223242526272829[[#This Row],[نوع الخدمة]]="كاش اوت",
    IF(F126&lt;=100, 15, IF(F126&lt;=250, 20, IF(F126&lt;=500, 30, IF(F126&lt;=1000, 35, F126*0.035)))),
0)))</f>
        <v>0</v>
      </c>
      <c r="H126" s="159">
        <f>IF(I126="مخالفات",50,Basic34567891011121314151617181920212223242526272829[[#This Row],[قيمة الرسوم / العموله]]+Basic34567891011121314151617181920212223242526272829[[#This Row],[قيمة الشحنه]])</f>
        <v>0</v>
      </c>
      <c r="I126" s="90"/>
      <c r="J126" s="142" t="str">
        <f t="shared" si="1"/>
        <v>4.5.2026</v>
      </c>
      <c r="L126" s="153">
        <v>115</v>
      </c>
      <c r="M126" s="92"/>
    </row>
    <row r="127" spans="1:13" ht="21.6" x14ac:dyDescent="0.65">
      <c r="A127" s="195"/>
      <c r="B127" s="140">
        <v>124</v>
      </c>
      <c r="C127" s="2"/>
      <c r="D127" s="1"/>
      <c r="E127" s="3"/>
      <c r="F127" s="1"/>
      <c r="G127" s="141">
        <f>IF(Basic34567891011121314151617181920212223242526272829[[#This Row],[نوع الخدمة]]="مخالفات", 50,
IF(Basic34567891011121314151617181920212223242526272829[[#This Row],[نوع الخدمة]]="كاش ان",
    IF(F127&lt;=100, 18, IF(F127&lt;=250, 23, IF(F127&lt;=500, 35, IF(F127&lt;=1000, 40, F127*0.04)))),
IF(Basic34567891011121314151617181920212223242526272829[[#This Row],[نوع الخدمة]]="كاش اوت",
    IF(F127&lt;=100, 15, IF(F127&lt;=250, 20, IF(F127&lt;=500, 30, IF(F127&lt;=1000, 35, F127*0.035)))),
0)))</f>
        <v>0</v>
      </c>
      <c r="H127" s="159">
        <f>IF(I127="مخالفات",50,Basic34567891011121314151617181920212223242526272829[[#This Row],[قيمة الرسوم / العموله]]+Basic34567891011121314151617181920212223242526272829[[#This Row],[قيمة الشحنه]])</f>
        <v>0</v>
      </c>
      <c r="I127" s="90"/>
      <c r="J127" s="142" t="str">
        <f t="shared" si="1"/>
        <v>4.5.2026</v>
      </c>
      <c r="L127" s="153">
        <v>116</v>
      </c>
      <c r="M127" s="92"/>
    </row>
    <row r="128" spans="1:13" ht="21.6" x14ac:dyDescent="0.65">
      <c r="A128" s="195"/>
      <c r="B128" s="140">
        <v>125</v>
      </c>
      <c r="C128" s="2"/>
      <c r="D128" s="1"/>
      <c r="E128" s="3"/>
      <c r="F128" s="1"/>
      <c r="G128" s="141">
        <f>IF(Basic34567891011121314151617181920212223242526272829[[#This Row],[نوع الخدمة]]="مخالفات", 50,
IF(Basic34567891011121314151617181920212223242526272829[[#This Row],[نوع الخدمة]]="كاش ان",
    IF(F128&lt;=100, 18, IF(F128&lt;=250, 23, IF(F128&lt;=500, 35, IF(F128&lt;=1000, 40, F128*0.04)))),
IF(Basic34567891011121314151617181920212223242526272829[[#This Row],[نوع الخدمة]]="كاش اوت",
    IF(F128&lt;=100, 15, IF(F128&lt;=250, 20, IF(F128&lt;=500, 30, IF(F128&lt;=1000, 35, F128*0.035)))),
0)))</f>
        <v>0</v>
      </c>
      <c r="H128" s="159">
        <f>IF(I128="مخالفات",50,Basic34567891011121314151617181920212223242526272829[[#This Row],[قيمة الرسوم / العموله]]+Basic34567891011121314151617181920212223242526272829[[#This Row],[قيمة الشحنه]])</f>
        <v>0</v>
      </c>
      <c r="I128" s="90"/>
      <c r="J128" s="142" t="str">
        <f t="shared" si="1"/>
        <v>4.5.2026</v>
      </c>
      <c r="L128" s="153">
        <v>117</v>
      </c>
      <c r="M128" s="92"/>
    </row>
    <row r="129" spans="1:13" ht="21.6" x14ac:dyDescent="0.65">
      <c r="A129" s="195"/>
      <c r="B129" s="144">
        <v>126</v>
      </c>
      <c r="C129" s="2"/>
      <c r="D129" s="1"/>
      <c r="E129" s="3"/>
      <c r="F129" s="1"/>
      <c r="G129" s="141">
        <f>IF(Basic34567891011121314151617181920212223242526272829[[#This Row],[نوع الخدمة]]="مخالفات", 50,
IF(Basic34567891011121314151617181920212223242526272829[[#This Row],[نوع الخدمة]]="كاش ان",
    IF(F129&lt;=100, 18, IF(F129&lt;=250, 23, IF(F129&lt;=500, 35, IF(F129&lt;=1000, 40, F129*0.04)))),
IF(Basic34567891011121314151617181920212223242526272829[[#This Row],[نوع الخدمة]]="كاش اوت",
    IF(F129&lt;=100, 15, IF(F129&lt;=250, 20, IF(F129&lt;=500, 30, IF(F129&lt;=1000, 35, F129*0.035)))),
0)))</f>
        <v>0</v>
      </c>
      <c r="H129" s="159">
        <f>IF(I129="مخالفات",50,Basic34567891011121314151617181920212223242526272829[[#This Row],[قيمة الرسوم / العموله]]+Basic34567891011121314151617181920212223242526272829[[#This Row],[قيمة الشحنه]])</f>
        <v>0</v>
      </c>
      <c r="I129" s="90"/>
      <c r="J129" s="142" t="str">
        <f t="shared" si="1"/>
        <v>4.5.2026</v>
      </c>
      <c r="L129" s="153">
        <v>118</v>
      </c>
      <c r="M129" s="92"/>
    </row>
    <row r="130" spans="1:13" ht="21.6" x14ac:dyDescent="0.65">
      <c r="A130" s="195"/>
      <c r="B130" s="140">
        <v>127</v>
      </c>
      <c r="C130" s="2"/>
      <c r="D130" s="1"/>
      <c r="E130" s="3"/>
      <c r="F130" s="1"/>
      <c r="G130" s="141">
        <f>IF(Basic34567891011121314151617181920212223242526272829[[#This Row],[نوع الخدمة]]="مخالفات", 50,
IF(Basic34567891011121314151617181920212223242526272829[[#This Row],[نوع الخدمة]]="كاش ان",
    IF(F130&lt;=100, 18, IF(F130&lt;=250, 23, IF(F130&lt;=500, 35, IF(F130&lt;=1000, 40, F130*0.04)))),
IF(Basic34567891011121314151617181920212223242526272829[[#This Row],[نوع الخدمة]]="كاش اوت",
    IF(F130&lt;=100, 15, IF(F130&lt;=250, 20, IF(F130&lt;=500, 30, IF(F130&lt;=1000, 35, F130*0.035)))),
0)))</f>
        <v>0</v>
      </c>
      <c r="H130" s="159">
        <f>IF(I130="مخالفات",50,Basic34567891011121314151617181920212223242526272829[[#This Row],[قيمة الرسوم / العموله]]+Basic34567891011121314151617181920212223242526272829[[#This Row],[قيمة الشحنه]])</f>
        <v>0</v>
      </c>
      <c r="I130" s="90"/>
      <c r="J130" s="142" t="str">
        <f t="shared" si="1"/>
        <v>4.5.2026</v>
      </c>
      <c r="L130" s="153">
        <v>119</v>
      </c>
      <c r="M130" s="92"/>
    </row>
    <row r="131" spans="1:13" ht="21.6" x14ac:dyDescent="0.65">
      <c r="A131" s="195"/>
      <c r="B131" s="140">
        <v>128</v>
      </c>
      <c r="C131" s="2"/>
      <c r="D131" s="1"/>
      <c r="E131" s="3"/>
      <c r="F131" s="1"/>
      <c r="G131" s="141">
        <f>IF(Basic34567891011121314151617181920212223242526272829[[#This Row],[نوع الخدمة]]="مخالفات", 50,
IF(Basic34567891011121314151617181920212223242526272829[[#This Row],[نوع الخدمة]]="كاش ان",
    IF(F131&lt;=100, 18, IF(F131&lt;=250, 23, IF(F131&lt;=500, 35, IF(F131&lt;=1000, 40, F131*0.04)))),
IF(Basic34567891011121314151617181920212223242526272829[[#This Row],[نوع الخدمة]]="كاش اوت",
    IF(F131&lt;=100, 15, IF(F131&lt;=250, 20, IF(F131&lt;=500, 30, IF(F131&lt;=1000, 35, F131*0.035)))),
0)))</f>
        <v>0</v>
      </c>
      <c r="H131" s="159">
        <f>IF(I131="مخالفات",50,Basic34567891011121314151617181920212223242526272829[[#This Row],[قيمة الرسوم / العموله]]+Basic34567891011121314151617181920212223242526272829[[#This Row],[قيمة الشحنه]])</f>
        <v>0</v>
      </c>
      <c r="I131" s="90"/>
      <c r="J131" s="142" t="str">
        <f t="shared" si="1"/>
        <v>4.5.2026</v>
      </c>
      <c r="L131" s="153">
        <v>120</v>
      </c>
      <c r="M131" s="92"/>
    </row>
    <row r="132" spans="1:13" ht="21.6" x14ac:dyDescent="0.65">
      <c r="A132" s="195"/>
      <c r="B132" s="140">
        <v>129</v>
      </c>
      <c r="C132" s="2"/>
      <c r="D132" s="1"/>
      <c r="E132" s="3"/>
      <c r="F132" s="1"/>
      <c r="G132" s="141">
        <f>IF(Basic34567891011121314151617181920212223242526272829[[#This Row],[نوع الخدمة]]="مخالفات", 50,
IF(Basic34567891011121314151617181920212223242526272829[[#This Row],[نوع الخدمة]]="كاش ان",
    IF(F132&lt;=100, 18, IF(F132&lt;=250, 23, IF(F132&lt;=500, 35, IF(F132&lt;=1000, 40, F132*0.04)))),
IF(Basic34567891011121314151617181920212223242526272829[[#This Row],[نوع الخدمة]]="كاش اوت",
    IF(F132&lt;=100, 15, IF(F132&lt;=250, 20, IF(F132&lt;=500, 30, IF(F132&lt;=1000, 35, F132*0.035)))),
0)))</f>
        <v>0</v>
      </c>
      <c r="H132" s="159">
        <f>IF(I132="مخالفات",50,Basic34567891011121314151617181920212223242526272829[[#This Row],[قيمة الرسوم / العموله]]+Basic34567891011121314151617181920212223242526272829[[#This Row],[قيمة الشحنه]])</f>
        <v>0</v>
      </c>
      <c r="I132" s="90"/>
      <c r="J132" s="142" t="str">
        <f t="shared" ref="J132:J195" si="2">M$3</f>
        <v>4.5.2026</v>
      </c>
      <c r="L132" s="153">
        <v>121</v>
      </c>
      <c r="M132" s="92"/>
    </row>
    <row r="133" spans="1:13" ht="21.6" x14ac:dyDescent="0.65">
      <c r="A133" s="195"/>
      <c r="B133" s="144">
        <v>130</v>
      </c>
      <c r="C133" s="2"/>
      <c r="D133" s="1"/>
      <c r="E133" s="3"/>
      <c r="F133" s="1"/>
      <c r="G133" s="141">
        <f>IF(Basic34567891011121314151617181920212223242526272829[[#This Row],[نوع الخدمة]]="مخالفات", 50,
IF(Basic34567891011121314151617181920212223242526272829[[#This Row],[نوع الخدمة]]="كاش ان",
    IF(F133&lt;=100, 18, IF(F133&lt;=250, 23, IF(F133&lt;=500, 35, IF(F133&lt;=1000, 40, F133*0.04)))),
IF(Basic34567891011121314151617181920212223242526272829[[#This Row],[نوع الخدمة]]="كاش اوت",
    IF(F133&lt;=100, 15, IF(F133&lt;=250, 20, IF(F133&lt;=500, 30, IF(F133&lt;=1000, 35, F133*0.035)))),
0)))</f>
        <v>0</v>
      </c>
      <c r="H133" s="159">
        <f>IF(I133="مخالفات",50,Basic34567891011121314151617181920212223242526272829[[#This Row],[قيمة الرسوم / العموله]]+Basic34567891011121314151617181920212223242526272829[[#This Row],[قيمة الشحنه]])</f>
        <v>0</v>
      </c>
      <c r="I133" s="90"/>
      <c r="J133" s="142" t="str">
        <f t="shared" si="2"/>
        <v>4.5.2026</v>
      </c>
      <c r="L133" s="153">
        <v>122</v>
      </c>
      <c r="M133" s="92"/>
    </row>
    <row r="134" spans="1:13" ht="21.6" x14ac:dyDescent="0.65">
      <c r="A134" s="195"/>
      <c r="B134" s="140">
        <v>131</v>
      </c>
      <c r="C134" s="2"/>
      <c r="D134" s="1"/>
      <c r="E134" s="3"/>
      <c r="F134" s="1"/>
      <c r="G134" s="141">
        <f>IF(Basic34567891011121314151617181920212223242526272829[[#This Row],[نوع الخدمة]]="مخالفات", 50,
IF(Basic34567891011121314151617181920212223242526272829[[#This Row],[نوع الخدمة]]="كاش ان",
    IF(F134&lt;=100, 18, IF(F134&lt;=250, 23, IF(F134&lt;=500, 35, IF(F134&lt;=1000, 40, F134*0.04)))),
IF(Basic34567891011121314151617181920212223242526272829[[#This Row],[نوع الخدمة]]="كاش اوت",
    IF(F134&lt;=100, 15, IF(F134&lt;=250, 20, IF(F134&lt;=500, 30, IF(F134&lt;=1000, 35, F134*0.035)))),
0)))</f>
        <v>0</v>
      </c>
      <c r="H134" s="159">
        <f>IF(I134="مخالفات",50,Basic34567891011121314151617181920212223242526272829[[#This Row],[قيمة الرسوم / العموله]]+Basic34567891011121314151617181920212223242526272829[[#This Row],[قيمة الشحنه]])</f>
        <v>0</v>
      </c>
      <c r="I134" s="90"/>
      <c r="J134" s="142" t="str">
        <f t="shared" si="2"/>
        <v>4.5.2026</v>
      </c>
      <c r="L134" s="153">
        <v>123</v>
      </c>
      <c r="M134" s="92"/>
    </row>
    <row r="135" spans="1:13" ht="21.6" x14ac:dyDescent="0.65">
      <c r="A135" s="195"/>
      <c r="B135" s="140">
        <v>132</v>
      </c>
      <c r="C135" s="2"/>
      <c r="D135" s="1"/>
      <c r="E135" s="3"/>
      <c r="F135" s="1"/>
      <c r="G135" s="141">
        <f>IF(Basic34567891011121314151617181920212223242526272829[[#This Row],[نوع الخدمة]]="مخالفات", 50,
IF(Basic34567891011121314151617181920212223242526272829[[#This Row],[نوع الخدمة]]="كاش ان",
    IF(F135&lt;=100, 18, IF(F135&lt;=250, 23, IF(F135&lt;=500, 35, IF(F135&lt;=1000, 40, F135*0.04)))),
IF(Basic34567891011121314151617181920212223242526272829[[#This Row],[نوع الخدمة]]="كاش اوت",
    IF(F135&lt;=100, 15, IF(F135&lt;=250, 20, IF(F135&lt;=500, 30, IF(F135&lt;=1000, 35, F135*0.035)))),
0)))</f>
        <v>0</v>
      </c>
      <c r="H135" s="159">
        <f>IF(I135="مخالفات",50,Basic34567891011121314151617181920212223242526272829[[#This Row],[قيمة الرسوم / العموله]]+Basic34567891011121314151617181920212223242526272829[[#This Row],[قيمة الشحنه]])</f>
        <v>0</v>
      </c>
      <c r="I135" s="90"/>
      <c r="J135" s="142" t="str">
        <f t="shared" si="2"/>
        <v>4.5.2026</v>
      </c>
      <c r="L135" s="153">
        <v>124</v>
      </c>
      <c r="M135" s="92"/>
    </row>
    <row r="136" spans="1:13" ht="21.6" x14ac:dyDescent="0.65">
      <c r="A136" s="195"/>
      <c r="B136" s="140">
        <v>133</v>
      </c>
      <c r="C136" s="2"/>
      <c r="D136" s="1"/>
      <c r="E136" s="3"/>
      <c r="F136" s="1"/>
      <c r="G136" s="141">
        <f>IF(Basic34567891011121314151617181920212223242526272829[[#This Row],[نوع الخدمة]]="مخالفات", 50,
IF(Basic34567891011121314151617181920212223242526272829[[#This Row],[نوع الخدمة]]="كاش ان",
    IF(F136&lt;=100, 18, IF(F136&lt;=250, 23, IF(F136&lt;=500, 35, IF(F136&lt;=1000, 40, F136*0.04)))),
IF(Basic34567891011121314151617181920212223242526272829[[#This Row],[نوع الخدمة]]="كاش اوت",
    IF(F136&lt;=100, 15, IF(F136&lt;=250, 20, IF(F136&lt;=500, 30, IF(F136&lt;=1000, 35, F136*0.035)))),
0)))</f>
        <v>0</v>
      </c>
      <c r="H136" s="159">
        <f>IF(I136="مخالفات",50,Basic34567891011121314151617181920212223242526272829[[#This Row],[قيمة الرسوم / العموله]]+Basic34567891011121314151617181920212223242526272829[[#This Row],[قيمة الشحنه]])</f>
        <v>0</v>
      </c>
      <c r="I136" s="90"/>
      <c r="J136" s="142" t="str">
        <f t="shared" si="2"/>
        <v>4.5.2026</v>
      </c>
      <c r="L136" s="153">
        <v>125</v>
      </c>
      <c r="M136" s="92"/>
    </row>
    <row r="137" spans="1:13" ht="21.6" x14ac:dyDescent="0.65">
      <c r="A137" s="195"/>
      <c r="B137" s="144">
        <v>134</v>
      </c>
      <c r="C137" s="2"/>
      <c r="D137" s="1"/>
      <c r="E137" s="3"/>
      <c r="F137" s="1"/>
      <c r="G137" s="141">
        <f>IF(Basic34567891011121314151617181920212223242526272829[[#This Row],[نوع الخدمة]]="مخالفات", 50,
IF(Basic34567891011121314151617181920212223242526272829[[#This Row],[نوع الخدمة]]="كاش ان",
    IF(F137&lt;=100, 18, IF(F137&lt;=250, 23, IF(F137&lt;=500, 35, IF(F137&lt;=1000, 40, F137*0.04)))),
IF(Basic34567891011121314151617181920212223242526272829[[#This Row],[نوع الخدمة]]="كاش اوت",
    IF(F137&lt;=100, 15, IF(F137&lt;=250, 20, IF(F137&lt;=500, 30, IF(F137&lt;=1000, 35, F137*0.035)))),
0)))</f>
        <v>0</v>
      </c>
      <c r="H137" s="159">
        <f>IF(I137="مخالفات",50,Basic34567891011121314151617181920212223242526272829[[#This Row],[قيمة الرسوم / العموله]]+Basic34567891011121314151617181920212223242526272829[[#This Row],[قيمة الشحنه]])</f>
        <v>0</v>
      </c>
      <c r="I137" s="90"/>
      <c r="J137" s="142" t="str">
        <f t="shared" si="2"/>
        <v>4.5.2026</v>
      </c>
      <c r="L137" s="153">
        <v>126</v>
      </c>
      <c r="M137" s="92"/>
    </row>
    <row r="138" spans="1:13" ht="21.6" x14ac:dyDescent="0.65">
      <c r="A138" s="195"/>
      <c r="B138" s="140">
        <v>135</v>
      </c>
      <c r="C138" s="2"/>
      <c r="D138" s="1"/>
      <c r="E138" s="3"/>
      <c r="F138" s="1"/>
      <c r="G138" s="141">
        <f>IF(Basic34567891011121314151617181920212223242526272829[[#This Row],[نوع الخدمة]]="مخالفات", 50,
IF(Basic34567891011121314151617181920212223242526272829[[#This Row],[نوع الخدمة]]="كاش ان",
    IF(F138&lt;=100, 18, IF(F138&lt;=250, 23, IF(F138&lt;=500, 35, IF(F138&lt;=1000, 40, F138*0.04)))),
IF(Basic34567891011121314151617181920212223242526272829[[#This Row],[نوع الخدمة]]="كاش اوت",
    IF(F138&lt;=100, 15, IF(F138&lt;=250, 20, IF(F138&lt;=500, 30, IF(F138&lt;=1000, 35, F138*0.035)))),
0)))</f>
        <v>0</v>
      </c>
      <c r="H138" s="159">
        <f>IF(I138="مخالفات",50,Basic34567891011121314151617181920212223242526272829[[#This Row],[قيمة الرسوم / العموله]]+Basic34567891011121314151617181920212223242526272829[[#This Row],[قيمة الشحنه]])</f>
        <v>0</v>
      </c>
      <c r="I138" s="90"/>
      <c r="J138" s="142" t="str">
        <f t="shared" si="2"/>
        <v>4.5.2026</v>
      </c>
      <c r="L138" s="153">
        <v>127</v>
      </c>
      <c r="M138" s="92"/>
    </row>
    <row r="139" spans="1:13" ht="21.6" x14ac:dyDescent="0.65">
      <c r="A139" s="195"/>
      <c r="B139" s="140">
        <v>136</v>
      </c>
      <c r="C139" s="2"/>
      <c r="D139" s="1"/>
      <c r="E139" s="3"/>
      <c r="F139" s="1"/>
      <c r="G139" s="141">
        <f>IF(Basic34567891011121314151617181920212223242526272829[[#This Row],[نوع الخدمة]]="مخالفات", 50,
IF(Basic34567891011121314151617181920212223242526272829[[#This Row],[نوع الخدمة]]="كاش ان",
    IF(F139&lt;=100, 18, IF(F139&lt;=250, 23, IF(F139&lt;=500, 35, IF(F139&lt;=1000, 40, F139*0.04)))),
IF(Basic34567891011121314151617181920212223242526272829[[#This Row],[نوع الخدمة]]="كاش اوت",
    IF(F139&lt;=100, 15, IF(F139&lt;=250, 20, IF(F139&lt;=500, 30, IF(F139&lt;=1000, 35, F139*0.035)))),
0)))</f>
        <v>0</v>
      </c>
      <c r="H139" s="159">
        <f>IF(I139="مخالفات",50,Basic34567891011121314151617181920212223242526272829[[#This Row],[قيمة الرسوم / العموله]]+Basic34567891011121314151617181920212223242526272829[[#This Row],[قيمة الشحنه]])</f>
        <v>0</v>
      </c>
      <c r="I139" s="90"/>
      <c r="J139" s="142" t="str">
        <f t="shared" si="2"/>
        <v>4.5.2026</v>
      </c>
      <c r="L139" s="153">
        <v>128</v>
      </c>
      <c r="M139" s="92"/>
    </row>
    <row r="140" spans="1:13" ht="21.6" x14ac:dyDescent="0.65">
      <c r="A140" s="195"/>
      <c r="B140" s="140">
        <v>137</v>
      </c>
      <c r="C140" s="2"/>
      <c r="D140" s="1"/>
      <c r="E140" s="3"/>
      <c r="F140" s="1"/>
      <c r="G140" s="141">
        <f>IF(Basic34567891011121314151617181920212223242526272829[[#This Row],[نوع الخدمة]]="مخالفات", 50,
IF(Basic34567891011121314151617181920212223242526272829[[#This Row],[نوع الخدمة]]="كاش ان",
    IF(F140&lt;=100, 18, IF(F140&lt;=250, 23, IF(F140&lt;=500, 35, IF(F140&lt;=1000, 40, F140*0.04)))),
IF(Basic34567891011121314151617181920212223242526272829[[#This Row],[نوع الخدمة]]="كاش اوت",
    IF(F140&lt;=100, 15, IF(F140&lt;=250, 20, IF(F140&lt;=500, 30, IF(F140&lt;=1000, 35, F140*0.035)))),
0)))</f>
        <v>0</v>
      </c>
      <c r="H140" s="159">
        <f>IF(I140="مخالفات",50,Basic34567891011121314151617181920212223242526272829[[#This Row],[قيمة الرسوم / العموله]]+Basic34567891011121314151617181920212223242526272829[[#This Row],[قيمة الشحنه]])</f>
        <v>0</v>
      </c>
      <c r="I140" s="90"/>
      <c r="J140" s="142" t="str">
        <f t="shared" si="2"/>
        <v>4.5.2026</v>
      </c>
      <c r="L140" s="153">
        <v>129</v>
      </c>
      <c r="M140" s="92"/>
    </row>
    <row r="141" spans="1:13" ht="21.6" x14ac:dyDescent="0.65">
      <c r="A141" s="195"/>
      <c r="B141" s="144">
        <v>138</v>
      </c>
      <c r="C141" s="2"/>
      <c r="D141" s="1"/>
      <c r="E141" s="3"/>
      <c r="F141" s="1"/>
      <c r="G141" s="141">
        <f>IF(Basic34567891011121314151617181920212223242526272829[[#This Row],[نوع الخدمة]]="مخالفات", 50,
IF(Basic34567891011121314151617181920212223242526272829[[#This Row],[نوع الخدمة]]="كاش ان",
    IF(F141&lt;=100, 18, IF(F141&lt;=250, 23, IF(F141&lt;=500, 35, IF(F141&lt;=1000, 40, F141*0.04)))),
IF(Basic34567891011121314151617181920212223242526272829[[#This Row],[نوع الخدمة]]="كاش اوت",
    IF(F141&lt;=100, 15, IF(F141&lt;=250, 20, IF(F141&lt;=500, 30, IF(F141&lt;=1000, 35, F141*0.035)))),
0)))</f>
        <v>0</v>
      </c>
      <c r="H141" s="159">
        <f>IF(I141="مخالفات",50,Basic34567891011121314151617181920212223242526272829[[#This Row],[قيمة الرسوم / العموله]]+Basic34567891011121314151617181920212223242526272829[[#This Row],[قيمة الشحنه]])</f>
        <v>0</v>
      </c>
      <c r="I141" s="90"/>
      <c r="J141" s="142" t="str">
        <f t="shared" si="2"/>
        <v>4.5.2026</v>
      </c>
      <c r="L141" s="153">
        <v>130</v>
      </c>
      <c r="M141" s="92"/>
    </row>
    <row r="142" spans="1:13" ht="21.6" x14ac:dyDescent="0.65">
      <c r="A142" s="195"/>
      <c r="B142" s="140">
        <v>139</v>
      </c>
      <c r="C142" s="2"/>
      <c r="D142" s="1"/>
      <c r="E142" s="3"/>
      <c r="F142" s="1"/>
      <c r="G142" s="141">
        <f>IF(Basic34567891011121314151617181920212223242526272829[[#This Row],[نوع الخدمة]]="مخالفات", 50,
IF(Basic34567891011121314151617181920212223242526272829[[#This Row],[نوع الخدمة]]="كاش ان",
    IF(F142&lt;=100, 18, IF(F142&lt;=250, 23, IF(F142&lt;=500, 35, IF(F142&lt;=1000, 40, F142*0.04)))),
IF(Basic34567891011121314151617181920212223242526272829[[#This Row],[نوع الخدمة]]="كاش اوت",
    IF(F142&lt;=100, 15, IF(F142&lt;=250, 20, IF(F142&lt;=500, 30, IF(F142&lt;=1000, 35, F142*0.035)))),
0)))</f>
        <v>0</v>
      </c>
      <c r="H142" s="159">
        <f>IF(I142="مخالفات",50,Basic34567891011121314151617181920212223242526272829[[#This Row],[قيمة الرسوم / العموله]]+Basic34567891011121314151617181920212223242526272829[[#This Row],[قيمة الشحنه]])</f>
        <v>0</v>
      </c>
      <c r="I142" s="90"/>
      <c r="J142" s="142" t="str">
        <f t="shared" si="2"/>
        <v>4.5.2026</v>
      </c>
      <c r="L142" s="153">
        <v>131</v>
      </c>
      <c r="M142" s="92"/>
    </row>
    <row r="143" spans="1:13" ht="21.6" x14ac:dyDescent="0.65">
      <c r="A143" s="195"/>
      <c r="B143" s="140">
        <v>140</v>
      </c>
      <c r="C143" s="2"/>
      <c r="D143" s="1"/>
      <c r="E143" s="3"/>
      <c r="F143" s="1"/>
      <c r="G143" s="141">
        <f>IF(Basic34567891011121314151617181920212223242526272829[[#This Row],[نوع الخدمة]]="مخالفات", 50,
IF(Basic34567891011121314151617181920212223242526272829[[#This Row],[نوع الخدمة]]="كاش ان",
    IF(F143&lt;=100, 18, IF(F143&lt;=250, 23, IF(F143&lt;=500, 35, IF(F143&lt;=1000, 40, F143*0.04)))),
IF(Basic34567891011121314151617181920212223242526272829[[#This Row],[نوع الخدمة]]="كاش اوت",
    IF(F143&lt;=100, 15, IF(F143&lt;=250, 20, IF(F143&lt;=500, 30, IF(F143&lt;=1000, 35, F143*0.035)))),
0)))</f>
        <v>0</v>
      </c>
      <c r="H143" s="159">
        <f>IF(I143="مخالفات",50,Basic34567891011121314151617181920212223242526272829[[#This Row],[قيمة الرسوم / العموله]]+Basic34567891011121314151617181920212223242526272829[[#This Row],[قيمة الشحنه]])</f>
        <v>0</v>
      </c>
      <c r="I143" s="90"/>
      <c r="J143" s="142" t="str">
        <f t="shared" si="2"/>
        <v>4.5.2026</v>
      </c>
      <c r="L143" s="153">
        <v>132</v>
      </c>
      <c r="M143" s="92"/>
    </row>
    <row r="144" spans="1:13" ht="21.6" x14ac:dyDescent="0.65">
      <c r="A144" s="195"/>
      <c r="B144" s="140">
        <v>141</v>
      </c>
      <c r="C144" s="2"/>
      <c r="D144" s="1"/>
      <c r="E144" s="3"/>
      <c r="F144" s="1"/>
      <c r="G144" s="141">
        <f>IF(Basic34567891011121314151617181920212223242526272829[[#This Row],[نوع الخدمة]]="مخالفات", 50,
IF(Basic34567891011121314151617181920212223242526272829[[#This Row],[نوع الخدمة]]="كاش ان",
    IF(F144&lt;=100, 18, IF(F144&lt;=250, 23, IF(F144&lt;=500, 35, IF(F144&lt;=1000, 40, F144*0.04)))),
IF(Basic34567891011121314151617181920212223242526272829[[#This Row],[نوع الخدمة]]="كاش اوت",
    IF(F144&lt;=100, 15, IF(F144&lt;=250, 20, IF(F144&lt;=500, 30, IF(F144&lt;=1000, 35, F144*0.035)))),
0)))</f>
        <v>0</v>
      </c>
      <c r="H144" s="159">
        <f>IF(I144="مخالفات",50,Basic34567891011121314151617181920212223242526272829[[#This Row],[قيمة الرسوم / العموله]]+Basic34567891011121314151617181920212223242526272829[[#This Row],[قيمة الشحنه]])</f>
        <v>0</v>
      </c>
      <c r="I144" s="90"/>
      <c r="J144" s="142" t="str">
        <f t="shared" si="2"/>
        <v>4.5.2026</v>
      </c>
      <c r="L144" s="153">
        <v>133</v>
      </c>
      <c r="M144" s="92"/>
    </row>
    <row r="145" spans="1:13" ht="21.6" x14ac:dyDescent="0.65">
      <c r="A145" s="195"/>
      <c r="B145" s="144">
        <v>142</v>
      </c>
      <c r="C145" s="2"/>
      <c r="D145" s="1"/>
      <c r="E145" s="3"/>
      <c r="F145" s="1"/>
      <c r="G145" s="141">
        <f>IF(Basic34567891011121314151617181920212223242526272829[[#This Row],[نوع الخدمة]]="مخالفات", 50,
IF(Basic34567891011121314151617181920212223242526272829[[#This Row],[نوع الخدمة]]="كاش ان",
    IF(F145&lt;=100, 18, IF(F145&lt;=250, 23, IF(F145&lt;=500, 35, IF(F145&lt;=1000, 40, F145*0.04)))),
IF(Basic34567891011121314151617181920212223242526272829[[#This Row],[نوع الخدمة]]="كاش اوت",
    IF(F145&lt;=100, 15, IF(F145&lt;=250, 20, IF(F145&lt;=500, 30, IF(F145&lt;=1000, 35, F145*0.035)))),
0)))</f>
        <v>0</v>
      </c>
      <c r="H145" s="159">
        <f>IF(I145="مخالفات",50,Basic34567891011121314151617181920212223242526272829[[#This Row],[قيمة الرسوم / العموله]]+Basic34567891011121314151617181920212223242526272829[[#This Row],[قيمة الشحنه]])</f>
        <v>0</v>
      </c>
      <c r="I145" s="90"/>
      <c r="J145" s="142" t="str">
        <f t="shared" si="2"/>
        <v>4.5.2026</v>
      </c>
      <c r="L145" s="153">
        <v>134</v>
      </c>
      <c r="M145" s="92"/>
    </row>
    <row r="146" spans="1:13" ht="21.6" x14ac:dyDescent="0.65">
      <c r="A146" s="195"/>
      <c r="B146" s="140">
        <v>143</v>
      </c>
      <c r="C146" s="2"/>
      <c r="D146" s="1"/>
      <c r="E146" s="3"/>
      <c r="F146" s="1"/>
      <c r="G146" s="141">
        <f>IF(Basic34567891011121314151617181920212223242526272829[[#This Row],[نوع الخدمة]]="مخالفات", 50,
IF(Basic34567891011121314151617181920212223242526272829[[#This Row],[نوع الخدمة]]="كاش ان",
    IF(F146&lt;=100, 18, IF(F146&lt;=250, 23, IF(F146&lt;=500, 35, IF(F146&lt;=1000, 40, F146*0.04)))),
IF(Basic34567891011121314151617181920212223242526272829[[#This Row],[نوع الخدمة]]="كاش اوت",
    IF(F146&lt;=100, 15, IF(F146&lt;=250, 20, IF(F146&lt;=500, 30, IF(F146&lt;=1000, 35, F146*0.035)))),
0)))</f>
        <v>0</v>
      </c>
      <c r="H146" s="159">
        <f>IF(I146="مخالفات",50,Basic34567891011121314151617181920212223242526272829[[#This Row],[قيمة الرسوم / العموله]]+Basic34567891011121314151617181920212223242526272829[[#This Row],[قيمة الشحنه]])</f>
        <v>0</v>
      </c>
      <c r="I146" s="90"/>
      <c r="J146" s="142" t="str">
        <f t="shared" si="2"/>
        <v>4.5.2026</v>
      </c>
      <c r="L146" s="153">
        <v>135</v>
      </c>
      <c r="M146" s="92"/>
    </row>
    <row r="147" spans="1:13" ht="21.6" x14ac:dyDescent="0.65">
      <c r="A147" s="195"/>
      <c r="B147" s="140">
        <v>144</v>
      </c>
      <c r="C147" s="2"/>
      <c r="D147" s="1"/>
      <c r="E147" s="3"/>
      <c r="F147" s="1"/>
      <c r="G147" s="141">
        <f>IF(Basic34567891011121314151617181920212223242526272829[[#This Row],[نوع الخدمة]]="مخالفات", 50,
IF(Basic34567891011121314151617181920212223242526272829[[#This Row],[نوع الخدمة]]="كاش ان",
    IF(F147&lt;=100, 18, IF(F147&lt;=250, 23, IF(F147&lt;=500, 35, IF(F147&lt;=1000, 40, F147*0.04)))),
IF(Basic34567891011121314151617181920212223242526272829[[#This Row],[نوع الخدمة]]="كاش اوت",
    IF(F147&lt;=100, 15, IF(F147&lt;=250, 20, IF(F147&lt;=500, 30, IF(F147&lt;=1000, 35, F147*0.035)))),
0)))</f>
        <v>0</v>
      </c>
      <c r="H147" s="159">
        <f>IF(I147="مخالفات",50,Basic34567891011121314151617181920212223242526272829[[#This Row],[قيمة الرسوم / العموله]]+Basic34567891011121314151617181920212223242526272829[[#This Row],[قيمة الشحنه]])</f>
        <v>0</v>
      </c>
      <c r="I147" s="90"/>
      <c r="J147" s="142" t="str">
        <f t="shared" si="2"/>
        <v>4.5.2026</v>
      </c>
      <c r="L147" s="153">
        <v>136</v>
      </c>
      <c r="M147" s="92"/>
    </row>
    <row r="148" spans="1:13" ht="21.6" x14ac:dyDescent="0.65">
      <c r="A148" s="195"/>
      <c r="B148" s="140">
        <v>145</v>
      </c>
      <c r="C148" s="2"/>
      <c r="D148" s="1"/>
      <c r="E148" s="3"/>
      <c r="F148" s="1"/>
      <c r="G148" s="141">
        <f>IF(Basic34567891011121314151617181920212223242526272829[[#This Row],[نوع الخدمة]]="مخالفات", 50,
IF(Basic34567891011121314151617181920212223242526272829[[#This Row],[نوع الخدمة]]="كاش ان",
    IF(F148&lt;=100, 18, IF(F148&lt;=250, 23, IF(F148&lt;=500, 35, IF(F148&lt;=1000, 40, F148*0.04)))),
IF(Basic34567891011121314151617181920212223242526272829[[#This Row],[نوع الخدمة]]="كاش اوت",
    IF(F148&lt;=100, 15, IF(F148&lt;=250, 20, IF(F148&lt;=500, 30, IF(F148&lt;=1000, 35, F148*0.035)))),
0)))</f>
        <v>0</v>
      </c>
      <c r="H148" s="159">
        <f>IF(I148="مخالفات",50,Basic34567891011121314151617181920212223242526272829[[#This Row],[قيمة الرسوم / العموله]]+Basic34567891011121314151617181920212223242526272829[[#This Row],[قيمة الشحنه]])</f>
        <v>0</v>
      </c>
      <c r="I148" s="90"/>
      <c r="J148" s="142" t="str">
        <f t="shared" si="2"/>
        <v>4.5.2026</v>
      </c>
      <c r="L148" s="153">
        <v>137</v>
      </c>
      <c r="M148" s="92"/>
    </row>
    <row r="149" spans="1:13" ht="21.6" x14ac:dyDescent="0.65">
      <c r="A149" s="195"/>
      <c r="B149" s="144">
        <v>146</v>
      </c>
      <c r="C149" s="2"/>
      <c r="D149" s="1"/>
      <c r="E149" s="3"/>
      <c r="F149" s="1"/>
      <c r="G149" s="141">
        <f>IF(Basic34567891011121314151617181920212223242526272829[[#This Row],[نوع الخدمة]]="مخالفات", 50,
IF(Basic34567891011121314151617181920212223242526272829[[#This Row],[نوع الخدمة]]="كاش ان",
    IF(F149&lt;=100, 18, IF(F149&lt;=250, 23, IF(F149&lt;=500, 35, IF(F149&lt;=1000, 40, F149*0.04)))),
IF(Basic34567891011121314151617181920212223242526272829[[#This Row],[نوع الخدمة]]="كاش اوت",
    IF(F149&lt;=100, 15, IF(F149&lt;=250, 20, IF(F149&lt;=500, 30, IF(F149&lt;=1000, 35, F149*0.035)))),
0)))</f>
        <v>0</v>
      </c>
      <c r="H149" s="159">
        <f>IF(I149="مخالفات",50,Basic34567891011121314151617181920212223242526272829[[#This Row],[قيمة الرسوم / العموله]]+Basic34567891011121314151617181920212223242526272829[[#This Row],[قيمة الشحنه]])</f>
        <v>0</v>
      </c>
      <c r="I149" s="90"/>
      <c r="J149" s="142" t="str">
        <f t="shared" si="2"/>
        <v>4.5.2026</v>
      </c>
      <c r="L149" s="153">
        <v>138</v>
      </c>
      <c r="M149" s="92"/>
    </row>
    <row r="150" spans="1:13" ht="21.6" x14ac:dyDescent="0.65">
      <c r="A150" s="195"/>
      <c r="B150" s="140">
        <v>147</v>
      </c>
      <c r="C150" s="2"/>
      <c r="D150" s="1"/>
      <c r="E150" s="3"/>
      <c r="F150" s="1"/>
      <c r="G150" s="141">
        <f>IF(Basic34567891011121314151617181920212223242526272829[[#This Row],[نوع الخدمة]]="مخالفات", 50,
IF(Basic34567891011121314151617181920212223242526272829[[#This Row],[نوع الخدمة]]="كاش ان",
    IF(F150&lt;=100, 18, IF(F150&lt;=250, 23, IF(F150&lt;=500, 35, IF(F150&lt;=1000, 40, F150*0.04)))),
IF(Basic34567891011121314151617181920212223242526272829[[#This Row],[نوع الخدمة]]="كاش اوت",
    IF(F150&lt;=100, 15, IF(F150&lt;=250, 20, IF(F150&lt;=500, 30, IF(F150&lt;=1000, 35, F150*0.035)))),
0)))</f>
        <v>0</v>
      </c>
      <c r="H150" s="159">
        <f>IF(I150="مخالفات",50,Basic34567891011121314151617181920212223242526272829[[#This Row],[قيمة الرسوم / العموله]]+Basic34567891011121314151617181920212223242526272829[[#This Row],[قيمة الشحنه]])</f>
        <v>0</v>
      </c>
      <c r="I150" s="90"/>
      <c r="J150" s="142" t="str">
        <f t="shared" si="2"/>
        <v>4.5.2026</v>
      </c>
      <c r="L150" s="153">
        <v>139</v>
      </c>
      <c r="M150" s="92"/>
    </row>
    <row r="151" spans="1:13" ht="21.6" x14ac:dyDescent="0.65">
      <c r="A151" s="195"/>
      <c r="B151" s="140">
        <v>148</v>
      </c>
      <c r="C151" s="2"/>
      <c r="D151" s="1"/>
      <c r="E151" s="3"/>
      <c r="F151" s="1"/>
      <c r="G151" s="141">
        <f>IF(Basic34567891011121314151617181920212223242526272829[[#This Row],[نوع الخدمة]]="مخالفات", 50,
IF(Basic34567891011121314151617181920212223242526272829[[#This Row],[نوع الخدمة]]="كاش ان",
    IF(F151&lt;=100, 18, IF(F151&lt;=250, 23, IF(F151&lt;=500, 35, IF(F151&lt;=1000, 40, F151*0.04)))),
IF(Basic34567891011121314151617181920212223242526272829[[#This Row],[نوع الخدمة]]="كاش اوت",
    IF(F151&lt;=100, 15, IF(F151&lt;=250, 20, IF(F151&lt;=500, 30, IF(F151&lt;=1000, 35, F151*0.035)))),
0)))</f>
        <v>0</v>
      </c>
      <c r="H151" s="159">
        <f>IF(I151="مخالفات",50,Basic34567891011121314151617181920212223242526272829[[#This Row],[قيمة الرسوم / العموله]]+Basic34567891011121314151617181920212223242526272829[[#This Row],[قيمة الشحنه]])</f>
        <v>0</v>
      </c>
      <c r="I151" s="90"/>
      <c r="J151" s="142" t="str">
        <f t="shared" si="2"/>
        <v>4.5.2026</v>
      </c>
      <c r="L151" s="153">
        <v>140</v>
      </c>
      <c r="M151" s="92"/>
    </row>
    <row r="152" spans="1:13" ht="21.6" x14ac:dyDescent="0.65">
      <c r="A152" s="195"/>
      <c r="B152" s="140">
        <v>149</v>
      </c>
      <c r="C152" s="2"/>
      <c r="D152" s="1"/>
      <c r="E152" s="3"/>
      <c r="F152" s="1"/>
      <c r="G152" s="141">
        <f>IF(Basic34567891011121314151617181920212223242526272829[[#This Row],[نوع الخدمة]]="مخالفات", 50,
IF(Basic34567891011121314151617181920212223242526272829[[#This Row],[نوع الخدمة]]="كاش ان",
    IF(F152&lt;=100, 18, IF(F152&lt;=250, 23, IF(F152&lt;=500, 35, IF(F152&lt;=1000, 40, F152*0.04)))),
IF(Basic34567891011121314151617181920212223242526272829[[#This Row],[نوع الخدمة]]="كاش اوت",
    IF(F152&lt;=100, 15, IF(F152&lt;=250, 20, IF(F152&lt;=500, 30, IF(F152&lt;=1000, 35, F152*0.035)))),
0)))</f>
        <v>0</v>
      </c>
      <c r="H152" s="159">
        <f>IF(I152="مخالفات",50,Basic34567891011121314151617181920212223242526272829[[#This Row],[قيمة الرسوم / العموله]]+Basic34567891011121314151617181920212223242526272829[[#This Row],[قيمة الشحنه]])</f>
        <v>0</v>
      </c>
      <c r="I152" s="90"/>
      <c r="J152" s="142" t="str">
        <f t="shared" si="2"/>
        <v>4.5.2026</v>
      </c>
      <c r="L152" s="153">
        <v>141</v>
      </c>
      <c r="M152" s="92"/>
    </row>
    <row r="153" spans="1:13" ht="21.6" x14ac:dyDescent="0.65">
      <c r="A153" s="195"/>
      <c r="B153" s="144">
        <v>150</v>
      </c>
      <c r="C153" s="2"/>
      <c r="D153" s="1"/>
      <c r="E153" s="3"/>
      <c r="F153" s="1"/>
      <c r="G153" s="141">
        <f>IF(Basic34567891011121314151617181920212223242526272829[[#This Row],[نوع الخدمة]]="مخالفات", 50,
IF(Basic34567891011121314151617181920212223242526272829[[#This Row],[نوع الخدمة]]="كاش ان",
    IF(F153&lt;=100, 18, IF(F153&lt;=250, 23, IF(F153&lt;=500, 35, IF(F153&lt;=1000, 40, F153*0.04)))),
IF(Basic34567891011121314151617181920212223242526272829[[#This Row],[نوع الخدمة]]="كاش اوت",
    IF(F153&lt;=100, 15, IF(F153&lt;=250, 20, IF(F153&lt;=500, 30, IF(F153&lt;=1000, 35, F153*0.035)))),
0)))</f>
        <v>0</v>
      </c>
      <c r="H153" s="159">
        <f>IF(I153="مخالفات",50,Basic34567891011121314151617181920212223242526272829[[#This Row],[قيمة الرسوم / العموله]]+Basic34567891011121314151617181920212223242526272829[[#This Row],[قيمة الشحنه]])</f>
        <v>0</v>
      </c>
      <c r="I153" s="90"/>
      <c r="J153" s="142" t="str">
        <f t="shared" si="2"/>
        <v>4.5.2026</v>
      </c>
      <c r="L153" s="153">
        <v>142</v>
      </c>
      <c r="M153" s="92"/>
    </row>
    <row r="154" spans="1:13" ht="21.6" x14ac:dyDescent="0.65">
      <c r="A154" s="195"/>
      <c r="B154" s="140">
        <v>151</v>
      </c>
      <c r="C154" s="2"/>
      <c r="D154" s="1"/>
      <c r="E154" s="3"/>
      <c r="F154" s="1"/>
      <c r="G154" s="141">
        <f>IF(Basic34567891011121314151617181920212223242526272829[[#This Row],[نوع الخدمة]]="مخالفات", 50,
IF(Basic34567891011121314151617181920212223242526272829[[#This Row],[نوع الخدمة]]="كاش ان",
    IF(F154&lt;=100, 18, IF(F154&lt;=250, 23, IF(F154&lt;=500, 35, IF(F154&lt;=1000, 40, F154*0.04)))),
IF(Basic34567891011121314151617181920212223242526272829[[#This Row],[نوع الخدمة]]="كاش اوت",
    IF(F154&lt;=100, 15, IF(F154&lt;=250, 20, IF(F154&lt;=500, 30, IF(F154&lt;=1000, 35, F154*0.035)))),
0)))</f>
        <v>0</v>
      </c>
      <c r="H154" s="159">
        <f>IF(I154="مخالفات",50,Basic34567891011121314151617181920212223242526272829[[#This Row],[قيمة الرسوم / العموله]]+Basic34567891011121314151617181920212223242526272829[[#This Row],[قيمة الشحنه]])</f>
        <v>0</v>
      </c>
      <c r="I154" s="90"/>
      <c r="J154" s="142" t="str">
        <f t="shared" si="2"/>
        <v>4.5.2026</v>
      </c>
      <c r="L154" s="153">
        <v>143</v>
      </c>
      <c r="M154" s="92"/>
    </row>
    <row r="155" spans="1:13" ht="21.6" x14ac:dyDescent="0.65">
      <c r="A155" s="195"/>
      <c r="B155" s="140">
        <v>152</v>
      </c>
      <c r="C155" s="2"/>
      <c r="D155" s="1"/>
      <c r="E155" s="3"/>
      <c r="F155" s="1"/>
      <c r="G155" s="141">
        <f>IF(Basic34567891011121314151617181920212223242526272829[[#This Row],[نوع الخدمة]]="مخالفات", 50,
IF(Basic34567891011121314151617181920212223242526272829[[#This Row],[نوع الخدمة]]="كاش ان",
    IF(F155&lt;=100, 18, IF(F155&lt;=250, 23, IF(F155&lt;=500, 35, IF(F155&lt;=1000, 40, F155*0.04)))),
IF(Basic34567891011121314151617181920212223242526272829[[#This Row],[نوع الخدمة]]="كاش اوت",
    IF(F155&lt;=100, 15, IF(F155&lt;=250, 20, IF(F155&lt;=500, 30, IF(F155&lt;=1000, 35, F155*0.035)))),
0)))</f>
        <v>0</v>
      </c>
      <c r="H155" s="159">
        <f>IF(I155="مخالفات",50,Basic34567891011121314151617181920212223242526272829[[#This Row],[قيمة الرسوم / العموله]]+Basic34567891011121314151617181920212223242526272829[[#This Row],[قيمة الشحنه]])</f>
        <v>0</v>
      </c>
      <c r="I155" s="90"/>
      <c r="J155" s="142" t="str">
        <f t="shared" si="2"/>
        <v>4.5.2026</v>
      </c>
      <c r="L155" s="153">
        <v>144</v>
      </c>
      <c r="M155" s="92"/>
    </row>
    <row r="156" spans="1:13" ht="21.6" x14ac:dyDescent="0.65">
      <c r="A156" s="195"/>
      <c r="B156" s="140">
        <v>153</v>
      </c>
      <c r="C156" s="2"/>
      <c r="D156" s="1"/>
      <c r="E156" s="3"/>
      <c r="F156" s="1"/>
      <c r="G156" s="141">
        <f>IF(Basic34567891011121314151617181920212223242526272829[[#This Row],[نوع الخدمة]]="مخالفات", 50,
IF(Basic34567891011121314151617181920212223242526272829[[#This Row],[نوع الخدمة]]="كاش ان",
    IF(F156&lt;=100, 18, IF(F156&lt;=250, 23, IF(F156&lt;=500, 35, IF(F156&lt;=1000, 40, F156*0.04)))),
IF(Basic34567891011121314151617181920212223242526272829[[#This Row],[نوع الخدمة]]="كاش اوت",
    IF(F156&lt;=100, 15, IF(F156&lt;=250, 20, IF(F156&lt;=500, 30, IF(F156&lt;=1000, 35, F156*0.035)))),
0)))</f>
        <v>0</v>
      </c>
      <c r="H156" s="159">
        <f>IF(I156="مخالفات",50,Basic34567891011121314151617181920212223242526272829[[#This Row],[قيمة الرسوم / العموله]]+Basic34567891011121314151617181920212223242526272829[[#This Row],[قيمة الشحنه]])</f>
        <v>0</v>
      </c>
      <c r="I156" s="90"/>
      <c r="J156" s="142" t="str">
        <f t="shared" si="2"/>
        <v>4.5.2026</v>
      </c>
      <c r="L156" s="153">
        <v>145</v>
      </c>
      <c r="M156" s="92"/>
    </row>
    <row r="157" spans="1:13" ht="21.6" x14ac:dyDescent="0.65">
      <c r="A157" s="195"/>
      <c r="B157" s="144">
        <v>154</v>
      </c>
      <c r="C157" s="2"/>
      <c r="D157" s="1"/>
      <c r="E157" s="3"/>
      <c r="F157" s="1"/>
      <c r="G157" s="141">
        <f>IF(Basic34567891011121314151617181920212223242526272829[[#This Row],[نوع الخدمة]]="مخالفات", 50,
IF(Basic34567891011121314151617181920212223242526272829[[#This Row],[نوع الخدمة]]="كاش ان",
    IF(F157&lt;=100, 18, IF(F157&lt;=250, 23, IF(F157&lt;=500, 35, IF(F157&lt;=1000, 40, F157*0.04)))),
IF(Basic34567891011121314151617181920212223242526272829[[#This Row],[نوع الخدمة]]="كاش اوت",
    IF(F157&lt;=100, 15, IF(F157&lt;=250, 20, IF(F157&lt;=500, 30, IF(F157&lt;=1000, 35, F157*0.035)))),
0)))</f>
        <v>0</v>
      </c>
      <c r="H157" s="159">
        <f>IF(I157="مخالفات",50,Basic34567891011121314151617181920212223242526272829[[#This Row],[قيمة الرسوم / العموله]]+Basic34567891011121314151617181920212223242526272829[[#This Row],[قيمة الشحنه]])</f>
        <v>0</v>
      </c>
      <c r="I157" s="90"/>
      <c r="J157" s="142" t="str">
        <f t="shared" si="2"/>
        <v>4.5.2026</v>
      </c>
      <c r="L157" s="153">
        <v>146</v>
      </c>
      <c r="M157" s="92"/>
    </row>
    <row r="158" spans="1:13" ht="21.6" x14ac:dyDescent="0.65">
      <c r="A158" s="195"/>
      <c r="B158" s="140">
        <v>155</v>
      </c>
      <c r="C158" s="2"/>
      <c r="D158" s="1"/>
      <c r="E158" s="3"/>
      <c r="F158" s="1"/>
      <c r="G158" s="141">
        <f>IF(Basic34567891011121314151617181920212223242526272829[[#This Row],[نوع الخدمة]]="مخالفات", 50,
IF(Basic34567891011121314151617181920212223242526272829[[#This Row],[نوع الخدمة]]="كاش ان",
    IF(F158&lt;=100, 18, IF(F158&lt;=250, 23, IF(F158&lt;=500, 35, IF(F158&lt;=1000, 40, F158*0.04)))),
IF(Basic34567891011121314151617181920212223242526272829[[#This Row],[نوع الخدمة]]="كاش اوت",
    IF(F158&lt;=100, 15, IF(F158&lt;=250, 20, IF(F158&lt;=500, 30, IF(F158&lt;=1000, 35, F158*0.035)))),
0)))</f>
        <v>0</v>
      </c>
      <c r="H158" s="159">
        <f>IF(I158="مخالفات",50,Basic34567891011121314151617181920212223242526272829[[#This Row],[قيمة الرسوم / العموله]]+Basic34567891011121314151617181920212223242526272829[[#This Row],[قيمة الشحنه]])</f>
        <v>0</v>
      </c>
      <c r="I158" s="90"/>
      <c r="J158" s="142" t="str">
        <f t="shared" si="2"/>
        <v>4.5.2026</v>
      </c>
      <c r="L158" s="153">
        <v>147</v>
      </c>
      <c r="M158" s="92"/>
    </row>
    <row r="159" spans="1:13" ht="21.6" x14ac:dyDescent="0.65">
      <c r="A159" s="195"/>
      <c r="B159" s="140">
        <v>156</v>
      </c>
      <c r="C159" s="2"/>
      <c r="D159" s="1"/>
      <c r="E159" s="3"/>
      <c r="F159" s="1"/>
      <c r="G159" s="141">
        <f>IF(Basic34567891011121314151617181920212223242526272829[[#This Row],[نوع الخدمة]]="مخالفات", 50,
IF(Basic34567891011121314151617181920212223242526272829[[#This Row],[نوع الخدمة]]="كاش ان",
    IF(F159&lt;=100, 18, IF(F159&lt;=250, 23, IF(F159&lt;=500, 35, IF(F159&lt;=1000, 40, F159*0.04)))),
IF(Basic34567891011121314151617181920212223242526272829[[#This Row],[نوع الخدمة]]="كاش اوت",
    IF(F159&lt;=100, 15, IF(F159&lt;=250, 20, IF(F159&lt;=500, 30, IF(F159&lt;=1000, 35, F159*0.035)))),
0)))</f>
        <v>0</v>
      </c>
      <c r="H159" s="159">
        <f>IF(I159="مخالفات",50,Basic34567891011121314151617181920212223242526272829[[#This Row],[قيمة الرسوم / العموله]]+Basic34567891011121314151617181920212223242526272829[[#This Row],[قيمة الشحنه]])</f>
        <v>0</v>
      </c>
      <c r="I159" s="90"/>
      <c r="J159" s="142" t="str">
        <f t="shared" si="2"/>
        <v>4.5.2026</v>
      </c>
      <c r="L159" s="153">
        <v>148</v>
      </c>
      <c r="M159" s="92"/>
    </row>
    <row r="160" spans="1:13" ht="21.6" x14ac:dyDescent="0.65">
      <c r="A160" s="195"/>
      <c r="B160" s="140">
        <v>157</v>
      </c>
      <c r="C160" s="2"/>
      <c r="D160" s="1"/>
      <c r="E160" s="3"/>
      <c r="F160" s="1"/>
      <c r="G160" s="141">
        <f>IF(Basic34567891011121314151617181920212223242526272829[[#This Row],[نوع الخدمة]]="مخالفات", 50,
IF(Basic34567891011121314151617181920212223242526272829[[#This Row],[نوع الخدمة]]="كاش ان",
    IF(F160&lt;=100, 18, IF(F160&lt;=250, 23, IF(F160&lt;=500, 35, IF(F160&lt;=1000, 40, F160*0.04)))),
IF(Basic34567891011121314151617181920212223242526272829[[#This Row],[نوع الخدمة]]="كاش اوت",
    IF(F160&lt;=100, 15, IF(F160&lt;=250, 20, IF(F160&lt;=500, 30, IF(F160&lt;=1000, 35, F160*0.035)))),
0)))</f>
        <v>0</v>
      </c>
      <c r="H160" s="159">
        <f>IF(I160="مخالفات",50,Basic34567891011121314151617181920212223242526272829[[#This Row],[قيمة الرسوم / العموله]]+Basic34567891011121314151617181920212223242526272829[[#This Row],[قيمة الشحنه]])</f>
        <v>0</v>
      </c>
      <c r="I160" s="90"/>
      <c r="J160" s="142" t="str">
        <f t="shared" si="2"/>
        <v>4.5.2026</v>
      </c>
      <c r="L160" s="153">
        <v>149</v>
      </c>
      <c r="M160" s="92"/>
    </row>
    <row r="161" spans="1:13" ht="21.6" x14ac:dyDescent="0.65">
      <c r="A161" s="195"/>
      <c r="B161" s="144">
        <v>158</v>
      </c>
      <c r="C161" s="2"/>
      <c r="D161" s="1"/>
      <c r="E161" s="3"/>
      <c r="F161" s="1"/>
      <c r="G161" s="141">
        <f>IF(Basic34567891011121314151617181920212223242526272829[[#This Row],[نوع الخدمة]]="مخالفات", 50,
IF(Basic34567891011121314151617181920212223242526272829[[#This Row],[نوع الخدمة]]="كاش ان",
    IF(F161&lt;=100, 18, IF(F161&lt;=250, 23, IF(F161&lt;=500, 35, IF(F161&lt;=1000, 40, F161*0.04)))),
IF(Basic34567891011121314151617181920212223242526272829[[#This Row],[نوع الخدمة]]="كاش اوت",
    IF(F161&lt;=100, 15, IF(F161&lt;=250, 20, IF(F161&lt;=500, 30, IF(F161&lt;=1000, 35, F161*0.035)))),
0)))</f>
        <v>0</v>
      </c>
      <c r="H161" s="159">
        <f>IF(I161="مخالفات",50,Basic34567891011121314151617181920212223242526272829[[#This Row],[قيمة الرسوم / العموله]]+Basic34567891011121314151617181920212223242526272829[[#This Row],[قيمة الشحنه]])</f>
        <v>0</v>
      </c>
      <c r="I161" s="90"/>
      <c r="J161" s="142" t="str">
        <f t="shared" si="2"/>
        <v>4.5.2026</v>
      </c>
      <c r="L161" s="153">
        <v>150</v>
      </c>
      <c r="M161" s="92"/>
    </row>
    <row r="162" spans="1:13" ht="21.6" x14ac:dyDescent="0.65">
      <c r="A162" s="195"/>
      <c r="B162" s="140">
        <v>159</v>
      </c>
      <c r="C162" s="2"/>
      <c r="D162" s="1"/>
      <c r="E162" s="3"/>
      <c r="F162" s="1"/>
      <c r="G162" s="141">
        <f>IF(Basic34567891011121314151617181920212223242526272829[[#This Row],[نوع الخدمة]]="مخالفات", 50,
IF(Basic34567891011121314151617181920212223242526272829[[#This Row],[نوع الخدمة]]="كاش ان",
    IF(F162&lt;=100, 18, IF(F162&lt;=250, 23, IF(F162&lt;=500, 35, IF(F162&lt;=1000, 40, F162*0.04)))),
IF(Basic34567891011121314151617181920212223242526272829[[#This Row],[نوع الخدمة]]="كاش اوت",
    IF(F162&lt;=100, 15, IF(F162&lt;=250, 20, IF(F162&lt;=500, 30, IF(F162&lt;=1000, 35, F162*0.035)))),
0)))</f>
        <v>0</v>
      </c>
      <c r="H162" s="159">
        <f>IF(I162="مخالفات",50,Basic34567891011121314151617181920212223242526272829[[#This Row],[قيمة الرسوم / العموله]]+Basic34567891011121314151617181920212223242526272829[[#This Row],[قيمة الشحنه]])</f>
        <v>0</v>
      </c>
      <c r="I162" s="90"/>
      <c r="J162" s="142" t="str">
        <f t="shared" si="2"/>
        <v>4.5.2026</v>
      </c>
      <c r="L162" s="153">
        <v>151</v>
      </c>
      <c r="M162" s="92"/>
    </row>
    <row r="163" spans="1:13" ht="21.6" x14ac:dyDescent="0.65">
      <c r="A163" s="195"/>
      <c r="B163" s="140">
        <v>160</v>
      </c>
      <c r="C163" s="2"/>
      <c r="D163" s="1"/>
      <c r="E163" s="3"/>
      <c r="F163" s="1"/>
      <c r="G163" s="141">
        <f>IF(Basic34567891011121314151617181920212223242526272829[[#This Row],[نوع الخدمة]]="مخالفات", 50,
IF(Basic34567891011121314151617181920212223242526272829[[#This Row],[نوع الخدمة]]="كاش ان",
    IF(F163&lt;=100, 18, IF(F163&lt;=250, 23, IF(F163&lt;=500, 35, IF(F163&lt;=1000, 40, F163*0.04)))),
IF(Basic34567891011121314151617181920212223242526272829[[#This Row],[نوع الخدمة]]="كاش اوت",
    IF(F163&lt;=100, 15, IF(F163&lt;=250, 20, IF(F163&lt;=500, 30, IF(F163&lt;=1000, 35, F163*0.035)))),
0)))</f>
        <v>0</v>
      </c>
      <c r="H163" s="159">
        <f>IF(I163="مخالفات",50,Basic34567891011121314151617181920212223242526272829[[#This Row],[قيمة الرسوم / العموله]]+Basic34567891011121314151617181920212223242526272829[[#This Row],[قيمة الشحنه]])</f>
        <v>0</v>
      </c>
      <c r="I163" s="90"/>
      <c r="J163" s="142" t="str">
        <f t="shared" si="2"/>
        <v>4.5.2026</v>
      </c>
      <c r="L163" s="153">
        <v>152</v>
      </c>
      <c r="M163" s="92"/>
    </row>
    <row r="164" spans="1:13" ht="21.6" x14ac:dyDescent="0.65">
      <c r="A164" s="195"/>
      <c r="B164" s="140">
        <v>161</v>
      </c>
      <c r="C164" s="2"/>
      <c r="D164" s="1"/>
      <c r="E164" s="3"/>
      <c r="F164" s="1"/>
      <c r="G164" s="141">
        <f>IF(Basic34567891011121314151617181920212223242526272829[[#This Row],[نوع الخدمة]]="مخالفات", 50,
IF(Basic34567891011121314151617181920212223242526272829[[#This Row],[نوع الخدمة]]="كاش ان",
    IF(F164&lt;=100, 18, IF(F164&lt;=250, 23, IF(F164&lt;=500, 35, IF(F164&lt;=1000, 40, F164*0.04)))),
IF(Basic34567891011121314151617181920212223242526272829[[#This Row],[نوع الخدمة]]="كاش اوت",
    IF(F164&lt;=100, 15, IF(F164&lt;=250, 20, IF(F164&lt;=500, 30, IF(F164&lt;=1000, 35, F164*0.035)))),
0)))</f>
        <v>0</v>
      </c>
      <c r="H164" s="159">
        <f>IF(I164="مخالفات",50,Basic34567891011121314151617181920212223242526272829[[#This Row],[قيمة الرسوم / العموله]]+Basic34567891011121314151617181920212223242526272829[[#This Row],[قيمة الشحنه]])</f>
        <v>0</v>
      </c>
      <c r="I164" s="90"/>
      <c r="J164" s="142" t="str">
        <f t="shared" si="2"/>
        <v>4.5.2026</v>
      </c>
      <c r="L164" s="153">
        <v>153</v>
      </c>
      <c r="M164" s="92"/>
    </row>
    <row r="165" spans="1:13" ht="21.6" x14ac:dyDescent="0.65">
      <c r="A165" s="195"/>
      <c r="B165" s="144">
        <v>162</v>
      </c>
      <c r="C165" s="2"/>
      <c r="D165" s="1"/>
      <c r="E165" s="3"/>
      <c r="F165" s="1"/>
      <c r="G165" s="141">
        <f>IF(Basic34567891011121314151617181920212223242526272829[[#This Row],[نوع الخدمة]]="مخالفات", 50,
IF(Basic34567891011121314151617181920212223242526272829[[#This Row],[نوع الخدمة]]="كاش ان",
    IF(F165&lt;=100, 18, IF(F165&lt;=250, 23, IF(F165&lt;=500, 35, IF(F165&lt;=1000, 40, F165*0.04)))),
IF(Basic34567891011121314151617181920212223242526272829[[#This Row],[نوع الخدمة]]="كاش اوت",
    IF(F165&lt;=100, 15, IF(F165&lt;=250, 20, IF(F165&lt;=500, 30, IF(F165&lt;=1000, 35, F165*0.035)))),
0)))</f>
        <v>0</v>
      </c>
      <c r="H165" s="159">
        <f>IF(I165="مخالفات",50,Basic34567891011121314151617181920212223242526272829[[#This Row],[قيمة الرسوم / العموله]]+Basic34567891011121314151617181920212223242526272829[[#This Row],[قيمة الشحنه]])</f>
        <v>0</v>
      </c>
      <c r="I165" s="90"/>
      <c r="J165" s="142" t="str">
        <f t="shared" si="2"/>
        <v>4.5.2026</v>
      </c>
      <c r="L165" s="153">
        <v>154</v>
      </c>
      <c r="M165" s="92"/>
    </row>
    <row r="166" spans="1:13" ht="21.6" x14ac:dyDescent="0.65">
      <c r="A166" s="195"/>
      <c r="B166" s="140">
        <v>163</v>
      </c>
      <c r="C166" s="2"/>
      <c r="D166" s="1"/>
      <c r="E166" s="3"/>
      <c r="F166" s="1"/>
      <c r="G166" s="141">
        <f>IF(Basic34567891011121314151617181920212223242526272829[[#This Row],[نوع الخدمة]]="مخالفات", 50,
IF(Basic34567891011121314151617181920212223242526272829[[#This Row],[نوع الخدمة]]="كاش ان",
    IF(F166&lt;=100, 18, IF(F166&lt;=250, 23, IF(F166&lt;=500, 35, IF(F166&lt;=1000, 40, F166*0.04)))),
IF(Basic34567891011121314151617181920212223242526272829[[#This Row],[نوع الخدمة]]="كاش اوت",
    IF(F166&lt;=100, 15, IF(F166&lt;=250, 20, IF(F166&lt;=500, 30, IF(F166&lt;=1000, 35, F166*0.035)))),
0)))</f>
        <v>0</v>
      </c>
      <c r="H166" s="159">
        <f>IF(I166="مخالفات",50,Basic34567891011121314151617181920212223242526272829[[#This Row],[قيمة الرسوم / العموله]]+Basic34567891011121314151617181920212223242526272829[[#This Row],[قيمة الشحنه]])</f>
        <v>0</v>
      </c>
      <c r="I166" s="90"/>
      <c r="J166" s="142" t="str">
        <f t="shared" si="2"/>
        <v>4.5.2026</v>
      </c>
      <c r="L166" s="153">
        <v>155</v>
      </c>
      <c r="M166" s="92"/>
    </row>
    <row r="167" spans="1:13" ht="21.6" x14ac:dyDescent="0.65">
      <c r="A167" s="195"/>
      <c r="B167" s="140">
        <v>164</v>
      </c>
      <c r="C167" s="2"/>
      <c r="D167" s="1"/>
      <c r="E167" s="3"/>
      <c r="F167" s="1"/>
      <c r="G167" s="141">
        <f>IF(Basic34567891011121314151617181920212223242526272829[[#This Row],[نوع الخدمة]]="مخالفات", 50,
IF(Basic34567891011121314151617181920212223242526272829[[#This Row],[نوع الخدمة]]="كاش ان",
    IF(F167&lt;=100, 18, IF(F167&lt;=250, 23, IF(F167&lt;=500, 35, IF(F167&lt;=1000, 40, F167*0.04)))),
IF(Basic34567891011121314151617181920212223242526272829[[#This Row],[نوع الخدمة]]="كاش اوت",
    IF(F167&lt;=100, 15, IF(F167&lt;=250, 20, IF(F167&lt;=500, 30, IF(F167&lt;=1000, 35, F167*0.035)))),
0)))</f>
        <v>0</v>
      </c>
      <c r="H167" s="159">
        <f>IF(I167="مخالفات",50,Basic34567891011121314151617181920212223242526272829[[#This Row],[قيمة الرسوم / العموله]]+Basic34567891011121314151617181920212223242526272829[[#This Row],[قيمة الشحنه]])</f>
        <v>0</v>
      </c>
      <c r="I167" s="90"/>
      <c r="J167" s="142" t="str">
        <f t="shared" si="2"/>
        <v>4.5.2026</v>
      </c>
      <c r="L167" s="153">
        <v>156</v>
      </c>
      <c r="M167" s="92"/>
    </row>
    <row r="168" spans="1:13" ht="21.6" x14ac:dyDescent="0.65">
      <c r="A168" s="195"/>
      <c r="B168" s="140">
        <v>165</v>
      </c>
      <c r="C168" s="2"/>
      <c r="D168" s="1"/>
      <c r="E168" s="3"/>
      <c r="F168" s="1"/>
      <c r="G168" s="141">
        <f>IF(Basic34567891011121314151617181920212223242526272829[[#This Row],[نوع الخدمة]]="مخالفات", 50,
IF(Basic34567891011121314151617181920212223242526272829[[#This Row],[نوع الخدمة]]="كاش ان",
    IF(F168&lt;=100, 18, IF(F168&lt;=250, 23, IF(F168&lt;=500, 35, IF(F168&lt;=1000, 40, F168*0.04)))),
IF(Basic34567891011121314151617181920212223242526272829[[#This Row],[نوع الخدمة]]="كاش اوت",
    IF(F168&lt;=100, 15, IF(F168&lt;=250, 20, IF(F168&lt;=500, 30, IF(F168&lt;=1000, 35, F168*0.035)))),
0)))</f>
        <v>0</v>
      </c>
      <c r="H168" s="159">
        <f>IF(I168="مخالفات",50,Basic34567891011121314151617181920212223242526272829[[#This Row],[قيمة الرسوم / العموله]]+Basic34567891011121314151617181920212223242526272829[[#This Row],[قيمة الشحنه]])</f>
        <v>0</v>
      </c>
      <c r="I168" s="90"/>
      <c r="J168" s="142" t="str">
        <f t="shared" si="2"/>
        <v>4.5.2026</v>
      </c>
      <c r="L168" s="153">
        <v>157</v>
      </c>
      <c r="M168" s="92"/>
    </row>
    <row r="169" spans="1:13" ht="21.6" x14ac:dyDescent="0.65">
      <c r="A169" s="195"/>
      <c r="B169" s="144">
        <v>166</v>
      </c>
      <c r="C169" s="2"/>
      <c r="D169" s="1"/>
      <c r="E169" s="3"/>
      <c r="F169" s="1"/>
      <c r="G169" s="141">
        <f>IF(Basic34567891011121314151617181920212223242526272829[[#This Row],[نوع الخدمة]]="مخالفات", 50,
IF(Basic34567891011121314151617181920212223242526272829[[#This Row],[نوع الخدمة]]="كاش ان",
    IF(F169&lt;=100, 18, IF(F169&lt;=250, 23, IF(F169&lt;=500, 35, IF(F169&lt;=1000, 40, F169*0.04)))),
IF(Basic34567891011121314151617181920212223242526272829[[#This Row],[نوع الخدمة]]="كاش اوت",
    IF(F169&lt;=100, 15, IF(F169&lt;=250, 20, IF(F169&lt;=500, 30, IF(F169&lt;=1000, 35, F169*0.035)))),
0)))</f>
        <v>0</v>
      </c>
      <c r="H169" s="159">
        <f>IF(I169="مخالفات",50,Basic34567891011121314151617181920212223242526272829[[#This Row],[قيمة الرسوم / العموله]]+Basic34567891011121314151617181920212223242526272829[[#This Row],[قيمة الشحنه]])</f>
        <v>0</v>
      </c>
      <c r="I169" s="90"/>
      <c r="J169" s="142" t="str">
        <f t="shared" si="2"/>
        <v>4.5.2026</v>
      </c>
      <c r="L169" s="153">
        <v>158</v>
      </c>
      <c r="M169" s="92"/>
    </row>
    <row r="170" spans="1:13" ht="21.6" x14ac:dyDescent="0.65">
      <c r="A170" s="195"/>
      <c r="B170" s="140">
        <v>167</v>
      </c>
      <c r="C170" s="2"/>
      <c r="D170" s="1"/>
      <c r="E170" s="3"/>
      <c r="F170" s="1"/>
      <c r="G170" s="141">
        <f>IF(Basic34567891011121314151617181920212223242526272829[[#This Row],[نوع الخدمة]]="مخالفات", 50,
IF(Basic34567891011121314151617181920212223242526272829[[#This Row],[نوع الخدمة]]="كاش ان",
    IF(F170&lt;=100, 18, IF(F170&lt;=250, 23, IF(F170&lt;=500, 35, IF(F170&lt;=1000, 40, F170*0.04)))),
IF(Basic34567891011121314151617181920212223242526272829[[#This Row],[نوع الخدمة]]="كاش اوت",
    IF(F170&lt;=100, 15, IF(F170&lt;=250, 20, IF(F170&lt;=500, 30, IF(F170&lt;=1000, 35, F170*0.035)))),
0)))</f>
        <v>0</v>
      </c>
      <c r="H170" s="159">
        <f>IF(I170="مخالفات",50,Basic34567891011121314151617181920212223242526272829[[#This Row],[قيمة الرسوم / العموله]]+Basic34567891011121314151617181920212223242526272829[[#This Row],[قيمة الشحنه]])</f>
        <v>0</v>
      </c>
      <c r="I170" s="90"/>
      <c r="J170" s="142" t="str">
        <f t="shared" si="2"/>
        <v>4.5.2026</v>
      </c>
      <c r="L170" s="153">
        <v>159</v>
      </c>
      <c r="M170" s="92"/>
    </row>
    <row r="171" spans="1:13" ht="21.6" x14ac:dyDescent="0.65">
      <c r="A171" s="195"/>
      <c r="B171" s="140">
        <v>168</v>
      </c>
      <c r="C171" s="2"/>
      <c r="D171" s="1"/>
      <c r="E171" s="3"/>
      <c r="F171" s="1"/>
      <c r="G171" s="141">
        <f>IF(Basic34567891011121314151617181920212223242526272829[[#This Row],[نوع الخدمة]]="مخالفات", 50,
IF(Basic34567891011121314151617181920212223242526272829[[#This Row],[نوع الخدمة]]="كاش ان",
    IF(F171&lt;=100, 18, IF(F171&lt;=250, 23, IF(F171&lt;=500, 35, IF(F171&lt;=1000, 40, F171*0.04)))),
IF(Basic34567891011121314151617181920212223242526272829[[#This Row],[نوع الخدمة]]="كاش اوت",
    IF(F171&lt;=100, 15, IF(F171&lt;=250, 20, IF(F171&lt;=500, 30, IF(F171&lt;=1000, 35, F171*0.035)))),
0)))</f>
        <v>0</v>
      </c>
      <c r="H171" s="159">
        <f>IF(I171="مخالفات",50,Basic34567891011121314151617181920212223242526272829[[#This Row],[قيمة الرسوم / العموله]]+Basic34567891011121314151617181920212223242526272829[[#This Row],[قيمة الشحنه]])</f>
        <v>0</v>
      </c>
      <c r="I171" s="90"/>
      <c r="J171" s="142" t="str">
        <f t="shared" si="2"/>
        <v>4.5.2026</v>
      </c>
      <c r="L171" s="153">
        <v>160</v>
      </c>
      <c r="M171" s="92"/>
    </row>
    <row r="172" spans="1:13" ht="21.6" x14ac:dyDescent="0.65">
      <c r="A172" s="195"/>
      <c r="B172" s="140">
        <v>169</v>
      </c>
      <c r="C172" s="2"/>
      <c r="D172" s="1"/>
      <c r="E172" s="3"/>
      <c r="F172" s="1"/>
      <c r="G172" s="141">
        <f>IF(Basic34567891011121314151617181920212223242526272829[[#This Row],[نوع الخدمة]]="مخالفات", 50,
IF(Basic34567891011121314151617181920212223242526272829[[#This Row],[نوع الخدمة]]="كاش ان",
    IF(F172&lt;=100, 18, IF(F172&lt;=250, 23, IF(F172&lt;=500, 35, IF(F172&lt;=1000, 40, F172*0.04)))),
IF(Basic34567891011121314151617181920212223242526272829[[#This Row],[نوع الخدمة]]="كاش اوت",
    IF(F172&lt;=100, 15, IF(F172&lt;=250, 20, IF(F172&lt;=500, 30, IF(F172&lt;=1000, 35, F172*0.035)))),
0)))</f>
        <v>0</v>
      </c>
      <c r="H172" s="159">
        <f>IF(I172="مخالفات",50,Basic34567891011121314151617181920212223242526272829[[#This Row],[قيمة الرسوم / العموله]]+Basic34567891011121314151617181920212223242526272829[[#This Row],[قيمة الشحنه]])</f>
        <v>0</v>
      </c>
      <c r="I172" s="90"/>
      <c r="J172" s="142" t="str">
        <f t="shared" si="2"/>
        <v>4.5.2026</v>
      </c>
      <c r="L172" s="153">
        <v>161</v>
      </c>
      <c r="M172" s="92"/>
    </row>
    <row r="173" spans="1:13" ht="21.6" x14ac:dyDescent="0.65">
      <c r="A173" s="195"/>
      <c r="B173" s="144">
        <v>170</v>
      </c>
      <c r="C173" s="2"/>
      <c r="D173" s="1"/>
      <c r="E173" s="3"/>
      <c r="F173" s="1"/>
      <c r="G173" s="141">
        <f>IF(Basic34567891011121314151617181920212223242526272829[[#This Row],[نوع الخدمة]]="مخالفات", 50,
IF(Basic34567891011121314151617181920212223242526272829[[#This Row],[نوع الخدمة]]="كاش ان",
    IF(F173&lt;=100, 18, IF(F173&lt;=250, 23, IF(F173&lt;=500, 35, IF(F173&lt;=1000, 40, F173*0.04)))),
IF(Basic34567891011121314151617181920212223242526272829[[#This Row],[نوع الخدمة]]="كاش اوت",
    IF(F173&lt;=100, 15, IF(F173&lt;=250, 20, IF(F173&lt;=500, 30, IF(F173&lt;=1000, 35, F173*0.035)))),
0)))</f>
        <v>0</v>
      </c>
      <c r="H173" s="159">
        <f>IF(I173="مخالفات",50,Basic34567891011121314151617181920212223242526272829[[#This Row],[قيمة الرسوم / العموله]]+Basic34567891011121314151617181920212223242526272829[[#This Row],[قيمة الشحنه]])</f>
        <v>0</v>
      </c>
      <c r="I173" s="90"/>
      <c r="J173" s="142" t="str">
        <f t="shared" si="2"/>
        <v>4.5.2026</v>
      </c>
      <c r="L173" s="153">
        <v>162</v>
      </c>
      <c r="M173" s="92"/>
    </row>
    <row r="174" spans="1:13" ht="21.6" x14ac:dyDescent="0.65">
      <c r="A174" s="195"/>
      <c r="B174" s="140">
        <v>171</v>
      </c>
      <c r="C174" s="2"/>
      <c r="D174" s="1"/>
      <c r="E174" s="3"/>
      <c r="F174" s="1"/>
      <c r="G174" s="141">
        <f>IF(Basic34567891011121314151617181920212223242526272829[[#This Row],[نوع الخدمة]]="مخالفات", 50,
IF(Basic34567891011121314151617181920212223242526272829[[#This Row],[نوع الخدمة]]="كاش ان",
    IF(F174&lt;=100, 18, IF(F174&lt;=250, 23, IF(F174&lt;=500, 35, IF(F174&lt;=1000, 40, F174*0.04)))),
IF(Basic34567891011121314151617181920212223242526272829[[#This Row],[نوع الخدمة]]="كاش اوت",
    IF(F174&lt;=100, 15, IF(F174&lt;=250, 20, IF(F174&lt;=500, 30, IF(F174&lt;=1000, 35, F174*0.035)))),
0)))</f>
        <v>0</v>
      </c>
      <c r="H174" s="159">
        <f>IF(I174="مخالفات",50,Basic34567891011121314151617181920212223242526272829[[#This Row],[قيمة الرسوم / العموله]]+Basic34567891011121314151617181920212223242526272829[[#This Row],[قيمة الشحنه]])</f>
        <v>0</v>
      </c>
      <c r="I174" s="90"/>
      <c r="J174" s="142" t="str">
        <f t="shared" si="2"/>
        <v>4.5.2026</v>
      </c>
      <c r="L174" s="153">
        <v>163</v>
      </c>
      <c r="M174" s="92"/>
    </row>
    <row r="175" spans="1:13" ht="21.6" x14ac:dyDescent="0.65">
      <c r="A175" s="195"/>
      <c r="B175" s="140">
        <v>172</v>
      </c>
      <c r="C175" s="2"/>
      <c r="D175" s="1"/>
      <c r="E175" s="3"/>
      <c r="F175" s="1"/>
      <c r="G175" s="141">
        <f>IF(Basic34567891011121314151617181920212223242526272829[[#This Row],[نوع الخدمة]]="مخالفات", 50,
IF(Basic34567891011121314151617181920212223242526272829[[#This Row],[نوع الخدمة]]="كاش ان",
    IF(F175&lt;=100, 18, IF(F175&lt;=250, 23, IF(F175&lt;=500, 35, IF(F175&lt;=1000, 40, F175*0.04)))),
IF(Basic34567891011121314151617181920212223242526272829[[#This Row],[نوع الخدمة]]="كاش اوت",
    IF(F175&lt;=100, 15, IF(F175&lt;=250, 20, IF(F175&lt;=500, 30, IF(F175&lt;=1000, 35, F175*0.035)))),
0)))</f>
        <v>0</v>
      </c>
      <c r="H175" s="159">
        <f>IF(I175="مخالفات",50,Basic34567891011121314151617181920212223242526272829[[#This Row],[قيمة الرسوم / العموله]]+Basic34567891011121314151617181920212223242526272829[[#This Row],[قيمة الشحنه]])</f>
        <v>0</v>
      </c>
      <c r="I175" s="90"/>
      <c r="J175" s="142" t="str">
        <f t="shared" si="2"/>
        <v>4.5.2026</v>
      </c>
      <c r="L175" s="153">
        <v>164</v>
      </c>
      <c r="M175" s="92"/>
    </row>
    <row r="176" spans="1:13" ht="21.6" x14ac:dyDescent="0.65">
      <c r="A176" s="195"/>
      <c r="B176" s="140">
        <v>173</v>
      </c>
      <c r="C176" s="2"/>
      <c r="D176" s="1"/>
      <c r="E176" s="3"/>
      <c r="F176" s="1"/>
      <c r="G176" s="141">
        <f>IF(Basic34567891011121314151617181920212223242526272829[[#This Row],[نوع الخدمة]]="مخالفات", 50,
IF(Basic34567891011121314151617181920212223242526272829[[#This Row],[نوع الخدمة]]="كاش ان",
    IF(F176&lt;=100, 18, IF(F176&lt;=250, 23, IF(F176&lt;=500, 35, IF(F176&lt;=1000, 40, F176*0.04)))),
IF(Basic34567891011121314151617181920212223242526272829[[#This Row],[نوع الخدمة]]="كاش اوت",
    IF(F176&lt;=100, 15, IF(F176&lt;=250, 20, IF(F176&lt;=500, 30, IF(F176&lt;=1000, 35, F176*0.035)))),
0)))</f>
        <v>0</v>
      </c>
      <c r="H176" s="159">
        <f>IF(I176="مخالفات",50,Basic34567891011121314151617181920212223242526272829[[#This Row],[قيمة الرسوم / العموله]]+Basic34567891011121314151617181920212223242526272829[[#This Row],[قيمة الشحنه]])</f>
        <v>0</v>
      </c>
      <c r="I176" s="90"/>
      <c r="J176" s="142" t="str">
        <f t="shared" si="2"/>
        <v>4.5.2026</v>
      </c>
      <c r="L176" s="153">
        <v>165</v>
      </c>
      <c r="M176" s="92"/>
    </row>
    <row r="177" spans="1:13" ht="21.6" x14ac:dyDescent="0.65">
      <c r="A177" s="195"/>
      <c r="B177" s="144">
        <v>174</v>
      </c>
      <c r="C177" s="2"/>
      <c r="D177" s="1"/>
      <c r="E177" s="3"/>
      <c r="F177" s="1"/>
      <c r="G177" s="141">
        <f>IF(Basic34567891011121314151617181920212223242526272829[[#This Row],[نوع الخدمة]]="مخالفات", 50,
IF(Basic34567891011121314151617181920212223242526272829[[#This Row],[نوع الخدمة]]="كاش ان",
    IF(F177&lt;=100, 18, IF(F177&lt;=250, 23, IF(F177&lt;=500, 35, IF(F177&lt;=1000, 40, F177*0.04)))),
IF(Basic34567891011121314151617181920212223242526272829[[#This Row],[نوع الخدمة]]="كاش اوت",
    IF(F177&lt;=100, 15, IF(F177&lt;=250, 20, IF(F177&lt;=500, 30, IF(F177&lt;=1000, 35, F177*0.035)))),
0)))</f>
        <v>0</v>
      </c>
      <c r="H177" s="159">
        <f>IF(I177="مخالفات",50,Basic34567891011121314151617181920212223242526272829[[#This Row],[قيمة الرسوم / العموله]]+Basic34567891011121314151617181920212223242526272829[[#This Row],[قيمة الشحنه]])</f>
        <v>0</v>
      </c>
      <c r="I177" s="90"/>
      <c r="J177" s="142" t="str">
        <f t="shared" si="2"/>
        <v>4.5.2026</v>
      </c>
      <c r="L177" s="153">
        <v>166</v>
      </c>
      <c r="M177" s="92"/>
    </row>
    <row r="178" spans="1:13" ht="21.6" x14ac:dyDescent="0.65">
      <c r="A178" s="195"/>
      <c r="B178" s="140">
        <v>175</v>
      </c>
      <c r="C178" s="2"/>
      <c r="D178" s="1"/>
      <c r="E178" s="3"/>
      <c r="F178" s="1"/>
      <c r="G178" s="141">
        <f>IF(Basic34567891011121314151617181920212223242526272829[[#This Row],[نوع الخدمة]]="مخالفات", 50,
IF(Basic34567891011121314151617181920212223242526272829[[#This Row],[نوع الخدمة]]="كاش ان",
    IF(F178&lt;=100, 18, IF(F178&lt;=250, 23, IF(F178&lt;=500, 35, IF(F178&lt;=1000, 40, F178*0.04)))),
IF(Basic34567891011121314151617181920212223242526272829[[#This Row],[نوع الخدمة]]="كاش اوت",
    IF(F178&lt;=100, 15, IF(F178&lt;=250, 20, IF(F178&lt;=500, 30, IF(F178&lt;=1000, 35, F178*0.035)))),
0)))</f>
        <v>0</v>
      </c>
      <c r="H178" s="159">
        <f>IF(I178="مخالفات",50,Basic34567891011121314151617181920212223242526272829[[#This Row],[قيمة الرسوم / العموله]]+Basic34567891011121314151617181920212223242526272829[[#This Row],[قيمة الشحنه]])</f>
        <v>0</v>
      </c>
      <c r="I178" s="90"/>
      <c r="J178" s="142" t="str">
        <f t="shared" si="2"/>
        <v>4.5.2026</v>
      </c>
      <c r="L178" s="153">
        <v>167</v>
      </c>
      <c r="M178" s="92"/>
    </row>
    <row r="179" spans="1:13" ht="21.6" x14ac:dyDescent="0.65">
      <c r="A179" s="195"/>
      <c r="B179" s="140">
        <v>176</v>
      </c>
      <c r="C179" s="2"/>
      <c r="D179" s="1"/>
      <c r="E179" s="3"/>
      <c r="F179" s="1"/>
      <c r="G179" s="141">
        <f>IF(Basic34567891011121314151617181920212223242526272829[[#This Row],[نوع الخدمة]]="مخالفات", 50,
IF(Basic34567891011121314151617181920212223242526272829[[#This Row],[نوع الخدمة]]="كاش ان",
    IF(F179&lt;=100, 18, IF(F179&lt;=250, 23, IF(F179&lt;=500, 35, IF(F179&lt;=1000, 40, F179*0.04)))),
IF(Basic34567891011121314151617181920212223242526272829[[#This Row],[نوع الخدمة]]="كاش اوت",
    IF(F179&lt;=100, 15, IF(F179&lt;=250, 20, IF(F179&lt;=500, 30, IF(F179&lt;=1000, 35, F179*0.035)))),
0)))</f>
        <v>0</v>
      </c>
      <c r="H179" s="159">
        <f>IF(I179="مخالفات",50,Basic34567891011121314151617181920212223242526272829[[#This Row],[قيمة الرسوم / العموله]]+Basic34567891011121314151617181920212223242526272829[[#This Row],[قيمة الشحنه]])</f>
        <v>0</v>
      </c>
      <c r="I179" s="90"/>
      <c r="J179" s="142" t="str">
        <f t="shared" si="2"/>
        <v>4.5.2026</v>
      </c>
      <c r="L179" s="153">
        <v>168</v>
      </c>
      <c r="M179" s="92"/>
    </row>
    <row r="180" spans="1:13" ht="21.6" x14ac:dyDescent="0.65">
      <c r="A180" s="195"/>
      <c r="B180" s="140">
        <v>177</v>
      </c>
      <c r="C180" s="2"/>
      <c r="D180" s="1"/>
      <c r="E180" s="3"/>
      <c r="F180" s="1"/>
      <c r="G180" s="141">
        <f>IF(Basic34567891011121314151617181920212223242526272829[[#This Row],[نوع الخدمة]]="مخالفات", 50,
IF(Basic34567891011121314151617181920212223242526272829[[#This Row],[نوع الخدمة]]="كاش ان",
    IF(F180&lt;=100, 18, IF(F180&lt;=250, 23, IF(F180&lt;=500, 35, IF(F180&lt;=1000, 40, F180*0.04)))),
IF(Basic34567891011121314151617181920212223242526272829[[#This Row],[نوع الخدمة]]="كاش اوت",
    IF(F180&lt;=100, 15, IF(F180&lt;=250, 20, IF(F180&lt;=500, 30, IF(F180&lt;=1000, 35, F180*0.035)))),
0)))</f>
        <v>0</v>
      </c>
      <c r="H180" s="159">
        <f>IF(I180="مخالفات",50,Basic34567891011121314151617181920212223242526272829[[#This Row],[قيمة الرسوم / العموله]]+Basic34567891011121314151617181920212223242526272829[[#This Row],[قيمة الشحنه]])</f>
        <v>0</v>
      </c>
      <c r="I180" s="90"/>
      <c r="J180" s="142" t="str">
        <f t="shared" si="2"/>
        <v>4.5.2026</v>
      </c>
      <c r="L180" s="153">
        <v>169</v>
      </c>
      <c r="M180" s="92"/>
    </row>
    <row r="181" spans="1:13" ht="21.6" x14ac:dyDescent="0.65">
      <c r="A181" s="195"/>
      <c r="B181" s="144">
        <v>178</v>
      </c>
      <c r="C181" s="2"/>
      <c r="D181" s="1"/>
      <c r="E181" s="3"/>
      <c r="F181" s="1"/>
      <c r="G181" s="141">
        <f>IF(Basic34567891011121314151617181920212223242526272829[[#This Row],[نوع الخدمة]]="مخالفات", 50,
IF(Basic34567891011121314151617181920212223242526272829[[#This Row],[نوع الخدمة]]="كاش ان",
    IF(F181&lt;=100, 18, IF(F181&lt;=250, 23, IF(F181&lt;=500, 35, IF(F181&lt;=1000, 40, F181*0.04)))),
IF(Basic34567891011121314151617181920212223242526272829[[#This Row],[نوع الخدمة]]="كاش اوت",
    IF(F181&lt;=100, 15, IF(F181&lt;=250, 20, IF(F181&lt;=500, 30, IF(F181&lt;=1000, 35, F181*0.035)))),
0)))</f>
        <v>0</v>
      </c>
      <c r="H181" s="159">
        <f>IF(I181="مخالفات",50,Basic34567891011121314151617181920212223242526272829[[#This Row],[قيمة الرسوم / العموله]]+Basic34567891011121314151617181920212223242526272829[[#This Row],[قيمة الشحنه]])</f>
        <v>0</v>
      </c>
      <c r="I181" s="90"/>
      <c r="J181" s="142" t="str">
        <f t="shared" si="2"/>
        <v>4.5.2026</v>
      </c>
      <c r="L181" s="153">
        <v>170</v>
      </c>
      <c r="M181" s="92"/>
    </row>
    <row r="182" spans="1:13" ht="21.6" x14ac:dyDescent="0.65">
      <c r="A182" s="195"/>
      <c r="B182" s="140">
        <v>179</v>
      </c>
      <c r="C182" s="2"/>
      <c r="D182" s="1"/>
      <c r="E182" s="3"/>
      <c r="F182" s="1"/>
      <c r="G182" s="141">
        <f>IF(Basic34567891011121314151617181920212223242526272829[[#This Row],[نوع الخدمة]]="مخالفات", 50,
IF(Basic34567891011121314151617181920212223242526272829[[#This Row],[نوع الخدمة]]="كاش ان",
    IF(F182&lt;=100, 18, IF(F182&lt;=250, 23, IF(F182&lt;=500, 35, IF(F182&lt;=1000, 40, F182*0.04)))),
IF(Basic34567891011121314151617181920212223242526272829[[#This Row],[نوع الخدمة]]="كاش اوت",
    IF(F182&lt;=100, 15, IF(F182&lt;=250, 20, IF(F182&lt;=500, 30, IF(F182&lt;=1000, 35, F182*0.035)))),
0)))</f>
        <v>0</v>
      </c>
      <c r="H182" s="159">
        <f>IF(I182="مخالفات",50,Basic34567891011121314151617181920212223242526272829[[#This Row],[قيمة الرسوم / العموله]]+Basic34567891011121314151617181920212223242526272829[[#This Row],[قيمة الشحنه]])</f>
        <v>0</v>
      </c>
      <c r="I182" s="90"/>
      <c r="J182" s="142" t="str">
        <f t="shared" si="2"/>
        <v>4.5.2026</v>
      </c>
      <c r="L182" s="153">
        <v>171</v>
      </c>
      <c r="M182" s="92"/>
    </row>
    <row r="183" spans="1:13" ht="21.6" x14ac:dyDescent="0.65">
      <c r="A183" s="195"/>
      <c r="B183" s="140">
        <v>180</v>
      </c>
      <c r="C183" s="2"/>
      <c r="D183" s="1"/>
      <c r="E183" s="3"/>
      <c r="F183" s="1"/>
      <c r="G183" s="141">
        <f>IF(Basic34567891011121314151617181920212223242526272829[[#This Row],[نوع الخدمة]]="مخالفات", 50,
IF(Basic34567891011121314151617181920212223242526272829[[#This Row],[نوع الخدمة]]="كاش ان",
    IF(F183&lt;=100, 18, IF(F183&lt;=250, 23, IF(F183&lt;=500, 35, IF(F183&lt;=1000, 40, F183*0.04)))),
IF(Basic34567891011121314151617181920212223242526272829[[#This Row],[نوع الخدمة]]="كاش اوت",
    IF(F183&lt;=100, 15, IF(F183&lt;=250, 20, IF(F183&lt;=500, 30, IF(F183&lt;=1000, 35, F183*0.035)))),
0)))</f>
        <v>0</v>
      </c>
      <c r="H183" s="159">
        <f>IF(I183="مخالفات",50,Basic34567891011121314151617181920212223242526272829[[#This Row],[قيمة الرسوم / العموله]]+Basic34567891011121314151617181920212223242526272829[[#This Row],[قيمة الشحنه]])</f>
        <v>0</v>
      </c>
      <c r="I183" s="90"/>
      <c r="J183" s="142" t="str">
        <f t="shared" si="2"/>
        <v>4.5.2026</v>
      </c>
      <c r="L183" s="153">
        <v>172</v>
      </c>
      <c r="M183" s="92"/>
    </row>
    <row r="184" spans="1:13" ht="21.6" x14ac:dyDescent="0.65">
      <c r="A184" s="195"/>
      <c r="B184" s="140">
        <v>181</v>
      </c>
      <c r="C184" s="2"/>
      <c r="D184" s="1"/>
      <c r="E184" s="3"/>
      <c r="F184" s="1"/>
      <c r="G184" s="141">
        <f>IF(Basic34567891011121314151617181920212223242526272829[[#This Row],[نوع الخدمة]]="مخالفات", 50,
IF(Basic34567891011121314151617181920212223242526272829[[#This Row],[نوع الخدمة]]="كاش ان",
    IF(F184&lt;=100, 18, IF(F184&lt;=250, 23, IF(F184&lt;=500, 35, IF(F184&lt;=1000, 40, F184*0.04)))),
IF(Basic34567891011121314151617181920212223242526272829[[#This Row],[نوع الخدمة]]="كاش اوت",
    IF(F184&lt;=100, 15, IF(F184&lt;=250, 20, IF(F184&lt;=500, 30, IF(F184&lt;=1000, 35, F184*0.035)))),
0)))</f>
        <v>0</v>
      </c>
      <c r="H184" s="159">
        <f>IF(I184="مخالفات",50,Basic34567891011121314151617181920212223242526272829[[#This Row],[قيمة الرسوم / العموله]]+Basic34567891011121314151617181920212223242526272829[[#This Row],[قيمة الشحنه]])</f>
        <v>0</v>
      </c>
      <c r="I184" s="90"/>
      <c r="J184" s="142" t="str">
        <f t="shared" si="2"/>
        <v>4.5.2026</v>
      </c>
      <c r="L184" s="153">
        <v>173</v>
      </c>
      <c r="M184" s="92"/>
    </row>
    <row r="185" spans="1:13" ht="21.6" x14ac:dyDescent="0.65">
      <c r="A185" s="195"/>
      <c r="B185" s="144">
        <v>182</v>
      </c>
      <c r="C185" s="2"/>
      <c r="D185" s="1"/>
      <c r="E185" s="3"/>
      <c r="F185" s="1"/>
      <c r="G185" s="141">
        <f>IF(Basic34567891011121314151617181920212223242526272829[[#This Row],[نوع الخدمة]]="مخالفات", 50,
IF(Basic34567891011121314151617181920212223242526272829[[#This Row],[نوع الخدمة]]="كاش ان",
    IF(F185&lt;=100, 18, IF(F185&lt;=250, 23, IF(F185&lt;=500, 35, IF(F185&lt;=1000, 40, F185*0.04)))),
IF(Basic34567891011121314151617181920212223242526272829[[#This Row],[نوع الخدمة]]="كاش اوت",
    IF(F185&lt;=100, 15, IF(F185&lt;=250, 20, IF(F185&lt;=500, 30, IF(F185&lt;=1000, 35, F185*0.035)))),
0)))</f>
        <v>0</v>
      </c>
      <c r="H185" s="159">
        <f>IF(I185="مخالفات",50,Basic34567891011121314151617181920212223242526272829[[#This Row],[قيمة الرسوم / العموله]]+Basic34567891011121314151617181920212223242526272829[[#This Row],[قيمة الشحنه]])</f>
        <v>0</v>
      </c>
      <c r="I185" s="90"/>
      <c r="J185" s="142" t="str">
        <f t="shared" si="2"/>
        <v>4.5.2026</v>
      </c>
      <c r="L185" s="153">
        <v>174</v>
      </c>
      <c r="M185" s="92"/>
    </row>
    <row r="186" spans="1:13" ht="21.6" x14ac:dyDescent="0.65">
      <c r="A186" s="195"/>
      <c r="B186" s="140">
        <v>183</v>
      </c>
      <c r="C186" s="2"/>
      <c r="D186" s="1"/>
      <c r="E186" s="3"/>
      <c r="F186" s="1"/>
      <c r="G186" s="141">
        <f>IF(Basic34567891011121314151617181920212223242526272829[[#This Row],[نوع الخدمة]]="مخالفات", 50,
IF(Basic34567891011121314151617181920212223242526272829[[#This Row],[نوع الخدمة]]="كاش ان",
    IF(F186&lt;=100, 18, IF(F186&lt;=250, 23, IF(F186&lt;=500, 35, IF(F186&lt;=1000, 40, F186*0.04)))),
IF(Basic34567891011121314151617181920212223242526272829[[#This Row],[نوع الخدمة]]="كاش اوت",
    IF(F186&lt;=100, 15, IF(F186&lt;=250, 20, IF(F186&lt;=500, 30, IF(F186&lt;=1000, 35, F186*0.035)))),
0)))</f>
        <v>0</v>
      </c>
      <c r="H186" s="159">
        <f>IF(I186="مخالفات",50,Basic34567891011121314151617181920212223242526272829[[#This Row],[قيمة الرسوم / العموله]]+Basic34567891011121314151617181920212223242526272829[[#This Row],[قيمة الشحنه]])</f>
        <v>0</v>
      </c>
      <c r="I186" s="90"/>
      <c r="J186" s="142" t="str">
        <f t="shared" si="2"/>
        <v>4.5.2026</v>
      </c>
      <c r="L186" s="153">
        <v>175</v>
      </c>
      <c r="M186" s="92"/>
    </row>
    <row r="187" spans="1:13" ht="21.6" x14ac:dyDescent="0.65">
      <c r="A187" s="195"/>
      <c r="B187" s="140">
        <v>184</v>
      </c>
      <c r="C187" s="2"/>
      <c r="D187" s="1"/>
      <c r="E187" s="3"/>
      <c r="F187" s="1"/>
      <c r="G187" s="141">
        <f>IF(Basic34567891011121314151617181920212223242526272829[[#This Row],[نوع الخدمة]]="مخالفات", 50,
IF(Basic34567891011121314151617181920212223242526272829[[#This Row],[نوع الخدمة]]="كاش ان",
    IF(F187&lt;=100, 18, IF(F187&lt;=250, 23, IF(F187&lt;=500, 35, IF(F187&lt;=1000, 40, F187*0.04)))),
IF(Basic34567891011121314151617181920212223242526272829[[#This Row],[نوع الخدمة]]="كاش اوت",
    IF(F187&lt;=100, 15, IF(F187&lt;=250, 20, IF(F187&lt;=500, 30, IF(F187&lt;=1000, 35, F187*0.035)))),
0)))</f>
        <v>0</v>
      </c>
      <c r="H187" s="159">
        <f>IF(I187="مخالفات",50,Basic34567891011121314151617181920212223242526272829[[#This Row],[قيمة الرسوم / العموله]]+Basic34567891011121314151617181920212223242526272829[[#This Row],[قيمة الشحنه]])</f>
        <v>0</v>
      </c>
      <c r="I187" s="90"/>
      <c r="J187" s="142" t="str">
        <f t="shared" si="2"/>
        <v>4.5.2026</v>
      </c>
      <c r="L187" s="153">
        <v>176</v>
      </c>
      <c r="M187" s="92"/>
    </row>
    <row r="188" spans="1:13" ht="21.6" x14ac:dyDescent="0.65">
      <c r="A188" s="195"/>
      <c r="B188" s="140">
        <v>185</v>
      </c>
      <c r="C188" s="2"/>
      <c r="D188" s="1"/>
      <c r="E188" s="3"/>
      <c r="F188" s="1"/>
      <c r="G188" s="141">
        <f>IF(Basic34567891011121314151617181920212223242526272829[[#This Row],[نوع الخدمة]]="مخالفات", 50,
IF(Basic34567891011121314151617181920212223242526272829[[#This Row],[نوع الخدمة]]="كاش ان",
    IF(F188&lt;=100, 18, IF(F188&lt;=250, 23, IF(F188&lt;=500, 35, IF(F188&lt;=1000, 40, F188*0.04)))),
IF(Basic34567891011121314151617181920212223242526272829[[#This Row],[نوع الخدمة]]="كاش اوت",
    IF(F188&lt;=100, 15, IF(F188&lt;=250, 20, IF(F188&lt;=500, 30, IF(F188&lt;=1000, 35, F188*0.035)))),
0)))</f>
        <v>0</v>
      </c>
      <c r="H188" s="159">
        <f>IF(I188="مخالفات",50,Basic34567891011121314151617181920212223242526272829[[#This Row],[قيمة الرسوم / العموله]]+Basic34567891011121314151617181920212223242526272829[[#This Row],[قيمة الشحنه]])</f>
        <v>0</v>
      </c>
      <c r="I188" s="90"/>
      <c r="J188" s="142" t="str">
        <f t="shared" si="2"/>
        <v>4.5.2026</v>
      </c>
      <c r="L188" s="153">
        <v>177</v>
      </c>
      <c r="M188" s="92"/>
    </row>
    <row r="189" spans="1:13" ht="21.6" x14ac:dyDescent="0.65">
      <c r="A189" s="195"/>
      <c r="B189" s="144">
        <v>186</v>
      </c>
      <c r="C189" s="2"/>
      <c r="D189" s="1"/>
      <c r="E189" s="3"/>
      <c r="F189" s="1"/>
      <c r="G189" s="141">
        <f>IF(Basic34567891011121314151617181920212223242526272829[[#This Row],[نوع الخدمة]]="مخالفات", 50,
IF(Basic34567891011121314151617181920212223242526272829[[#This Row],[نوع الخدمة]]="كاش ان",
    IF(F189&lt;=100, 18, IF(F189&lt;=250, 23, IF(F189&lt;=500, 35, IF(F189&lt;=1000, 40, F189*0.04)))),
IF(Basic34567891011121314151617181920212223242526272829[[#This Row],[نوع الخدمة]]="كاش اوت",
    IF(F189&lt;=100, 15, IF(F189&lt;=250, 20, IF(F189&lt;=500, 30, IF(F189&lt;=1000, 35, F189*0.035)))),
0)))</f>
        <v>0</v>
      </c>
      <c r="H189" s="159">
        <f>IF(I189="مخالفات",50,Basic34567891011121314151617181920212223242526272829[[#This Row],[قيمة الرسوم / العموله]]+Basic34567891011121314151617181920212223242526272829[[#This Row],[قيمة الشحنه]])</f>
        <v>0</v>
      </c>
      <c r="I189" s="90"/>
      <c r="J189" s="142" t="str">
        <f t="shared" si="2"/>
        <v>4.5.2026</v>
      </c>
      <c r="L189" s="153">
        <v>178</v>
      </c>
      <c r="M189" s="92"/>
    </row>
    <row r="190" spans="1:13" ht="21.6" x14ac:dyDescent="0.65">
      <c r="A190" s="195"/>
      <c r="B190" s="140">
        <v>187</v>
      </c>
      <c r="C190" s="2"/>
      <c r="D190" s="1"/>
      <c r="E190" s="3"/>
      <c r="F190" s="1"/>
      <c r="G190" s="141">
        <f>IF(Basic34567891011121314151617181920212223242526272829[[#This Row],[نوع الخدمة]]="مخالفات", 50,
IF(Basic34567891011121314151617181920212223242526272829[[#This Row],[نوع الخدمة]]="كاش ان",
    IF(F190&lt;=100, 18, IF(F190&lt;=250, 23, IF(F190&lt;=500, 35, IF(F190&lt;=1000, 40, F190*0.04)))),
IF(Basic34567891011121314151617181920212223242526272829[[#This Row],[نوع الخدمة]]="كاش اوت",
    IF(F190&lt;=100, 15, IF(F190&lt;=250, 20, IF(F190&lt;=500, 30, IF(F190&lt;=1000, 35, F190*0.035)))),
0)))</f>
        <v>0</v>
      </c>
      <c r="H190" s="159">
        <f>IF(I190="مخالفات",50,Basic34567891011121314151617181920212223242526272829[[#This Row],[قيمة الرسوم / العموله]]+Basic34567891011121314151617181920212223242526272829[[#This Row],[قيمة الشحنه]])</f>
        <v>0</v>
      </c>
      <c r="I190" s="90"/>
      <c r="J190" s="142" t="str">
        <f t="shared" si="2"/>
        <v>4.5.2026</v>
      </c>
      <c r="L190" s="153">
        <v>179</v>
      </c>
      <c r="M190" s="92"/>
    </row>
    <row r="191" spans="1:13" ht="21.6" x14ac:dyDescent="0.65">
      <c r="A191" s="195"/>
      <c r="B191" s="140">
        <v>188</v>
      </c>
      <c r="C191" s="2"/>
      <c r="D191" s="1"/>
      <c r="E191" s="3"/>
      <c r="F191" s="1"/>
      <c r="G191" s="141">
        <f>IF(Basic34567891011121314151617181920212223242526272829[[#This Row],[نوع الخدمة]]="مخالفات", 50,
IF(Basic34567891011121314151617181920212223242526272829[[#This Row],[نوع الخدمة]]="كاش ان",
    IF(F191&lt;=100, 18, IF(F191&lt;=250, 23, IF(F191&lt;=500, 35, IF(F191&lt;=1000, 40, F191*0.04)))),
IF(Basic34567891011121314151617181920212223242526272829[[#This Row],[نوع الخدمة]]="كاش اوت",
    IF(F191&lt;=100, 15, IF(F191&lt;=250, 20, IF(F191&lt;=500, 30, IF(F191&lt;=1000, 35, F191*0.035)))),
0)))</f>
        <v>0</v>
      </c>
      <c r="H191" s="159">
        <f>IF(I191="مخالفات",50,Basic34567891011121314151617181920212223242526272829[[#This Row],[قيمة الرسوم / العموله]]+Basic34567891011121314151617181920212223242526272829[[#This Row],[قيمة الشحنه]])</f>
        <v>0</v>
      </c>
      <c r="I191" s="90"/>
      <c r="J191" s="142" t="str">
        <f t="shared" si="2"/>
        <v>4.5.2026</v>
      </c>
      <c r="L191" s="153">
        <v>180</v>
      </c>
      <c r="M191" s="92"/>
    </row>
    <row r="192" spans="1:13" ht="21.6" x14ac:dyDescent="0.65">
      <c r="A192" s="195"/>
      <c r="B192" s="140">
        <v>189</v>
      </c>
      <c r="C192" s="2"/>
      <c r="D192" s="1"/>
      <c r="E192" s="3"/>
      <c r="F192" s="1"/>
      <c r="G192" s="141">
        <f>IF(Basic34567891011121314151617181920212223242526272829[[#This Row],[نوع الخدمة]]="مخالفات", 50,
IF(Basic34567891011121314151617181920212223242526272829[[#This Row],[نوع الخدمة]]="كاش ان",
    IF(F192&lt;=100, 18, IF(F192&lt;=250, 23, IF(F192&lt;=500, 35, IF(F192&lt;=1000, 40, F192*0.04)))),
IF(Basic34567891011121314151617181920212223242526272829[[#This Row],[نوع الخدمة]]="كاش اوت",
    IF(F192&lt;=100, 15, IF(F192&lt;=250, 20, IF(F192&lt;=500, 30, IF(F192&lt;=1000, 35, F192*0.035)))),
0)))</f>
        <v>0</v>
      </c>
      <c r="H192" s="159">
        <f>IF(I192="مخالفات",50,Basic34567891011121314151617181920212223242526272829[[#This Row],[قيمة الرسوم / العموله]]+Basic34567891011121314151617181920212223242526272829[[#This Row],[قيمة الشحنه]])</f>
        <v>0</v>
      </c>
      <c r="I192" s="90"/>
      <c r="J192" s="142" t="str">
        <f t="shared" si="2"/>
        <v>4.5.2026</v>
      </c>
      <c r="L192" s="153">
        <v>181</v>
      </c>
      <c r="M192" s="92"/>
    </row>
    <row r="193" spans="1:13" ht="21.6" x14ac:dyDescent="0.65">
      <c r="A193" s="195"/>
      <c r="B193" s="144">
        <v>190</v>
      </c>
      <c r="C193" s="2"/>
      <c r="D193" s="1"/>
      <c r="E193" s="3"/>
      <c r="F193" s="1"/>
      <c r="G193" s="141">
        <f>IF(Basic34567891011121314151617181920212223242526272829[[#This Row],[نوع الخدمة]]="مخالفات", 50,
IF(Basic34567891011121314151617181920212223242526272829[[#This Row],[نوع الخدمة]]="كاش ان",
    IF(F193&lt;=100, 18, IF(F193&lt;=250, 23, IF(F193&lt;=500, 35, IF(F193&lt;=1000, 40, F193*0.04)))),
IF(Basic34567891011121314151617181920212223242526272829[[#This Row],[نوع الخدمة]]="كاش اوت",
    IF(F193&lt;=100, 15, IF(F193&lt;=250, 20, IF(F193&lt;=500, 30, IF(F193&lt;=1000, 35, F193*0.035)))),
0)))</f>
        <v>0</v>
      </c>
      <c r="H193" s="159">
        <f>IF(I193="مخالفات",50,Basic34567891011121314151617181920212223242526272829[[#This Row],[قيمة الرسوم / العموله]]+Basic34567891011121314151617181920212223242526272829[[#This Row],[قيمة الشحنه]])</f>
        <v>0</v>
      </c>
      <c r="I193" s="90"/>
      <c r="J193" s="142" t="str">
        <f t="shared" si="2"/>
        <v>4.5.2026</v>
      </c>
      <c r="L193" s="153">
        <v>182</v>
      </c>
      <c r="M193" s="92"/>
    </row>
    <row r="194" spans="1:13" ht="21.6" x14ac:dyDescent="0.65">
      <c r="A194" s="195"/>
      <c r="B194" s="140">
        <v>191</v>
      </c>
      <c r="C194" s="2"/>
      <c r="D194" s="1"/>
      <c r="E194" s="3"/>
      <c r="F194" s="1"/>
      <c r="G194" s="141">
        <f>IF(Basic34567891011121314151617181920212223242526272829[[#This Row],[نوع الخدمة]]="مخالفات", 50,
IF(Basic34567891011121314151617181920212223242526272829[[#This Row],[نوع الخدمة]]="كاش ان",
    IF(F194&lt;=100, 18, IF(F194&lt;=250, 23, IF(F194&lt;=500, 35, IF(F194&lt;=1000, 40, F194*0.04)))),
IF(Basic34567891011121314151617181920212223242526272829[[#This Row],[نوع الخدمة]]="كاش اوت",
    IF(F194&lt;=100, 15, IF(F194&lt;=250, 20, IF(F194&lt;=500, 30, IF(F194&lt;=1000, 35, F194*0.035)))),
0)))</f>
        <v>0</v>
      </c>
      <c r="H194" s="159">
        <f>IF(I194="مخالفات",50,Basic34567891011121314151617181920212223242526272829[[#This Row],[قيمة الرسوم / العموله]]+Basic34567891011121314151617181920212223242526272829[[#This Row],[قيمة الشحنه]])</f>
        <v>0</v>
      </c>
      <c r="I194" s="90"/>
      <c r="J194" s="142" t="str">
        <f t="shared" si="2"/>
        <v>4.5.2026</v>
      </c>
      <c r="L194" s="153">
        <v>183</v>
      </c>
      <c r="M194" s="92"/>
    </row>
    <row r="195" spans="1:13" ht="21.6" x14ac:dyDescent="0.65">
      <c r="A195" s="195"/>
      <c r="B195" s="140">
        <v>192</v>
      </c>
      <c r="C195" s="2"/>
      <c r="D195" s="1"/>
      <c r="E195" s="3"/>
      <c r="F195" s="1"/>
      <c r="G195" s="141">
        <f>IF(Basic34567891011121314151617181920212223242526272829[[#This Row],[نوع الخدمة]]="مخالفات", 50,
IF(Basic34567891011121314151617181920212223242526272829[[#This Row],[نوع الخدمة]]="كاش ان",
    IF(F195&lt;=100, 18, IF(F195&lt;=250, 23, IF(F195&lt;=500, 35, IF(F195&lt;=1000, 40, F195*0.04)))),
IF(Basic34567891011121314151617181920212223242526272829[[#This Row],[نوع الخدمة]]="كاش اوت",
    IF(F195&lt;=100, 15, IF(F195&lt;=250, 20, IF(F195&lt;=500, 30, IF(F195&lt;=1000, 35, F195*0.035)))),
0)))</f>
        <v>0</v>
      </c>
      <c r="H195" s="159">
        <f>IF(I195="مخالفات",50,Basic34567891011121314151617181920212223242526272829[[#This Row],[قيمة الرسوم / العموله]]+Basic34567891011121314151617181920212223242526272829[[#This Row],[قيمة الشحنه]])</f>
        <v>0</v>
      </c>
      <c r="I195" s="90"/>
      <c r="J195" s="142" t="str">
        <f t="shared" si="2"/>
        <v>4.5.2026</v>
      </c>
      <c r="L195" s="153">
        <v>184</v>
      </c>
      <c r="M195" s="92"/>
    </row>
    <row r="196" spans="1:13" ht="21.6" x14ac:dyDescent="0.65">
      <c r="A196" s="195"/>
      <c r="B196" s="140">
        <v>193</v>
      </c>
      <c r="C196" s="2"/>
      <c r="D196" s="1"/>
      <c r="E196" s="3"/>
      <c r="F196" s="1"/>
      <c r="G196" s="141">
        <f>IF(Basic34567891011121314151617181920212223242526272829[[#This Row],[نوع الخدمة]]="مخالفات", 50,
IF(Basic34567891011121314151617181920212223242526272829[[#This Row],[نوع الخدمة]]="كاش ان",
    IF(F196&lt;=100, 18, IF(F196&lt;=250, 23, IF(F196&lt;=500, 35, IF(F196&lt;=1000, 40, F196*0.04)))),
IF(Basic34567891011121314151617181920212223242526272829[[#This Row],[نوع الخدمة]]="كاش اوت",
    IF(F196&lt;=100, 15, IF(F196&lt;=250, 20, IF(F196&lt;=500, 30, IF(F196&lt;=1000, 35, F196*0.035)))),
0)))</f>
        <v>0</v>
      </c>
      <c r="H196" s="159">
        <f>IF(I196="مخالفات",50,Basic34567891011121314151617181920212223242526272829[[#This Row],[قيمة الرسوم / العموله]]+Basic34567891011121314151617181920212223242526272829[[#This Row],[قيمة الشحنه]])</f>
        <v>0</v>
      </c>
      <c r="I196" s="90"/>
      <c r="J196" s="142" t="str">
        <f t="shared" ref="J196:J226" si="3">M$3</f>
        <v>4.5.2026</v>
      </c>
      <c r="L196" s="153">
        <v>185</v>
      </c>
      <c r="M196" s="92"/>
    </row>
    <row r="197" spans="1:13" ht="21.6" x14ac:dyDescent="0.65">
      <c r="A197" s="195"/>
      <c r="B197" s="144">
        <v>194</v>
      </c>
      <c r="C197" s="2"/>
      <c r="D197" s="1"/>
      <c r="E197" s="3"/>
      <c r="F197" s="1"/>
      <c r="G197" s="141">
        <f>IF(Basic34567891011121314151617181920212223242526272829[[#This Row],[نوع الخدمة]]="مخالفات", 50,
IF(Basic34567891011121314151617181920212223242526272829[[#This Row],[نوع الخدمة]]="كاش ان",
    IF(F197&lt;=100, 18, IF(F197&lt;=250, 23, IF(F197&lt;=500, 35, IF(F197&lt;=1000, 40, F197*0.04)))),
IF(Basic34567891011121314151617181920212223242526272829[[#This Row],[نوع الخدمة]]="كاش اوت",
    IF(F197&lt;=100, 15, IF(F197&lt;=250, 20, IF(F197&lt;=500, 30, IF(F197&lt;=1000, 35, F197*0.035)))),
0)))</f>
        <v>0</v>
      </c>
      <c r="H197" s="159">
        <f>IF(I197="مخالفات",50,Basic34567891011121314151617181920212223242526272829[[#This Row],[قيمة الرسوم / العموله]]+Basic34567891011121314151617181920212223242526272829[[#This Row],[قيمة الشحنه]])</f>
        <v>0</v>
      </c>
      <c r="I197" s="90"/>
      <c r="J197" s="142" t="str">
        <f t="shared" si="3"/>
        <v>4.5.2026</v>
      </c>
      <c r="L197" s="153">
        <v>186</v>
      </c>
      <c r="M197" s="92"/>
    </row>
    <row r="198" spans="1:13" ht="21.6" x14ac:dyDescent="0.65">
      <c r="A198" s="195"/>
      <c r="B198" s="140">
        <v>195</v>
      </c>
      <c r="C198" s="2"/>
      <c r="D198" s="1"/>
      <c r="E198" s="3"/>
      <c r="F198" s="1"/>
      <c r="G198" s="141">
        <f>IF(Basic34567891011121314151617181920212223242526272829[[#This Row],[نوع الخدمة]]="مخالفات", 50,
IF(Basic34567891011121314151617181920212223242526272829[[#This Row],[نوع الخدمة]]="كاش ان",
    IF(F198&lt;=100, 18, IF(F198&lt;=250, 23, IF(F198&lt;=500, 35, IF(F198&lt;=1000, 40, F198*0.04)))),
IF(Basic34567891011121314151617181920212223242526272829[[#This Row],[نوع الخدمة]]="كاش اوت",
    IF(F198&lt;=100, 15, IF(F198&lt;=250, 20, IF(F198&lt;=500, 30, IF(F198&lt;=1000, 35, F198*0.035)))),
0)))</f>
        <v>0</v>
      </c>
      <c r="H198" s="159">
        <f>IF(I198="مخالفات",50,Basic34567891011121314151617181920212223242526272829[[#This Row],[قيمة الرسوم / العموله]]+Basic34567891011121314151617181920212223242526272829[[#This Row],[قيمة الشحنه]])</f>
        <v>0</v>
      </c>
      <c r="I198" s="90"/>
      <c r="J198" s="142" t="str">
        <f t="shared" si="3"/>
        <v>4.5.2026</v>
      </c>
      <c r="L198" s="153">
        <v>187</v>
      </c>
      <c r="M198" s="92"/>
    </row>
    <row r="199" spans="1:13" ht="21.6" x14ac:dyDescent="0.65">
      <c r="A199" s="195"/>
      <c r="B199" s="140">
        <v>196</v>
      </c>
      <c r="C199" s="2"/>
      <c r="D199" s="1"/>
      <c r="E199" s="3"/>
      <c r="F199" s="1"/>
      <c r="G199" s="141">
        <f>IF(Basic34567891011121314151617181920212223242526272829[[#This Row],[نوع الخدمة]]="مخالفات", 50,
IF(Basic34567891011121314151617181920212223242526272829[[#This Row],[نوع الخدمة]]="كاش ان",
    IF(F199&lt;=100, 18, IF(F199&lt;=250, 23, IF(F199&lt;=500, 35, IF(F199&lt;=1000, 40, F199*0.04)))),
IF(Basic34567891011121314151617181920212223242526272829[[#This Row],[نوع الخدمة]]="كاش اوت",
    IF(F199&lt;=100, 15, IF(F199&lt;=250, 20, IF(F199&lt;=500, 30, IF(F199&lt;=1000, 35, F199*0.035)))),
0)))</f>
        <v>0</v>
      </c>
      <c r="H199" s="159">
        <f>IF(I199="مخالفات",50,Basic34567891011121314151617181920212223242526272829[[#This Row],[قيمة الرسوم / العموله]]+Basic34567891011121314151617181920212223242526272829[[#This Row],[قيمة الشحنه]])</f>
        <v>0</v>
      </c>
      <c r="I199" s="90"/>
      <c r="J199" s="142" t="str">
        <f t="shared" si="3"/>
        <v>4.5.2026</v>
      </c>
      <c r="L199" s="153">
        <v>188</v>
      </c>
      <c r="M199" s="92"/>
    </row>
    <row r="200" spans="1:13" ht="21.6" x14ac:dyDescent="0.65">
      <c r="A200" s="195"/>
      <c r="B200" s="140">
        <v>197</v>
      </c>
      <c r="C200" s="2"/>
      <c r="D200" s="1"/>
      <c r="E200" s="3"/>
      <c r="F200" s="1"/>
      <c r="G200" s="141">
        <f>IF(Basic34567891011121314151617181920212223242526272829[[#This Row],[نوع الخدمة]]="مخالفات", 50,
IF(Basic34567891011121314151617181920212223242526272829[[#This Row],[نوع الخدمة]]="كاش ان",
    IF(F200&lt;=100, 18, IF(F200&lt;=250, 23, IF(F200&lt;=500, 35, IF(F200&lt;=1000, 40, F200*0.04)))),
IF(Basic34567891011121314151617181920212223242526272829[[#This Row],[نوع الخدمة]]="كاش اوت",
    IF(F200&lt;=100, 15, IF(F200&lt;=250, 20, IF(F200&lt;=500, 30, IF(F200&lt;=1000, 35, F200*0.035)))),
0)))</f>
        <v>0</v>
      </c>
      <c r="H200" s="159">
        <f>IF(I200="مخالفات",50,Basic34567891011121314151617181920212223242526272829[[#This Row],[قيمة الرسوم / العموله]]+Basic34567891011121314151617181920212223242526272829[[#This Row],[قيمة الشحنه]])</f>
        <v>0</v>
      </c>
      <c r="I200" s="90"/>
      <c r="J200" s="142" t="str">
        <f t="shared" si="3"/>
        <v>4.5.2026</v>
      </c>
      <c r="L200" s="153">
        <v>189</v>
      </c>
      <c r="M200" s="92"/>
    </row>
    <row r="201" spans="1:13" ht="21.6" x14ac:dyDescent="0.65">
      <c r="A201" s="195"/>
      <c r="B201" s="144">
        <v>198</v>
      </c>
      <c r="C201" s="2"/>
      <c r="D201" s="1"/>
      <c r="E201" s="3"/>
      <c r="F201" s="1"/>
      <c r="G201" s="141">
        <f>IF(Basic34567891011121314151617181920212223242526272829[[#This Row],[نوع الخدمة]]="مخالفات", 50,
IF(Basic34567891011121314151617181920212223242526272829[[#This Row],[نوع الخدمة]]="كاش ان",
    IF(F201&lt;=100, 18, IF(F201&lt;=250, 23, IF(F201&lt;=500, 35, IF(F201&lt;=1000, 40, F201*0.04)))),
IF(Basic34567891011121314151617181920212223242526272829[[#This Row],[نوع الخدمة]]="كاش اوت",
    IF(F201&lt;=100, 15, IF(F201&lt;=250, 20, IF(F201&lt;=500, 30, IF(F201&lt;=1000, 35, F201*0.035)))),
0)))</f>
        <v>0</v>
      </c>
      <c r="H201" s="159">
        <f>IF(I201="مخالفات",50,Basic34567891011121314151617181920212223242526272829[[#This Row],[قيمة الرسوم / العموله]]+Basic34567891011121314151617181920212223242526272829[[#This Row],[قيمة الشحنه]])</f>
        <v>0</v>
      </c>
      <c r="I201" s="90"/>
      <c r="J201" s="142" t="str">
        <f t="shared" si="3"/>
        <v>4.5.2026</v>
      </c>
      <c r="L201" s="153">
        <v>190</v>
      </c>
      <c r="M201" s="92"/>
    </row>
    <row r="202" spans="1:13" ht="21.6" x14ac:dyDescent="0.65">
      <c r="A202" s="195"/>
      <c r="B202" s="140">
        <v>199</v>
      </c>
      <c r="C202" s="2"/>
      <c r="D202" s="1"/>
      <c r="E202" s="3"/>
      <c r="F202" s="1"/>
      <c r="G202" s="141">
        <f>IF(Basic34567891011121314151617181920212223242526272829[[#This Row],[نوع الخدمة]]="مخالفات", 50,
IF(Basic34567891011121314151617181920212223242526272829[[#This Row],[نوع الخدمة]]="كاش ان",
    IF(F202&lt;=100, 18, IF(F202&lt;=250, 23, IF(F202&lt;=500, 35, IF(F202&lt;=1000, 40, F202*0.04)))),
IF(Basic34567891011121314151617181920212223242526272829[[#This Row],[نوع الخدمة]]="كاش اوت",
    IF(F202&lt;=100, 15, IF(F202&lt;=250, 20, IF(F202&lt;=500, 30, IF(F202&lt;=1000, 35, F202*0.035)))),
0)))</f>
        <v>0</v>
      </c>
      <c r="H202" s="159">
        <f>IF(I202="مخالفات",50,Basic34567891011121314151617181920212223242526272829[[#This Row],[قيمة الرسوم / العموله]]+Basic34567891011121314151617181920212223242526272829[[#This Row],[قيمة الشحنه]])</f>
        <v>0</v>
      </c>
      <c r="I202" s="90"/>
      <c r="J202" s="142" t="str">
        <f t="shared" si="3"/>
        <v>4.5.2026</v>
      </c>
      <c r="L202" s="153">
        <v>191</v>
      </c>
      <c r="M202" s="92"/>
    </row>
    <row r="203" spans="1:13" ht="21.6" x14ac:dyDescent="0.65">
      <c r="A203" s="195"/>
      <c r="B203" s="140">
        <v>200</v>
      </c>
      <c r="C203" s="2"/>
      <c r="D203" s="1"/>
      <c r="E203" s="3"/>
      <c r="F203" s="1"/>
      <c r="G203" s="141">
        <f>IF(Basic34567891011121314151617181920212223242526272829[[#This Row],[نوع الخدمة]]="مخالفات", 50,
IF(Basic34567891011121314151617181920212223242526272829[[#This Row],[نوع الخدمة]]="كاش ان",
    IF(F203&lt;=100, 18, IF(F203&lt;=250, 23, IF(F203&lt;=500, 35, IF(F203&lt;=1000, 40, F203*0.04)))),
IF(Basic34567891011121314151617181920212223242526272829[[#This Row],[نوع الخدمة]]="كاش اوت",
    IF(F203&lt;=100, 15, IF(F203&lt;=250, 20, IF(F203&lt;=500, 30, IF(F203&lt;=1000, 35, F203*0.035)))),
0)))</f>
        <v>0</v>
      </c>
      <c r="H203" s="159">
        <f>IF(I203="مخالفات",50,Basic34567891011121314151617181920212223242526272829[[#This Row],[قيمة الرسوم / العموله]]+Basic34567891011121314151617181920212223242526272829[[#This Row],[قيمة الشحنه]])</f>
        <v>0</v>
      </c>
      <c r="I203" s="90"/>
      <c r="J203" s="142" t="str">
        <f t="shared" si="3"/>
        <v>4.5.2026</v>
      </c>
      <c r="L203" s="153">
        <v>192</v>
      </c>
      <c r="M203" s="92"/>
    </row>
    <row r="204" spans="1:13" ht="21.6" x14ac:dyDescent="0.65">
      <c r="A204" s="195"/>
      <c r="B204" s="140">
        <v>201</v>
      </c>
      <c r="C204" s="2"/>
      <c r="D204" s="1"/>
      <c r="E204" s="3"/>
      <c r="F204" s="1"/>
      <c r="G204" s="141">
        <f>IF(Basic34567891011121314151617181920212223242526272829[[#This Row],[نوع الخدمة]]="مخالفات", 50,
IF(Basic34567891011121314151617181920212223242526272829[[#This Row],[نوع الخدمة]]="كاش ان",
    IF(F204&lt;=100, 18, IF(F204&lt;=250, 23, IF(F204&lt;=500, 35, IF(F204&lt;=1000, 40, F204*0.04)))),
IF(Basic34567891011121314151617181920212223242526272829[[#This Row],[نوع الخدمة]]="كاش اوت",
    IF(F204&lt;=100, 15, IF(F204&lt;=250, 20, IF(F204&lt;=500, 30, IF(F204&lt;=1000, 35, F204*0.035)))),
0)))</f>
        <v>0</v>
      </c>
      <c r="H204" s="159">
        <f>IF(I204="مخالفات",50,Basic34567891011121314151617181920212223242526272829[[#This Row],[قيمة الرسوم / العموله]]+Basic34567891011121314151617181920212223242526272829[[#This Row],[قيمة الشحنه]])</f>
        <v>0</v>
      </c>
      <c r="I204" s="90"/>
      <c r="J204" s="142" t="str">
        <f t="shared" si="3"/>
        <v>4.5.2026</v>
      </c>
      <c r="L204" s="153">
        <v>193</v>
      </c>
      <c r="M204" s="92"/>
    </row>
    <row r="205" spans="1:13" ht="21.6" x14ac:dyDescent="0.65">
      <c r="A205" s="195"/>
      <c r="B205" s="144">
        <v>202</v>
      </c>
      <c r="C205" s="2"/>
      <c r="D205" s="1"/>
      <c r="E205" s="3"/>
      <c r="F205" s="1"/>
      <c r="G205" s="141">
        <f>IF(Basic34567891011121314151617181920212223242526272829[[#This Row],[نوع الخدمة]]="مخالفات", 50,
IF(Basic34567891011121314151617181920212223242526272829[[#This Row],[نوع الخدمة]]="كاش ان",
    IF(F205&lt;=100, 18, IF(F205&lt;=250, 23, IF(F205&lt;=500, 35, IF(F205&lt;=1000, 40, F205*0.04)))),
IF(Basic34567891011121314151617181920212223242526272829[[#This Row],[نوع الخدمة]]="كاش اوت",
    IF(F205&lt;=100, 15, IF(F205&lt;=250, 20, IF(F205&lt;=500, 30, IF(F205&lt;=1000, 35, F205*0.035)))),
0)))</f>
        <v>0</v>
      </c>
      <c r="H205" s="159">
        <f>IF(I205="مخالفات",50,Basic34567891011121314151617181920212223242526272829[[#This Row],[قيمة الرسوم / العموله]]+Basic34567891011121314151617181920212223242526272829[[#This Row],[قيمة الشحنه]])</f>
        <v>0</v>
      </c>
      <c r="I205" s="90"/>
      <c r="J205" s="142" t="str">
        <f t="shared" si="3"/>
        <v>4.5.2026</v>
      </c>
      <c r="L205" s="153">
        <v>194</v>
      </c>
      <c r="M205" s="92"/>
    </row>
    <row r="206" spans="1:13" ht="21.6" x14ac:dyDescent="0.65">
      <c r="A206" s="195"/>
      <c r="B206" s="140">
        <v>203</v>
      </c>
      <c r="C206" s="2"/>
      <c r="D206" s="1"/>
      <c r="E206" s="3"/>
      <c r="F206" s="1"/>
      <c r="G206" s="141">
        <f>IF(Basic34567891011121314151617181920212223242526272829[[#This Row],[نوع الخدمة]]="مخالفات", 50,
IF(Basic34567891011121314151617181920212223242526272829[[#This Row],[نوع الخدمة]]="كاش ان",
    IF(F206&lt;=100, 18, IF(F206&lt;=250, 23, IF(F206&lt;=500, 35, IF(F206&lt;=1000, 40, F206*0.04)))),
IF(Basic34567891011121314151617181920212223242526272829[[#This Row],[نوع الخدمة]]="كاش اوت",
    IF(F206&lt;=100, 15, IF(F206&lt;=250, 20, IF(F206&lt;=500, 30, IF(F206&lt;=1000, 35, F206*0.035)))),
0)))</f>
        <v>0</v>
      </c>
      <c r="H206" s="159">
        <f>IF(I206="مخالفات",50,Basic34567891011121314151617181920212223242526272829[[#This Row],[قيمة الرسوم / العموله]]+Basic34567891011121314151617181920212223242526272829[[#This Row],[قيمة الشحنه]])</f>
        <v>0</v>
      </c>
      <c r="I206" s="90"/>
      <c r="J206" s="142" t="str">
        <f t="shared" si="3"/>
        <v>4.5.2026</v>
      </c>
      <c r="L206" s="153">
        <v>195</v>
      </c>
      <c r="M206" s="92"/>
    </row>
    <row r="207" spans="1:13" ht="21.6" x14ac:dyDescent="0.65">
      <c r="A207" s="195"/>
      <c r="B207" s="140">
        <v>204</v>
      </c>
      <c r="C207" s="2"/>
      <c r="D207" s="1"/>
      <c r="E207" s="3"/>
      <c r="F207" s="1"/>
      <c r="G207" s="141">
        <f>IF(Basic34567891011121314151617181920212223242526272829[[#This Row],[نوع الخدمة]]="مخالفات", 50,
IF(Basic34567891011121314151617181920212223242526272829[[#This Row],[نوع الخدمة]]="كاش ان",
    IF(F207&lt;=100, 18, IF(F207&lt;=250, 23, IF(F207&lt;=500, 35, IF(F207&lt;=1000, 40, F207*0.04)))),
IF(Basic34567891011121314151617181920212223242526272829[[#This Row],[نوع الخدمة]]="كاش اوت",
    IF(F207&lt;=100, 15, IF(F207&lt;=250, 20, IF(F207&lt;=500, 30, IF(F207&lt;=1000, 35, F207*0.035)))),
0)))</f>
        <v>0</v>
      </c>
      <c r="H207" s="159">
        <f>IF(I207="مخالفات",50,Basic34567891011121314151617181920212223242526272829[[#This Row],[قيمة الرسوم / العموله]]+Basic34567891011121314151617181920212223242526272829[[#This Row],[قيمة الشحنه]])</f>
        <v>0</v>
      </c>
      <c r="I207" s="90"/>
      <c r="J207" s="142" t="str">
        <f t="shared" si="3"/>
        <v>4.5.2026</v>
      </c>
      <c r="L207" s="153">
        <v>196</v>
      </c>
      <c r="M207" s="92"/>
    </row>
    <row r="208" spans="1:13" ht="21.6" x14ac:dyDescent="0.65">
      <c r="A208" s="195"/>
      <c r="B208" s="140">
        <v>205</v>
      </c>
      <c r="C208" s="2"/>
      <c r="D208" s="1"/>
      <c r="E208" s="3"/>
      <c r="F208" s="1"/>
      <c r="G208" s="141">
        <f>IF(Basic34567891011121314151617181920212223242526272829[[#This Row],[نوع الخدمة]]="مخالفات", 50,
IF(Basic34567891011121314151617181920212223242526272829[[#This Row],[نوع الخدمة]]="كاش ان",
    IF(F208&lt;=100, 18, IF(F208&lt;=250, 23, IF(F208&lt;=500, 35, IF(F208&lt;=1000, 40, F208*0.04)))),
IF(Basic34567891011121314151617181920212223242526272829[[#This Row],[نوع الخدمة]]="كاش اوت",
    IF(F208&lt;=100, 15, IF(F208&lt;=250, 20, IF(F208&lt;=500, 30, IF(F208&lt;=1000, 35, F208*0.035)))),
0)))</f>
        <v>0</v>
      </c>
      <c r="H208" s="159">
        <f>IF(I208="مخالفات",50,Basic34567891011121314151617181920212223242526272829[[#This Row],[قيمة الرسوم / العموله]]+Basic34567891011121314151617181920212223242526272829[[#This Row],[قيمة الشحنه]])</f>
        <v>0</v>
      </c>
      <c r="I208" s="90"/>
      <c r="J208" s="142" t="str">
        <f t="shared" si="3"/>
        <v>4.5.2026</v>
      </c>
      <c r="L208" s="153">
        <v>197</v>
      </c>
      <c r="M208" s="92"/>
    </row>
    <row r="209" spans="1:13" ht="21.6" x14ac:dyDescent="0.65">
      <c r="A209" s="195"/>
      <c r="B209" s="144">
        <v>206</v>
      </c>
      <c r="C209" s="2"/>
      <c r="D209" s="1"/>
      <c r="E209" s="3"/>
      <c r="F209" s="1"/>
      <c r="G209" s="141">
        <f>IF(Basic34567891011121314151617181920212223242526272829[[#This Row],[نوع الخدمة]]="مخالفات", 50,
IF(Basic34567891011121314151617181920212223242526272829[[#This Row],[نوع الخدمة]]="كاش ان",
    IF(F209&lt;=100, 18, IF(F209&lt;=250, 23, IF(F209&lt;=500, 35, IF(F209&lt;=1000, 40, F209*0.04)))),
IF(Basic34567891011121314151617181920212223242526272829[[#This Row],[نوع الخدمة]]="كاش اوت",
    IF(F209&lt;=100, 15, IF(F209&lt;=250, 20, IF(F209&lt;=500, 30, IF(F209&lt;=1000, 35, F209*0.035)))),
0)))</f>
        <v>0</v>
      </c>
      <c r="H209" s="159">
        <f>IF(I209="مخالفات",50,Basic34567891011121314151617181920212223242526272829[[#This Row],[قيمة الرسوم / العموله]]+Basic34567891011121314151617181920212223242526272829[[#This Row],[قيمة الشحنه]])</f>
        <v>0</v>
      </c>
      <c r="I209" s="90"/>
      <c r="J209" s="142" t="str">
        <f t="shared" si="3"/>
        <v>4.5.2026</v>
      </c>
      <c r="L209" s="153">
        <v>198</v>
      </c>
      <c r="M209" s="92"/>
    </row>
    <row r="210" spans="1:13" ht="21.6" x14ac:dyDescent="0.65">
      <c r="A210" s="195"/>
      <c r="B210" s="140">
        <v>207</v>
      </c>
      <c r="C210" s="2"/>
      <c r="D210" s="1"/>
      <c r="E210" s="3"/>
      <c r="F210" s="1"/>
      <c r="G210" s="141">
        <f>IF(Basic34567891011121314151617181920212223242526272829[[#This Row],[نوع الخدمة]]="مخالفات", 50,
IF(Basic34567891011121314151617181920212223242526272829[[#This Row],[نوع الخدمة]]="كاش ان",
    IF(F210&lt;=100, 18, IF(F210&lt;=250, 23, IF(F210&lt;=500, 35, IF(F210&lt;=1000, 40, F210*0.04)))),
IF(Basic34567891011121314151617181920212223242526272829[[#This Row],[نوع الخدمة]]="كاش اوت",
    IF(F210&lt;=100, 15, IF(F210&lt;=250, 20, IF(F210&lt;=500, 30, IF(F210&lt;=1000, 35, F210*0.035)))),
0)))</f>
        <v>0</v>
      </c>
      <c r="H210" s="159">
        <f>IF(I210="مخالفات",50,Basic34567891011121314151617181920212223242526272829[[#This Row],[قيمة الرسوم / العموله]]+Basic34567891011121314151617181920212223242526272829[[#This Row],[قيمة الشحنه]])</f>
        <v>0</v>
      </c>
      <c r="I210" s="90"/>
      <c r="J210" s="142" t="str">
        <f t="shared" si="3"/>
        <v>4.5.2026</v>
      </c>
      <c r="L210" s="153">
        <v>199</v>
      </c>
      <c r="M210" s="92"/>
    </row>
    <row r="211" spans="1:13" ht="21.6" x14ac:dyDescent="0.65">
      <c r="A211" s="195"/>
      <c r="B211" s="140">
        <v>208</v>
      </c>
      <c r="C211" s="2"/>
      <c r="D211" s="1"/>
      <c r="E211" s="3"/>
      <c r="F211" s="1"/>
      <c r="G211" s="141">
        <f>IF(Basic34567891011121314151617181920212223242526272829[[#This Row],[نوع الخدمة]]="مخالفات", 50,
IF(Basic34567891011121314151617181920212223242526272829[[#This Row],[نوع الخدمة]]="كاش ان",
    IF(F211&lt;=100, 18, IF(F211&lt;=250, 23, IF(F211&lt;=500, 35, IF(F211&lt;=1000, 40, F211*0.04)))),
IF(Basic34567891011121314151617181920212223242526272829[[#This Row],[نوع الخدمة]]="كاش اوت",
    IF(F211&lt;=100, 15, IF(F211&lt;=250, 20, IF(F211&lt;=500, 30, IF(F211&lt;=1000, 35, F211*0.035)))),
0)))</f>
        <v>0</v>
      </c>
      <c r="H211" s="159">
        <f>IF(I211="مخالفات",50,Basic34567891011121314151617181920212223242526272829[[#This Row],[قيمة الرسوم / العموله]]+Basic34567891011121314151617181920212223242526272829[[#This Row],[قيمة الشحنه]])</f>
        <v>0</v>
      </c>
      <c r="I211" s="90"/>
      <c r="J211" s="142" t="str">
        <f t="shared" si="3"/>
        <v>4.5.2026</v>
      </c>
      <c r="L211" s="153">
        <v>200</v>
      </c>
      <c r="M211" s="92"/>
    </row>
    <row r="212" spans="1:13" ht="21.6" x14ac:dyDescent="0.65">
      <c r="A212" s="195"/>
      <c r="B212" s="140">
        <v>209</v>
      </c>
      <c r="C212" s="2"/>
      <c r="D212" s="1"/>
      <c r="E212" s="3"/>
      <c r="F212" s="1"/>
      <c r="G212" s="141">
        <f>IF(Basic34567891011121314151617181920212223242526272829[[#This Row],[نوع الخدمة]]="مخالفات", 50,
IF(Basic34567891011121314151617181920212223242526272829[[#This Row],[نوع الخدمة]]="كاش ان",
    IF(F212&lt;=100, 18, IF(F212&lt;=250, 23, IF(F212&lt;=500, 35, IF(F212&lt;=1000, 40, F212*0.04)))),
IF(Basic34567891011121314151617181920212223242526272829[[#This Row],[نوع الخدمة]]="كاش اوت",
    IF(F212&lt;=100, 15, IF(F212&lt;=250, 20, IF(F212&lt;=500, 30, IF(F212&lt;=1000, 35, F212*0.035)))),
0)))</f>
        <v>0</v>
      </c>
      <c r="H212" s="159">
        <f>IF(I212="مخالفات",50,Basic34567891011121314151617181920212223242526272829[[#This Row],[قيمة الرسوم / العموله]]+Basic34567891011121314151617181920212223242526272829[[#This Row],[قيمة الشحنه]])</f>
        <v>0</v>
      </c>
      <c r="I212" s="90"/>
      <c r="J212" s="142" t="str">
        <f t="shared" si="3"/>
        <v>4.5.2026</v>
      </c>
      <c r="L212" s="153">
        <v>201</v>
      </c>
      <c r="M212" s="92"/>
    </row>
    <row r="213" spans="1:13" ht="21.6" x14ac:dyDescent="0.65">
      <c r="A213" s="195"/>
      <c r="B213" s="144">
        <v>210</v>
      </c>
      <c r="C213" s="2"/>
      <c r="D213" s="1"/>
      <c r="E213" s="3"/>
      <c r="F213" s="1"/>
      <c r="G213" s="141">
        <f>IF(Basic34567891011121314151617181920212223242526272829[[#This Row],[نوع الخدمة]]="مخالفات", 50,
IF(Basic34567891011121314151617181920212223242526272829[[#This Row],[نوع الخدمة]]="كاش ان",
    IF(F213&lt;=100, 18, IF(F213&lt;=250, 23, IF(F213&lt;=500, 35, IF(F213&lt;=1000, 40, F213*0.04)))),
IF(Basic34567891011121314151617181920212223242526272829[[#This Row],[نوع الخدمة]]="كاش اوت",
    IF(F213&lt;=100, 15, IF(F213&lt;=250, 20, IF(F213&lt;=500, 30, IF(F213&lt;=1000, 35, F213*0.035)))),
0)))</f>
        <v>0</v>
      </c>
      <c r="H213" s="159">
        <f>IF(I213="مخالفات",50,Basic34567891011121314151617181920212223242526272829[[#This Row],[قيمة الرسوم / العموله]]+Basic34567891011121314151617181920212223242526272829[[#This Row],[قيمة الشحنه]])</f>
        <v>0</v>
      </c>
      <c r="I213" s="90"/>
      <c r="J213" s="142" t="str">
        <f t="shared" si="3"/>
        <v>4.5.2026</v>
      </c>
      <c r="L213" s="153">
        <v>202</v>
      </c>
      <c r="M213" s="92"/>
    </row>
    <row r="214" spans="1:13" ht="21.6" x14ac:dyDescent="0.65">
      <c r="A214" s="195"/>
      <c r="B214" s="140">
        <v>211</v>
      </c>
      <c r="C214" s="2"/>
      <c r="D214" s="1"/>
      <c r="E214" s="3"/>
      <c r="F214" s="1"/>
      <c r="G214" s="141">
        <f>IF(Basic34567891011121314151617181920212223242526272829[[#This Row],[نوع الخدمة]]="مخالفات", 50,
IF(Basic34567891011121314151617181920212223242526272829[[#This Row],[نوع الخدمة]]="كاش ان",
    IF(F214&lt;=100, 18, IF(F214&lt;=250, 23, IF(F214&lt;=500, 35, IF(F214&lt;=1000, 40, F214*0.04)))),
IF(Basic34567891011121314151617181920212223242526272829[[#This Row],[نوع الخدمة]]="كاش اوت",
    IF(F214&lt;=100, 15, IF(F214&lt;=250, 20, IF(F214&lt;=500, 30, IF(F214&lt;=1000, 35, F214*0.035)))),
0)))</f>
        <v>0</v>
      </c>
      <c r="H214" s="159">
        <f>IF(I214="مخالفات",50,Basic34567891011121314151617181920212223242526272829[[#This Row],[قيمة الرسوم / العموله]]+Basic34567891011121314151617181920212223242526272829[[#This Row],[قيمة الشحنه]])</f>
        <v>0</v>
      </c>
      <c r="I214" s="90"/>
      <c r="J214" s="142" t="str">
        <f t="shared" si="3"/>
        <v>4.5.2026</v>
      </c>
      <c r="L214" s="153">
        <v>203</v>
      </c>
      <c r="M214" s="92"/>
    </row>
    <row r="215" spans="1:13" ht="21.6" x14ac:dyDescent="0.65">
      <c r="A215" s="195"/>
      <c r="B215" s="140">
        <v>212</v>
      </c>
      <c r="C215" s="2"/>
      <c r="D215" s="1"/>
      <c r="E215" s="3"/>
      <c r="F215" s="1"/>
      <c r="G215" s="141">
        <f>IF(Basic34567891011121314151617181920212223242526272829[[#This Row],[نوع الخدمة]]="مخالفات", 50,
IF(Basic34567891011121314151617181920212223242526272829[[#This Row],[نوع الخدمة]]="كاش ان",
    IF(F215&lt;=100, 18, IF(F215&lt;=250, 23, IF(F215&lt;=500, 35, IF(F215&lt;=1000, 40, F215*0.04)))),
IF(Basic34567891011121314151617181920212223242526272829[[#This Row],[نوع الخدمة]]="كاش اوت",
    IF(F215&lt;=100, 15, IF(F215&lt;=250, 20, IF(F215&lt;=500, 30, IF(F215&lt;=1000, 35, F215*0.035)))),
0)))</f>
        <v>0</v>
      </c>
      <c r="H215" s="159">
        <f>IF(I215="مخالفات",50,Basic34567891011121314151617181920212223242526272829[[#This Row],[قيمة الرسوم / العموله]]+Basic34567891011121314151617181920212223242526272829[[#This Row],[قيمة الشحنه]])</f>
        <v>0</v>
      </c>
      <c r="I215" s="90"/>
      <c r="J215" s="142" t="str">
        <f t="shared" si="3"/>
        <v>4.5.2026</v>
      </c>
      <c r="L215" s="153">
        <v>204</v>
      </c>
      <c r="M215" s="92"/>
    </row>
    <row r="216" spans="1:13" ht="21.6" x14ac:dyDescent="0.65">
      <c r="A216" s="195"/>
      <c r="B216" s="140">
        <v>213</v>
      </c>
      <c r="C216" s="2"/>
      <c r="D216" s="1"/>
      <c r="E216" s="3"/>
      <c r="F216" s="1"/>
      <c r="G216" s="141">
        <f>IF(Basic34567891011121314151617181920212223242526272829[[#This Row],[نوع الخدمة]]="مخالفات", 50,
IF(Basic34567891011121314151617181920212223242526272829[[#This Row],[نوع الخدمة]]="كاش ان",
    IF(F216&lt;=100, 18, IF(F216&lt;=250, 23, IF(F216&lt;=500, 35, IF(F216&lt;=1000, 40, F216*0.04)))),
IF(Basic34567891011121314151617181920212223242526272829[[#This Row],[نوع الخدمة]]="كاش اوت",
    IF(F216&lt;=100, 15, IF(F216&lt;=250, 20, IF(F216&lt;=500, 30, IF(F216&lt;=1000, 35, F216*0.035)))),
0)))</f>
        <v>0</v>
      </c>
      <c r="H216" s="159">
        <f>IF(I216="مخالفات",50,Basic34567891011121314151617181920212223242526272829[[#This Row],[قيمة الرسوم / العموله]]+Basic34567891011121314151617181920212223242526272829[[#This Row],[قيمة الشحنه]])</f>
        <v>0</v>
      </c>
      <c r="I216" s="90"/>
      <c r="J216" s="142" t="str">
        <f t="shared" si="3"/>
        <v>4.5.2026</v>
      </c>
      <c r="L216" s="153">
        <v>205</v>
      </c>
      <c r="M216" s="92"/>
    </row>
    <row r="217" spans="1:13" ht="21.6" x14ac:dyDescent="0.65">
      <c r="A217" s="195"/>
      <c r="B217" s="144">
        <v>214</v>
      </c>
      <c r="C217" s="2"/>
      <c r="D217" s="1"/>
      <c r="E217" s="3"/>
      <c r="F217" s="1"/>
      <c r="G217" s="141">
        <f>IF(Basic34567891011121314151617181920212223242526272829[[#This Row],[نوع الخدمة]]="مخالفات", 50,
IF(Basic34567891011121314151617181920212223242526272829[[#This Row],[نوع الخدمة]]="كاش ان",
    IF(F217&lt;=100, 18, IF(F217&lt;=250, 23, IF(F217&lt;=500, 35, IF(F217&lt;=1000, 40, F217*0.04)))),
IF(Basic34567891011121314151617181920212223242526272829[[#This Row],[نوع الخدمة]]="كاش اوت",
    IF(F217&lt;=100, 15, IF(F217&lt;=250, 20, IF(F217&lt;=500, 30, IF(F217&lt;=1000, 35, F217*0.035)))),
0)))</f>
        <v>0</v>
      </c>
      <c r="H217" s="159">
        <f>IF(I217="مخالفات",50,Basic34567891011121314151617181920212223242526272829[[#This Row],[قيمة الرسوم / العموله]]+Basic34567891011121314151617181920212223242526272829[[#This Row],[قيمة الشحنه]])</f>
        <v>0</v>
      </c>
      <c r="I217" s="90"/>
      <c r="J217" s="142" t="str">
        <f t="shared" si="3"/>
        <v>4.5.2026</v>
      </c>
      <c r="L217" s="153">
        <v>206</v>
      </c>
      <c r="M217" s="92"/>
    </row>
    <row r="218" spans="1:13" ht="21.6" x14ac:dyDescent="0.65">
      <c r="A218" s="195"/>
      <c r="B218" s="140">
        <v>215</v>
      </c>
      <c r="C218" s="2"/>
      <c r="D218" s="1"/>
      <c r="E218" s="3"/>
      <c r="F218" s="1"/>
      <c r="G218" s="141">
        <f>IF(Basic34567891011121314151617181920212223242526272829[[#This Row],[نوع الخدمة]]="مخالفات", 50,
IF(Basic34567891011121314151617181920212223242526272829[[#This Row],[نوع الخدمة]]="كاش ان",
    IF(F218&lt;=100, 18, IF(F218&lt;=250, 23, IF(F218&lt;=500, 35, IF(F218&lt;=1000, 40, F218*0.04)))),
IF(Basic34567891011121314151617181920212223242526272829[[#This Row],[نوع الخدمة]]="كاش اوت",
    IF(F218&lt;=100, 15, IF(F218&lt;=250, 20, IF(F218&lt;=500, 30, IF(F218&lt;=1000, 35, F218*0.035)))),
0)))</f>
        <v>0</v>
      </c>
      <c r="H218" s="159">
        <f>IF(I218="مخالفات",50,Basic34567891011121314151617181920212223242526272829[[#This Row],[قيمة الرسوم / العموله]]+Basic34567891011121314151617181920212223242526272829[[#This Row],[قيمة الشحنه]])</f>
        <v>0</v>
      </c>
      <c r="I218" s="90"/>
      <c r="J218" s="142" t="str">
        <f t="shared" si="3"/>
        <v>4.5.2026</v>
      </c>
      <c r="L218" s="153">
        <v>207</v>
      </c>
      <c r="M218" s="92"/>
    </row>
    <row r="219" spans="1:13" ht="21.6" x14ac:dyDescent="0.65">
      <c r="A219" s="195"/>
      <c r="B219" s="140">
        <v>216</v>
      </c>
      <c r="C219" s="2"/>
      <c r="D219" s="1"/>
      <c r="E219" s="3"/>
      <c r="F219" s="1"/>
      <c r="G219" s="141">
        <f>IF(Basic34567891011121314151617181920212223242526272829[[#This Row],[نوع الخدمة]]="مخالفات", 50,
IF(Basic34567891011121314151617181920212223242526272829[[#This Row],[نوع الخدمة]]="كاش ان",
    IF(F219&lt;=100, 18, IF(F219&lt;=250, 23, IF(F219&lt;=500, 35, IF(F219&lt;=1000, 40, F219*0.04)))),
IF(Basic34567891011121314151617181920212223242526272829[[#This Row],[نوع الخدمة]]="كاش اوت",
    IF(F219&lt;=100, 15, IF(F219&lt;=250, 20, IF(F219&lt;=500, 30, IF(F219&lt;=1000, 35, F219*0.035)))),
0)))</f>
        <v>0</v>
      </c>
      <c r="H219" s="159">
        <f>IF(I219="مخالفات",50,Basic34567891011121314151617181920212223242526272829[[#This Row],[قيمة الرسوم / العموله]]+Basic34567891011121314151617181920212223242526272829[[#This Row],[قيمة الشحنه]])</f>
        <v>0</v>
      </c>
      <c r="I219" s="90"/>
      <c r="J219" s="142" t="str">
        <f t="shared" si="3"/>
        <v>4.5.2026</v>
      </c>
      <c r="L219" s="153">
        <v>208</v>
      </c>
      <c r="M219" s="92"/>
    </row>
    <row r="220" spans="1:13" ht="21.6" x14ac:dyDescent="0.65">
      <c r="A220" s="195"/>
      <c r="B220" s="140">
        <v>217</v>
      </c>
      <c r="C220" s="2"/>
      <c r="D220" s="1"/>
      <c r="E220" s="3"/>
      <c r="F220" s="1"/>
      <c r="G220" s="141">
        <f>IF(Basic34567891011121314151617181920212223242526272829[[#This Row],[نوع الخدمة]]="مخالفات", 50,
IF(Basic34567891011121314151617181920212223242526272829[[#This Row],[نوع الخدمة]]="كاش ان",
    IF(F220&lt;=100, 18, IF(F220&lt;=250, 23, IF(F220&lt;=500, 35, IF(F220&lt;=1000, 40, F220*0.04)))),
IF(Basic34567891011121314151617181920212223242526272829[[#This Row],[نوع الخدمة]]="كاش اوت",
    IF(F220&lt;=100, 15, IF(F220&lt;=250, 20, IF(F220&lt;=500, 30, IF(F220&lt;=1000, 35, F220*0.035)))),
0)))</f>
        <v>0</v>
      </c>
      <c r="H220" s="159">
        <f>IF(I220="مخالفات",50,Basic34567891011121314151617181920212223242526272829[[#This Row],[قيمة الرسوم / العموله]]+Basic34567891011121314151617181920212223242526272829[[#This Row],[قيمة الشحنه]])</f>
        <v>0</v>
      </c>
      <c r="I220" s="90"/>
      <c r="J220" s="142" t="str">
        <f t="shared" si="3"/>
        <v>4.5.2026</v>
      </c>
      <c r="L220" s="153">
        <v>209</v>
      </c>
      <c r="M220" s="92"/>
    </row>
    <row r="221" spans="1:13" ht="21.6" x14ac:dyDescent="0.65">
      <c r="A221" s="195"/>
      <c r="B221" s="144">
        <v>218</v>
      </c>
      <c r="C221" s="2"/>
      <c r="D221" s="1"/>
      <c r="E221" s="3"/>
      <c r="F221" s="1"/>
      <c r="G221" s="141">
        <f>IF(Basic34567891011121314151617181920212223242526272829[[#This Row],[نوع الخدمة]]="مخالفات", 50,
IF(Basic34567891011121314151617181920212223242526272829[[#This Row],[نوع الخدمة]]="كاش ان",
    IF(F221&lt;=100, 18, IF(F221&lt;=250, 23, IF(F221&lt;=500, 35, IF(F221&lt;=1000, 40, F221*0.04)))),
IF(Basic34567891011121314151617181920212223242526272829[[#This Row],[نوع الخدمة]]="كاش اوت",
    IF(F221&lt;=100, 15, IF(F221&lt;=250, 20, IF(F221&lt;=500, 30, IF(F221&lt;=1000, 35, F221*0.035)))),
0)))</f>
        <v>0</v>
      </c>
      <c r="H221" s="159">
        <f>IF(I221="مخالفات",50,Basic34567891011121314151617181920212223242526272829[[#This Row],[قيمة الرسوم / العموله]]+Basic34567891011121314151617181920212223242526272829[[#This Row],[قيمة الشحنه]])</f>
        <v>0</v>
      </c>
      <c r="I221" s="90"/>
      <c r="J221" s="142" t="str">
        <f t="shared" si="3"/>
        <v>4.5.2026</v>
      </c>
      <c r="L221" s="153">
        <v>210</v>
      </c>
      <c r="M221" s="92"/>
    </row>
    <row r="222" spans="1:13" ht="21.6" x14ac:dyDescent="0.65">
      <c r="A222" s="195"/>
      <c r="B222" s="140">
        <v>219</v>
      </c>
      <c r="C222" s="2"/>
      <c r="D222" s="1"/>
      <c r="E222" s="3"/>
      <c r="F222" s="1"/>
      <c r="G222" s="141">
        <f>IF(Basic34567891011121314151617181920212223242526272829[[#This Row],[نوع الخدمة]]="مخالفات", 50,
IF(Basic34567891011121314151617181920212223242526272829[[#This Row],[نوع الخدمة]]="كاش ان",
    IF(F222&lt;=100, 18, IF(F222&lt;=250, 23, IF(F222&lt;=500, 35, IF(F222&lt;=1000, 40, F222*0.04)))),
IF(Basic34567891011121314151617181920212223242526272829[[#This Row],[نوع الخدمة]]="كاش اوت",
    IF(F222&lt;=100, 15, IF(F222&lt;=250, 20, IF(F222&lt;=500, 30, IF(F222&lt;=1000, 35, F222*0.035)))),
0)))</f>
        <v>0</v>
      </c>
      <c r="H222" s="159">
        <f>IF(I222="مخالفات",50,Basic34567891011121314151617181920212223242526272829[[#This Row],[قيمة الرسوم / العموله]]+Basic34567891011121314151617181920212223242526272829[[#This Row],[قيمة الشحنه]])</f>
        <v>0</v>
      </c>
      <c r="I222" s="90"/>
      <c r="J222" s="142" t="str">
        <f t="shared" si="3"/>
        <v>4.5.2026</v>
      </c>
      <c r="L222" s="153">
        <v>211</v>
      </c>
      <c r="M222" s="92"/>
    </row>
    <row r="223" spans="1:13" ht="21.6" x14ac:dyDescent="0.65">
      <c r="A223" s="195"/>
      <c r="B223" s="140">
        <v>220</v>
      </c>
      <c r="C223" s="2"/>
      <c r="D223" s="1"/>
      <c r="E223" s="3"/>
      <c r="F223" s="1"/>
      <c r="G223" s="141">
        <f>IF(Basic34567891011121314151617181920212223242526272829[[#This Row],[نوع الخدمة]]="مخالفات", 50,
IF(Basic34567891011121314151617181920212223242526272829[[#This Row],[نوع الخدمة]]="كاش ان",
    IF(F223&lt;=100, 18, IF(F223&lt;=250, 23, IF(F223&lt;=500, 35, IF(F223&lt;=1000, 40, F223*0.04)))),
IF(Basic34567891011121314151617181920212223242526272829[[#This Row],[نوع الخدمة]]="كاش اوت",
    IF(F223&lt;=100, 15, IF(F223&lt;=250, 20, IF(F223&lt;=500, 30, IF(F223&lt;=1000, 35, F223*0.035)))),
0)))</f>
        <v>0</v>
      </c>
      <c r="H223" s="159">
        <f>IF(I223="مخالفات",50,Basic34567891011121314151617181920212223242526272829[[#This Row],[قيمة الرسوم / العموله]]+Basic34567891011121314151617181920212223242526272829[[#This Row],[قيمة الشحنه]])</f>
        <v>0</v>
      </c>
      <c r="I223" s="90"/>
      <c r="J223" s="142" t="str">
        <f t="shared" si="3"/>
        <v>4.5.2026</v>
      </c>
      <c r="L223" s="153">
        <v>212</v>
      </c>
      <c r="M223" s="92"/>
    </row>
    <row r="224" spans="1:13" ht="21.6" x14ac:dyDescent="0.65">
      <c r="A224" s="195"/>
      <c r="B224" s="140">
        <v>221</v>
      </c>
      <c r="C224" s="2"/>
      <c r="D224" s="1"/>
      <c r="E224" s="3"/>
      <c r="F224" s="1"/>
      <c r="G224" s="141">
        <f>IF(Basic34567891011121314151617181920212223242526272829[[#This Row],[نوع الخدمة]]="مخالفات", 50,
IF(Basic34567891011121314151617181920212223242526272829[[#This Row],[نوع الخدمة]]="كاش ان",
    IF(F224&lt;=100, 18, IF(F224&lt;=250, 23, IF(F224&lt;=500, 35, IF(F224&lt;=1000, 40, F224*0.04)))),
IF(Basic34567891011121314151617181920212223242526272829[[#This Row],[نوع الخدمة]]="كاش اوت",
    IF(F224&lt;=100, 15, IF(F224&lt;=250, 20, IF(F224&lt;=500, 30, IF(F224&lt;=1000, 35, F224*0.035)))),
0)))</f>
        <v>0</v>
      </c>
      <c r="H224" s="159">
        <f>IF(I224="مخالفات",50,Basic34567891011121314151617181920212223242526272829[[#This Row],[قيمة الرسوم / العموله]]+Basic34567891011121314151617181920212223242526272829[[#This Row],[قيمة الشحنه]])</f>
        <v>0</v>
      </c>
      <c r="I224" s="90"/>
      <c r="J224" s="142" t="str">
        <f t="shared" si="3"/>
        <v>4.5.2026</v>
      </c>
      <c r="L224" s="153">
        <v>213</v>
      </c>
      <c r="M224" s="92"/>
    </row>
    <row r="225" spans="1:13" ht="21.6" x14ac:dyDescent="0.65">
      <c r="A225" s="195"/>
      <c r="B225" s="144">
        <v>222</v>
      </c>
      <c r="C225" s="2"/>
      <c r="D225" s="1"/>
      <c r="E225" s="3"/>
      <c r="F225" s="1"/>
      <c r="G225" s="141">
        <f>IF(Basic34567891011121314151617181920212223242526272829[[#This Row],[نوع الخدمة]]="مخالفات", 50,
IF(Basic34567891011121314151617181920212223242526272829[[#This Row],[نوع الخدمة]]="كاش ان",
    IF(F225&lt;=100, 18, IF(F225&lt;=250, 23, IF(F225&lt;=500, 35, IF(F225&lt;=1000, 40, F225*0.04)))),
IF(Basic34567891011121314151617181920212223242526272829[[#This Row],[نوع الخدمة]]="كاش اوت",
    IF(F225&lt;=100, 15, IF(F225&lt;=250, 20, IF(F225&lt;=500, 30, IF(F225&lt;=1000, 35, F225*0.035)))),
0)))</f>
        <v>0</v>
      </c>
      <c r="H225" s="159">
        <f>IF(I225="مخالفات",50,Basic34567891011121314151617181920212223242526272829[[#This Row],[قيمة الرسوم / العموله]]+Basic34567891011121314151617181920212223242526272829[[#This Row],[قيمة الشحنه]])</f>
        <v>0</v>
      </c>
      <c r="I225" s="90"/>
      <c r="J225" s="142" t="str">
        <f t="shared" si="3"/>
        <v>4.5.2026</v>
      </c>
      <c r="L225" s="153">
        <v>214</v>
      </c>
      <c r="M225" s="92"/>
    </row>
    <row r="226" spans="1:13" ht="21.6" x14ac:dyDescent="0.65">
      <c r="A226" s="195"/>
      <c r="B226" s="140">
        <v>223</v>
      </c>
      <c r="C226" s="4"/>
      <c r="D226" s="5"/>
      <c r="E226" s="6"/>
      <c r="F226" s="5"/>
      <c r="G226" s="141">
        <f>IF(Basic34567891011121314151617181920212223242526272829[[#This Row],[نوع الخدمة]]="مخالفات", 50,
IF(Basic34567891011121314151617181920212223242526272829[[#This Row],[نوع الخدمة]]="كاش ان",
    IF(F226&lt;=100, 18, IF(F226&lt;=250, 23, IF(F226&lt;=500, 35, IF(F226&lt;=1000, 40, F226*0.04)))),
IF(Basic34567891011121314151617181920212223242526272829[[#This Row],[نوع الخدمة]]="كاش اوت",
    IF(F226&lt;=100, 15, IF(F226&lt;=250, 20, IF(F226&lt;=500, 30, IF(F226&lt;=1000, 35, F226*0.035)))),
0)))</f>
        <v>0</v>
      </c>
      <c r="H226" s="160">
        <f>IF(I226="مخالفات",50,Basic34567891011121314151617181920212223242526272829[[#This Row],[قيمة الرسوم / العموله]]+Basic34567891011121314151617181920212223242526272829[[#This Row],[قيمة الشحنه]])</f>
        <v>0</v>
      </c>
      <c r="I226" s="90"/>
      <c r="J226" s="142" t="str">
        <f t="shared" si="3"/>
        <v>4.5.2026</v>
      </c>
      <c r="L226" s="156">
        <v>215</v>
      </c>
      <c r="M226" s="93"/>
    </row>
  </sheetData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111" priority="12" operator="equal">
      <formula>$BG$10</formula>
    </cfRule>
    <cfRule type="cellIs" dxfId="110" priority="13" operator="equal">
      <formula>$BG$9</formula>
    </cfRule>
    <cfRule type="cellIs" dxfId="109" priority="14" operator="equal">
      <formula>$BG$8</formula>
    </cfRule>
  </conditionalFormatting>
  <conditionalFormatting sqref="P11">
    <cfRule type="cellIs" dxfId="108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{6CF7F43D-94B2-426D-8641-1506345B7B30}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{E087D21F-E5A6-4A60-983D-F60DE8E4F4A4}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{F6D832A4-CCC0-4060-B6AD-5A1047683006}</x14:id>
        </ext>
      </extLst>
    </cfRule>
  </conditionalFormatting>
  <dataValidations count="2">
    <dataValidation type="textLength" operator="equal" allowBlank="1" showInputMessage="1" showErrorMessage="1" errorTitle="يجب إخال رقم IPN صحيح 13 رقم" sqref="C1:C9 C11:C14 C16:C1048576" xr:uid="{00000000-0002-0000-0300-000000000000}">
      <formula1>13</formula1>
    </dataValidation>
    <dataValidation type="list" allowBlank="1" showInputMessage="1" showErrorMessage="1" sqref="I4:I226" xr:uid="{00000000-0002-0000-0300-000001000000}">
      <formula1>$BG$8:$BG$10</formula1>
    </dataValidation>
  </dataValidations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F7F43D-94B2-426D-8641-1506345B7B30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E087D21F-E5A6-4A60-983D-F60DE8E4F4A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F6D832A4-CCC0-4060-B6AD-5A1047683006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H226"/>
  <sheetViews>
    <sheetView showGridLines="0" showRowColHeaders="0" rightToLeft="1" topLeftCell="E1" zoomScale="80" zoomScaleNormal="80" workbookViewId="0">
      <selection activeCell="P12" sqref="P12"/>
    </sheetView>
  </sheetViews>
  <sheetFormatPr defaultColWidth="9.109375" defaultRowHeight="14.4" x14ac:dyDescent="0.3"/>
  <cols>
    <col min="1" max="1" width="4.109375" style="124" customWidth="1"/>
    <col min="2" max="2" width="6.5546875" style="125" bestFit="1" customWidth="1"/>
    <col min="3" max="3" width="28.6640625" style="126" customWidth="1"/>
    <col min="4" max="4" width="15.6640625" style="124" customWidth="1"/>
    <col min="5" max="5" width="17.5546875" style="157" customWidth="1"/>
    <col min="6" max="6" width="12.88671875" style="124" bestFit="1" customWidth="1"/>
    <col min="7" max="7" width="19" style="124" bestFit="1" customWidth="1"/>
    <col min="8" max="8" width="19" style="124" customWidth="1"/>
    <col min="9" max="9" width="12.44140625" style="128" bestFit="1" customWidth="1"/>
    <col min="10" max="10" width="17.5546875" style="129" customWidth="1"/>
    <col min="11" max="11" width="3.5546875" style="124" customWidth="1"/>
    <col min="12" max="12" width="8.5546875" style="124" bestFit="1" customWidth="1"/>
    <col min="13" max="13" width="25.6640625" style="124" customWidth="1"/>
    <col min="14" max="14" width="3.6640625" style="124" customWidth="1"/>
    <col min="15" max="15" width="26.5546875" style="124" bestFit="1" customWidth="1"/>
    <col min="16" max="16" width="10.88671875" style="124" bestFit="1" customWidth="1"/>
    <col min="17" max="17" width="3.5546875" style="124" customWidth="1"/>
    <col min="18" max="19" width="17.88671875" style="128" customWidth="1"/>
    <col min="20" max="20" width="11.5546875" style="128" bestFit="1" customWidth="1"/>
    <col min="21" max="21" width="10.5546875" style="128" bestFit="1" customWidth="1"/>
    <col min="22" max="22" width="10.109375" style="128" bestFit="1" customWidth="1"/>
    <col min="23" max="23" width="7.44140625" style="128" customWidth="1"/>
    <col min="24" max="24" width="12.6640625" style="124" customWidth="1"/>
    <col min="25" max="16384" width="9.109375" style="124"/>
  </cols>
  <sheetData>
    <row r="1" spans="1:60" x14ac:dyDescent="0.3">
      <c r="E1" s="127">
        <f>Total!F5</f>
        <v>69</v>
      </c>
      <c r="F1" s="192" t="str">
        <f>Total!G5</f>
        <v>العبور</v>
      </c>
      <c r="G1" s="192"/>
      <c r="H1" s="192"/>
    </row>
    <row r="3" spans="1:60" ht="15.6" x14ac:dyDescent="0.3">
      <c r="B3" s="130" t="s">
        <v>0</v>
      </c>
      <c r="C3" s="131" t="s">
        <v>1</v>
      </c>
      <c r="D3" s="132" t="s">
        <v>2</v>
      </c>
      <c r="E3" s="133" t="s">
        <v>3</v>
      </c>
      <c r="F3" s="132" t="s">
        <v>4</v>
      </c>
      <c r="G3" s="132" t="s">
        <v>5</v>
      </c>
      <c r="H3" s="158" t="s">
        <v>76</v>
      </c>
      <c r="I3" s="132" t="s">
        <v>6</v>
      </c>
      <c r="J3" s="134" t="s">
        <v>7</v>
      </c>
      <c r="L3" s="135" t="s">
        <v>7</v>
      </c>
      <c r="M3" s="136" t="s">
        <v>90</v>
      </c>
      <c r="O3" s="137" t="s">
        <v>17</v>
      </c>
      <c r="P3" s="138">
        <f>M5+M6</f>
        <v>0</v>
      </c>
      <c r="T3" s="173"/>
      <c r="U3" s="173"/>
      <c r="V3" s="173"/>
      <c r="W3" s="173"/>
      <c r="X3" s="139"/>
    </row>
    <row r="4" spans="1:60" ht="21.6" x14ac:dyDescent="0.65">
      <c r="A4" s="195"/>
      <c r="B4" s="140">
        <v>1</v>
      </c>
      <c r="C4" s="8"/>
      <c r="D4" s="9"/>
      <c r="E4" s="10"/>
      <c r="F4" s="9"/>
      <c r="G4" s="141">
        <f>IF(Basic345678910111213141516171819202122232425262728[[#This Row],[نوع الخدمة]]="مخالفات", 50,
IF(Basic345678910111213141516171819202122232425262728[[#This Row],[نوع الخدمة]]="كاش ان",
    IF(F4&lt;=100, 18, IF(F4&lt;=250, 23, IF(F4&lt;=500, 35, IF(F4&lt;=1000, 40, F4*0.04)))),
IF(Basic345678910111213141516171819202122232425262728[[#This Row],[نوع الخدمة]]="كاش اوت",
    IF(F4&lt;=100, 15, IF(F4&lt;=250, 20, IF(F4&lt;=500, 30, IF(F4&lt;=1000, 35, F4*0.035)))),
0)))</f>
        <v>0</v>
      </c>
      <c r="H4" s="141">
        <f>IF(I4="مخالفات",50,Basic345678910111213141516171819202122232425262728[[#This Row],[قيمة الرسوم / العموله]]+Basic345678910111213141516171819202122232425262728[[#This Row],[قيمة الشحنه]])</f>
        <v>0</v>
      </c>
      <c r="I4" s="90"/>
      <c r="J4" s="142" t="str">
        <f t="shared" ref="J4:J67" si="0">M$3</f>
        <v>5.5.2026</v>
      </c>
      <c r="L4" s="135" t="s">
        <v>26</v>
      </c>
      <c r="M4" s="90">
        <v>0</v>
      </c>
      <c r="O4" s="137" t="s">
        <v>18</v>
      </c>
      <c r="P4" s="138">
        <f>M4</f>
        <v>0</v>
      </c>
      <c r="S4" s="143" t="s">
        <v>22</v>
      </c>
      <c r="T4" s="143" t="s">
        <v>23</v>
      </c>
      <c r="U4" s="173"/>
      <c r="V4" s="173"/>
      <c r="W4" s="173"/>
      <c r="X4" s="139"/>
    </row>
    <row r="5" spans="1:60" ht="21.6" x14ac:dyDescent="0.65">
      <c r="A5" s="195"/>
      <c r="B5" s="144">
        <v>2</v>
      </c>
      <c r="C5" s="8"/>
      <c r="D5" s="9"/>
      <c r="E5" s="10"/>
      <c r="F5" s="9"/>
      <c r="G5" s="141">
        <f>IF(Basic345678910111213141516171819202122232425262728[[#This Row],[نوع الخدمة]]="مخالفات", 50,
IF(Basic345678910111213141516171819202122232425262728[[#This Row],[نوع الخدمة]]="كاش ان",
    IF(F5&lt;=100, 18, IF(F5&lt;=250, 23, IF(F5&lt;=500, 35, IF(F5&lt;=1000, 40, F5*0.04)))),
IF(Basic345678910111213141516171819202122232425262728[[#This Row],[نوع الخدمة]]="كاش اوت",
    IF(F5&lt;=100, 15, IF(F5&lt;=250, 20, IF(F5&lt;=500, 30, IF(F5&lt;=1000, 35, F5*0.035)))),
0)))</f>
        <v>0</v>
      </c>
      <c r="H5" s="141">
        <f>IF(I5="مخالفات",50,Basic345678910111213141516171819202122232425262728[[#This Row],[قيمة الرسوم / العموله]]+Basic345678910111213141516171819202122232425262728[[#This Row],[قيمة الشحنه]])</f>
        <v>0</v>
      </c>
      <c r="I5" s="90"/>
      <c r="J5" s="142" t="str">
        <f t="shared" si="0"/>
        <v>5.5.2026</v>
      </c>
      <c r="L5" s="135" t="s">
        <v>27</v>
      </c>
      <c r="M5" s="90"/>
      <c r="O5" s="137" t="s">
        <v>19</v>
      </c>
      <c r="P5" s="138">
        <f>SUMIF(Basic345678910111213141516171819202122232425262728[نوع الخدمة],"كاش ان",Basic345678910111213141516171819202122232425262728[قيمة الشحنه])</f>
        <v>0</v>
      </c>
      <c r="S5" s="145">
        <f>P5+P9+P12+P7</f>
        <v>0</v>
      </c>
      <c r="T5" s="145">
        <f>P3</f>
        <v>0</v>
      </c>
    </row>
    <row r="6" spans="1:60" ht="21.6" x14ac:dyDescent="0.65">
      <c r="A6" s="195"/>
      <c r="B6" s="140">
        <v>3</v>
      </c>
      <c r="C6" s="8"/>
      <c r="D6" s="9"/>
      <c r="E6" s="10"/>
      <c r="F6" s="9"/>
      <c r="G6" s="141">
        <f>IF(Basic345678910111213141516171819202122232425262728[[#This Row],[نوع الخدمة]]="مخالفات", 50,
IF(Basic345678910111213141516171819202122232425262728[[#This Row],[نوع الخدمة]]="كاش ان",
    IF(F6&lt;=100, 18, IF(F6&lt;=250, 23, IF(F6&lt;=500, 35, IF(F6&lt;=1000, 40, F6*0.04)))),
IF(Basic345678910111213141516171819202122232425262728[[#This Row],[نوع الخدمة]]="كاش اوت",
    IF(F6&lt;=100, 15, IF(F6&lt;=250, 20, IF(F6&lt;=500, 30, IF(F6&lt;=1000, 35, F6*0.035)))),
0)))</f>
        <v>0</v>
      </c>
      <c r="H6" s="141">
        <f>IF(I6="مخالفات",50,Basic345678910111213141516171819202122232425262728[[#This Row],[قيمة الرسوم / العموله]]+Basic345678910111213141516171819202122232425262728[[#This Row],[قيمة الشحنه]])</f>
        <v>0</v>
      </c>
      <c r="I6" s="90"/>
      <c r="J6" s="142" t="str">
        <f t="shared" si="0"/>
        <v>5.5.2026</v>
      </c>
      <c r="L6" s="135" t="s">
        <v>28</v>
      </c>
      <c r="M6" s="90"/>
      <c r="O6" s="146" t="s">
        <v>12</v>
      </c>
      <c r="P6" s="138">
        <f>P3*150</f>
        <v>0</v>
      </c>
    </row>
    <row r="7" spans="1:60" ht="21.6" x14ac:dyDescent="0.65">
      <c r="A7" s="195"/>
      <c r="B7" s="140">
        <v>4</v>
      </c>
      <c r="C7" s="8"/>
      <c r="D7" s="9"/>
      <c r="E7" s="10"/>
      <c r="F7" s="9"/>
      <c r="G7" s="141">
        <f>IF(Basic345678910111213141516171819202122232425262728[[#This Row],[نوع الخدمة]]="مخالفات", 50,
IF(Basic345678910111213141516171819202122232425262728[[#This Row],[نوع الخدمة]]="كاش ان",
    IF(F7&lt;=100, 18, IF(F7&lt;=250, 23, IF(F7&lt;=500, 35, IF(F7&lt;=1000, 40, F7*0.04)))),
IF(Basic345678910111213141516171819202122232425262728[[#This Row],[نوع الخدمة]]="كاش اوت",
    IF(F7&lt;=100, 15, IF(F7&lt;=250, 20, IF(F7&lt;=500, 30, IF(F7&lt;=1000, 35, F7*0.035)))),
0)))</f>
        <v>0</v>
      </c>
      <c r="H7" s="141">
        <f>IF(I7="مخالفات",50,Basic345678910111213141516171819202122232425262728[[#This Row],[قيمة الرسوم / العموله]]+Basic345678910111213141516171819202122232425262728[[#This Row],[قيمة الشحنه]])</f>
        <v>0</v>
      </c>
      <c r="I7" s="90"/>
      <c r="J7" s="142" t="str">
        <f t="shared" si="0"/>
        <v>5.5.2026</v>
      </c>
      <c r="L7" s="137" t="s">
        <v>11</v>
      </c>
      <c r="M7" s="165"/>
      <c r="O7" s="146" t="s">
        <v>75</v>
      </c>
      <c r="P7" s="138">
        <f>SUMIF(Basic345678910111213141516171819202122232425262728[نوع الخدمة],"مخالفات",Basic345678910111213141516171819202122232425262728[الاجمــــــــــالي])</f>
        <v>0</v>
      </c>
      <c r="R7" s="173"/>
      <c r="S7" s="173"/>
    </row>
    <row r="8" spans="1:60" ht="21.6" x14ac:dyDescent="0.65">
      <c r="A8" s="195"/>
      <c r="B8" s="140">
        <v>5</v>
      </c>
      <c r="C8" s="8"/>
      <c r="D8" s="9"/>
      <c r="E8" s="10"/>
      <c r="F8" s="9"/>
      <c r="G8" s="141">
        <f>IF(Basic345678910111213141516171819202122232425262728[[#This Row],[نوع الخدمة]]="مخالفات", 50,
IF(Basic345678910111213141516171819202122232425262728[[#This Row],[نوع الخدمة]]="كاش ان",
    IF(F8&lt;=100, 18, IF(F8&lt;=250, 23, IF(F8&lt;=500, 35, IF(F8&lt;=1000, 40, F8*0.04)))),
IF(Basic345678910111213141516171819202122232425262728[[#This Row],[نوع الخدمة]]="كاش اوت",
    IF(F8&lt;=100, 15, IF(F8&lt;=250, 20, IF(F8&lt;=500, 30, IF(F8&lt;=1000, 35, F8*0.035)))),
0)))</f>
        <v>0</v>
      </c>
      <c r="H8" s="141">
        <f>IF(I8="مخالفات",50,Basic345678910111213141516171819202122232425262728[[#This Row],[قيمة الرسوم / العموله]]+Basic345678910111213141516171819202122232425262728[[#This Row],[قيمة الشحنه]])</f>
        <v>0</v>
      </c>
      <c r="I8" s="90"/>
      <c r="J8" s="142" t="str">
        <f t="shared" si="0"/>
        <v>5.5.2026</v>
      </c>
      <c r="L8" s="166" t="s">
        <v>79</v>
      </c>
      <c r="M8" s="167">
        <v>0</v>
      </c>
      <c r="O8" s="137" t="s">
        <v>11</v>
      </c>
      <c r="P8" s="138">
        <f>M7</f>
        <v>0</v>
      </c>
      <c r="R8" s="143" t="s">
        <v>72</v>
      </c>
      <c r="S8" s="143" t="s">
        <v>25</v>
      </c>
      <c r="T8" s="143" t="s">
        <v>24</v>
      </c>
      <c r="U8" s="143" t="s">
        <v>73</v>
      </c>
      <c r="V8" s="143" t="s">
        <v>25</v>
      </c>
      <c r="W8" s="143" t="s">
        <v>24</v>
      </c>
      <c r="BH8" s="148" t="s">
        <v>8</v>
      </c>
    </row>
    <row r="9" spans="1:60" ht="18" customHeight="1" x14ac:dyDescent="0.65">
      <c r="A9" s="195"/>
      <c r="B9" s="144">
        <v>6</v>
      </c>
      <c r="C9" s="8"/>
      <c r="D9" s="9"/>
      <c r="E9" s="10"/>
      <c r="F9" s="9"/>
      <c r="G9" s="141">
        <f>IF(Basic345678910111213141516171819202122232425262728[[#This Row],[نوع الخدمة]]="مخالفات", 50,
IF(Basic345678910111213141516171819202122232425262728[[#This Row],[نوع الخدمة]]="كاش ان",
    IF(F9&lt;=100, 18, IF(F9&lt;=250, 23, IF(F9&lt;=500, 35, IF(F9&lt;=1000, 40, F9*0.04)))),
IF(Basic345678910111213141516171819202122232425262728[[#This Row],[نوع الخدمة]]="كاش اوت",
    IF(F9&lt;=100, 15, IF(F9&lt;=250, 20, IF(F9&lt;=500, 30, IF(F9&lt;=1000, 35, F9*0.035)))),
0)))</f>
        <v>0</v>
      </c>
      <c r="H9" s="141">
        <f>IF(I9="مخالفات",50,Basic345678910111213141516171819202122232425262728[[#This Row],[قيمة الرسوم / العموله]]+Basic345678910111213141516171819202122232425262728[[#This Row],[قيمة الشحنه]])</f>
        <v>0</v>
      </c>
      <c r="I9" s="90"/>
      <c r="J9" s="142" t="str">
        <f t="shared" si="0"/>
        <v>5.5.2026</v>
      </c>
      <c r="L9" s="166" t="s">
        <v>80</v>
      </c>
      <c r="M9" s="167">
        <v>0</v>
      </c>
      <c r="O9" s="137" t="s">
        <v>20</v>
      </c>
      <c r="P9" s="138">
        <f>SUMIF(Basic345678910111213141516171819202122232425262728[نوع الخدمة],"كاش ان",Basic345678910111213141516171819202122232425262728[قيمة الرسوم / العموله])</f>
        <v>0</v>
      </c>
      <c r="R9" s="149">
        <f>Total!H5/24</f>
        <v>29166.666666666668</v>
      </c>
      <c r="S9" s="149">
        <f>S5</f>
        <v>0</v>
      </c>
      <c r="T9" s="150">
        <f>S9/R9</f>
        <v>0</v>
      </c>
      <c r="U9" s="149">
        <f>Total!K5/24</f>
        <v>2.9166666666666665</v>
      </c>
      <c r="V9" s="149">
        <f>T5</f>
        <v>0</v>
      </c>
      <c r="W9" s="150">
        <f>V9/U9</f>
        <v>0</v>
      </c>
      <c r="BH9" s="148" t="s">
        <v>9</v>
      </c>
    </row>
    <row r="10" spans="1:60" ht="21.6" x14ac:dyDescent="0.65">
      <c r="A10" s="195"/>
      <c r="B10" s="140">
        <v>7</v>
      </c>
      <c r="C10" s="8"/>
      <c r="D10" s="9"/>
      <c r="E10" s="10"/>
      <c r="F10" s="9"/>
      <c r="G10" s="141">
        <f>IF(Basic345678910111213141516171819202122232425262728[[#This Row],[نوع الخدمة]]="مخالفات", 50,
IF(Basic345678910111213141516171819202122232425262728[[#This Row],[نوع الخدمة]]="كاش ان",
    IF(F10&lt;=100, 18, IF(F10&lt;=250, 23, IF(F10&lt;=500, 35, IF(F10&lt;=1000, 40, F10*0.04)))),
IF(Basic345678910111213141516171819202122232425262728[[#This Row],[نوع الخدمة]]="كاش اوت",
    IF(F10&lt;=100, 15, IF(F10&lt;=250, 20, IF(F10&lt;=500, 30, IF(F10&lt;=1000, 35, F10*0.035)))),
0)))</f>
        <v>0</v>
      </c>
      <c r="H10" s="141">
        <f>IF(I10="مخالفات",50,Basic345678910111213141516171819202122232425262728[[#This Row],[قيمة الرسوم / العموله]]+Basic345678910111213141516171819202122232425262728[[#This Row],[قيمة الشحنه]])</f>
        <v>0</v>
      </c>
      <c r="I10" s="90"/>
      <c r="J10" s="142" t="str">
        <f t="shared" si="0"/>
        <v>5.5.2026</v>
      </c>
      <c r="O10" s="137" t="s">
        <v>16</v>
      </c>
      <c r="P10" s="138">
        <f>SUMIF(Basic345678910111213141516171819202122232425262728[نوع الخدمة],"كاش اوت",Basic345678910111213141516171819202122232425262728[قيمة الشحنه])</f>
        <v>0</v>
      </c>
      <c r="R10" s="191">
        <f>(W9+T9)/2</f>
        <v>0</v>
      </c>
      <c r="S10" s="191"/>
      <c r="T10" s="191"/>
      <c r="U10" s="191"/>
      <c r="V10" s="191"/>
      <c r="W10" s="191"/>
      <c r="BH10" s="148" t="s">
        <v>10</v>
      </c>
    </row>
    <row r="11" spans="1:60" ht="21.6" x14ac:dyDescent="0.65">
      <c r="A11" s="195"/>
      <c r="B11" s="140">
        <v>8</v>
      </c>
      <c r="C11" s="8"/>
      <c r="D11" s="9"/>
      <c r="E11" s="10"/>
      <c r="F11" s="9"/>
      <c r="G11" s="141">
        <f>IF(Basic345678910111213141516171819202122232425262728[[#This Row],[نوع الخدمة]]="مخالفات", 50,
IF(Basic345678910111213141516171819202122232425262728[[#This Row],[نوع الخدمة]]="كاش ان",
    IF(F11&lt;=100, 18, IF(F11&lt;=250, 23, IF(F11&lt;=500, 35, IF(F11&lt;=1000, 40, F11*0.04)))),
IF(Basic345678910111213141516171819202122232425262728[[#This Row],[نوع الخدمة]]="كاش اوت",
    IF(F11&lt;=100, 15, IF(F11&lt;=250, 20, IF(F11&lt;=500, 30, IF(F11&lt;=1000, 35, F11*0.035)))),
0)))</f>
        <v>0</v>
      </c>
      <c r="H11" s="141">
        <f>IF(I11="مخالفات",50,Basic345678910111213141516171819202122232425262728[[#This Row],[قيمة الرسوم / العموله]]+Basic345678910111213141516171819202122232425262728[[#This Row],[قيمة الشحنه]])</f>
        <v>0</v>
      </c>
      <c r="I11" s="90"/>
      <c r="J11" s="142" t="str">
        <f t="shared" si="0"/>
        <v>5.5.2026</v>
      </c>
      <c r="L11" s="169" t="s">
        <v>77</v>
      </c>
      <c r="M11" s="168" t="s">
        <v>78</v>
      </c>
      <c r="O11" s="151" t="s">
        <v>21</v>
      </c>
      <c r="P11" s="152">
        <f>(P5+P6+P9+P7+P4)-P10-P8</f>
        <v>0</v>
      </c>
      <c r="T11" s="173"/>
    </row>
    <row r="12" spans="1:60" ht="21.6" x14ac:dyDescent="0.65">
      <c r="A12" s="195"/>
      <c r="B12" s="140">
        <v>9</v>
      </c>
      <c r="C12" s="8"/>
      <c r="D12" s="9"/>
      <c r="E12" s="10"/>
      <c r="F12" s="9"/>
      <c r="G12" s="141">
        <f>IF(Basic345678910111213141516171819202122232425262728[[#This Row],[نوع الخدمة]]="مخالفات", 50,
IF(Basic345678910111213141516171819202122232425262728[[#This Row],[نوع الخدمة]]="كاش ان",
    IF(F12&lt;=100, 18, IF(F12&lt;=250, 23, IF(F12&lt;=500, 35, IF(F12&lt;=1000, 40, F12*0.04)))),
IF(Basic345678910111213141516171819202122232425262728[[#This Row],[نوع الخدمة]]="كاش اوت",
    IF(F12&lt;=100, 15, IF(F12&lt;=250, 20, IF(F12&lt;=500, 30, IF(F12&lt;=1000, 35, F12*0.035)))),
0)))</f>
        <v>0</v>
      </c>
      <c r="H12" s="141">
        <f>IF(I12="مخالفات",50,Basic345678910111213141516171819202122232425262728[[#This Row],[قيمة الرسوم / العموله]]+Basic345678910111213141516171819202122232425262728[[#This Row],[قيمة الشحنه]])</f>
        <v>0</v>
      </c>
      <c r="I12" s="90"/>
      <c r="J12" s="142" t="str">
        <f t="shared" si="0"/>
        <v>5.5.2026</v>
      </c>
      <c r="L12" s="153">
        <v>1</v>
      </c>
      <c r="M12" s="91"/>
      <c r="O12" s="137" t="s">
        <v>29</v>
      </c>
      <c r="P12" s="138">
        <f>SUMIF(Basic345678910111213141516171819202122232425262728[نوع الخدمة],"كاش اوت",Basic345678910111213141516171819202122232425262728[الاجمــــــــــالي])</f>
        <v>0</v>
      </c>
    </row>
    <row r="13" spans="1:60" ht="21.6" x14ac:dyDescent="0.65">
      <c r="A13" s="195"/>
      <c r="B13" s="144">
        <v>10</v>
      </c>
      <c r="C13" s="8"/>
      <c r="D13" s="9"/>
      <c r="E13" s="10"/>
      <c r="F13" s="9"/>
      <c r="G13" s="141">
        <f>IF(Basic345678910111213141516171819202122232425262728[[#This Row],[نوع الخدمة]]="مخالفات", 50,
IF(Basic345678910111213141516171819202122232425262728[[#This Row],[نوع الخدمة]]="كاش ان",
    IF(F13&lt;=100, 18, IF(F13&lt;=250, 23, IF(F13&lt;=500, 35, IF(F13&lt;=1000, 40, F13*0.04)))),
IF(Basic345678910111213141516171819202122232425262728[[#This Row],[نوع الخدمة]]="كاش اوت",
    IF(F13&lt;=100, 15, IF(F13&lt;=250, 20, IF(F13&lt;=500, 30, IF(F13&lt;=1000, 35, F13*0.035)))),
0)))</f>
        <v>0</v>
      </c>
      <c r="H13" s="141">
        <f>IF(I13="مخالفات",50,Basic345678910111213141516171819202122232425262728[[#This Row],[قيمة الرسوم / العموله]]+Basic345678910111213141516171819202122232425262728[[#This Row],[قيمة الشحنه]])</f>
        <v>0</v>
      </c>
      <c r="I13" s="90"/>
      <c r="J13" s="142" t="str">
        <f t="shared" si="0"/>
        <v>5.5.2026</v>
      </c>
      <c r="L13" s="153">
        <v>2</v>
      </c>
      <c r="M13" s="92"/>
    </row>
    <row r="14" spans="1:60" ht="21.6" x14ac:dyDescent="0.65">
      <c r="A14" s="195"/>
      <c r="B14" s="140">
        <v>11</v>
      </c>
      <c r="C14" s="2"/>
      <c r="D14" s="1"/>
      <c r="E14" s="3"/>
      <c r="F14" s="1"/>
      <c r="G14" s="141">
        <f>IF(Basic345678910111213141516171819202122232425262728[[#This Row],[نوع الخدمة]]="مخالفات", 50,
IF(Basic345678910111213141516171819202122232425262728[[#This Row],[نوع الخدمة]]="كاش ان",
    IF(F14&lt;=100, 18, IF(F14&lt;=250, 23, IF(F14&lt;=500, 35, IF(F14&lt;=1000, 40, F14*0.04)))),
IF(Basic345678910111213141516171819202122232425262728[[#This Row],[نوع الخدمة]]="كاش اوت",
    IF(F14&lt;=100, 15, IF(F14&lt;=250, 20, IF(F14&lt;=500, 30, IF(F14&lt;=1000, 35, F14*0.035)))),
0)))</f>
        <v>0</v>
      </c>
      <c r="H14" s="159">
        <f>IF(I14="مخالفات",50,Basic345678910111213141516171819202122232425262728[[#This Row],[قيمة الرسوم / العموله]]+Basic345678910111213141516171819202122232425262728[[#This Row],[قيمة الشحنه]])</f>
        <v>0</v>
      </c>
      <c r="I14" s="90"/>
      <c r="J14" s="142" t="str">
        <f t="shared" si="0"/>
        <v>5.5.2026</v>
      </c>
      <c r="L14" s="153">
        <v>3</v>
      </c>
      <c r="M14" s="92"/>
    </row>
    <row r="15" spans="1:60" ht="21.6" x14ac:dyDescent="0.65">
      <c r="A15" s="195"/>
      <c r="B15" s="140">
        <v>12</v>
      </c>
      <c r="C15" s="2"/>
      <c r="D15" s="1"/>
      <c r="E15" s="3"/>
      <c r="F15" s="1"/>
      <c r="G15" s="141">
        <f>IF(Basic345678910111213141516171819202122232425262728[[#This Row],[نوع الخدمة]]="مخالفات", 50,
IF(Basic345678910111213141516171819202122232425262728[[#This Row],[نوع الخدمة]]="كاش ان",
    IF(F15&lt;=100, 18, IF(F15&lt;=250, 23, IF(F15&lt;=500, 35, IF(F15&lt;=1000, 40, F15*0.04)))),
IF(Basic345678910111213141516171819202122232425262728[[#This Row],[نوع الخدمة]]="كاش اوت",
    IF(F15&lt;=100, 15, IF(F15&lt;=250, 20, IF(F15&lt;=500, 30, IF(F15&lt;=1000, 35, F15*0.035)))),
0)))</f>
        <v>0</v>
      </c>
      <c r="H15" s="159">
        <f>IF(I15="مخالفات",50,Basic345678910111213141516171819202122232425262728[[#This Row],[قيمة الرسوم / العموله]]+Basic345678910111213141516171819202122232425262728[[#This Row],[قيمة الشحنه]])</f>
        <v>0</v>
      </c>
      <c r="I15" s="90"/>
      <c r="J15" s="142" t="str">
        <f t="shared" si="0"/>
        <v>5.5.2026</v>
      </c>
      <c r="L15" s="153">
        <v>4</v>
      </c>
      <c r="M15" s="92"/>
      <c r="O15" s="154" t="s">
        <v>10</v>
      </c>
      <c r="P15" s="155">
        <f>COUNTIF(Basic345678910111213141516171819202122232425262728[نوع الخدمة],"مخالفات")</f>
        <v>0</v>
      </c>
    </row>
    <row r="16" spans="1:60" ht="21.6" x14ac:dyDescent="0.65">
      <c r="A16" s="195"/>
      <c r="B16" s="140">
        <v>13</v>
      </c>
      <c r="C16" s="2"/>
      <c r="D16" s="1"/>
      <c r="E16" s="3"/>
      <c r="F16" s="1"/>
      <c r="G16" s="141">
        <f>IF(Basic345678910111213141516171819202122232425262728[[#This Row],[نوع الخدمة]]="مخالفات", 50,
IF(Basic345678910111213141516171819202122232425262728[[#This Row],[نوع الخدمة]]="كاش ان",
    IF(F16&lt;=100, 18, IF(F16&lt;=250, 23, IF(F16&lt;=500, 35, IF(F16&lt;=1000, 40, F16*0.04)))),
IF(Basic345678910111213141516171819202122232425262728[[#This Row],[نوع الخدمة]]="كاش اوت",
    IF(F16&lt;=100, 15, IF(F16&lt;=250, 20, IF(F16&lt;=500, 30, IF(F16&lt;=1000, 35, F16*0.035)))),
0)))</f>
        <v>0</v>
      </c>
      <c r="H16" s="159">
        <f>IF(I16="مخالفات",50,Basic345678910111213141516171819202122232425262728[[#This Row],[قيمة الرسوم / العموله]]+Basic345678910111213141516171819202122232425262728[[#This Row],[قيمة الشحنه]])</f>
        <v>0</v>
      </c>
      <c r="I16" s="90"/>
      <c r="J16" s="142" t="str">
        <f t="shared" si="0"/>
        <v>5.5.2026</v>
      </c>
      <c r="L16" s="153">
        <v>5</v>
      </c>
      <c r="M16" s="92"/>
      <c r="O16" s="154" t="s">
        <v>13</v>
      </c>
      <c r="P16" s="155">
        <f>COUNTIF(Basic345678910111213141516171819202122232425262728[نوع الخدمة],"كاش ان")</f>
        <v>0</v>
      </c>
    </row>
    <row r="17" spans="1:21" ht="21.6" x14ac:dyDescent="0.65">
      <c r="A17" s="195"/>
      <c r="B17" s="144">
        <v>14</v>
      </c>
      <c r="C17" s="2"/>
      <c r="D17" s="1"/>
      <c r="E17" s="3"/>
      <c r="F17" s="1"/>
      <c r="G17" s="141">
        <f>IF(Basic345678910111213141516171819202122232425262728[[#This Row],[نوع الخدمة]]="مخالفات", 50,
IF(Basic345678910111213141516171819202122232425262728[[#This Row],[نوع الخدمة]]="كاش ان",
    IF(F17&lt;=100, 18, IF(F17&lt;=250, 23, IF(F17&lt;=500, 35, IF(F17&lt;=1000, 40, F17*0.04)))),
IF(Basic345678910111213141516171819202122232425262728[[#This Row],[نوع الخدمة]]="كاش اوت",
    IF(F17&lt;=100, 15, IF(F17&lt;=250, 20, IF(F17&lt;=500, 30, IF(F17&lt;=1000, 35, F17*0.035)))),
0)))</f>
        <v>0</v>
      </c>
      <c r="H17" s="159">
        <f>IF(I17="مخالفات",50,Basic345678910111213141516171819202122232425262728[[#This Row],[قيمة الرسوم / العموله]]+Basic345678910111213141516171819202122232425262728[[#This Row],[قيمة الشحنه]])</f>
        <v>0</v>
      </c>
      <c r="I17" s="90"/>
      <c r="J17" s="142" t="str">
        <f t="shared" si="0"/>
        <v>5.5.2026</v>
      </c>
      <c r="L17" s="153">
        <v>6</v>
      </c>
      <c r="M17" s="92"/>
      <c r="O17" s="154" t="s">
        <v>14</v>
      </c>
      <c r="P17" s="155">
        <f>COUNTIF(Basic345678910111213141516171819202122232425262728[نوع الخدمة],"كاش اوت")</f>
        <v>0</v>
      </c>
    </row>
    <row r="18" spans="1:21" ht="21.6" x14ac:dyDescent="0.65">
      <c r="A18" s="195"/>
      <c r="B18" s="140">
        <v>15</v>
      </c>
      <c r="C18" s="2"/>
      <c r="D18" s="1"/>
      <c r="E18" s="3"/>
      <c r="F18" s="1"/>
      <c r="G18" s="141">
        <f>IF(Basic345678910111213141516171819202122232425262728[[#This Row],[نوع الخدمة]]="مخالفات", 50,
IF(Basic345678910111213141516171819202122232425262728[[#This Row],[نوع الخدمة]]="كاش ان",
    IF(F18&lt;=100, 18, IF(F18&lt;=250, 23, IF(F18&lt;=500, 35, IF(F18&lt;=1000, 40, F18*0.04)))),
IF(Basic345678910111213141516171819202122232425262728[[#This Row],[نوع الخدمة]]="كاش اوت",
    IF(F18&lt;=100, 15, IF(F18&lt;=250, 20, IF(F18&lt;=500, 30, IF(F18&lt;=1000, 35, F18*0.035)))),
0)))</f>
        <v>0</v>
      </c>
      <c r="H18" s="159">
        <f>IF(I18="مخالفات",50,Basic345678910111213141516171819202122232425262728[[#This Row],[قيمة الرسوم / العموله]]+Basic345678910111213141516171819202122232425262728[[#This Row],[قيمة الشحنه]])</f>
        <v>0</v>
      </c>
      <c r="I18" s="90"/>
      <c r="J18" s="142" t="str">
        <f t="shared" si="0"/>
        <v>5.5.2026</v>
      </c>
      <c r="L18" s="153">
        <v>7</v>
      </c>
      <c r="M18" s="92"/>
      <c r="O18" s="154" t="s">
        <v>15</v>
      </c>
      <c r="P18" s="155">
        <f>P16+P17</f>
        <v>0</v>
      </c>
    </row>
    <row r="19" spans="1:21" ht="21.6" x14ac:dyDescent="0.65">
      <c r="A19" s="195"/>
      <c r="B19" s="140">
        <v>16</v>
      </c>
      <c r="C19" s="2"/>
      <c r="D19" s="1"/>
      <c r="E19" s="3"/>
      <c r="F19" s="1"/>
      <c r="G19" s="141">
        <f>IF(Basic345678910111213141516171819202122232425262728[[#This Row],[نوع الخدمة]]="مخالفات", 50,
IF(Basic345678910111213141516171819202122232425262728[[#This Row],[نوع الخدمة]]="كاش ان",
    IF(F19&lt;=100, 18, IF(F19&lt;=250, 23, IF(F19&lt;=500, 35, IF(F19&lt;=1000, 40, F19*0.04)))),
IF(Basic345678910111213141516171819202122232425262728[[#This Row],[نوع الخدمة]]="كاش اوت",
    IF(F19&lt;=100, 15, IF(F19&lt;=250, 20, IF(F19&lt;=500, 30, IF(F19&lt;=1000, 35, F19*0.035)))),
0)))</f>
        <v>0</v>
      </c>
      <c r="H19" s="159">
        <f>IF(I19="مخالفات",50,Basic345678910111213141516171819202122232425262728[[#This Row],[قيمة الرسوم / العموله]]+Basic345678910111213141516171819202122232425262728[[#This Row],[قيمة الشحنه]])</f>
        <v>0</v>
      </c>
      <c r="I19" s="90"/>
      <c r="J19" s="142" t="str">
        <f t="shared" si="0"/>
        <v>5.5.2026</v>
      </c>
      <c r="L19" s="153">
        <v>8</v>
      </c>
      <c r="M19" s="92"/>
    </row>
    <row r="20" spans="1:21" ht="21.6" x14ac:dyDescent="0.65">
      <c r="A20" s="195"/>
      <c r="B20" s="140">
        <v>17</v>
      </c>
      <c r="C20" s="2"/>
      <c r="D20" s="1"/>
      <c r="E20" s="3"/>
      <c r="F20" s="1"/>
      <c r="G20" s="141">
        <f>IF(Basic345678910111213141516171819202122232425262728[[#This Row],[نوع الخدمة]]="مخالفات", 50,
IF(Basic345678910111213141516171819202122232425262728[[#This Row],[نوع الخدمة]]="كاش ان",
    IF(F20&lt;=100, 18, IF(F20&lt;=250, 23, IF(F20&lt;=500, 35, IF(F20&lt;=1000, 40, F20*0.04)))),
IF(Basic345678910111213141516171819202122232425262728[[#This Row],[نوع الخدمة]]="كاش اوت",
    IF(F20&lt;=100, 15, IF(F20&lt;=250, 20, IF(F20&lt;=500, 30, IF(F20&lt;=1000, 35, F20*0.035)))),
0)))</f>
        <v>0</v>
      </c>
      <c r="H20" s="159">
        <f>IF(I20="مخالفات",50,Basic345678910111213141516171819202122232425262728[[#This Row],[قيمة الرسوم / العموله]]+Basic345678910111213141516171819202122232425262728[[#This Row],[قيمة الشحنه]])</f>
        <v>0</v>
      </c>
      <c r="I20" s="90"/>
      <c r="J20" s="142" t="str">
        <f t="shared" si="0"/>
        <v>5.5.2026</v>
      </c>
      <c r="L20" s="153">
        <v>9</v>
      </c>
      <c r="M20" s="92"/>
      <c r="O20" s="193" t="s">
        <v>30</v>
      </c>
      <c r="P20" s="194"/>
    </row>
    <row r="21" spans="1:21" ht="21.6" x14ac:dyDescent="0.65">
      <c r="A21" s="195"/>
      <c r="B21" s="144">
        <v>18</v>
      </c>
      <c r="C21" s="2"/>
      <c r="D21" s="1"/>
      <c r="E21" s="3"/>
      <c r="F21" s="1"/>
      <c r="G21" s="141">
        <f>IF(Basic345678910111213141516171819202122232425262728[[#This Row],[نوع الخدمة]]="مخالفات", 50,
IF(Basic345678910111213141516171819202122232425262728[[#This Row],[نوع الخدمة]]="كاش ان",
    IF(F21&lt;=100, 18, IF(F21&lt;=250, 23, IF(F21&lt;=500, 35, IF(F21&lt;=1000, 40, F21*0.04)))),
IF(Basic345678910111213141516171819202122232425262728[[#This Row],[نوع الخدمة]]="كاش اوت",
    IF(F21&lt;=100, 15, IF(F21&lt;=250, 20, IF(F21&lt;=500, 30, IF(F21&lt;=1000, 35, F21*0.035)))),
0)))</f>
        <v>0</v>
      </c>
      <c r="H21" s="159">
        <f>IF(I21="مخالفات",50,Basic345678910111213141516171819202122232425262728[[#This Row],[قيمة الرسوم / العموله]]+Basic345678910111213141516171819202122232425262728[[#This Row],[قيمة الشحنه]])</f>
        <v>0</v>
      </c>
      <c r="I21" s="90"/>
      <c r="J21" s="142" t="str">
        <f t="shared" si="0"/>
        <v>5.5.2026</v>
      </c>
      <c r="L21" s="153">
        <v>10</v>
      </c>
      <c r="M21" s="92"/>
      <c r="O21" s="196" t="s">
        <v>31</v>
      </c>
      <c r="P21" s="197"/>
    </row>
    <row r="22" spans="1:21" ht="21.6" x14ac:dyDescent="0.65">
      <c r="A22" s="195"/>
      <c r="B22" s="140">
        <v>19</v>
      </c>
      <c r="C22" s="2"/>
      <c r="D22" s="1"/>
      <c r="E22" s="3"/>
      <c r="F22" s="1"/>
      <c r="G22" s="141">
        <f>IF(Basic345678910111213141516171819202122232425262728[[#This Row],[نوع الخدمة]]="مخالفات", 50,
IF(Basic345678910111213141516171819202122232425262728[[#This Row],[نوع الخدمة]]="كاش ان",
    IF(F22&lt;=100, 18, IF(F22&lt;=250, 23, IF(F22&lt;=500, 35, IF(F22&lt;=1000, 40, F22*0.04)))),
IF(Basic345678910111213141516171819202122232425262728[[#This Row],[نوع الخدمة]]="كاش اوت",
    IF(F22&lt;=100, 15, IF(F22&lt;=250, 20, IF(F22&lt;=500, 30, IF(F22&lt;=1000, 35, F22*0.035)))),
0)))</f>
        <v>0</v>
      </c>
      <c r="H22" s="159">
        <f>IF(I22="مخالفات",50,Basic345678910111213141516171819202122232425262728[[#This Row],[قيمة الرسوم / العموله]]+Basic345678910111213141516171819202122232425262728[[#This Row],[قيمة الشحنه]])</f>
        <v>0</v>
      </c>
      <c r="I22" s="90"/>
      <c r="J22" s="142" t="str">
        <f t="shared" si="0"/>
        <v>5.5.2026</v>
      </c>
      <c r="L22" s="153">
        <v>11</v>
      </c>
      <c r="M22" s="92"/>
      <c r="O22" s="147" t="s">
        <v>27</v>
      </c>
      <c r="P22" s="135">
        <f>M8+'4'!P28</f>
        <v>-4</v>
      </c>
    </row>
    <row r="23" spans="1:21" ht="21.6" x14ac:dyDescent="0.65">
      <c r="A23" s="195"/>
      <c r="B23" s="140">
        <v>20</v>
      </c>
      <c r="C23" s="2"/>
      <c r="D23" s="1"/>
      <c r="E23" s="3"/>
      <c r="F23" s="1"/>
      <c r="G23" s="141">
        <f>IF(Basic345678910111213141516171819202122232425262728[[#This Row],[نوع الخدمة]]="مخالفات", 50,
IF(Basic345678910111213141516171819202122232425262728[[#This Row],[نوع الخدمة]]="كاش ان",
    IF(F23&lt;=100, 18, IF(F23&lt;=250, 23, IF(F23&lt;=500, 35, IF(F23&lt;=1000, 40, F23*0.04)))),
IF(Basic345678910111213141516171819202122232425262728[[#This Row],[نوع الخدمة]]="كاش اوت",
    IF(F23&lt;=100, 15, IF(F23&lt;=250, 20, IF(F23&lt;=500, 30, IF(F23&lt;=1000, 35, F23*0.035)))),
0)))</f>
        <v>0</v>
      </c>
      <c r="H23" s="159">
        <f>IF(I23="مخالفات",50,Basic345678910111213141516171819202122232425262728[[#This Row],[قيمة الرسوم / العموله]]+Basic345678910111213141516171819202122232425262728[[#This Row],[قيمة الشحنه]])</f>
        <v>0</v>
      </c>
      <c r="I23" s="90"/>
      <c r="J23" s="142" t="str">
        <f t="shared" si="0"/>
        <v>5.5.2026</v>
      </c>
      <c r="L23" s="153">
        <v>12</v>
      </c>
      <c r="M23" s="92"/>
      <c r="O23" s="147" t="s">
        <v>28</v>
      </c>
      <c r="P23" s="135">
        <f>M9+'4'!P29</f>
        <v>0</v>
      </c>
      <c r="T23" s="173"/>
      <c r="U23" s="173"/>
    </row>
    <row r="24" spans="1:21" ht="21.6" x14ac:dyDescent="0.65">
      <c r="A24" s="195"/>
      <c r="B24" s="140">
        <v>21</v>
      </c>
      <c r="C24" s="2"/>
      <c r="D24" s="1"/>
      <c r="E24" s="3"/>
      <c r="F24" s="1"/>
      <c r="G24" s="141">
        <f>IF(Basic345678910111213141516171819202122232425262728[[#This Row],[نوع الخدمة]]="مخالفات", 50,
IF(Basic345678910111213141516171819202122232425262728[[#This Row],[نوع الخدمة]]="كاش ان",
    IF(F24&lt;=100, 18, IF(F24&lt;=250, 23, IF(F24&lt;=500, 35, IF(F24&lt;=1000, 40, F24*0.04)))),
IF(Basic345678910111213141516171819202122232425262728[[#This Row],[نوع الخدمة]]="كاش اوت",
    IF(F24&lt;=100, 15, IF(F24&lt;=250, 20, IF(F24&lt;=500, 30, IF(F24&lt;=1000, 35, F24*0.035)))),
0)))</f>
        <v>0</v>
      </c>
      <c r="H24" s="159">
        <f>IF(I24="مخالفات",50,Basic345678910111213141516171819202122232425262728[[#This Row],[قيمة الرسوم / العموله]]+Basic345678910111213141516171819202122232425262728[[#This Row],[قيمة الشحنه]])</f>
        <v>0</v>
      </c>
      <c r="I24" s="90"/>
      <c r="J24" s="142" t="str">
        <f t="shared" si="0"/>
        <v>5.5.2026</v>
      </c>
      <c r="L24" s="153">
        <v>13</v>
      </c>
      <c r="M24" s="92"/>
      <c r="O24" s="196" t="s">
        <v>32</v>
      </c>
      <c r="P24" s="197"/>
    </row>
    <row r="25" spans="1:21" ht="21.6" x14ac:dyDescent="0.65">
      <c r="A25" s="195"/>
      <c r="B25" s="144">
        <v>22</v>
      </c>
      <c r="C25" s="2"/>
      <c r="D25" s="1"/>
      <c r="E25" s="3"/>
      <c r="F25" s="1"/>
      <c r="G25" s="141">
        <f>IF(Basic345678910111213141516171819202122232425262728[[#This Row],[نوع الخدمة]]="مخالفات", 50,
IF(Basic345678910111213141516171819202122232425262728[[#This Row],[نوع الخدمة]]="كاش ان",
    IF(F25&lt;=100, 18, IF(F25&lt;=250, 23, IF(F25&lt;=500, 35, IF(F25&lt;=1000, 40, F25*0.04)))),
IF(Basic345678910111213141516171819202122232425262728[[#This Row],[نوع الخدمة]]="كاش اوت",
    IF(F25&lt;=100, 15, IF(F25&lt;=250, 20, IF(F25&lt;=500, 30, IF(F25&lt;=1000, 35, F25*0.035)))),
0)))</f>
        <v>0</v>
      </c>
      <c r="H25" s="159">
        <f>IF(I25="مخالفات",50,Basic345678910111213141516171819202122232425262728[[#This Row],[قيمة الرسوم / العموله]]+Basic345678910111213141516171819202122232425262728[[#This Row],[قيمة الشحنه]])</f>
        <v>0</v>
      </c>
      <c r="I25" s="90"/>
      <c r="J25" s="142" t="str">
        <f t="shared" si="0"/>
        <v>5.5.2026</v>
      </c>
      <c r="L25" s="153">
        <v>14</v>
      </c>
      <c r="M25" s="92"/>
      <c r="O25" s="147" t="s">
        <v>27</v>
      </c>
      <c r="P25" s="135">
        <f>M5</f>
        <v>0</v>
      </c>
    </row>
    <row r="26" spans="1:21" ht="21.6" x14ac:dyDescent="0.65">
      <c r="A26" s="195"/>
      <c r="B26" s="140">
        <v>23</v>
      </c>
      <c r="C26" s="2"/>
      <c r="D26" s="1"/>
      <c r="E26" s="3"/>
      <c r="F26" s="1"/>
      <c r="G26" s="141">
        <f>IF(Basic345678910111213141516171819202122232425262728[[#This Row],[نوع الخدمة]]="مخالفات", 50,
IF(Basic345678910111213141516171819202122232425262728[[#This Row],[نوع الخدمة]]="كاش ان",
    IF(F26&lt;=100, 18, IF(F26&lt;=250, 23, IF(F26&lt;=500, 35, IF(F26&lt;=1000, 40, F26*0.04)))),
IF(Basic345678910111213141516171819202122232425262728[[#This Row],[نوع الخدمة]]="كاش اوت",
    IF(F26&lt;=100, 15, IF(F26&lt;=250, 20, IF(F26&lt;=500, 30, IF(F26&lt;=1000, 35, F26*0.035)))),
0)))</f>
        <v>0</v>
      </c>
      <c r="H26" s="159">
        <f>IF(I26="مخالفات",50,Basic345678910111213141516171819202122232425262728[[#This Row],[قيمة الرسوم / العموله]]+Basic345678910111213141516171819202122232425262728[[#This Row],[قيمة الشحنه]])</f>
        <v>0</v>
      </c>
      <c r="I26" s="90"/>
      <c r="J26" s="142" t="str">
        <f t="shared" si="0"/>
        <v>5.5.2026</v>
      </c>
      <c r="L26" s="153">
        <v>15</v>
      </c>
      <c r="M26" s="92"/>
      <c r="O26" s="147" t="s">
        <v>28</v>
      </c>
      <c r="P26" s="135">
        <f>M6</f>
        <v>0</v>
      </c>
    </row>
    <row r="27" spans="1:21" ht="21.6" x14ac:dyDescent="0.65">
      <c r="A27" s="195"/>
      <c r="B27" s="140">
        <v>24</v>
      </c>
      <c r="C27" s="2"/>
      <c r="D27" s="1"/>
      <c r="E27" s="3"/>
      <c r="F27" s="1"/>
      <c r="G27" s="141">
        <f>IF(Basic345678910111213141516171819202122232425262728[[#This Row],[نوع الخدمة]]="مخالفات", 50,
IF(Basic345678910111213141516171819202122232425262728[[#This Row],[نوع الخدمة]]="كاش ان",
    IF(F27&lt;=100, 18, IF(F27&lt;=250, 23, IF(F27&lt;=500, 35, IF(F27&lt;=1000, 40, F27*0.04)))),
IF(Basic345678910111213141516171819202122232425262728[[#This Row],[نوع الخدمة]]="كاش اوت",
    IF(F27&lt;=100, 15, IF(F27&lt;=250, 20, IF(F27&lt;=500, 30, IF(F27&lt;=1000, 35, F27*0.035)))),
0)))</f>
        <v>0</v>
      </c>
      <c r="H27" s="159">
        <f>IF(I27="مخالفات",50,Basic345678910111213141516171819202122232425262728[[#This Row],[قيمة الرسوم / العموله]]+Basic345678910111213141516171819202122232425262728[[#This Row],[قيمة الشحنه]])</f>
        <v>0</v>
      </c>
      <c r="I27" s="90"/>
      <c r="J27" s="142" t="str">
        <f t="shared" si="0"/>
        <v>5.5.2026</v>
      </c>
      <c r="L27" s="153">
        <v>16</v>
      </c>
      <c r="M27" s="92"/>
      <c r="O27" s="196" t="s">
        <v>33</v>
      </c>
      <c r="P27" s="197"/>
    </row>
    <row r="28" spans="1:21" ht="21.6" x14ac:dyDescent="0.65">
      <c r="A28" s="195"/>
      <c r="B28" s="140">
        <v>25</v>
      </c>
      <c r="C28" s="2"/>
      <c r="D28" s="1"/>
      <c r="E28" s="3"/>
      <c r="F28" s="1"/>
      <c r="G28" s="141">
        <f>IF(Basic345678910111213141516171819202122232425262728[[#This Row],[نوع الخدمة]]="مخالفات", 50,
IF(Basic345678910111213141516171819202122232425262728[[#This Row],[نوع الخدمة]]="كاش ان",
    IF(F28&lt;=100, 18, IF(F28&lt;=250, 23, IF(F28&lt;=500, 35, IF(F28&lt;=1000, 40, F28*0.04)))),
IF(Basic345678910111213141516171819202122232425262728[[#This Row],[نوع الخدمة]]="كاش اوت",
    IF(F28&lt;=100, 15, IF(F28&lt;=250, 20, IF(F28&lt;=500, 30, IF(F28&lt;=1000, 35, F28*0.035)))),
0)))</f>
        <v>0</v>
      </c>
      <c r="H28" s="159">
        <f>IF(I28="مخالفات",50,Basic345678910111213141516171819202122232425262728[[#This Row],[قيمة الرسوم / العموله]]+Basic345678910111213141516171819202122232425262728[[#This Row],[قيمة الشحنه]])</f>
        <v>0</v>
      </c>
      <c r="I28" s="90"/>
      <c r="J28" s="142" t="str">
        <f t="shared" si="0"/>
        <v>5.5.2026</v>
      </c>
      <c r="L28" s="153">
        <v>17</v>
      </c>
      <c r="M28" s="92"/>
      <c r="O28" s="147" t="s">
        <v>27</v>
      </c>
      <c r="P28" s="135">
        <f>P22-P25</f>
        <v>-4</v>
      </c>
    </row>
    <row r="29" spans="1:21" ht="21.6" x14ac:dyDescent="0.65">
      <c r="A29" s="195"/>
      <c r="B29" s="144">
        <v>26</v>
      </c>
      <c r="C29" s="2"/>
      <c r="D29" s="1"/>
      <c r="E29" s="3"/>
      <c r="F29" s="1"/>
      <c r="G29" s="141">
        <f>IF(Basic345678910111213141516171819202122232425262728[[#This Row],[نوع الخدمة]]="مخالفات", 50,
IF(Basic345678910111213141516171819202122232425262728[[#This Row],[نوع الخدمة]]="كاش ان",
    IF(F29&lt;=100, 18, IF(F29&lt;=250, 23, IF(F29&lt;=500, 35, IF(F29&lt;=1000, 40, F29*0.04)))),
IF(Basic345678910111213141516171819202122232425262728[[#This Row],[نوع الخدمة]]="كاش اوت",
    IF(F29&lt;=100, 15, IF(F29&lt;=250, 20, IF(F29&lt;=500, 30, IF(F29&lt;=1000, 35, F29*0.035)))),
0)))</f>
        <v>0</v>
      </c>
      <c r="H29" s="159">
        <f>IF(I29="مخالفات",50,Basic345678910111213141516171819202122232425262728[[#This Row],[قيمة الرسوم / العموله]]+Basic345678910111213141516171819202122232425262728[[#This Row],[قيمة الشحنه]])</f>
        <v>0</v>
      </c>
      <c r="I29" s="90"/>
      <c r="J29" s="142" t="str">
        <f t="shared" si="0"/>
        <v>5.5.2026</v>
      </c>
      <c r="L29" s="153">
        <v>18</v>
      </c>
      <c r="M29" s="92"/>
      <c r="O29" s="147" t="s">
        <v>28</v>
      </c>
      <c r="P29" s="135">
        <f>P23-P26</f>
        <v>0</v>
      </c>
    </row>
    <row r="30" spans="1:21" ht="21.6" x14ac:dyDescent="0.65">
      <c r="A30" s="195"/>
      <c r="B30" s="140">
        <v>27</v>
      </c>
      <c r="C30" s="2"/>
      <c r="D30" s="1"/>
      <c r="E30" s="3"/>
      <c r="F30" s="1"/>
      <c r="G30" s="141">
        <f>IF(Basic345678910111213141516171819202122232425262728[[#This Row],[نوع الخدمة]]="مخالفات", 50,
IF(Basic345678910111213141516171819202122232425262728[[#This Row],[نوع الخدمة]]="كاش ان",
    IF(F30&lt;=100, 18, IF(F30&lt;=250, 23, IF(F30&lt;=500, 35, IF(F30&lt;=1000, 40, F30*0.04)))),
IF(Basic345678910111213141516171819202122232425262728[[#This Row],[نوع الخدمة]]="كاش اوت",
    IF(F30&lt;=100, 15, IF(F30&lt;=250, 20, IF(F30&lt;=500, 30, IF(F30&lt;=1000, 35, F30*0.035)))),
0)))</f>
        <v>0</v>
      </c>
      <c r="H30" s="159">
        <f>IF(I30="مخالفات",50,Basic345678910111213141516171819202122232425262728[[#This Row],[قيمة الرسوم / العموله]]+Basic345678910111213141516171819202122232425262728[[#This Row],[قيمة الشحنه]])</f>
        <v>0</v>
      </c>
      <c r="I30" s="90"/>
      <c r="J30" s="142" t="str">
        <f t="shared" si="0"/>
        <v>5.5.2026</v>
      </c>
      <c r="L30" s="153">
        <v>19</v>
      </c>
      <c r="M30" s="92"/>
    </row>
    <row r="31" spans="1:21" ht="21.6" x14ac:dyDescent="0.65">
      <c r="A31" s="195"/>
      <c r="B31" s="140">
        <v>28</v>
      </c>
      <c r="C31" s="2"/>
      <c r="D31" s="1"/>
      <c r="E31" s="3"/>
      <c r="F31" s="1"/>
      <c r="G31" s="141">
        <f>IF(Basic345678910111213141516171819202122232425262728[[#This Row],[نوع الخدمة]]="مخالفات", 50,
IF(Basic345678910111213141516171819202122232425262728[[#This Row],[نوع الخدمة]]="كاش ان",
    IF(F31&lt;=100, 18, IF(F31&lt;=250, 23, IF(F31&lt;=500, 35, IF(F31&lt;=1000, 40, F31*0.04)))),
IF(Basic345678910111213141516171819202122232425262728[[#This Row],[نوع الخدمة]]="كاش اوت",
    IF(F31&lt;=100, 15, IF(F31&lt;=250, 20, IF(F31&lt;=500, 30, IF(F31&lt;=1000, 35, F31*0.035)))),
0)))</f>
        <v>0</v>
      </c>
      <c r="H31" s="159">
        <f>IF(I31="مخالفات",50,Basic345678910111213141516171819202122232425262728[[#This Row],[قيمة الرسوم / العموله]]+Basic345678910111213141516171819202122232425262728[[#This Row],[قيمة الشحنه]])</f>
        <v>0</v>
      </c>
      <c r="I31" s="90"/>
      <c r="J31" s="142" t="str">
        <f t="shared" si="0"/>
        <v>5.5.2026</v>
      </c>
      <c r="L31" s="153">
        <v>20</v>
      </c>
      <c r="M31" s="92"/>
    </row>
    <row r="32" spans="1:21" ht="21.6" x14ac:dyDescent="0.65">
      <c r="A32" s="195"/>
      <c r="B32" s="140">
        <v>29</v>
      </c>
      <c r="C32" s="2"/>
      <c r="D32" s="1"/>
      <c r="E32" s="3"/>
      <c r="F32" s="1"/>
      <c r="G32" s="141">
        <f>IF(Basic345678910111213141516171819202122232425262728[[#This Row],[نوع الخدمة]]="مخالفات", 50,
IF(Basic345678910111213141516171819202122232425262728[[#This Row],[نوع الخدمة]]="كاش ان",
    IF(F32&lt;=100, 18, IF(F32&lt;=250, 23, IF(F32&lt;=500, 35, IF(F32&lt;=1000, 40, F32*0.04)))),
IF(Basic345678910111213141516171819202122232425262728[[#This Row],[نوع الخدمة]]="كاش اوت",
    IF(F32&lt;=100, 15, IF(F32&lt;=250, 20, IF(F32&lt;=500, 30, IF(F32&lt;=1000, 35, F32*0.035)))),
0)))</f>
        <v>0</v>
      </c>
      <c r="H32" s="159">
        <f>IF(I32="مخالفات",50,Basic345678910111213141516171819202122232425262728[[#This Row],[قيمة الرسوم / العموله]]+Basic345678910111213141516171819202122232425262728[[#This Row],[قيمة الشحنه]])</f>
        <v>0</v>
      </c>
      <c r="I32" s="90"/>
      <c r="J32" s="142" t="str">
        <f t="shared" si="0"/>
        <v>5.5.2026</v>
      </c>
      <c r="L32" s="153">
        <v>21</v>
      </c>
      <c r="M32" s="92"/>
    </row>
    <row r="33" spans="1:13" ht="21.6" x14ac:dyDescent="0.65">
      <c r="A33" s="195"/>
      <c r="B33" s="144">
        <v>30</v>
      </c>
      <c r="C33" s="2"/>
      <c r="D33" s="1"/>
      <c r="E33" s="3"/>
      <c r="F33" s="1"/>
      <c r="G33" s="141">
        <f>IF(Basic345678910111213141516171819202122232425262728[[#This Row],[نوع الخدمة]]="مخالفات", 50,
IF(Basic345678910111213141516171819202122232425262728[[#This Row],[نوع الخدمة]]="كاش ان",
    IF(F33&lt;=100, 18, IF(F33&lt;=250, 23, IF(F33&lt;=500, 35, IF(F33&lt;=1000, 40, F33*0.04)))),
IF(Basic345678910111213141516171819202122232425262728[[#This Row],[نوع الخدمة]]="كاش اوت",
    IF(F33&lt;=100, 15, IF(F33&lt;=250, 20, IF(F33&lt;=500, 30, IF(F33&lt;=1000, 35, F33*0.035)))),
0)))</f>
        <v>0</v>
      </c>
      <c r="H33" s="159">
        <f>IF(I33="مخالفات",50,Basic345678910111213141516171819202122232425262728[[#This Row],[قيمة الرسوم / العموله]]+Basic345678910111213141516171819202122232425262728[[#This Row],[قيمة الشحنه]])</f>
        <v>0</v>
      </c>
      <c r="I33" s="90"/>
      <c r="J33" s="142" t="str">
        <f t="shared" si="0"/>
        <v>5.5.2026</v>
      </c>
      <c r="L33" s="153">
        <v>22</v>
      </c>
      <c r="M33" s="92"/>
    </row>
    <row r="34" spans="1:13" ht="21.6" x14ac:dyDescent="0.65">
      <c r="A34" s="195"/>
      <c r="B34" s="140">
        <v>31</v>
      </c>
      <c r="C34" s="2"/>
      <c r="D34" s="1"/>
      <c r="E34" s="3"/>
      <c r="F34" s="1"/>
      <c r="G34" s="141">
        <f>IF(Basic345678910111213141516171819202122232425262728[[#This Row],[نوع الخدمة]]="مخالفات", 50,
IF(Basic345678910111213141516171819202122232425262728[[#This Row],[نوع الخدمة]]="كاش ان",
    IF(F34&lt;=100, 18, IF(F34&lt;=250, 23, IF(F34&lt;=500, 35, IF(F34&lt;=1000, 40, F34*0.04)))),
IF(Basic345678910111213141516171819202122232425262728[[#This Row],[نوع الخدمة]]="كاش اوت",
    IF(F34&lt;=100, 15, IF(F34&lt;=250, 20, IF(F34&lt;=500, 30, IF(F34&lt;=1000, 35, F34*0.035)))),
0)))</f>
        <v>0</v>
      </c>
      <c r="H34" s="159">
        <f>IF(I34="مخالفات",50,Basic345678910111213141516171819202122232425262728[[#This Row],[قيمة الرسوم / العموله]]+Basic345678910111213141516171819202122232425262728[[#This Row],[قيمة الشحنه]])</f>
        <v>0</v>
      </c>
      <c r="I34" s="90"/>
      <c r="J34" s="142" t="str">
        <f t="shared" si="0"/>
        <v>5.5.2026</v>
      </c>
      <c r="L34" s="153">
        <v>23</v>
      </c>
      <c r="M34" s="92"/>
    </row>
    <row r="35" spans="1:13" ht="21.6" x14ac:dyDescent="0.65">
      <c r="A35" s="195"/>
      <c r="B35" s="140">
        <v>32</v>
      </c>
      <c r="C35" s="2"/>
      <c r="D35" s="1"/>
      <c r="E35" s="3"/>
      <c r="F35" s="1"/>
      <c r="G35" s="141">
        <f>IF(Basic345678910111213141516171819202122232425262728[[#This Row],[نوع الخدمة]]="مخالفات", 50,
IF(Basic345678910111213141516171819202122232425262728[[#This Row],[نوع الخدمة]]="كاش ان",
    IF(F35&lt;=100, 18, IF(F35&lt;=250, 23, IF(F35&lt;=500, 35, IF(F35&lt;=1000, 40, F35*0.04)))),
IF(Basic345678910111213141516171819202122232425262728[[#This Row],[نوع الخدمة]]="كاش اوت",
    IF(F35&lt;=100, 15, IF(F35&lt;=250, 20, IF(F35&lt;=500, 30, IF(F35&lt;=1000, 35, F35*0.035)))),
0)))</f>
        <v>0</v>
      </c>
      <c r="H35" s="159">
        <f>IF(I35="مخالفات",50,Basic345678910111213141516171819202122232425262728[[#This Row],[قيمة الرسوم / العموله]]+Basic345678910111213141516171819202122232425262728[[#This Row],[قيمة الشحنه]])</f>
        <v>0</v>
      </c>
      <c r="I35" s="90"/>
      <c r="J35" s="142" t="str">
        <f t="shared" si="0"/>
        <v>5.5.2026</v>
      </c>
      <c r="L35" s="153">
        <v>24</v>
      </c>
      <c r="M35" s="92"/>
    </row>
    <row r="36" spans="1:13" ht="21.6" x14ac:dyDescent="0.65">
      <c r="A36" s="195"/>
      <c r="B36" s="140">
        <v>33</v>
      </c>
      <c r="C36" s="2"/>
      <c r="D36" s="1"/>
      <c r="E36" s="3"/>
      <c r="F36" s="1"/>
      <c r="G36" s="141">
        <f>IF(Basic345678910111213141516171819202122232425262728[[#This Row],[نوع الخدمة]]="مخالفات", 50,
IF(Basic345678910111213141516171819202122232425262728[[#This Row],[نوع الخدمة]]="كاش ان",
    IF(F36&lt;=100, 18, IF(F36&lt;=250, 23, IF(F36&lt;=500, 35, IF(F36&lt;=1000, 40, F36*0.04)))),
IF(Basic345678910111213141516171819202122232425262728[[#This Row],[نوع الخدمة]]="كاش اوت",
    IF(F36&lt;=100, 15, IF(F36&lt;=250, 20, IF(F36&lt;=500, 30, IF(F36&lt;=1000, 35, F36*0.035)))),
0)))</f>
        <v>0</v>
      </c>
      <c r="H36" s="159">
        <f>IF(I36="مخالفات",50,Basic345678910111213141516171819202122232425262728[[#This Row],[قيمة الرسوم / العموله]]+Basic345678910111213141516171819202122232425262728[[#This Row],[قيمة الشحنه]])</f>
        <v>0</v>
      </c>
      <c r="I36" s="90"/>
      <c r="J36" s="142" t="str">
        <f t="shared" si="0"/>
        <v>5.5.2026</v>
      </c>
      <c r="L36" s="153">
        <v>25</v>
      </c>
      <c r="M36" s="92"/>
    </row>
    <row r="37" spans="1:13" ht="21.6" x14ac:dyDescent="0.65">
      <c r="A37" s="195"/>
      <c r="B37" s="144">
        <v>34</v>
      </c>
      <c r="C37" s="2"/>
      <c r="D37" s="1"/>
      <c r="E37" s="3"/>
      <c r="F37" s="1"/>
      <c r="G37" s="141">
        <f>IF(Basic345678910111213141516171819202122232425262728[[#This Row],[نوع الخدمة]]="مخالفات", 50,
IF(Basic345678910111213141516171819202122232425262728[[#This Row],[نوع الخدمة]]="كاش ان",
    IF(F37&lt;=100, 18, IF(F37&lt;=250, 23, IF(F37&lt;=500, 35, IF(F37&lt;=1000, 40, F37*0.04)))),
IF(Basic345678910111213141516171819202122232425262728[[#This Row],[نوع الخدمة]]="كاش اوت",
    IF(F37&lt;=100, 15, IF(F37&lt;=250, 20, IF(F37&lt;=500, 30, IF(F37&lt;=1000, 35, F37*0.035)))),
0)))</f>
        <v>0</v>
      </c>
      <c r="H37" s="159">
        <f>IF(I37="مخالفات",50,Basic345678910111213141516171819202122232425262728[[#This Row],[قيمة الرسوم / العموله]]+Basic345678910111213141516171819202122232425262728[[#This Row],[قيمة الشحنه]])</f>
        <v>0</v>
      </c>
      <c r="I37" s="90"/>
      <c r="J37" s="142" t="str">
        <f t="shared" si="0"/>
        <v>5.5.2026</v>
      </c>
      <c r="L37" s="153">
        <v>26</v>
      </c>
      <c r="M37" s="92"/>
    </row>
    <row r="38" spans="1:13" ht="21.6" x14ac:dyDescent="0.65">
      <c r="A38" s="195"/>
      <c r="B38" s="140">
        <v>35</v>
      </c>
      <c r="C38" s="2"/>
      <c r="D38" s="1"/>
      <c r="E38" s="3"/>
      <c r="F38" s="1"/>
      <c r="G38" s="141">
        <f>IF(Basic345678910111213141516171819202122232425262728[[#This Row],[نوع الخدمة]]="مخالفات", 50,
IF(Basic345678910111213141516171819202122232425262728[[#This Row],[نوع الخدمة]]="كاش ان",
    IF(F38&lt;=100, 18, IF(F38&lt;=250, 23, IF(F38&lt;=500, 35, IF(F38&lt;=1000, 40, F38*0.04)))),
IF(Basic345678910111213141516171819202122232425262728[[#This Row],[نوع الخدمة]]="كاش اوت",
    IF(F38&lt;=100, 15, IF(F38&lt;=250, 20, IF(F38&lt;=500, 30, IF(F38&lt;=1000, 35, F38*0.035)))),
0)))</f>
        <v>0</v>
      </c>
      <c r="H38" s="159">
        <f>IF(I38="مخالفات",50,Basic345678910111213141516171819202122232425262728[[#This Row],[قيمة الرسوم / العموله]]+Basic345678910111213141516171819202122232425262728[[#This Row],[قيمة الشحنه]])</f>
        <v>0</v>
      </c>
      <c r="I38" s="90"/>
      <c r="J38" s="142" t="str">
        <f t="shared" si="0"/>
        <v>5.5.2026</v>
      </c>
      <c r="L38" s="153">
        <v>27</v>
      </c>
      <c r="M38" s="92"/>
    </row>
    <row r="39" spans="1:13" ht="21.6" x14ac:dyDescent="0.65">
      <c r="A39" s="195"/>
      <c r="B39" s="140">
        <v>36</v>
      </c>
      <c r="C39" s="2"/>
      <c r="D39" s="1"/>
      <c r="E39" s="3"/>
      <c r="F39" s="1"/>
      <c r="G39" s="141">
        <f>IF(Basic345678910111213141516171819202122232425262728[[#This Row],[نوع الخدمة]]="مخالفات", 50,
IF(Basic345678910111213141516171819202122232425262728[[#This Row],[نوع الخدمة]]="كاش ان",
    IF(F39&lt;=100, 18, IF(F39&lt;=250, 23, IF(F39&lt;=500, 35, IF(F39&lt;=1000, 40, F39*0.04)))),
IF(Basic345678910111213141516171819202122232425262728[[#This Row],[نوع الخدمة]]="كاش اوت",
    IF(F39&lt;=100, 15, IF(F39&lt;=250, 20, IF(F39&lt;=500, 30, IF(F39&lt;=1000, 35, F39*0.035)))),
0)))</f>
        <v>0</v>
      </c>
      <c r="H39" s="159">
        <f>IF(I39="مخالفات",50,Basic345678910111213141516171819202122232425262728[[#This Row],[قيمة الرسوم / العموله]]+Basic345678910111213141516171819202122232425262728[[#This Row],[قيمة الشحنه]])</f>
        <v>0</v>
      </c>
      <c r="I39" s="90"/>
      <c r="J39" s="142" t="str">
        <f t="shared" si="0"/>
        <v>5.5.2026</v>
      </c>
      <c r="L39" s="153">
        <v>28</v>
      </c>
      <c r="M39" s="92"/>
    </row>
    <row r="40" spans="1:13" ht="21.6" x14ac:dyDescent="0.65">
      <c r="A40" s="195"/>
      <c r="B40" s="140">
        <v>37</v>
      </c>
      <c r="C40" s="2"/>
      <c r="D40" s="1"/>
      <c r="E40" s="3"/>
      <c r="F40" s="1"/>
      <c r="G40" s="141">
        <f>IF(Basic345678910111213141516171819202122232425262728[[#This Row],[نوع الخدمة]]="مخالفات", 50,
IF(Basic345678910111213141516171819202122232425262728[[#This Row],[نوع الخدمة]]="كاش ان",
    IF(F40&lt;=100, 18, IF(F40&lt;=250, 23, IF(F40&lt;=500, 35, IF(F40&lt;=1000, 40, F40*0.04)))),
IF(Basic345678910111213141516171819202122232425262728[[#This Row],[نوع الخدمة]]="كاش اوت",
    IF(F40&lt;=100, 15, IF(F40&lt;=250, 20, IF(F40&lt;=500, 30, IF(F40&lt;=1000, 35, F40*0.035)))),
0)))</f>
        <v>0</v>
      </c>
      <c r="H40" s="159">
        <f>IF(I40="مخالفات",50,Basic345678910111213141516171819202122232425262728[[#This Row],[قيمة الرسوم / العموله]]+Basic345678910111213141516171819202122232425262728[[#This Row],[قيمة الشحنه]])</f>
        <v>0</v>
      </c>
      <c r="I40" s="90"/>
      <c r="J40" s="142" t="str">
        <f t="shared" si="0"/>
        <v>5.5.2026</v>
      </c>
      <c r="L40" s="153">
        <v>29</v>
      </c>
      <c r="M40" s="92"/>
    </row>
    <row r="41" spans="1:13" ht="21.6" x14ac:dyDescent="0.65">
      <c r="A41" s="195"/>
      <c r="B41" s="144">
        <v>38</v>
      </c>
      <c r="C41" s="2"/>
      <c r="D41" s="1"/>
      <c r="E41" s="3"/>
      <c r="F41" s="1"/>
      <c r="G41" s="141">
        <f>IF(Basic345678910111213141516171819202122232425262728[[#This Row],[نوع الخدمة]]="مخالفات", 50,
IF(Basic345678910111213141516171819202122232425262728[[#This Row],[نوع الخدمة]]="كاش ان",
    IF(F41&lt;=100, 18, IF(F41&lt;=250, 23, IF(F41&lt;=500, 35, IF(F41&lt;=1000, 40, F41*0.04)))),
IF(Basic345678910111213141516171819202122232425262728[[#This Row],[نوع الخدمة]]="كاش اوت",
    IF(F41&lt;=100, 15, IF(F41&lt;=250, 20, IF(F41&lt;=500, 30, IF(F41&lt;=1000, 35, F41*0.035)))),
0)))</f>
        <v>0</v>
      </c>
      <c r="H41" s="159">
        <f>IF(I41="مخالفات",50,Basic345678910111213141516171819202122232425262728[[#This Row],[قيمة الرسوم / العموله]]+Basic345678910111213141516171819202122232425262728[[#This Row],[قيمة الشحنه]])</f>
        <v>0</v>
      </c>
      <c r="I41" s="90"/>
      <c r="J41" s="142" t="str">
        <f t="shared" si="0"/>
        <v>5.5.2026</v>
      </c>
      <c r="L41" s="153">
        <v>30</v>
      </c>
      <c r="M41" s="92"/>
    </row>
    <row r="42" spans="1:13" ht="21.6" x14ac:dyDescent="0.65">
      <c r="A42" s="195"/>
      <c r="B42" s="140">
        <v>39</v>
      </c>
      <c r="C42" s="2"/>
      <c r="D42" s="1"/>
      <c r="E42" s="3"/>
      <c r="F42" s="1"/>
      <c r="G42" s="141">
        <f>IF(Basic345678910111213141516171819202122232425262728[[#This Row],[نوع الخدمة]]="مخالفات", 50,
IF(Basic345678910111213141516171819202122232425262728[[#This Row],[نوع الخدمة]]="كاش ان",
    IF(F42&lt;=100, 18, IF(F42&lt;=250, 23, IF(F42&lt;=500, 35, IF(F42&lt;=1000, 40, F42*0.04)))),
IF(Basic345678910111213141516171819202122232425262728[[#This Row],[نوع الخدمة]]="كاش اوت",
    IF(F42&lt;=100, 15, IF(F42&lt;=250, 20, IF(F42&lt;=500, 30, IF(F42&lt;=1000, 35, F42*0.035)))),
0)))</f>
        <v>0</v>
      </c>
      <c r="H42" s="159">
        <f>IF(I42="مخالفات",50,Basic345678910111213141516171819202122232425262728[[#This Row],[قيمة الرسوم / العموله]]+Basic345678910111213141516171819202122232425262728[[#This Row],[قيمة الشحنه]])</f>
        <v>0</v>
      </c>
      <c r="I42" s="90"/>
      <c r="J42" s="142" t="str">
        <f t="shared" si="0"/>
        <v>5.5.2026</v>
      </c>
      <c r="L42" s="153">
        <v>31</v>
      </c>
      <c r="M42" s="92"/>
    </row>
    <row r="43" spans="1:13" ht="21.6" x14ac:dyDescent="0.65">
      <c r="A43" s="195"/>
      <c r="B43" s="140">
        <v>40</v>
      </c>
      <c r="C43" s="2"/>
      <c r="D43" s="1"/>
      <c r="E43" s="3"/>
      <c r="F43" s="1"/>
      <c r="G43" s="141">
        <f>IF(Basic345678910111213141516171819202122232425262728[[#This Row],[نوع الخدمة]]="مخالفات", 50,
IF(Basic345678910111213141516171819202122232425262728[[#This Row],[نوع الخدمة]]="كاش ان",
    IF(F43&lt;=100, 18, IF(F43&lt;=250, 23, IF(F43&lt;=500, 35, IF(F43&lt;=1000, 40, F43*0.04)))),
IF(Basic345678910111213141516171819202122232425262728[[#This Row],[نوع الخدمة]]="كاش اوت",
    IF(F43&lt;=100, 15, IF(F43&lt;=250, 20, IF(F43&lt;=500, 30, IF(F43&lt;=1000, 35, F43*0.035)))),
0)))</f>
        <v>0</v>
      </c>
      <c r="H43" s="159">
        <f>IF(I43="مخالفات",50,Basic345678910111213141516171819202122232425262728[[#This Row],[قيمة الرسوم / العموله]]+Basic345678910111213141516171819202122232425262728[[#This Row],[قيمة الشحنه]])</f>
        <v>0</v>
      </c>
      <c r="I43" s="90"/>
      <c r="J43" s="142" t="str">
        <f t="shared" si="0"/>
        <v>5.5.2026</v>
      </c>
      <c r="L43" s="153">
        <v>32</v>
      </c>
      <c r="M43" s="92"/>
    </row>
    <row r="44" spans="1:13" ht="21.6" x14ac:dyDescent="0.65">
      <c r="A44" s="195"/>
      <c r="B44" s="140">
        <v>41</v>
      </c>
      <c r="C44" s="2"/>
      <c r="D44" s="1"/>
      <c r="E44" s="3"/>
      <c r="F44" s="1"/>
      <c r="G44" s="141">
        <f>IF(Basic345678910111213141516171819202122232425262728[[#This Row],[نوع الخدمة]]="مخالفات", 50,
IF(Basic345678910111213141516171819202122232425262728[[#This Row],[نوع الخدمة]]="كاش ان",
    IF(F44&lt;=100, 18, IF(F44&lt;=250, 23, IF(F44&lt;=500, 35, IF(F44&lt;=1000, 40, F44*0.04)))),
IF(Basic345678910111213141516171819202122232425262728[[#This Row],[نوع الخدمة]]="كاش اوت",
    IF(F44&lt;=100, 15, IF(F44&lt;=250, 20, IF(F44&lt;=500, 30, IF(F44&lt;=1000, 35, F44*0.035)))),
0)))</f>
        <v>0</v>
      </c>
      <c r="H44" s="159">
        <f>IF(I44="مخالفات",50,Basic345678910111213141516171819202122232425262728[[#This Row],[قيمة الرسوم / العموله]]+Basic345678910111213141516171819202122232425262728[[#This Row],[قيمة الشحنه]])</f>
        <v>0</v>
      </c>
      <c r="I44" s="90"/>
      <c r="J44" s="142" t="str">
        <f t="shared" si="0"/>
        <v>5.5.2026</v>
      </c>
      <c r="L44" s="153">
        <v>33</v>
      </c>
      <c r="M44" s="92"/>
    </row>
    <row r="45" spans="1:13" ht="21.6" x14ac:dyDescent="0.65">
      <c r="A45" s="195"/>
      <c r="B45" s="144">
        <v>42</v>
      </c>
      <c r="C45" s="2"/>
      <c r="D45" s="1"/>
      <c r="E45" s="3"/>
      <c r="F45" s="1"/>
      <c r="G45" s="141">
        <f>IF(Basic345678910111213141516171819202122232425262728[[#This Row],[نوع الخدمة]]="مخالفات", 50,
IF(Basic345678910111213141516171819202122232425262728[[#This Row],[نوع الخدمة]]="كاش ان",
    IF(F45&lt;=100, 18, IF(F45&lt;=250, 23, IF(F45&lt;=500, 35, IF(F45&lt;=1000, 40, F45*0.04)))),
IF(Basic345678910111213141516171819202122232425262728[[#This Row],[نوع الخدمة]]="كاش اوت",
    IF(F45&lt;=100, 15, IF(F45&lt;=250, 20, IF(F45&lt;=500, 30, IF(F45&lt;=1000, 35, F45*0.035)))),
0)))</f>
        <v>0</v>
      </c>
      <c r="H45" s="159">
        <f>IF(I45="مخالفات",50,Basic345678910111213141516171819202122232425262728[[#This Row],[قيمة الرسوم / العموله]]+Basic345678910111213141516171819202122232425262728[[#This Row],[قيمة الشحنه]])</f>
        <v>0</v>
      </c>
      <c r="I45" s="90"/>
      <c r="J45" s="142" t="str">
        <f t="shared" si="0"/>
        <v>5.5.2026</v>
      </c>
      <c r="L45" s="153">
        <v>34</v>
      </c>
      <c r="M45" s="92"/>
    </row>
    <row r="46" spans="1:13" ht="21.6" x14ac:dyDescent="0.65">
      <c r="A46" s="195"/>
      <c r="B46" s="140">
        <v>43</v>
      </c>
      <c r="C46" s="2"/>
      <c r="D46" s="1"/>
      <c r="E46" s="3"/>
      <c r="F46" s="1"/>
      <c r="G46" s="141">
        <f>IF(Basic345678910111213141516171819202122232425262728[[#This Row],[نوع الخدمة]]="مخالفات", 50,
IF(Basic345678910111213141516171819202122232425262728[[#This Row],[نوع الخدمة]]="كاش ان",
    IF(F46&lt;=100, 18, IF(F46&lt;=250, 23, IF(F46&lt;=500, 35, IF(F46&lt;=1000, 40, F46*0.04)))),
IF(Basic345678910111213141516171819202122232425262728[[#This Row],[نوع الخدمة]]="كاش اوت",
    IF(F46&lt;=100, 15, IF(F46&lt;=250, 20, IF(F46&lt;=500, 30, IF(F46&lt;=1000, 35, F46*0.035)))),
0)))</f>
        <v>0</v>
      </c>
      <c r="H46" s="159">
        <f>IF(I46="مخالفات",50,Basic345678910111213141516171819202122232425262728[[#This Row],[قيمة الرسوم / العموله]]+Basic345678910111213141516171819202122232425262728[[#This Row],[قيمة الشحنه]])</f>
        <v>0</v>
      </c>
      <c r="I46" s="90"/>
      <c r="J46" s="142" t="str">
        <f t="shared" si="0"/>
        <v>5.5.2026</v>
      </c>
      <c r="L46" s="153">
        <v>35</v>
      </c>
      <c r="M46" s="92"/>
    </row>
    <row r="47" spans="1:13" ht="21.6" x14ac:dyDescent="0.65">
      <c r="A47" s="195"/>
      <c r="B47" s="140">
        <v>44</v>
      </c>
      <c r="C47" s="2"/>
      <c r="D47" s="1"/>
      <c r="E47" s="3"/>
      <c r="F47" s="1"/>
      <c r="G47" s="141">
        <f>IF(Basic345678910111213141516171819202122232425262728[[#This Row],[نوع الخدمة]]="مخالفات", 50,
IF(Basic345678910111213141516171819202122232425262728[[#This Row],[نوع الخدمة]]="كاش ان",
    IF(F47&lt;=100, 18, IF(F47&lt;=250, 23, IF(F47&lt;=500, 35, IF(F47&lt;=1000, 40, F47*0.04)))),
IF(Basic345678910111213141516171819202122232425262728[[#This Row],[نوع الخدمة]]="كاش اوت",
    IF(F47&lt;=100, 15, IF(F47&lt;=250, 20, IF(F47&lt;=500, 30, IF(F47&lt;=1000, 35, F47*0.035)))),
0)))</f>
        <v>0</v>
      </c>
      <c r="H47" s="159">
        <f>IF(I47="مخالفات",50,Basic345678910111213141516171819202122232425262728[[#This Row],[قيمة الرسوم / العموله]]+Basic345678910111213141516171819202122232425262728[[#This Row],[قيمة الشحنه]])</f>
        <v>0</v>
      </c>
      <c r="I47" s="90"/>
      <c r="J47" s="142" t="str">
        <f t="shared" si="0"/>
        <v>5.5.2026</v>
      </c>
      <c r="L47" s="153">
        <v>36</v>
      </c>
      <c r="M47" s="92"/>
    </row>
    <row r="48" spans="1:13" ht="21.6" x14ac:dyDescent="0.65">
      <c r="A48" s="195"/>
      <c r="B48" s="140">
        <v>45</v>
      </c>
      <c r="C48" s="2"/>
      <c r="D48" s="1"/>
      <c r="E48" s="3"/>
      <c r="F48" s="1"/>
      <c r="G48" s="141">
        <f>IF(Basic345678910111213141516171819202122232425262728[[#This Row],[نوع الخدمة]]="مخالفات", 50,
IF(Basic345678910111213141516171819202122232425262728[[#This Row],[نوع الخدمة]]="كاش ان",
    IF(F48&lt;=100, 18, IF(F48&lt;=250, 23, IF(F48&lt;=500, 35, IF(F48&lt;=1000, 40, F48*0.04)))),
IF(Basic345678910111213141516171819202122232425262728[[#This Row],[نوع الخدمة]]="كاش اوت",
    IF(F48&lt;=100, 15, IF(F48&lt;=250, 20, IF(F48&lt;=500, 30, IF(F48&lt;=1000, 35, F48*0.035)))),
0)))</f>
        <v>0</v>
      </c>
      <c r="H48" s="159">
        <f>IF(I48="مخالفات",50,Basic345678910111213141516171819202122232425262728[[#This Row],[قيمة الرسوم / العموله]]+Basic345678910111213141516171819202122232425262728[[#This Row],[قيمة الشحنه]])</f>
        <v>0</v>
      </c>
      <c r="I48" s="90"/>
      <c r="J48" s="142" t="str">
        <f t="shared" si="0"/>
        <v>5.5.2026</v>
      </c>
      <c r="L48" s="153">
        <v>37</v>
      </c>
      <c r="M48" s="92"/>
    </row>
    <row r="49" spans="1:13" ht="21.6" x14ac:dyDescent="0.65">
      <c r="A49" s="195"/>
      <c r="B49" s="144">
        <v>46</v>
      </c>
      <c r="C49" s="2"/>
      <c r="D49" s="1"/>
      <c r="E49" s="3"/>
      <c r="F49" s="1"/>
      <c r="G49" s="141">
        <f>IF(Basic345678910111213141516171819202122232425262728[[#This Row],[نوع الخدمة]]="مخالفات", 50,
IF(Basic345678910111213141516171819202122232425262728[[#This Row],[نوع الخدمة]]="كاش ان",
    IF(F49&lt;=100, 18, IF(F49&lt;=250, 23, IF(F49&lt;=500, 35, IF(F49&lt;=1000, 40, F49*0.04)))),
IF(Basic345678910111213141516171819202122232425262728[[#This Row],[نوع الخدمة]]="كاش اوت",
    IF(F49&lt;=100, 15, IF(F49&lt;=250, 20, IF(F49&lt;=500, 30, IF(F49&lt;=1000, 35, F49*0.035)))),
0)))</f>
        <v>0</v>
      </c>
      <c r="H49" s="159">
        <f>IF(I49="مخالفات",50,Basic345678910111213141516171819202122232425262728[[#This Row],[قيمة الرسوم / العموله]]+Basic345678910111213141516171819202122232425262728[[#This Row],[قيمة الشحنه]])</f>
        <v>0</v>
      </c>
      <c r="I49" s="90"/>
      <c r="J49" s="142" t="str">
        <f t="shared" si="0"/>
        <v>5.5.2026</v>
      </c>
      <c r="L49" s="153">
        <v>38</v>
      </c>
      <c r="M49" s="92"/>
    </row>
    <row r="50" spans="1:13" ht="21.6" x14ac:dyDescent="0.65">
      <c r="A50" s="195"/>
      <c r="B50" s="140">
        <v>47</v>
      </c>
      <c r="C50" s="2"/>
      <c r="D50" s="1"/>
      <c r="E50" s="3"/>
      <c r="F50" s="1"/>
      <c r="G50" s="141">
        <f>IF(Basic345678910111213141516171819202122232425262728[[#This Row],[نوع الخدمة]]="مخالفات", 50,
IF(Basic345678910111213141516171819202122232425262728[[#This Row],[نوع الخدمة]]="كاش ان",
    IF(F50&lt;=100, 18, IF(F50&lt;=250, 23, IF(F50&lt;=500, 35, IF(F50&lt;=1000, 40, F50*0.04)))),
IF(Basic345678910111213141516171819202122232425262728[[#This Row],[نوع الخدمة]]="كاش اوت",
    IF(F50&lt;=100, 15, IF(F50&lt;=250, 20, IF(F50&lt;=500, 30, IF(F50&lt;=1000, 35, F50*0.035)))),
0)))</f>
        <v>0</v>
      </c>
      <c r="H50" s="159">
        <f>IF(I50="مخالفات",50,Basic345678910111213141516171819202122232425262728[[#This Row],[قيمة الرسوم / العموله]]+Basic345678910111213141516171819202122232425262728[[#This Row],[قيمة الشحنه]])</f>
        <v>0</v>
      </c>
      <c r="I50" s="90"/>
      <c r="J50" s="142" t="str">
        <f t="shared" si="0"/>
        <v>5.5.2026</v>
      </c>
      <c r="L50" s="153">
        <v>39</v>
      </c>
      <c r="M50" s="92"/>
    </row>
    <row r="51" spans="1:13" ht="21.6" x14ac:dyDescent="0.65">
      <c r="A51" s="195"/>
      <c r="B51" s="140">
        <v>48</v>
      </c>
      <c r="C51" s="2"/>
      <c r="D51" s="1"/>
      <c r="E51" s="3"/>
      <c r="F51" s="1"/>
      <c r="G51" s="141">
        <f>IF(Basic345678910111213141516171819202122232425262728[[#This Row],[نوع الخدمة]]="مخالفات", 50,
IF(Basic345678910111213141516171819202122232425262728[[#This Row],[نوع الخدمة]]="كاش ان",
    IF(F51&lt;=100, 18, IF(F51&lt;=250, 23, IF(F51&lt;=500, 35, IF(F51&lt;=1000, 40, F51*0.04)))),
IF(Basic345678910111213141516171819202122232425262728[[#This Row],[نوع الخدمة]]="كاش اوت",
    IF(F51&lt;=100, 15, IF(F51&lt;=250, 20, IF(F51&lt;=500, 30, IF(F51&lt;=1000, 35, F51*0.035)))),
0)))</f>
        <v>0</v>
      </c>
      <c r="H51" s="159">
        <f>IF(I51="مخالفات",50,Basic345678910111213141516171819202122232425262728[[#This Row],[قيمة الرسوم / العموله]]+Basic345678910111213141516171819202122232425262728[[#This Row],[قيمة الشحنه]])</f>
        <v>0</v>
      </c>
      <c r="I51" s="90"/>
      <c r="J51" s="142" t="str">
        <f t="shared" si="0"/>
        <v>5.5.2026</v>
      </c>
      <c r="L51" s="153">
        <v>40</v>
      </c>
      <c r="M51" s="92"/>
    </row>
    <row r="52" spans="1:13" ht="21.6" x14ac:dyDescent="0.65">
      <c r="A52" s="195"/>
      <c r="B52" s="140">
        <v>49</v>
      </c>
      <c r="C52" s="2"/>
      <c r="D52" s="1"/>
      <c r="E52" s="3"/>
      <c r="F52" s="1"/>
      <c r="G52" s="141">
        <f>IF(Basic345678910111213141516171819202122232425262728[[#This Row],[نوع الخدمة]]="مخالفات", 50,
IF(Basic345678910111213141516171819202122232425262728[[#This Row],[نوع الخدمة]]="كاش ان",
    IF(F52&lt;=100, 18, IF(F52&lt;=250, 23, IF(F52&lt;=500, 35, IF(F52&lt;=1000, 40, F52*0.04)))),
IF(Basic345678910111213141516171819202122232425262728[[#This Row],[نوع الخدمة]]="كاش اوت",
    IF(F52&lt;=100, 15, IF(F52&lt;=250, 20, IF(F52&lt;=500, 30, IF(F52&lt;=1000, 35, F52*0.035)))),
0)))</f>
        <v>0</v>
      </c>
      <c r="H52" s="159">
        <f>IF(I52="مخالفات",50,Basic345678910111213141516171819202122232425262728[[#This Row],[قيمة الرسوم / العموله]]+Basic345678910111213141516171819202122232425262728[[#This Row],[قيمة الشحنه]])</f>
        <v>0</v>
      </c>
      <c r="I52" s="90"/>
      <c r="J52" s="142" t="str">
        <f t="shared" si="0"/>
        <v>5.5.2026</v>
      </c>
      <c r="L52" s="153">
        <v>41</v>
      </c>
      <c r="M52" s="92"/>
    </row>
    <row r="53" spans="1:13" ht="21.6" x14ac:dyDescent="0.65">
      <c r="A53" s="195"/>
      <c r="B53" s="144">
        <v>50</v>
      </c>
      <c r="C53" s="2"/>
      <c r="D53" s="1"/>
      <c r="E53" s="3"/>
      <c r="F53" s="1"/>
      <c r="G53" s="141">
        <f>IF(Basic345678910111213141516171819202122232425262728[[#This Row],[نوع الخدمة]]="مخالفات", 50,
IF(Basic345678910111213141516171819202122232425262728[[#This Row],[نوع الخدمة]]="كاش ان",
    IF(F53&lt;=100, 18, IF(F53&lt;=250, 23, IF(F53&lt;=500, 35, IF(F53&lt;=1000, 40, F53*0.04)))),
IF(Basic345678910111213141516171819202122232425262728[[#This Row],[نوع الخدمة]]="كاش اوت",
    IF(F53&lt;=100, 15, IF(F53&lt;=250, 20, IF(F53&lt;=500, 30, IF(F53&lt;=1000, 35, F53*0.035)))),
0)))</f>
        <v>0</v>
      </c>
      <c r="H53" s="159">
        <f>IF(I53="مخالفات",50,Basic345678910111213141516171819202122232425262728[[#This Row],[قيمة الرسوم / العموله]]+Basic345678910111213141516171819202122232425262728[[#This Row],[قيمة الشحنه]])</f>
        <v>0</v>
      </c>
      <c r="I53" s="90"/>
      <c r="J53" s="142" t="str">
        <f t="shared" si="0"/>
        <v>5.5.2026</v>
      </c>
      <c r="L53" s="153">
        <v>42</v>
      </c>
      <c r="M53" s="92"/>
    </row>
    <row r="54" spans="1:13" ht="21.6" x14ac:dyDescent="0.65">
      <c r="A54" s="195"/>
      <c r="B54" s="140">
        <v>51</v>
      </c>
      <c r="C54" s="2"/>
      <c r="D54" s="1"/>
      <c r="E54" s="3"/>
      <c r="F54" s="1"/>
      <c r="G54" s="141">
        <f>IF(Basic345678910111213141516171819202122232425262728[[#This Row],[نوع الخدمة]]="مخالفات", 50,
IF(Basic345678910111213141516171819202122232425262728[[#This Row],[نوع الخدمة]]="كاش ان",
    IF(F54&lt;=100, 18, IF(F54&lt;=250, 23, IF(F54&lt;=500, 35, IF(F54&lt;=1000, 40, F54*0.04)))),
IF(Basic345678910111213141516171819202122232425262728[[#This Row],[نوع الخدمة]]="كاش اوت",
    IF(F54&lt;=100, 15, IF(F54&lt;=250, 20, IF(F54&lt;=500, 30, IF(F54&lt;=1000, 35, F54*0.035)))),
0)))</f>
        <v>0</v>
      </c>
      <c r="H54" s="159">
        <f>IF(I54="مخالفات",50,Basic345678910111213141516171819202122232425262728[[#This Row],[قيمة الرسوم / العموله]]+Basic345678910111213141516171819202122232425262728[[#This Row],[قيمة الشحنه]])</f>
        <v>0</v>
      </c>
      <c r="I54" s="90"/>
      <c r="J54" s="142" t="str">
        <f t="shared" si="0"/>
        <v>5.5.2026</v>
      </c>
      <c r="L54" s="153">
        <v>43</v>
      </c>
      <c r="M54" s="92"/>
    </row>
    <row r="55" spans="1:13" ht="21.6" x14ac:dyDescent="0.65">
      <c r="A55" s="195"/>
      <c r="B55" s="140">
        <v>52</v>
      </c>
      <c r="C55" s="2"/>
      <c r="D55" s="1"/>
      <c r="E55" s="3"/>
      <c r="F55" s="1"/>
      <c r="G55" s="141">
        <f>IF(Basic345678910111213141516171819202122232425262728[[#This Row],[نوع الخدمة]]="مخالفات", 50,
IF(Basic345678910111213141516171819202122232425262728[[#This Row],[نوع الخدمة]]="كاش ان",
    IF(F55&lt;=100, 18, IF(F55&lt;=250, 23, IF(F55&lt;=500, 35, IF(F55&lt;=1000, 40, F55*0.04)))),
IF(Basic345678910111213141516171819202122232425262728[[#This Row],[نوع الخدمة]]="كاش اوت",
    IF(F55&lt;=100, 15, IF(F55&lt;=250, 20, IF(F55&lt;=500, 30, IF(F55&lt;=1000, 35, F55*0.035)))),
0)))</f>
        <v>0</v>
      </c>
      <c r="H55" s="159">
        <f>IF(I55="مخالفات",50,Basic345678910111213141516171819202122232425262728[[#This Row],[قيمة الرسوم / العموله]]+Basic345678910111213141516171819202122232425262728[[#This Row],[قيمة الشحنه]])</f>
        <v>0</v>
      </c>
      <c r="I55" s="90"/>
      <c r="J55" s="142" t="str">
        <f t="shared" si="0"/>
        <v>5.5.2026</v>
      </c>
      <c r="L55" s="153">
        <v>44</v>
      </c>
      <c r="M55" s="92"/>
    </row>
    <row r="56" spans="1:13" ht="21.6" x14ac:dyDescent="0.65">
      <c r="A56" s="195"/>
      <c r="B56" s="140">
        <v>53</v>
      </c>
      <c r="C56" s="2"/>
      <c r="D56" s="1"/>
      <c r="E56" s="3"/>
      <c r="F56" s="1"/>
      <c r="G56" s="141">
        <f>IF(Basic345678910111213141516171819202122232425262728[[#This Row],[نوع الخدمة]]="مخالفات", 50,
IF(Basic345678910111213141516171819202122232425262728[[#This Row],[نوع الخدمة]]="كاش ان",
    IF(F56&lt;=100, 18, IF(F56&lt;=250, 23, IF(F56&lt;=500, 35, IF(F56&lt;=1000, 40, F56*0.04)))),
IF(Basic345678910111213141516171819202122232425262728[[#This Row],[نوع الخدمة]]="كاش اوت",
    IF(F56&lt;=100, 15, IF(F56&lt;=250, 20, IF(F56&lt;=500, 30, IF(F56&lt;=1000, 35, F56*0.035)))),
0)))</f>
        <v>0</v>
      </c>
      <c r="H56" s="159">
        <f>IF(I56="مخالفات",50,Basic345678910111213141516171819202122232425262728[[#This Row],[قيمة الرسوم / العموله]]+Basic345678910111213141516171819202122232425262728[[#This Row],[قيمة الشحنه]])</f>
        <v>0</v>
      </c>
      <c r="I56" s="90"/>
      <c r="J56" s="142" t="str">
        <f t="shared" si="0"/>
        <v>5.5.2026</v>
      </c>
      <c r="L56" s="153">
        <v>45</v>
      </c>
      <c r="M56" s="92"/>
    </row>
    <row r="57" spans="1:13" ht="21.6" x14ac:dyDescent="0.65">
      <c r="A57" s="195"/>
      <c r="B57" s="144">
        <v>54</v>
      </c>
      <c r="C57" s="2"/>
      <c r="D57" s="1"/>
      <c r="E57" s="3"/>
      <c r="F57" s="1"/>
      <c r="G57" s="141">
        <f>IF(Basic345678910111213141516171819202122232425262728[[#This Row],[نوع الخدمة]]="مخالفات", 50,
IF(Basic345678910111213141516171819202122232425262728[[#This Row],[نوع الخدمة]]="كاش ان",
    IF(F57&lt;=100, 18, IF(F57&lt;=250, 23, IF(F57&lt;=500, 35, IF(F57&lt;=1000, 40, F57*0.04)))),
IF(Basic345678910111213141516171819202122232425262728[[#This Row],[نوع الخدمة]]="كاش اوت",
    IF(F57&lt;=100, 15, IF(F57&lt;=250, 20, IF(F57&lt;=500, 30, IF(F57&lt;=1000, 35, F57*0.035)))),
0)))</f>
        <v>0</v>
      </c>
      <c r="H57" s="159">
        <f>IF(I57="مخالفات",50,Basic345678910111213141516171819202122232425262728[[#This Row],[قيمة الرسوم / العموله]]+Basic345678910111213141516171819202122232425262728[[#This Row],[قيمة الشحنه]])</f>
        <v>0</v>
      </c>
      <c r="I57" s="90"/>
      <c r="J57" s="142" t="str">
        <f t="shared" si="0"/>
        <v>5.5.2026</v>
      </c>
      <c r="L57" s="153">
        <v>46</v>
      </c>
      <c r="M57" s="92"/>
    </row>
    <row r="58" spans="1:13" ht="21.6" x14ac:dyDescent="0.65">
      <c r="A58" s="195"/>
      <c r="B58" s="140">
        <v>55</v>
      </c>
      <c r="C58" s="2"/>
      <c r="D58" s="1"/>
      <c r="E58" s="3"/>
      <c r="F58" s="1"/>
      <c r="G58" s="141">
        <f>IF(Basic345678910111213141516171819202122232425262728[[#This Row],[نوع الخدمة]]="مخالفات", 50,
IF(Basic345678910111213141516171819202122232425262728[[#This Row],[نوع الخدمة]]="كاش ان",
    IF(F58&lt;=100, 18, IF(F58&lt;=250, 23, IF(F58&lt;=500, 35, IF(F58&lt;=1000, 40, F58*0.04)))),
IF(Basic345678910111213141516171819202122232425262728[[#This Row],[نوع الخدمة]]="كاش اوت",
    IF(F58&lt;=100, 15, IF(F58&lt;=250, 20, IF(F58&lt;=500, 30, IF(F58&lt;=1000, 35, F58*0.035)))),
0)))</f>
        <v>0</v>
      </c>
      <c r="H58" s="159">
        <f>IF(I58="مخالفات",50,Basic345678910111213141516171819202122232425262728[[#This Row],[قيمة الرسوم / العموله]]+Basic345678910111213141516171819202122232425262728[[#This Row],[قيمة الشحنه]])</f>
        <v>0</v>
      </c>
      <c r="I58" s="90"/>
      <c r="J58" s="142" t="str">
        <f t="shared" si="0"/>
        <v>5.5.2026</v>
      </c>
      <c r="L58" s="153">
        <v>47</v>
      </c>
      <c r="M58" s="92"/>
    </row>
    <row r="59" spans="1:13" ht="21.6" x14ac:dyDescent="0.65">
      <c r="A59" s="195"/>
      <c r="B59" s="140">
        <v>56</v>
      </c>
      <c r="C59" s="2"/>
      <c r="D59" s="1"/>
      <c r="E59" s="3"/>
      <c r="F59" s="1"/>
      <c r="G59" s="141">
        <f>IF(Basic345678910111213141516171819202122232425262728[[#This Row],[نوع الخدمة]]="مخالفات", 50,
IF(Basic345678910111213141516171819202122232425262728[[#This Row],[نوع الخدمة]]="كاش ان",
    IF(F59&lt;=100, 18, IF(F59&lt;=250, 23, IF(F59&lt;=500, 35, IF(F59&lt;=1000, 40, F59*0.04)))),
IF(Basic345678910111213141516171819202122232425262728[[#This Row],[نوع الخدمة]]="كاش اوت",
    IF(F59&lt;=100, 15, IF(F59&lt;=250, 20, IF(F59&lt;=500, 30, IF(F59&lt;=1000, 35, F59*0.035)))),
0)))</f>
        <v>0</v>
      </c>
      <c r="H59" s="159">
        <f>IF(I59="مخالفات",50,Basic345678910111213141516171819202122232425262728[[#This Row],[قيمة الرسوم / العموله]]+Basic345678910111213141516171819202122232425262728[[#This Row],[قيمة الشحنه]])</f>
        <v>0</v>
      </c>
      <c r="I59" s="90"/>
      <c r="J59" s="142" t="str">
        <f t="shared" si="0"/>
        <v>5.5.2026</v>
      </c>
      <c r="L59" s="153">
        <v>48</v>
      </c>
      <c r="M59" s="92"/>
    </row>
    <row r="60" spans="1:13" ht="21.6" x14ac:dyDescent="0.65">
      <c r="A60" s="195"/>
      <c r="B60" s="140">
        <v>57</v>
      </c>
      <c r="C60" s="2"/>
      <c r="D60" s="1"/>
      <c r="E60" s="3"/>
      <c r="F60" s="1"/>
      <c r="G60" s="141">
        <f>IF(Basic345678910111213141516171819202122232425262728[[#This Row],[نوع الخدمة]]="مخالفات", 50,
IF(Basic345678910111213141516171819202122232425262728[[#This Row],[نوع الخدمة]]="كاش ان",
    IF(F60&lt;=100, 18, IF(F60&lt;=250, 23, IF(F60&lt;=500, 35, IF(F60&lt;=1000, 40, F60*0.04)))),
IF(Basic345678910111213141516171819202122232425262728[[#This Row],[نوع الخدمة]]="كاش اوت",
    IF(F60&lt;=100, 15, IF(F60&lt;=250, 20, IF(F60&lt;=500, 30, IF(F60&lt;=1000, 35, F60*0.035)))),
0)))</f>
        <v>0</v>
      </c>
      <c r="H60" s="159">
        <f>IF(I60="مخالفات",50,Basic345678910111213141516171819202122232425262728[[#This Row],[قيمة الرسوم / العموله]]+Basic345678910111213141516171819202122232425262728[[#This Row],[قيمة الشحنه]])</f>
        <v>0</v>
      </c>
      <c r="I60" s="90"/>
      <c r="J60" s="142" t="str">
        <f t="shared" si="0"/>
        <v>5.5.2026</v>
      </c>
      <c r="L60" s="153">
        <v>49</v>
      </c>
      <c r="M60" s="92"/>
    </row>
    <row r="61" spans="1:13" ht="21.6" x14ac:dyDescent="0.65">
      <c r="A61" s="195"/>
      <c r="B61" s="144">
        <v>58</v>
      </c>
      <c r="C61" s="2"/>
      <c r="D61" s="1"/>
      <c r="E61" s="3"/>
      <c r="F61" s="1"/>
      <c r="G61" s="141">
        <f>IF(Basic345678910111213141516171819202122232425262728[[#This Row],[نوع الخدمة]]="مخالفات", 50,
IF(Basic345678910111213141516171819202122232425262728[[#This Row],[نوع الخدمة]]="كاش ان",
    IF(F61&lt;=100, 18, IF(F61&lt;=250, 23, IF(F61&lt;=500, 35, IF(F61&lt;=1000, 40, F61*0.04)))),
IF(Basic345678910111213141516171819202122232425262728[[#This Row],[نوع الخدمة]]="كاش اوت",
    IF(F61&lt;=100, 15, IF(F61&lt;=250, 20, IF(F61&lt;=500, 30, IF(F61&lt;=1000, 35, F61*0.035)))),
0)))</f>
        <v>0</v>
      </c>
      <c r="H61" s="159">
        <f>IF(I61="مخالفات",50,Basic345678910111213141516171819202122232425262728[[#This Row],[قيمة الرسوم / العموله]]+Basic345678910111213141516171819202122232425262728[[#This Row],[قيمة الشحنه]])</f>
        <v>0</v>
      </c>
      <c r="I61" s="90"/>
      <c r="J61" s="142" t="str">
        <f t="shared" si="0"/>
        <v>5.5.2026</v>
      </c>
      <c r="L61" s="153">
        <v>50</v>
      </c>
      <c r="M61" s="92"/>
    </row>
    <row r="62" spans="1:13" ht="21.6" x14ac:dyDescent="0.65">
      <c r="A62" s="195"/>
      <c r="B62" s="140">
        <v>59</v>
      </c>
      <c r="C62" s="2"/>
      <c r="D62" s="1"/>
      <c r="E62" s="3"/>
      <c r="F62" s="1"/>
      <c r="G62" s="141">
        <f>IF(Basic345678910111213141516171819202122232425262728[[#This Row],[نوع الخدمة]]="مخالفات", 50,
IF(Basic345678910111213141516171819202122232425262728[[#This Row],[نوع الخدمة]]="كاش ان",
    IF(F62&lt;=100, 18, IF(F62&lt;=250, 23, IF(F62&lt;=500, 35, IF(F62&lt;=1000, 40, F62*0.04)))),
IF(Basic345678910111213141516171819202122232425262728[[#This Row],[نوع الخدمة]]="كاش اوت",
    IF(F62&lt;=100, 15, IF(F62&lt;=250, 20, IF(F62&lt;=500, 30, IF(F62&lt;=1000, 35, F62*0.035)))),
0)))</f>
        <v>0</v>
      </c>
      <c r="H62" s="159">
        <f>IF(I62="مخالفات",50,Basic345678910111213141516171819202122232425262728[[#This Row],[قيمة الرسوم / العموله]]+Basic345678910111213141516171819202122232425262728[[#This Row],[قيمة الشحنه]])</f>
        <v>0</v>
      </c>
      <c r="I62" s="90"/>
      <c r="J62" s="142" t="str">
        <f t="shared" si="0"/>
        <v>5.5.2026</v>
      </c>
      <c r="L62" s="153">
        <v>51</v>
      </c>
      <c r="M62" s="92"/>
    </row>
    <row r="63" spans="1:13" ht="21.6" x14ac:dyDescent="0.65">
      <c r="A63" s="195"/>
      <c r="B63" s="140">
        <v>60</v>
      </c>
      <c r="C63" s="2"/>
      <c r="D63" s="1"/>
      <c r="E63" s="3"/>
      <c r="F63" s="1"/>
      <c r="G63" s="141">
        <f>IF(Basic345678910111213141516171819202122232425262728[[#This Row],[نوع الخدمة]]="مخالفات", 50,
IF(Basic345678910111213141516171819202122232425262728[[#This Row],[نوع الخدمة]]="كاش ان",
    IF(F63&lt;=100, 18, IF(F63&lt;=250, 23, IF(F63&lt;=500, 35, IF(F63&lt;=1000, 40, F63*0.04)))),
IF(Basic345678910111213141516171819202122232425262728[[#This Row],[نوع الخدمة]]="كاش اوت",
    IF(F63&lt;=100, 15, IF(F63&lt;=250, 20, IF(F63&lt;=500, 30, IF(F63&lt;=1000, 35, F63*0.035)))),
0)))</f>
        <v>0</v>
      </c>
      <c r="H63" s="159">
        <f>IF(I63="مخالفات",50,Basic345678910111213141516171819202122232425262728[[#This Row],[قيمة الرسوم / العموله]]+Basic345678910111213141516171819202122232425262728[[#This Row],[قيمة الشحنه]])</f>
        <v>0</v>
      </c>
      <c r="I63" s="90"/>
      <c r="J63" s="142" t="str">
        <f t="shared" si="0"/>
        <v>5.5.2026</v>
      </c>
      <c r="L63" s="153">
        <v>52</v>
      </c>
      <c r="M63" s="92"/>
    </row>
    <row r="64" spans="1:13" ht="21.6" x14ac:dyDescent="0.65">
      <c r="A64" s="195"/>
      <c r="B64" s="140">
        <v>61</v>
      </c>
      <c r="C64" s="2"/>
      <c r="D64" s="1"/>
      <c r="E64" s="3"/>
      <c r="F64" s="1"/>
      <c r="G64" s="141">
        <f>IF(Basic345678910111213141516171819202122232425262728[[#This Row],[نوع الخدمة]]="مخالفات", 50,
IF(Basic345678910111213141516171819202122232425262728[[#This Row],[نوع الخدمة]]="كاش ان",
    IF(F64&lt;=100, 18, IF(F64&lt;=250, 23, IF(F64&lt;=500, 35, IF(F64&lt;=1000, 40, F64*0.04)))),
IF(Basic345678910111213141516171819202122232425262728[[#This Row],[نوع الخدمة]]="كاش اوت",
    IF(F64&lt;=100, 15, IF(F64&lt;=250, 20, IF(F64&lt;=500, 30, IF(F64&lt;=1000, 35, F64*0.035)))),
0)))</f>
        <v>0</v>
      </c>
      <c r="H64" s="159">
        <f>IF(I64="مخالفات",50,Basic345678910111213141516171819202122232425262728[[#This Row],[قيمة الرسوم / العموله]]+Basic345678910111213141516171819202122232425262728[[#This Row],[قيمة الشحنه]])</f>
        <v>0</v>
      </c>
      <c r="I64" s="90"/>
      <c r="J64" s="142" t="str">
        <f t="shared" si="0"/>
        <v>5.5.2026</v>
      </c>
      <c r="L64" s="153">
        <v>53</v>
      </c>
      <c r="M64" s="92"/>
    </row>
    <row r="65" spans="1:13" ht="21.6" x14ac:dyDescent="0.65">
      <c r="A65" s="195"/>
      <c r="B65" s="144">
        <v>62</v>
      </c>
      <c r="C65" s="2"/>
      <c r="D65" s="1"/>
      <c r="E65" s="3"/>
      <c r="F65" s="1"/>
      <c r="G65" s="141">
        <f>IF(Basic345678910111213141516171819202122232425262728[[#This Row],[نوع الخدمة]]="مخالفات", 50,
IF(Basic345678910111213141516171819202122232425262728[[#This Row],[نوع الخدمة]]="كاش ان",
    IF(F65&lt;=100, 18, IF(F65&lt;=250, 23, IF(F65&lt;=500, 35, IF(F65&lt;=1000, 40, F65*0.04)))),
IF(Basic345678910111213141516171819202122232425262728[[#This Row],[نوع الخدمة]]="كاش اوت",
    IF(F65&lt;=100, 15, IF(F65&lt;=250, 20, IF(F65&lt;=500, 30, IF(F65&lt;=1000, 35, F65*0.035)))),
0)))</f>
        <v>0</v>
      </c>
      <c r="H65" s="159">
        <f>IF(I65="مخالفات",50,Basic345678910111213141516171819202122232425262728[[#This Row],[قيمة الرسوم / العموله]]+Basic345678910111213141516171819202122232425262728[[#This Row],[قيمة الشحنه]])</f>
        <v>0</v>
      </c>
      <c r="I65" s="90"/>
      <c r="J65" s="142" t="str">
        <f t="shared" si="0"/>
        <v>5.5.2026</v>
      </c>
      <c r="L65" s="153">
        <v>54</v>
      </c>
      <c r="M65" s="92"/>
    </row>
    <row r="66" spans="1:13" ht="21.6" x14ac:dyDescent="0.65">
      <c r="A66" s="195"/>
      <c r="B66" s="140">
        <v>63</v>
      </c>
      <c r="C66" s="2"/>
      <c r="D66" s="1"/>
      <c r="E66" s="3"/>
      <c r="F66" s="1"/>
      <c r="G66" s="141">
        <f>IF(Basic345678910111213141516171819202122232425262728[[#This Row],[نوع الخدمة]]="مخالفات", 50,
IF(Basic345678910111213141516171819202122232425262728[[#This Row],[نوع الخدمة]]="كاش ان",
    IF(F66&lt;=100, 18, IF(F66&lt;=250, 23, IF(F66&lt;=500, 35, IF(F66&lt;=1000, 40, F66*0.04)))),
IF(Basic345678910111213141516171819202122232425262728[[#This Row],[نوع الخدمة]]="كاش اوت",
    IF(F66&lt;=100, 15, IF(F66&lt;=250, 20, IF(F66&lt;=500, 30, IF(F66&lt;=1000, 35, F66*0.035)))),
0)))</f>
        <v>0</v>
      </c>
      <c r="H66" s="159">
        <f>IF(I66="مخالفات",50,Basic345678910111213141516171819202122232425262728[[#This Row],[قيمة الرسوم / العموله]]+Basic345678910111213141516171819202122232425262728[[#This Row],[قيمة الشحنه]])</f>
        <v>0</v>
      </c>
      <c r="I66" s="90"/>
      <c r="J66" s="142" t="str">
        <f t="shared" si="0"/>
        <v>5.5.2026</v>
      </c>
      <c r="L66" s="153">
        <v>55</v>
      </c>
      <c r="M66" s="92"/>
    </row>
    <row r="67" spans="1:13" ht="21.6" x14ac:dyDescent="0.65">
      <c r="A67" s="195"/>
      <c r="B67" s="140">
        <v>64</v>
      </c>
      <c r="C67" s="2"/>
      <c r="D67" s="1"/>
      <c r="E67" s="3"/>
      <c r="F67" s="1"/>
      <c r="G67" s="141">
        <f>IF(Basic345678910111213141516171819202122232425262728[[#This Row],[نوع الخدمة]]="مخالفات", 50,
IF(Basic345678910111213141516171819202122232425262728[[#This Row],[نوع الخدمة]]="كاش ان",
    IF(F67&lt;=100, 18, IF(F67&lt;=250, 23, IF(F67&lt;=500, 35, IF(F67&lt;=1000, 40, F67*0.04)))),
IF(Basic345678910111213141516171819202122232425262728[[#This Row],[نوع الخدمة]]="كاش اوت",
    IF(F67&lt;=100, 15, IF(F67&lt;=250, 20, IF(F67&lt;=500, 30, IF(F67&lt;=1000, 35, F67*0.035)))),
0)))</f>
        <v>0</v>
      </c>
      <c r="H67" s="159">
        <f>IF(I67="مخالفات",50,Basic345678910111213141516171819202122232425262728[[#This Row],[قيمة الرسوم / العموله]]+Basic345678910111213141516171819202122232425262728[[#This Row],[قيمة الشحنه]])</f>
        <v>0</v>
      </c>
      <c r="I67" s="90"/>
      <c r="J67" s="142" t="str">
        <f t="shared" si="0"/>
        <v>5.5.2026</v>
      </c>
      <c r="L67" s="153">
        <v>56</v>
      </c>
      <c r="M67" s="92"/>
    </row>
    <row r="68" spans="1:13" ht="21.6" x14ac:dyDescent="0.65">
      <c r="A68" s="195"/>
      <c r="B68" s="140">
        <v>65</v>
      </c>
      <c r="C68" s="2"/>
      <c r="D68" s="1"/>
      <c r="E68" s="3"/>
      <c r="F68" s="1"/>
      <c r="G68" s="141">
        <f>IF(Basic345678910111213141516171819202122232425262728[[#This Row],[نوع الخدمة]]="مخالفات", 50,
IF(Basic345678910111213141516171819202122232425262728[[#This Row],[نوع الخدمة]]="كاش ان",
    IF(F68&lt;=100, 18, IF(F68&lt;=250, 23, IF(F68&lt;=500, 35, IF(F68&lt;=1000, 40, F68*0.04)))),
IF(Basic345678910111213141516171819202122232425262728[[#This Row],[نوع الخدمة]]="كاش اوت",
    IF(F68&lt;=100, 15, IF(F68&lt;=250, 20, IF(F68&lt;=500, 30, IF(F68&lt;=1000, 35, F68*0.035)))),
0)))</f>
        <v>0</v>
      </c>
      <c r="H68" s="159">
        <f>IF(I68="مخالفات",50,Basic345678910111213141516171819202122232425262728[[#This Row],[قيمة الرسوم / العموله]]+Basic345678910111213141516171819202122232425262728[[#This Row],[قيمة الشحنه]])</f>
        <v>0</v>
      </c>
      <c r="I68" s="90"/>
      <c r="J68" s="142" t="str">
        <f t="shared" ref="J68:J131" si="1">M$3</f>
        <v>5.5.2026</v>
      </c>
      <c r="L68" s="153">
        <v>57</v>
      </c>
      <c r="M68" s="92"/>
    </row>
    <row r="69" spans="1:13" ht="21.6" x14ac:dyDescent="0.65">
      <c r="A69" s="195"/>
      <c r="B69" s="144">
        <v>66</v>
      </c>
      <c r="C69" s="2"/>
      <c r="D69" s="1"/>
      <c r="E69" s="3"/>
      <c r="F69" s="1"/>
      <c r="G69" s="141">
        <f>IF(Basic345678910111213141516171819202122232425262728[[#This Row],[نوع الخدمة]]="مخالفات", 50,
IF(Basic345678910111213141516171819202122232425262728[[#This Row],[نوع الخدمة]]="كاش ان",
    IF(F69&lt;=100, 18, IF(F69&lt;=250, 23, IF(F69&lt;=500, 35, IF(F69&lt;=1000, 40, F69*0.04)))),
IF(Basic345678910111213141516171819202122232425262728[[#This Row],[نوع الخدمة]]="كاش اوت",
    IF(F69&lt;=100, 15, IF(F69&lt;=250, 20, IF(F69&lt;=500, 30, IF(F69&lt;=1000, 35, F69*0.035)))),
0)))</f>
        <v>0</v>
      </c>
      <c r="H69" s="159">
        <f>IF(I69="مخالفات",50,Basic345678910111213141516171819202122232425262728[[#This Row],[قيمة الرسوم / العموله]]+Basic345678910111213141516171819202122232425262728[[#This Row],[قيمة الشحنه]])</f>
        <v>0</v>
      </c>
      <c r="I69" s="90"/>
      <c r="J69" s="142" t="str">
        <f t="shared" si="1"/>
        <v>5.5.2026</v>
      </c>
      <c r="L69" s="153">
        <v>58</v>
      </c>
      <c r="M69" s="92"/>
    </row>
    <row r="70" spans="1:13" ht="21.6" x14ac:dyDescent="0.65">
      <c r="A70" s="195"/>
      <c r="B70" s="140">
        <v>67</v>
      </c>
      <c r="C70" s="2"/>
      <c r="D70" s="1"/>
      <c r="E70" s="3"/>
      <c r="F70" s="1"/>
      <c r="G70" s="141">
        <f>IF(Basic345678910111213141516171819202122232425262728[[#This Row],[نوع الخدمة]]="مخالفات", 50,
IF(Basic345678910111213141516171819202122232425262728[[#This Row],[نوع الخدمة]]="كاش ان",
    IF(F70&lt;=100, 18, IF(F70&lt;=250, 23, IF(F70&lt;=500, 35, IF(F70&lt;=1000, 40, F70*0.04)))),
IF(Basic345678910111213141516171819202122232425262728[[#This Row],[نوع الخدمة]]="كاش اوت",
    IF(F70&lt;=100, 15, IF(F70&lt;=250, 20, IF(F70&lt;=500, 30, IF(F70&lt;=1000, 35, F70*0.035)))),
0)))</f>
        <v>0</v>
      </c>
      <c r="H70" s="159">
        <f>IF(I70="مخالفات",50,Basic345678910111213141516171819202122232425262728[[#This Row],[قيمة الرسوم / العموله]]+Basic345678910111213141516171819202122232425262728[[#This Row],[قيمة الشحنه]])</f>
        <v>0</v>
      </c>
      <c r="I70" s="90"/>
      <c r="J70" s="142" t="str">
        <f t="shared" si="1"/>
        <v>5.5.2026</v>
      </c>
      <c r="L70" s="153">
        <v>59</v>
      </c>
      <c r="M70" s="92"/>
    </row>
    <row r="71" spans="1:13" ht="21.6" x14ac:dyDescent="0.65">
      <c r="A71" s="195"/>
      <c r="B71" s="140">
        <v>68</v>
      </c>
      <c r="C71" s="2"/>
      <c r="D71" s="1"/>
      <c r="E71" s="3"/>
      <c r="F71" s="1"/>
      <c r="G71" s="141">
        <f>IF(Basic345678910111213141516171819202122232425262728[[#This Row],[نوع الخدمة]]="مخالفات", 50,
IF(Basic345678910111213141516171819202122232425262728[[#This Row],[نوع الخدمة]]="كاش ان",
    IF(F71&lt;=100, 18, IF(F71&lt;=250, 23, IF(F71&lt;=500, 35, IF(F71&lt;=1000, 40, F71*0.04)))),
IF(Basic345678910111213141516171819202122232425262728[[#This Row],[نوع الخدمة]]="كاش اوت",
    IF(F71&lt;=100, 15, IF(F71&lt;=250, 20, IF(F71&lt;=500, 30, IF(F71&lt;=1000, 35, F71*0.035)))),
0)))</f>
        <v>0</v>
      </c>
      <c r="H71" s="159">
        <f>IF(I71="مخالفات",50,Basic345678910111213141516171819202122232425262728[[#This Row],[قيمة الرسوم / العموله]]+Basic345678910111213141516171819202122232425262728[[#This Row],[قيمة الشحنه]])</f>
        <v>0</v>
      </c>
      <c r="I71" s="90"/>
      <c r="J71" s="142" t="str">
        <f t="shared" si="1"/>
        <v>5.5.2026</v>
      </c>
      <c r="L71" s="153">
        <v>60</v>
      </c>
      <c r="M71" s="92"/>
    </row>
    <row r="72" spans="1:13" ht="21.6" x14ac:dyDescent="0.65">
      <c r="A72" s="195"/>
      <c r="B72" s="140">
        <v>69</v>
      </c>
      <c r="C72" s="2"/>
      <c r="D72" s="1"/>
      <c r="E72" s="3"/>
      <c r="F72" s="1"/>
      <c r="G72" s="141">
        <f>IF(Basic345678910111213141516171819202122232425262728[[#This Row],[نوع الخدمة]]="مخالفات", 50,
IF(Basic345678910111213141516171819202122232425262728[[#This Row],[نوع الخدمة]]="كاش ان",
    IF(F72&lt;=100, 18, IF(F72&lt;=250, 23, IF(F72&lt;=500, 35, IF(F72&lt;=1000, 40, F72*0.04)))),
IF(Basic345678910111213141516171819202122232425262728[[#This Row],[نوع الخدمة]]="كاش اوت",
    IF(F72&lt;=100, 15, IF(F72&lt;=250, 20, IF(F72&lt;=500, 30, IF(F72&lt;=1000, 35, F72*0.035)))),
0)))</f>
        <v>0</v>
      </c>
      <c r="H72" s="159">
        <f>IF(I72="مخالفات",50,Basic345678910111213141516171819202122232425262728[[#This Row],[قيمة الرسوم / العموله]]+Basic345678910111213141516171819202122232425262728[[#This Row],[قيمة الشحنه]])</f>
        <v>0</v>
      </c>
      <c r="I72" s="90"/>
      <c r="J72" s="142" t="str">
        <f t="shared" si="1"/>
        <v>5.5.2026</v>
      </c>
      <c r="L72" s="153">
        <v>61</v>
      </c>
      <c r="M72" s="92"/>
    </row>
    <row r="73" spans="1:13" ht="21.6" x14ac:dyDescent="0.65">
      <c r="A73" s="195"/>
      <c r="B73" s="144">
        <v>70</v>
      </c>
      <c r="C73" s="2"/>
      <c r="D73" s="1"/>
      <c r="E73" s="3"/>
      <c r="F73" s="1"/>
      <c r="G73" s="141">
        <f>IF(Basic345678910111213141516171819202122232425262728[[#This Row],[نوع الخدمة]]="مخالفات", 50,
IF(Basic345678910111213141516171819202122232425262728[[#This Row],[نوع الخدمة]]="كاش ان",
    IF(F73&lt;=100, 18, IF(F73&lt;=250, 23, IF(F73&lt;=500, 35, IF(F73&lt;=1000, 40, F73*0.04)))),
IF(Basic345678910111213141516171819202122232425262728[[#This Row],[نوع الخدمة]]="كاش اوت",
    IF(F73&lt;=100, 15, IF(F73&lt;=250, 20, IF(F73&lt;=500, 30, IF(F73&lt;=1000, 35, F73*0.035)))),
0)))</f>
        <v>0</v>
      </c>
      <c r="H73" s="159">
        <f>IF(I73="مخالفات",50,Basic345678910111213141516171819202122232425262728[[#This Row],[قيمة الرسوم / العموله]]+Basic345678910111213141516171819202122232425262728[[#This Row],[قيمة الشحنه]])</f>
        <v>0</v>
      </c>
      <c r="I73" s="90"/>
      <c r="J73" s="142" t="str">
        <f t="shared" si="1"/>
        <v>5.5.2026</v>
      </c>
      <c r="L73" s="153">
        <v>62</v>
      </c>
      <c r="M73" s="92"/>
    </row>
    <row r="74" spans="1:13" ht="21.6" x14ac:dyDescent="0.65">
      <c r="A74" s="195"/>
      <c r="B74" s="140">
        <v>71</v>
      </c>
      <c r="C74" s="2"/>
      <c r="D74" s="1"/>
      <c r="E74" s="3"/>
      <c r="F74" s="1"/>
      <c r="G74" s="141">
        <f>IF(Basic345678910111213141516171819202122232425262728[[#This Row],[نوع الخدمة]]="مخالفات", 50,
IF(Basic345678910111213141516171819202122232425262728[[#This Row],[نوع الخدمة]]="كاش ان",
    IF(F74&lt;=100, 18, IF(F74&lt;=250, 23, IF(F74&lt;=500, 35, IF(F74&lt;=1000, 40, F74*0.04)))),
IF(Basic345678910111213141516171819202122232425262728[[#This Row],[نوع الخدمة]]="كاش اوت",
    IF(F74&lt;=100, 15, IF(F74&lt;=250, 20, IF(F74&lt;=500, 30, IF(F74&lt;=1000, 35, F74*0.035)))),
0)))</f>
        <v>0</v>
      </c>
      <c r="H74" s="159">
        <f>IF(I74="مخالفات",50,Basic345678910111213141516171819202122232425262728[[#This Row],[قيمة الرسوم / العموله]]+Basic345678910111213141516171819202122232425262728[[#This Row],[قيمة الشحنه]])</f>
        <v>0</v>
      </c>
      <c r="I74" s="90"/>
      <c r="J74" s="142" t="str">
        <f t="shared" si="1"/>
        <v>5.5.2026</v>
      </c>
      <c r="L74" s="153">
        <v>63</v>
      </c>
      <c r="M74" s="92"/>
    </row>
    <row r="75" spans="1:13" ht="21.6" x14ac:dyDescent="0.65">
      <c r="A75" s="195"/>
      <c r="B75" s="140">
        <v>72</v>
      </c>
      <c r="C75" s="2"/>
      <c r="D75" s="1"/>
      <c r="E75" s="3"/>
      <c r="F75" s="1"/>
      <c r="G75" s="141">
        <f>IF(Basic345678910111213141516171819202122232425262728[[#This Row],[نوع الخدمة]]="مخالفات", 50,
IF(Basic345678910111213141516171819202122232425262728[[#This Row],[نوع الخدمة]]="كاش ان",
    IF(F75&lt;=100, 18, IF(F75&lt;=250, 23, IF(F75&lt;=500, 35, IF(F75&lt;=1000, 40, F75*0.04)))),
IF(Basic345678910111213141516171819202122232425262728[[#This Row],[نوع الخدمة]]="كاش اوت",
    IF(F75&lt;=100, 15, IF(F75&lt;=250, 20, IF(F75&lt;=500, 30, IF(F75&lt;=1000, 35, F75*0.035)))),
0)))</f>
        <v>0</v>
      </c>
      <c r="H75" s="159">
        <f>IF(I75="مخالفات",50,Basic345678910111213141516171819202122232425262728[[#This Row],[قيمة الرسوم / العموله]]+Basic345678910111213141516171819202122232425262728[[#This Row],[قيمة الشحنه]])</f>
        <v>0</v>
      </c>
      <c r="I75" s="90"/>
      <c r="J75" s="142" t="str">
        <f t="shared" si="1"/>
        <v>5.5.2026</v>
      </c>
      <c r="L75" s="153">
        <v>64</v>
      </c>
      <c r="M75" s="92"/>
    </row>
    <row r="76" spans="1:13" ht="21.6" x14ac:dyDescent="0.65">
      <c r="A76" s="195"/>
      <c r="B76" s="140">
        <v>73</v>
      </c>
      <c r="C76" s="2"/>
      <c r="D76" s="1"/>
      <c r="E76" s="3"/>
      <c r="F76" s="1"/>
      <c r="G76" s="141">
        <f>IF(Basic345678910111213141516171819202122232425262728[[#This Row],[نوع الخدمة]]="مخالفات", 50,
IF(Basic345678910111213141516171819202122232425262728[[#This Row],[نوع الخدمة]]="كاش ان",
    IF(F76&lt;=100, 18, IF(F76&lt;=250, 23, IF(F76&lt;=500, 35, IF(F76&lt;=1000, 40, F76*0.04)))),
IF(Basic345678910111213141516171819202122232425262728[[#This Row],[نوع الخدمة]]="كاش اوت",
    IF(F76&lt;=100, 15, IF(F76&lt;=250, 20, IF(F76&lt;=500, 30, IF(F76&lt;=1000, 35, F76*0.035)))),
0)))</f>
        <v>0</v>
      </c>
      <c r="H76" s="159">
        <f>IF(I76="مخالفات",50,Basic345678910111213141516171819202122232425262728[[#This Row],[قيمة الرسوم / العموله]]+Basic345678910111213141516171819202122232425262728[[#This Row],[قيمة الشحنه]])</f>
        <v>0</v>
      </c>
      <c r="I76" s="90"/>
      <c r="J76" s="142" t="str">
        <f t="shared" si="1"/>
        <v>5.5.2026</v>
      </c>
      <c r="L76" s="153">
        <v>65</v>
      </c>
      <c r="M76" s="92"/>
    </row>
    <row r="77" spans="1:13" ht="21.6" x14ac:dyDescent="0.65">
      <c r="A77" s="195"/>
      <c r="B77" s="144">
        <v>74</v>
      </c>
      <c r="C77" s="2"/>
      <c r="D77" s="1"/>
      <c r="E77" s="3"/>
      <c r="F77" s="1"/>
      <c r="G77" s="141">
        <f>IF(Basic345678910111213141516171819202122232425262728[[#This Row],[نوع الخدمة]]="مخالفات", 50,
IF(Basic345678910111213141516171819202122232425262728[[#This Row],[نوع الخدمة]]="كاش ان",
    IF(F77&lt;=100, 18, IF(F77&lt;=250, 23, IF(F77&lt;=500, 35, IF(F77&lt;=1000, 40, F77*0.04)))),
IF(Basic345678910111213141516171819202122232425262728[[#This Row],[نوع الخدمة]]="كاش اوت",
    IF(F77&lt;=100, 15, IF(F77&lt;=250, 20, IF(F77&lt;=500, 30, IF(F77&lt;=1000, 35, F77*0.035)))),
0)))</f>
        <v>0</v>
      </c>
      <c r="H77" s="159">
        <f>IF(I77="مخالفات",50,Basic345678910111213141516171819202122232425262728[[#This Row],[قيمة الرسوم / العموله]]+Basic345678910111213141516171819202122232425262728[[#This Row],[قيمة الشحنه]])</f>
        <v>0</v>
      </c>
      <c r="I77" s="90"/>
      <c r="J77" s="142" t="str">
        <f t="shared" si="1"/>
        <v>5.5.2026</v>
      </c>
      <c r="L77" s="153">
        <v>66</v>
      </c>
      <c r="M77" s="92"/>
    </row>
    <row r="78" spans="1:13" ht="21.6" x14ac:dyDescent="0.65">
      <c r="A78" s="195"/>
      <c r="B78" s="140">
        <v>75</v>
      </c>
      <c r="C78" s="2"/>
      <c r="D78" s="1"/>
      <c r="E78" s="3"/>
      <c r="F78" s="1"/>
      <c r="G78" s="141">
        <f>IF(Basic345678910111213141516171819202122232425262728[[#This Row],[نوع الخدمة]]="مخالفات", 50,
IF(Basic345678910111213141516171819202122232425262728[[#This Row],[نوع الخدمة]]="كاش ان",
    IF(F78&lt;=100, 18, IF(F78&lt;=250, 23, IF(F78&lt;=500, 35, IF(F78&lt;=1000, 40, F78*0.04)))),
IF(Basic345678910111213141516171819202122232425262728[[#This Row],[نوع الخدمة]]="كاش اوت",
    IF(F78&lt;=100, 15, IF(F78&lt;=250, 20, IF(F78&lt;=500, 30, IF(F78&lt;=1000, 35, F78*0.035)))),
0)))</f>
        <v>0</v>
      </c>
      <c r="H78" s="159">
        <f>IF(I78="مخالفات",50,Basic345678910111213141516171819202122232425262728[[#This Row],[قيمة الرسوم / العموله]]+Basic345678910111213141516171819202122232425262728[[#This Row],[قيمة الشحنه]])</f>
        <v>0</v>
      </c>
      <c r="I78" s="90"/>
      <c r="J78" s="142" t="str">
        <f t="shared" si="1"/>
        <v>5.5.2026</v>
      </c>
      <c r="L78" s="153">
        <v>67</v>
      </c>
      <c r="M78" s="92"/>
    </row>
    <row r="79" spans="1:13" ht="21.6" x14ac:dyDescent="0.65">
      <c r="A79" s="195"/>
      <c r="B79" s="140">
        <v>76</v>
      </c>
      <c r="C79" s="2"/>
      <c r="D79" s="1"/>
      <c r="E79" s="3"/>
      <c r="F79" s="1"/>
      <c r="G79" s="141">
        <f>IF(Basic345678910111213141516171819202122232425262728[[#This Row],[نوع الخدمة]]="مخالفات", 50,
IF(Basic345678910111213141516171819202122232425262728[[#This Row],[نوع الخدمة]]="كاش ان",
    IF(F79&lt;=100, 18, IF(F79&lt;=250, 23, IF(F79&lt;=500, 35, IF(F79&lt;=1000, 40, F79*0.04)))),
IF(Basic345678910111213141516171819202122232425262728[[#This Row],[نوع الخدمة]]="كاش اوت",
    IF(F79&lt;=100, 15, IF(F79&lt;=250, 20, IF(F79&lt;=500, 30, IF(F79&lt;=1000, 35, F79*0.035)))),
0)))</f>
        <v>0</v>
      </c>
      <c r="H79" s="159">
        <f>IF(I79="مخالفات",50,Basic345678910111213141516171819202122232425262728[[#This Row],[قيمة الرسوم / العموله]]+Basic345678910111213141516171819202122232425262728[[#This Row],[قيمة الشحنه]])</f>
        <v>0</v>
      </c>
      <c r="I79" s="90"/>
      <c r="J79" s="142" t="str">
        <f t="shared" si="1"/>
        <v>5.5.2026</v>
      </c>
      <c r="L79" s="153">
        <v>68</v>
      </c>
      <c r="M79" s="92"/>
    </row>
    <row r="80" spans="1:13" ht="21.6" x14ac:dyDescent="0.65">
      <c r="A80" s="195"/>
      <c r="B80" s="140">
        <v>77</v>
      </c>
      <c r="C80" s="2"/>
      <c r="D80" s="1"/>
      <c r="E80" s="3"/>
      <c r="F80" s="1"/>
      <c r="G80" s="141">
        <f>IF(Basic345678910111213141516171819202122232425262728[[#This Row],[نوع الخدمة]]="مخالفات", 50,
IF(Basic345678910111213141516171819202122232425262728[[#This Row],[نوع الخدمة]]="كاش ان",
    IF(F80&lt;=100, 18, IF(F80&lt;=250, 23, IF(F80&lt;=500, 35, IF(F80&lt;=1000, 40, F80*0.04)))),
IF(Basic345678910111213141516171819202122232425262728[[#This Row],[نوع الخدمة]]="كاش اوت",
    IF(F80&lt;=100, 15, IF(F80&lt;=250, 20, IF(F80&lt;=500, 30, IF(F80&lt;=1000, 35, F80*0.035)))),
0)))</f>
        <v>0</v>
      </c>
      <c r="H80" s="159">
        <f>IF(I80="مخالفات",50,Basic345678910111213141516171819202122232425262728[[#This Row],[قيمة الرسوم / العموله]]+Basic345678910111213141516171819202122232425262728[[#This Row],[قيمة الشحنه]])</f>
        <v>0</v>
      </c>
      <c r="I80" s="90"/>
      <c r="J80" s="142" t="str">
        <f t="shared" si="1"/>
        <v>5.5.2026</v>
      </c>
      <c r="L80" s="153">
        <v>69</v>
      </c>
      <c r="M80" s="92"/>
    </row>
    <row r="81" spans="1:13" ht="21.6" x14ac:dyDescent="0.65">
      <c r="A81" s="195"/>
      <c r="B81" s="144">
        <v>78</v>
      </c>
      <c r="C81" s="2"/>
      <c r="D81" s="1"/>
      <c r="E81" s="3"/>
      <c r="F81" s="1"/>
      <c r="G81" s="141">
        <f>IF(Basic345678910111213141516171819202122232425262728[[#This Row],[نوع الخدمة]]="مخالفات", 50,
IF(Basic345678910111213141516171819202122232425262728[[#This Row],[نوع الخدمة]]="كاش ان",
    IF(F81&lt;=100, 18, IF(F81&lt;=250, 23, IF(F81&lt;=500, 35, IF(F81&lt;=1000, 40, F81*0.04)))),
IF(Basic345678910111213141516171819202122232425262728[[#This Row],[نوع الخدمة]]="كاش اوت",
    IF(F81&lt;=100, 15, IF(F81&lt;=250, 20, IF(F81&lt;=500, 30, IF(F81&lt;=1000, 35, F81*0.035)))),
0)))</f>
        <v>0</v>
      </c>
      <c r="H81" s="159">
        <f>IF(I81="مخالفات",50,Basic345678910111213141516171819202122232425262728[[#This Row],[قيمة الرسوم / العموله]]+Basic345678910111213141516171819202122232425262728[[#This Row],[قيمة الشحنه]])</f>
        <v>0</v>
      </c>
      <c r="I81" s="90"/>
      <c r="J81" s="142" t="str">
        <f t="shared" si="1"/>
        <v>5.5.2026</v>
      </c>
      <c r="L81" s="153">
        <v>70</v>
      </c>
      <c r="M81" s="92"/>
    </row>
    <row r="82" spans="1:13" ht="21.6" x14ac:dyDescent="0.65">
      <c r="A82" s="195"/>
      <c r="B82" s="140">
        <v>79</v>
      </c>
      <c r="C82" s="2"/>
      <c r="D82" s="1"/>
      <c r="E82" s="3"/>
      <c r="F82" s="1"/>
      <c r="G82" s="141">
        <f>IF(Basic345678910111213141516171819202122232425262728[[#This Row],[نوع الخدمة]]="مخالفات", 50,
IF(Basic345678910111213141516171819202122232425262728[[#This Row],[نوع الخدمة]]="كاش ان",
    IF(F82&lt;=100, 18, IF(F82&lt;=250, 23, IF(F82&lt;=500, 35, IF(F82&lt;=1000, 40, F82*0.04)))),
IF(Basic345678910111213141516171819202122232425262728[[#This Row],[نوع الخدمة]]="كاش اوت",
    IF(F82&lt;=100, 15, IF(F82&lt;=250, 20, IF(F82&lt;=500, 30, IF(F82&lt;=1000, 35, F82*0.035)))),
0)))</f>
        <v>0</v>
      </c>
      <c r="H82" s="159">
        <f>IF(I82="مخالفات",50,Basic345678910111213141516171819202122232425262728[[#This Row],[قيمة الرسوم / العموله]]+Basic345678910111213141516171819202122232425262728[[#This Row],[قيمة الشحنه]])</f>
        <v>0</v>
      </c>
      <c r="I82" s="90"/>
      <c r="J82" s="142" t="str">
        <f t="shared" si="1"/>
        <v>5.5.2026</v>
      </c>
      <c r="L82" s="153">
        <v>71</v>
      </c>
      <c r="M82" s="92"/>
    </row>
    <row r="83" spans="1:13" ht="21.6" x14ac:dyDescent="0.65">
      <c r="A83" s="195"/>
      <c r="B83" s="140">
        <v>80</v>
      </c>
      <c r="C83" s="2"/>
      <c r="D83" s="1"/>
      <c r="E83" s="3"/>
      <c r="F83" s="1"/>
      <c r="G83" s="141">
        <f>IF(Basic345678910111213141516171819202122232425262728[[#This Row],[نوع الخدمة]]="مخالفات", 50,
IF(Basic345678910111213141516171819202122232425262728[[#This Row],[نوع الخدمة]]="كاش ان",
    IF(F83&lt;=100, 18, IF(F83&lt;=250, 23, IF(F83&lt;=500, 35, IF(F83&lt;=1000, 40, F83*0.04)))),
IF(Basic345678910111213141516171819202122232425262728[[#This Row],[نوع الخدمة]]="كاش اوت",
    IF(F83&lt;=100, 15, IF(F83&lt;=250, 20, IF(F83&lt;=500, 30, IF(F83&lt;=1000, 35, F83*0.035)))),
0)))</f>
        <v>0</v>
      </c>
      <c r="H83" s="159">
        <f>IF(I83="مخالفات",50,Basic345678910111213141516171819202122232425262728[[#This Row],[قيمة الرسوم / العموله]]+Basic345678910111213141516171819202122232425262728[[#This Row],[قيمة الشحنه]])</f>
        <v>0</v>
      </c>
      <c r="I83" s="90"/>
      <c r="J83" s="142" t="str">
        <f t="shared" si="1"/>
        <v>5.5.2026</v>
      </c>
      <c r="L83" s="153">
        <v>72</v>
      </c>
      <c r="M83" s="92"/>
    </row>
    <row r="84" spans="1:13" ht="21.6" x14ac:dyDescent="0.65">
      <c r="A84" s="195"/>
      <c r="B84" s="140">
        <v>81</v>
      </c>
      <c r="C84" s="2"/>
      <c r="D84" s="1"/>
      <c r="E84" s="3"/>
      <c r="F84" s="1"/>
      <c r="G84" s="141">
        <f>IF(Basic345678910111213141516171819202122232425262728[[#This Row],[نوع الخدمة]]="مخالفات", 50,
IF(Basic345678910111213141516171819202122232425262728[[#This Row],[نوع الخدمة]]="كاش ان",
    IF(F84&lt;=100, 18, IF(F84&lt;=250, 23, IF(F84&lt;=500, 35, IF(F84&lt;=1000, 40, F84*0.04)))),
IF(Basic345678910111213141516171819202122232425262728[[#This Row],[نوع الخدمة]]="كاش اوت",
    IF(F84&lt;=100, 15, IF(F84&lt;=250, 20, IF(F84&lt;=500, 30, IF(F84&lt;=1000, 35, F84*0.035)))),
0)))</f>
        <v>0</v>
      </c>
      <c r="H84" s="159">
        <f>IF(I84="مخالفات",50,Basic345678910111213141516171819202122232425262728[[#This Row],[قيمة الرسوم / العموله]]+Basic345678910111213141516171819202122232425262728[[#This Row],[قيمة الشحنه]])</f>
        <v>0</v>
      </c>
      <c r="I84" s="90"/>
      <c r="J84" s="142" t="str">
        <f t="shared" si="1"/>
        <v>5.5.2026</v>
      </c>
      <c r="L84" s="153">
        <v>73</v>
      </c>
      <c r="M84" s="92"/>
    </row>
    <row r="85" spans="1:13" ht="21.6" x14ac:dyDescent="0.65">
      <c r="A85" s="195"/>
      <c r="B85" s="144">
        <v>82</v>
      </c>
      <c r="C85" s="2"/>
      <c r="D85" s="1"/>
      <c r="E85" s="3"/>
      <c r="F85" s="1"/>
      <c r="G85" s="141">
        <f>IF(Basic345678910111213141516171819202122232425262728[[#This Row],[نوع الخدمة]]="مخالفات", 50,
IF(Basic345678910111213141516171819202122232425262728[[#This Row],[نوع الخدمة]]="كاش ان",
    IF(F85&lt;=100, 18, IF(F85&lt;=250, 23, IF(F85&lt;=500, 35, IF(F85&lt;=1000, 40, F85*0.04)))),
IF(Basic345678910111213141516171819202122232425262728[[#This Row],[نوع الخدمة]]="كاش اوت",
    IF(F85&lt;=100, 15, IF(F85&lt;=250, 20, IF(F85&lt;=500, 30, IF(F85&lt;=1000, 35, F85*0.035)))),
0)))</f>
        <v>0</v>
      </c>
      <c r="H85" s="159">
        <f>IF(I85="مخالفات",50,Basic345678910111213141516171819202122232425262728[[#This Row],[قيمة الرسوم / العموله]]+Basic345678910111213141516171819202122232425262728[[#This Row],[قيمة الشحنه]])</f>
        <v>0</v>
      </c>
      <c r="I85" s="90"/>
      <c r="J85" s="142" t="str">
        <f t="shared" si="1"/>
        <v>5.5.2026</v>
      </c>
      <c r="L85" s="153">
        <v>74</v>
      </c>
      <c r="M85" s="92"/>
    </row>
    <row r="86" spans="1:13" ht="21.6" x14ac:dyDescent="0.65">
      <c r="A86" s="195"/>
      <c r="B86" s="140">
        <v>83</v>
      </c>
      <c r="C86" s="2"/>
      <c r="D86" s="1"/>
      <c r="E86" s="3"/>
      <c r="F86" s="1"/>
      <c r="G86" s="141">
        <f>IF(Basic345678910111213141516171819202122232425262728[[#This Row],[نوع الخدمة]]="مخالفات", 50,
IF(Basic345678910111213141516171819202122232425262728[[#This Row],[نوع الخدمة]]="كاش ان",
    IF(F86&lt;=100, 18, IF(F86&lt;=250, 23, IF(F86&lt;=500, 35, IF(F86&lt;=1000, 40, F86*0.04)))),
IF(Basic345678910111213141516171819202122232425262728[[#This Row],[نوع الخدمة]]="كاش اوت",
    IF(F86&lt;=100, 15, IF(F86&lt;=250, 20, IF(F86&lt;=500, 30, IF(F86&lt;=1000, 35, F86*0.035)))),
0)))</f>
        <v>0</v>
      </c>
      <c r="H86" s="159">
        <f>IF(I86="مخالفات",50,Basic345678910111213141516171819202122232425262728[[#This Row],[قيمة الرسوم / العموله]]+Basic345678910111213141516171819202122232425262728[[#This Row],[قيمة الشحنه]])</f>
        <v>0</v>
      </c>
      <c r="I86" s="90"/>
      <c r="J86" s="142" t="str">
        <f t="shared" si="1"/>
        <v>5.5.2026</v>
      </c>
      <c r="L86" s="153">
        <v>75</v>
      </c>
      <c r="M86" s="92"/>
    </row>
    <row r="87" spans="1:13" ht="21.6" x14ac:dyDescent="0.65">
      <c r="A87" s="195"/>
      <c r="B87" s="140">
        <v>84</v>
      </c>
      <c r="C87" s="2"/>
      <c r="D87" s="1"/>
      <c r="E87" s="3"/>
      <c r="F87" s="1"/>
      <c r="G87" s="141">
        <f>IF(Basic345678910111213141516171819202122232425262728[[#This Row],[نوع الخدمة]]="مخالفات", 50,
IF(Basic345678910111213141516171819202122232425262728[[#This Row],[نوع الخدمة]]="كاش ان",
    IF(F87&lt;=100, 18, IF(F87&lt;=250, 23, IF(F87&lt;=500, 35, IF(F87&lt;=1000, 40, F87*0.04)))),
IF(Basic345678910111213141516171819202122232425262728[[#This Row],[نوع الخدمة]]="كاش اوت",
    IF(F87&lt;=100, 15, IF(F87&lt;=250, 20, IF(F87&lt;=500, 30, IF(F87&lt;=1000, 35, F87*0.035)))),
0)))</f>
        <v>0</v>
      </c>
      <c r="H87" s="159">
        <f>IF(I87="مخالفات",50,Basic345678910111213141516171819202122232425262728[[#This Row],[قيمة الرسوم / العموله]]+Basic345678910111213141516171819202122232425262728[[#This Row],[قيمة الشحنه]])</f>
        <v>0</v>
      </c>
      <c r="I87" s="90"/>
      <c r="J87" s="142" t="str">
        <f t="shared" si="1"/>
        <v>5.5.2026</v>
      </c>
      <c r="L87" s="153">
        <v>76</v>
      </c>
      <c r="M87" s="92"/>
    </row>
    <row r="88" spans="1:13" ht="21.6" x14ac:dyDescent="0.65">
      <c r="A88" s="195"/>
      <c r="B88" s="140">
        <v>85</v>
      </c>
      <c r="C88" s="2"/>
      <c r="D88" s="1"/>
      <c r="E88" s="3"/>
      <c r="F88" s="1"/>
      <c r="G88" s="141">
        <f>IF(Basic345678910111213141516171819202122232425262728[[#This Row],[نوع الخدمة]]="مخالفات", 50,
IF(Basic345678910111213141516171819202122232425262728[[#This Row],[نوع الخدمة]]="كاش ان",
    IF(F88&lt;=100, 18, IF(F88&lt;=250, 23, IF(F88&lt;=500, 35, IF(F88&lt;=1000, 40, F88*0.04)))),
IF(Basic345678910111213141516171819202122232425262728[[#This Row],[نوع الخدمة]]="كاش اوت",
    IF(F88&lt;=100, 15, IF(F88&lt;=250, 20, IF(F88&lt;=500, 30, IF(F88&lt;=1000, 35, F88*0.035)))),
0)))</f>
        <v>0</v>
      </c>
      <c r="H88" s="159">
        <f>IF(I88="مخالفات",50,Basic345678910111213141516171819202122232425262728[[#This Row],[قيمة الرسوم / العموله]]+Basic345678910111213141516171819202122232425262728[[#This Row],[قيمة الشحنه]])</f>
        <v>0</v>
      </c>
      <c r="I88" s="90"/>
      <c r="J88" s="142" t="str">
        <f t="shared" si="1"/>
        <v>5.5.2026</v>
      </c>
      <c r="L88" s="153">
        <v>77</v>
      </c>
      <c r="M88" s="92"/>
    </row>
    <row r="89" spans="1:13" ht="21.6" x14ac:dyDescent="0.65">
      <c r="A89" s="195"/>
      <c r="B89" s="144">
        <v>86</v>
      </c>
      <c r="C89" s="2"/>
      <c r="D89" s="1"/>
      <c r="E89" s="3"/>
      <c r="F89" s="1"/>
      <c r="G89" s="141">
        <f>IF(Basic345678910111213141516171819202122232425262728[[#This Row],[نوع الخدمة]]="مخالفات", 50,
IF(Basic345678910111213141516171819202122232425262728[[#This Row],[نوع الخدمة]]="كاش ان",
    IF(F89&lt;=100, 18, IF(F89&lt;=250, 23, IF(F89&lt;=500, 35, IF(F89&lt;=1000, 40, F89*0.04)))),
IF(Basic345678910111213141516171819202122232425262728[[#This Row],[نوع الخدمة]]="كاش اوت",
    IF(F89&lt;=100, 15, IF(F89&lt;=250, 20, IF(F89&lt;=500, 30, IF(F89&lt;=1000, 35, F89*0.035)))),
0)))</f>
        <v>0</v>
      </c>
      <c r="H89" s="159">
        <f>IF(I89="مخالفات",50,Basic345678910111213141516171819202122232425262728[[#This Row],[قيمة الرسوم / العموله]]+Basic345678910111213141516171819202122232425262728[[#This Row],[قيمة الشحنه]])</f>
        <v>0</v>
      </c>
      <c r="I89" s="90"/>
      <c r="J89" s="142" t="str">
        <f t="shared" si="1"/>
        <v>5.5.2026</v>
      </c>
      <c r="L89" s="153">
        <v>78</v>
      </c>
      <c r="M89" s="92"/>
    </row>
    <row r="90" spans="1:13" ht="21.6" x14ac:dyDescent="0.65">
      <c r="A90" s="195"/>
      <c r="B90" s="140">
        <v>87</v>
      </c>
      <c r="C90" s="2"/>
      <c r="D90" s="1"/>
      <c r="E90" s="3"/>
      <c r="F90" s="1"/>
      <c r="G90" s="141">
        <f>IF(Basic345678910111213141516171819202122232425262728[[#This Row],[نوع الخدمة]]="مخالفات", 50,
IF(Basic345678910111213141516171819202122232425262728[[#This Row],[نوع الخدمة]]="كاش ان",
    IF(F90&lt;=100, 18, IF(F90&lt;=250, 23, IF(F90&lt;=500, 35, IF(F90&lt;=1000, 40, F90*0.04)))),
IF(Basic345678910111213141516171819202122232425262728[[#This Row],[نوع الخدمة]]="كاش اوت",
    IF(F90&lt;=100, 15, IF(F90&lt;=250, 20, IF(F90&lt;=500, 30, IF(F90&lt;=1000, 35, F90*0.035)))),
0)))</f>
        <v>0</v>
      </c>
      <c r="H90" s="159">
        <f>IF(I90="مخالفات",50,Basic345678910111213141516171819202122232425262728[[#This Row],[قيمة الرسوم / العموله]]+Basic345678910111213141516171819202122232425262728[[#This Row],[قيمة الشحنه]])</f>
        <v>0</v>
      </c>
      <c r="I90" s="90"/>
      <c r="J90" s="142" t="str">
        <f t="shared" si="1"/>
        <v>5.5.2026</v>
      </c>
      <c r="L90" s="153">
        <v>79</v>
      </c>
      <c r="M90" s="92"/>
    </row>
    <row r="91" spans="1:13" ht="21.6" x14ac:dyDescent="0.65">
      <c r="A91" s="195"/>
      <c r="B91" s="140">
        <v>88</v>
      </c>
      <c r="C91" s="2"/>
      <c r="D91" s="1"/>
      <c r="E91" s="3"/>
      <c r="F91" s="1"/>
      <c r="G91" s="141">
        <f>IF(Basic345678910111213141516171819202122232425262728[[#This Row],[نوع الخدمة]]="مخالفات", 50,
IF(Basic345678910111213141516171819202122232425262728[[#This Row],[نوع الخدمة]]="كاش ان",
    IF(F91&lt;=100, 18, IF(F91&lt;=250, 23, IF(F91&lt;=500, 35, IF(F91&lt;=1000, 40, F91*0.04)))),
IF(Basic345678910111213141516171819202122232425262728[[#This Row],[نوع الخدمة]]="كاش اوت",
    IF(F91&lt;=100, 15, IF(F91&lt;=250, 20, IF(F91&lt;=500, 30, IF(F91&lt;=1000, 35, F91*0.035)))),
0)))</f>
        <v>0</v>
      </c>
      <c r="H91" s="159">
        <f>IF(I91="مخالفات",50,Basic345678910111213141516171819202122232425262728[[#This Row],[قيمة الرسوم / العموله]]+Basic345678910111213141516171819202122232425262728[[#This Row],[قيمة الشحنه]])</f>
        <v>0</v>
      </c>
      <c r="I91" s="90"/>
      <c r="J91" s="142" t="str">
        <f t="shared" si="1"/>
        <v>5.5.2026</v>
      </c>
      <c r="L91" s="153">
        <v>80</v>
      </c>
      <c r="M91" s="92"/>
    </row>
    <row r="92" spans="1:13" ht="21.6" x14ac:dyDescent="0.65">
      <c r="A92" s="195"/>
      <c r="B92" s="140">
        <v>89</v>
      </c>
      <c r="C92" s="2"/>
      <c r="D92" s="1"/>
      <c r="E92" s="3"/>
      <c r="F92" s="1"/>
      <c r="G92" s="141">
        <f>IF(Basic345678910111213141516171819202122232425262728[[#This Row],[نوع الخدمة]]="مخالفات", 50,
IF(Basic345678910111213141516171819202122232425262728[[#This Row],[نوع الخدمة]]="كاش ان",
    IF(F92&lt;=100, 18, IF(F92&lt;=250, 23, IF(F92&lt;=500, 35, IF(F92&lt;=1000, 40, F92*0.04)))),
IF(Basic345678910111213141516171819202122232425262728[[#This Row],[نوع الخدمة]]="كاش اوت",
    IF(F92&lt;=100, 15, IF(F92&lt;=250, 20, IF(F92&lt;=500, 30, IF(F92&lt;=1000, 35, F92*0.035)))),
0)))</f>
        <v>0</v>
      </c>
      <c r="H92" s="159">
        <f>IF(I92="مخالفات",50,Basic345678910111213141516171819202122232425262728[[#This Row],[قيمة الرسوم / العموله]]+Basic345678910111213141516171819202122232425262728[[#This Row],[قيمة الشحنه]])</f>
        <v>0</v>
      </c>
      <c r="I92" s="90"/>
      <c r="J92" s="142" t="str">
        <f t="shared" si="1"/>
        <v>5.5.2026</v>
      </c>
      <c r="L92" s="153">
        <v>81</v>
      </c>
      <c r="M92" s="92"/>
    </row>
    <row r="93" spans="1:13" ht="21.6" x14ac:dyDescent="0.65">
      <c r="A93" s="195"/>
      <c r="B93" s="144">
        <v>90</v>
      </c>
      <c r="C93" s="2"/>
      <c r="D93" s="1"/>
      <c r="E93" s="3"/>
      <c r="F93" s="1"/>
      <c r="G93" s="141">
        <f>IF(Basic345678910111213141516171819202122232425262728[[#This Row],[نوع الخدمة]]="مخالفات", 50,
IF(Basic345678910111213141516171819202122232425262728[[#This Row],[نوع الخدمة]]="كاش ان",
    IF(F93&lt;=100, 18, IF(F93&lt;=250, 23, IF(F93&lt;=500, 35, IF(F93&lt;=1000, 40, F93*0.04)))),
IF(Basic345678910111213141516171819202122232425262728[[#This Row],[نوع الخدمة]]="كاش اوت",
    IF(F93&lt;=100, 15, IF(F93&lt;=250, 20, IF(F93&lt;=500, 30, IF(F93&lt;=1000, 35, F93*0.035)))),
0)))</f>
        <v>0</v>
      </c>
      <c r="H93" s="159">
        <f>IF(I93="مخالفات",50,Basic345678910111213141516171819202122232425262728[[#This Row],[قيمة الرسوم / العموله]]+Basic345678910111213141516171819202122232425262728[[#This Row],[قيمة الشحنه]])</f>
        <v>0</v>
      </c>
      <c r="I93" s="90"/>
      <c r="J93" s="142" t="str">
        <f t="shared" si="1"/>
        <v>5.5.2026</v>
      </c>
      <c r="L93" s="153">
        <v>82</v>
      </c>
      <c r="M93" s="92"/>
    </row>
    <row r="94" spans="1:13" ht="21.6" x14ac:dyDescent="0.65">
      <c r="A94" s="195"/>
      <c r="B94" s="140">
        <v>91</v>
      </c>
      <c r="C94" s="2"/>
      <c r="D94" s="1"/>
      <c r="E94" s="3"/>
      <c r="F94" s="1"/>
      <c r="G94" s="141">
        <f>IF(Basic345678910111213141516171819202122232425262728[[#This Row],[نوع الخدمة]]="مخالفات", 50,
IF(Basic345678910111213141516171819202122232425262728[[#This Row],[نوع الخدمة]]="كاش ان",
    IF(F94&lt;=100, 18, IF(F94&lt;=250, 23, IF(F94&lt;=500, 35, IF(F94&lt;=1000, 40, F94*0.04)))),
IF(Basic345678910111213141516171819202122232425262728[[#This Row],[نوع الخدمة]]="كاش اوت",
    IF(F94&lt;=100, 15, IF(F94&lt;=250, 20, IF(F94&lt;=500, 30, IF(F94&lt;=1000, 35, F94*0.035)))),
0)))</f>
        <v>0</v>
      </c>
      <c r="H94" s="159">
        <f>IF(I94="مخالفات",50,Basic345678910111213141516171819202122232425262728[[#This Row],[قيمة الرسوم / العموله]]+Basic345678910111213141516171819202122232425262728[[#This Row],[قيمة الشحنه]])</f>
        <v>0</v>
      </c>
      <c r="I94" s="90"/>
      <c r="J94" s="142" t="str">
        <f t="shared" si="1"/>
        <v>5.5.2026</v>
      </c>
      <c r="L94" s="153">
        <v>83</v>
      </c>
      <c r="M94" s="92"/>
    </row>
    <row r="95" spans="1:13" ht="21.6" x14ac:dyDescent="0.65">
      <c r="A95" s="195"/>
      <c r="B95" s="140">
        <v>92</v>
      </c>
      <c r="C95" s="2"/>
      <c r="D95" s="1"/>
      <c r="E95" s="3"/>
      <c r="F95" s="1"/>
      <c r="G95" s="141">
        <f>IF(Basic345678910111213141516171819202122232425262728[[#This Row],[نوع الخدمة]]="مخالفات", 50,
IF(Basic345678910111213141516171819202122232425262728[[#This Row],[نوع الخدمة]]="كاش ان",
    IF(F95&lt;=100, 18, IF(F95&lt;=250, 23, IF(F95&lt;=500, 35, IF(F95&lt;=1000, 40, F95*0.04)))),
IF(Basic345678910111213141516171819202122232425262728[[#This Row],[نوع الخدمة]]="كاش اوت",
    IF(F95&lt;=100, 15, IF(F95&lt;=250, 20, IF(F95&lt;=500, 30, IF(F95&lt;=1000, 35, F95*0.035)))),
0)))</f>
        <v>0</v>
      </c>
      <c r="H95" s="159">
        <f>IF(I95="مخالفات",50,Basic345678910111213141516171819202122232425262728[[#This Row],[قيمة الرسوم / العموله]]+Basic345678910111213141516171819202122232425262728[[#This Row],[قيمة الشحنه]])</f>
        <v>0</v>
      </c>
      <c r="I95" s="90"/>
      <c r="J95" s="142" t="str">
        <f t="shared" si="1"/>
        <v>5.5.2026</v>
      </c>
      <c r="L95" s="153">
        <v>84</v>
      </c>
      <c r="M95" s="92"/>
    </row>
    <row r="96" spans="1:13" ht="21.6" x14ac:dyDescent="0.65">
      <c r="A96" s="195"/>
      <c r="B96" s="140">
        <v>93</v>
      </c>
      <c r="C96" s="2"/>
      <c r="D96" s="1"/>
      <c r="E96" s="3"/>
      <c r="F96" s="1"/>
      <c r="G96" s="141">
        <f>IF(Basic345678910111213141516171819202122232425262728[[#This Row],[نوع الخدمة]]="مخالفات", 50,
IF(Basic345678910111213141516171819202122232425262728[[#This Row],[نوع الخدمة]]="كاش ان",
    IF(F96&lt;=100, 18, IF(F96&lt;=250, 23, IF(F96&lt;=500, 35, IF(F96&lt;=1000, 40, F96*0.04)))),
IF(Basic345678910111213141516171819202122232425262728[[#This Row],[نوع الخدمة]]="كاش اوت",
    IF(F96&lt;=100, 15, IF(F96&lt;=250, 20, IF(F96&lt;=500, 30, IF(F96&lt;=1000, 35, F96*0.035)))),
0)))</f>
        <v>0</v>
      </c>
      <c r="H96" s="159">
        <f>IF(I96="مخالفات",50,Basic345678910111213141516171819202122232425262728[[#This Row],[قيمة الرسوم / العموله]]+Basic345678910111213141516171819202122232425262728[[#This Row],[قيمة الشحنه]])</f>
        <v>0</v>
      </c>
      <c r="I96" s="90"/>
      <c r="J96" s="142" t="str">
        <f t="shared" si="1"/>
        <v>5.5.2026</v>
      </c>
      <c r="L96" s="153">
        <v>85</v>
      </c>
      <c r="M96" s="92"/>
    </row>
    <row r="97" spans="1:13" ht="21.6" x14ac:dyDescent="0.65">
      <c r="A97" s="195"/>
      <c r="B97" s="144">
        <v>94</v>
      </c>
      <c r="C97" s="2"/>
      <c r="D97" s="1"/>
      <c r="E97" s="3"/>
      <c r="F97" s="1"/>
      <c r="G97" s="141">
        <f>IF(Basic345678910111213141516171819202122232425262728[[#This Row],[نوع الخدمة]]="مخالفات", 50,
IF(Basic345678910111213141516171819202122232425262728[[#This Row],[نوع الخدمة]]="كاش ان",
    IF(F97&lt;=100, 18, IF(F97&lt;=250, 23, IF(F97&lt;=500, 35, IF(F97&lt;=1000, 40, F97*0.04)))),
IF(Basic345678910111213141516171819202122232425262728[[#This Row],[نوع الخدمة]]="كاش اوت",
    IF(F97&lt;=100, 15, IF(F97&lt;=250, 20, IF(F97&lt;=500, 30, IF(F97&lt;=1000, 35, F97*0.035)))),
0)))</f>
        <v>0</v>
      </c>
      <c r="H97" s="159">
        <f>IF(I97="مخالفات",50,Basic345678910111213141516171819202122232425262728[[#This Row],[قيمة الرسوم / العموله]]+Basic345678910111213141516171819202122232425262728[[#This Row],[قيمة الشحنه]])</f>
        <v>0</v>
      </c>
      <c r="I97" s="90"/>
      <c r="J97" s="142" t="str">
        <f t="shared" si="1"/>
        <v>5.5.2026</v>
      </c>
      <c r="L97" s="153">
        <v>86</v>
      </c>
      <c r="M97" s="92"/>
    </row>
    <row r="98" spans="1:13" ht="21.6" x14ac:dyDescent="0.65">
      <c r="A98" s="195"/>
      <c r="B98" s="140">
        <v>95</v>
      </c>
      <c r="C98" s="2"/>
      <c r="D98" s="1"/>
      <c r="E98" s="3"/>
      <c r="F98" s="1"/>
      <c r="G98" s="141">
        <f>IF(Basic345678910111213141516171819202122232425262728[[#This Row],[نوع الخدمة]]="مخالفات", 50,
IF(Basic345678910111213141516171819202122232425262728[[#This Row],[نوع الخدمة]]="كاش ان",
    IF(F98&lt;=100, 18, IF(F98&lt;=250, 23, IF(F98&lt;=500, 35, IF(F98&lt;=1000, 40, F98*0.04)))),
IF(Basic345678910111213141516171819202122232425262728[[#This Row],[نوع الخدمة]]="كاش اوت",
    IF(F98&lt;=100, 15, IF(F98&lt;=250, 20, IF(F98&lt;=500, 30, IF(F98&lt;=1000, 35, F98*0.035)))),
0)))</f>
        <v>0</v>
      </c>
      <c r="H98" s="159">
        <f>IF(I98="مخالفات",50,Basic345678910111213141516171819202122232425262728[[#This Row],[قيمة الرسوم / العموله]]+Basic345678910111213141516171819202122232425262728[[#This Row],[قيمة الشحنه]])</f>
        <v>0</v>
      </c>
      <c r="I98" s="90"/>
      <c r="J98" s="142" t="str">
        <f t="shared" si="1"/>
        <v>5.5.2026</v>
      </c>
      <c r="L98" s="153">
        <v>87</v>
      </c>
      <c r="M98" s="92"/>
    </row>
    <row r="99" spans="1:13" ht="21.6" x14ac:dyDescent="0.65">
      <c r="A99" s="195"/>
      <c r="B99" s="140">
        <v>96</v>
      </c>
      <c r="C99" s="2"/>
      <c r="D99" s="1"/>
      <c r="E99" s="3"/>
      <c r="F99" s="1"/>
      <c r="G99" s="141">
        <f>IF(Basic345678910111213141516171819202122232425262728[[#This Row],[نوع الخدمة]]="مخالفات", 50,
IF(Basic345678910111213141516171819202122232425262728[[#This Row],[نوع الخدمة]]="كاش ان",
    IF(F99&lt;=100, 18, IF(F99&lt;=250, 23, IF(F99&lt;=500, 35, IF(F99&lt;=1000, 40, F99*0.04)))),
IF(Basic345678910111213141516171819202122232425262728[[#This Row],[نوع الخدمة]]="كاش اوت",
    IF(F99&lt;=100, 15, IF(F99&lt;=250, 20, IF(F99&lt;=500, 30, IF(F99&lt;=1000, 35, F99*0.035)))),
0)))</f>
        <v>0</v>
      </c>
      <c r="H99" s="159">
        <f>IF(I99="مخالفات",50,Basic345678910111213141516171819202122232425262728[[#This Row],[قيمة الرسوم / العموله]]+Basic345678910111213141516171819202122232425262728[[#This Row],[قيمة الشحنه]])</f>
        <v>0</v>
      </c>
      <c r="I99" s="90"/>
      <c r="J99" s="142" t="str">
        <f t="shared" si="1"/>
        <v>5.5.2026</v>
      </c>
      <c r="L99" s="153">
        <v>88</v>
      </c>
      <c r="M99" s="92"/>
    </row>
    <row r="100" spans="1:13" ht="21.6" x14ac:dyDescent="0.65">
      <c r="A100" s="195"/>
      <c r="B100" s="140">
        <v>97</v>
      </c>
      <c r="C100" s="2"/>
      <c r="D100" s="1"/>
      <c r="E100" s="3"/>
      <c r="F100" s="1"/>
      <c r="G100" s="141">
        <f>IF(Basic345678910111213141516171819202122232425262728[[#This Row],[نوع الخدمة]]="مخالفات", 50,
IF(Basic345678910111213141516171819202122232425262728[[#This Row],[نوع الخدمة]]="كاش ان",
    IF(F100&lt;=100, 18, IF(F100&lt;=250, 23, IF(F100&lt;=500, 35, IF(F100&lt;=1000, 40, F100*0.04)))),
IF(Basic345678910111213141516171819202122232425262728[[#This Row],[نوع الخدمة]]="كاش اوت",
    IF(F100&lt;=100, 15, IF(F100&lt;=250, 20, IF(F100&lt;=500, 30, IF(F100&lt;=1000, 35, F100*0.035)))),
0)))</f>
        <v>0</v>
      </c>
      <c r="H100" s="159">
        <f>IF(I100="مخالفات",50,Basic345678910111213141516171819202122232425262728[[#This Row],[قيمة الرسوم / العموله]]+Basic345678910111213141516171819202122232425262728[[#This Row],[قيمة الشحنه]])</f>
        <v>0</v>
      </c>
      <c r="I100" s="90"/>
      <c r="J100" s="142" t="str">
        <f t="shared" si="1"/>
        <v>5.5.2026</v>
      </c>
      <c r="L100" s="153">
        <v>89</v>
      </c>
      <c r="M100" s="92"/>
    </row>
    <row r="101" spans="1:13" ht="21.6" x14ac:dyDescent="0.65">
      <c r="A101" s="195"/>
      <c r="B101" s="144">
        <v>98</v>
      </c>
      <c r="C101" s="2"/>
      <c r="D101" s="1"/>
      <c r="E101" s="3"/>
      <c r="F101" s="1"/>
      <c r="G101" s="141">
        <f>IF(Basic345678910111213141516171819202122232425262728[[#This Row],[نوع الخدمة]]="مخالفات", 50,
IF(Basic345678910111213141516171819202122232425262728[[#This Row],[نوع الخدمة]]="كاش ان",
    IF(F101&lt;=100, 18, IF(F101&lt;=250, 23, IF(F101&lt;=500, 35, IF(F101&lt;=1000, 40, F101*0.04)))),
IF(Basic345678910111213141516171819202122232425262728[[#This Row],[نوع الخدمة]]="كاش اوت",
    IF(F101&lt;=100, 15, IF(F101&lt;=250, 20, IF(F101&lt;=500, 30, IF(F101&lt;=1000, 35, F101*0.035)))),
0)))</f>
        <v>0</v>
      </c>
      <c r="H101" s="159">
        <f>IF(I101="مخالفات",50,Basic345678910111213141516171819202122232425262728[[#This Row],[قيمة الرسوم / العموله]]+Basic345678910111213141516171819202122232425262728[[#This Row],[قيمة الشحنه]])</f>
        <v>0</v>
      </c>
      <c r="I101" s="90"/>
      <c r="J101" s="142" t="str">
        <f t="shared" si="1"/>
        <v>5.5.2026</v>
      </c>
      <c r="L101" s="153">
        <v>90</v>
      </c>
      <c r="M101" s="92"/>
    </row>
    <row r="102" spans="1:13" ht="21.6" x14ac:dyDescent="0.65">
      <c r="A102" s="195"/>
      <c r="B102" s="140">
        <v>99</v>
      </c>
      <c r="C102" s="2"/>
      <c r="D102" s="1"/>
      <c r="E102" s="3"/>
      <c r="F102" s="1"/>
      <c r="G102" s="141">
        <f>IF(Basic345678910111213141516171819202122232425262728[[#This Row],[نوع الخدمة]]="مخالفات", 50,
IF(Basic345678910111213141516171819202122232425262728[[#This Row],[نوع الخدمة]]="كاش ان",
    IF(F102&lt;=100, 18, IF(F102&lt;=250, 23, IF(F102&lt;=500, 35, IF(F102&lt;=1000, 40, F102*0.04)))),
IF(Basic345678910111213141516171819202122232425262728[[#This Row],[نوع الخدمة]]="كاش اوت",
    IF(F102&lt;=100, 15, IF(F102&lt;=250, 20, IF(F102&lt;=500, 30, IF(F102&lt;=1000, 35, F102*0.035)))),
0)))</f>
        <v>0</v>
      </c>
      <c r="H102" s="159">
        <f>IF(I102="مخالفات",50,Basic345678910111213141516171819202122232425262728[[#This Row],[قيمة الرسوم / العموله]]+Basic345678910111213141516171819202122232425262728[[#This Row],[قيمة الشحنه]])</f>
        <v>0</v>
      </c>
      <c r="I102" s="90"/>
      <c r="J102" s="142" t="str">
        <f t="shared" si="1"/>
        <v>5.5.2026</v>
      </c>
      <c r="L102" s="153">
        <v>91</v>
      </c>
      <c r="M102" s="92"/>
    </row>
    <row r="103" spans="1:13" ht="21.6" x14ac:dyDescent="0.65">
      <c r="A103" s="195"/>
      <c r="B103" s="140">
        <v>100</v>
      </c>
      <c r="C103" s="2"/>
      <c r="D103" s="1"/>
      <c r="E103" s="3"/>
      <c r="F103" s="1"/>
      <c r="G103" s="141">
        <f>IF(Basic345678910111213141516171819202122232425262728[[#This Row],[نوع الخدمة]]="مخالفات", 50,
IF(Basic345678910111213141516171819202122232425262728[[#This Row],[نوع الخدمة]]="كاش ان",
    IF(F103&lt;=100, 18, IF(F103&lt;=250, 23, IF(F103&lt;=500, 35, IF(F103&lt;=1000, 40, F103*0.04)))),
IF(Basic345678910111213141516171819202122232425262728[[#This Row],[نوع الخدمة]]="كاش اوت",
    IF(F103&lt;=100, 15, IF(F103&lt;=250, 20, IF(F103&lt;=500, 30, IF(F103&lt;=1000, 35, F103*0.035)))),
0)))</f>
        <v>0</v>
      </c>
      <c r="H103" s="159">
        <f>IF(I103="مخالفات",50,Basic345678910111213141516171819202122232425262728[[#This Row],[قيمة الرسوم / العموله]]+Basic345678910111213141516171819202122232425262728[[#This Row],[قيمة الشحنه]])</f>
        <v>0</v>
      </c>
      <c r="I103" s="90"/>
      <c r="J103" s="142" t="str">
        <f t="shared" si="1"/>
        <v>5.5.2026</v>
      </c>
      <c r="L103" s="153">
        <v>92</v>
      </c>
      <c r="M103" s="92"/>
    </row>
    <row r="104" spans="1:13" ht="21.6" x14ac:dyDescent="0.65">
      <c r="A104" s="195"/>
      <c r="B104" s="140">
        <v>101</v>
      </c>
      <c r="C104" s="2"/>
      <c r="D104" s="1"/>
      <c r="E104" s="3"/>
      <c r="F104" s="1"/>
      <c r="G104" s="141">
        <f>IF(Basic345678910111213141516171819202122232425262728[[#This Row],[نوع الخدمة]]="مخالفات", 50,
IF(Basic345678910111213141516171819202122232425262728[[#This Row],[نوع الخدمة]]="كاش ان",
    IF(F104&lt;=100, 18, IF(F104&lt;=250, 23, IF(F104&lt;=500, 35, IF(F104&lt;=1000, 40, F104*0.04)))),
IF(Basic345678910111213141516171819202122232425262728[[#This Row],[نوع الخدمة]]="كاش اوت",
    IF(F104&lt;=100, 15, IF(F104&lt;=250, 20, IF(F104&lt;=500, 30, IF(F104&lt;=1000, 35, F104*0.035)))),
0)))</f>
        <v>0</v>
      </c>
      <c r="H104" s="159">
        <f>IF(I104="مخالفات",50,Basic345678910111213141516171819202122232425262728[[#This Row],[قيمة الرسوم / العموله]]+Basic345678910111213141516171819202122232425262728[[#This Row],[قيمة الشحنه]])</f>
        <v>0</v>
      </c>
      <c r="I104" s="90"/>
      <c r="J104" s="142" t="str">
        <f t="shared" si="1"/>
        <v>5.5.2026</v>
      </c>
      <c r="L104" s="153">
        <v>93</v>
      </c>
      <c r="M104" s="92"/>
    </row>
    <row r="105" spans="1:13" ht="21.6" x14ac:dyDescent="0.65">
      <c r="A105" s="195"/>
      <c r="B105" s="144">
        <v>102</v>
      </c>
      <c r="C105" s="2"/>
      <c r="D105" s="1"/>
      <c r="E105" s="3"/>
      <c r="F105" s="1"/>
      <c r="G105" s="141">
        <f>IF(Basic345678910111213141516171819202122232425262728[[#This Row],[نوع الخدمة]]="مخالفات", 50,
IF(Basic345678910111213141516171819202122232425262728[[#This Row],[نوع الخدمة]]="كاش ان",
    IF(F105&lt;=100, 18, IF(F105&lt;=250, 23, IF(F105&lt;=500, 35, IF(F105&lt;=1000, 40, F105*0.04)))),
IF(Basic345678910111213141516171819202122232425262728[[#This Row],[نوع الخدمة]]="كاش اوت",
    IF(F105&lt;=100, 15, IF(F105&lt;=250, 20, IF(F105&lt;=500, 30, IF(F105&lt;=1000, 35, F105*0.035)))),
0)))</f>
        <v>0</v>
      </c>
      <c r="H105" s="159">
        <f>IF(I105="مخالفات",50,Basic345678910111213141516171819202122232425262728[[#This Row],[قيمة الرسوم / العموله]]+Basic345678910111213141516171819202122232425262728[[#This Row],[قيمة الشحنه]])</f>
        <v>0</v>
      </c>
      <c r="I105" s="90"/>
      <c r="J105" s="142" t="str">
        <f t="shared" si="1"/>
        <v>5.5.2026</v>
      </c>
      <c r="L105" s="153">
        <v>94</v>
      </c>
      <c r="M105" s="92"/>
    </row>
    <row r="106" spans="1:13" ht="21.6" x14ac:dyDescent="0.65">
      <c r="A106" s="195"/>
      <c r="B106" s="140">
        <v>103</v>
      </c>
      <c r="C106" s="2"/>
      <c r="D106" s="1"/>
      <c r="E106" s="3"/>
      <c r="F106" s="1"/>
      <c r="G106" s="141">
        <f>IF(Basic345678910111213141516171819202122232425262728[[#This Row],[نوع الخدمة]]="مخالفات", 50,
IF(Basic345678910111213141516171819202122232425262728[[#This Row],[نوع الخدمة]]="كاش ان",
    IF(F106&lt;=100, 18, IF(F106&lt;=250, 23, IF(F106&lt;=500, 35, IF(F106&lt;=1000, 40, F106*0.04)))),
IF(Basic345678910111213141516171819202122232425262728[[#This Row],[نوع الخدمة]]="كاش اوت",
    IF(F106&lt;=100, 15, IF(F106&lt;=250, 20, IF(F106&lt;=500, 30, IF(F106&lt;=1000, 35, F106*0.035)))),
0)))</f>
        <v>0</v>
      </c>
      <c r="H106" s="159">
        <f>IF(I106="مخالفات",50,Basic345678910111213141516171819202122232425262728[[#This Row],[قيمة الرسوم / العموله]]+Basic345678910111213141516171819202122232425262728[[#This Row],[قيمة الشحنه]])</f>
        <v>0</v>
      </c>
      <c r="I106" s="90"/>
      <c r="J106" s="142" t="str">
        <f t="shared" si="1"/>
        <v>5.5.2026</v>
      </c>
      <c r="L106" s="153">
        <v>95</v>
      </c>
      <c r="M106" s="92"/>
    </row>
    <row r="107" spans="1:13" ht="21.6" x14ac:dyDescent="0.65">
      <c r="A107" s="195"/>
      <c r="B107" s="140">
        <v>104</v>
      </c>
      <c r="C107" s="2"/>
      <c r="D107" s="1"/>
      <c r="E107" s="3"/>
      <c r="F107" s="1"/>
      <c r="G107" s="141">
        <f>IF(Basic345678910111213141516171819202122232425262728[[#This Row],[نوع الخدمة]]="مخالفات", 50,
IF(Basic345678910111213141516171819202122232425262728[[#This Row],[نوع الخدمة]]="كاش ان",
    IF(F107&lt;=100, 18, IF(F107&lt;=250, 23, IF(F107&lt;=500, 35, IF(F107&lt;=1000, 40, F107*0.04)))),
IF(Basic345678910111213141516171819202122232425262728[[#This Row],[نوع الخدمة]]="كاش اوت",
    IF(F107&lt;=100, 15, IF(F107&lt;=250, 20, IF(F107&lt;=500, 30, IF(F107&lt;=1000, 35, F107*0.035)))),
0)))</f>
        <v>0</v>
      </c>
      <c r="H107" s="159">
        <f>IF(I107="مخالفات",50,Basic345678910111213141516171819202122232425262728[[#This Row],[قيمة الرسوم / العموله]]+Basic345678910111213141516171819202122232425262728[[#This Row],[قيمة الشحنه]])</f>
        <v>0</v>
      </c>
      <c r="I107" s="90"/>
      <c r="J107" s="142" t="str">
        <f t="shared" si="1"/>
        <v>5.5.2026</v>
      </c>
      <c r="L107" s="153">
        <v>96</v>
      </c>
      <c r="M107" s="92"/>
    </row>
    <row r="108" spans="1:13" ht="21.6" x14ac:dyDescent="0.65">
      <c r="A108" s="195"/>
      <c r="B108" s="140">
        <v>105</v>
      </c>
      <c r="C108" s="2"/>
      <c r="D108" s="1"/>
      <c r="E108" s="3"/>
      <c r="F108" s="1"/>
      <c r="G108" s="141">
        <f>IF(Basic345678910111213141516171819202122232425262728[[#This Row],[نوع الخدمة]]="مخالفات", 50,
IF(Basic345678910111213141516171819202122232425262728[[#This Row],[نوع الخدمة]]="كاش ان",
    IF(F108&lt;=100, 18, IF(F108&lt;=250, 23, IF(F108&lt;=500, 35, IF(F108&lt;=1000, 40, F108*0.04)))),
IF(Basic345678910111213141516171819202122232425262728[[#This Row],[نوع الخدمة]]="كاش اوت",
    IF(F108&lt;=100, 15, IF(F108&lt;=250, 20, IF(F108&lt;=500, 30, IF(F108&lt;=1000, 35, F108*0.035)))),
0)))</f>
        <v>0</v>
      </c>
      <c r="H108" s="159">
        <f>IF(I108="مخالفات",50,Basic345678910111213141516171819202122232425262728[[#This Row],[قيمة الرسوم / العموله]]+Basic345678910111213141516171819202122232425262728[[#This Row],[قيمة الشحنه]])</f>
        <v>0</v>
      </c>
      <c r="I108" s="90"/>
      <c r="J108" s="142" t="str">
        <f t="shared" si="1"/>
        <v>5.5.2026</v>
      </c>
      <c r="L108" s="153">
        <v>97</v>
      </c>
      <c r="M108" s="92"/>
    </row>
    <row r="109" spans="1:13" ht="21.6" x14ac:dyDescent="0.65">
      <c r="A109" s="195"/>
      <c r="B109" s="144">
        <v>106</v>
      </c>
      <c r="C109" s="2"/>
      <c r="D109" s="1"/>
      <c r="E109" s="3"/>
      <c r="F109" s="1"/>
      <c r="G109" s="141">
        <f>IF(Basic345678910111213141516171819202122232425262728[[#This Row],[نوع الخدمة]]="مخالفات", 50,
IF(Basic345678910111213141516171819202122232425262728[[#This Row],[نوع الخدمة]]="كاش ان",
    IF(F109&lt;=100, 18, IF(F109&lt;=250, 23, IF(F109&lt;=500, 35, IF(F109&lt;=1000, 40, F109*0.04)))),
IF(Basic345678910111213141516171819202122232425262728[[#This Row],[نوع الخدمة]]="كاش اوت",
    IF(F109&lt;=100, 15, IF(F109&lt;=250, 20, IF(F109&lt;=500, 30, IF(F109&lt;=1000, 35, F109*0.035)))),
0)))</f>
        <v>0</v>
      </c>
      <c r="H109" s="159">
        <f>IF(I109="مخالفات",50,Basic345678910111213141516171819202122232425262728[[#This Row],[قيمة الرسوم / العموله]]+Basic345678910111213141516171819202122232425262728[[#This Row],[قيمة الشحنه]])</f>
        <v>0</v>
      </c>
      <c r="I109" s="90"/>
      <c r="J109" s="142" t="str">
        <f t="shared" si="1"/>
        <v>5.5.2026</v>
      </c>
      <c r="L109" s="153">
        <v>98</v>
      </c>
      <c r="M109" s="92"/>
    </row>
    <row r="110" spans="1:13" ht="21.6" x14ac:dyDescent="0.65">
      <c r="A110" s="195"/>
      <c r="B110" s="140">
        <v>107</v>
      </c>
      <c r="C110" s="2"/>
      <c r="D110" s="1"/>
      <c r="E110" s="3"/>
      <c r="F110" s="1"/>
      <c r="G110" s="141">
        <f>IF(Basic345678910111213141516171819202122232425262728[[#This Row],[نوع الخدمة]]="مخالفات", 50,
IF(Basic345678910111213141516171819202122232425262728[[#This Row],[نوع الخدمة]]="كاش ان",
    IF(F110&lt;=100, 18, IF(F110&lt;=250, 23, IF(F110&lt;=500, 35, IF(F110&lt;=1000, 40, F110*0.04)))),
IF(Basic345678910111213141516171819202122232425262728[[#This Row],[نوع الخدمة]]="كاش اوت",
    IF(F110&lt;=100, 15, IF(F110&lt;=250, 20, IF(F110&lt;=500, 30, IF(F110&lt;=1000, 35, F110*0.035)))),
0)))</f>
        <v>0</v>
      </c>
      <c r="H110" s="159">
        <f>IF(I110="مخالفات",50,Basic345678910111213141516171819202122232425262728[[#This Row],[قيمة الرسوم / العموله]]+Basic345678910111213141516171819202122232425262728[[#This Row],[قيمة الشحنه]])</f>
        <v>0</v>
      </c>
      <c r="I110" s="90"/>
      <c r="J110" s="142" t="str">
        <f t="shared" si="1"/>
        <v>5.5.2026</v>
      </c>
      <c r="L110" s="153">
        <v>99</v>
      </c>
      <c r="M110" s="92"/>
    </row>
    <row r="111" spans="1:13" ht="21.6" x14ac:dyDescent="0.65">
      <c r="A111" s="195"/>
      <c r="B111" s="140">
        <v>108</v>
      </c>
      <c r="C111" s="2"/>
      <c r="D111" s="1"/>
      <c r="E111" s="3"/>
      <c r="F111" s="1"/>
      <c r="G111" s="141">
        <f>IF(Basic345678910111213141516171819202122232425262728[[#This Row],[نوع الخدمة]]="مخالفات", 50,
IF(Basic345678910111213141516171819202122232425262728[[#This Row],[نوع الخدمة]]="كاش ان",
    IF(F111&lt;=100, 18, IF(F111&lt;=250, 23, IF(F111&lt;=500, 35, IF(F111&lt;=1000, 40, F111*0.04)))),
IF(Basic345678910111213141516171819202122232425262728[[#This Row],[نوع الخدمة]]="كاش اوت",
    IF(F111&lt;=100, 15, IF(F111&lt;=250, 20, IF(F111&lt;=500, 30, IF(F111&lt;=1000, 35, F111*0.035)))),
0)))</f>
        <v>0</v>
      </c>
      <c r="H111" s="159">
        <f>IF(I111="مخالفات",50,Basic345678910111213141516171819202122232425262728[[#This Row],[قيمة الرسوم / العموله]]+Basic345678910111213141516171819202122232425262728[[#This Row],[قيمة الشحنه]])</f>
        <v>0</v>
      </c>
      <c r="I111" s="90"/>
      <c r="J111" s="142" t="str">
        <f t="shared" si="1"/>
        <v>5.5.2026</v>
      </c>
      <c r="L111" s="153">
        <v>100</v>
      </c>
      <c r="M111" s="92"/>
    </row>
    <row r="112" spans="1:13" ht="21.6" x14ac:dyDescent="0.65">
      <c r="A112" s="195"/>
      <c r="B112" s="140">
        <v>109</v>
      </c>
      <c r="C112" s="2"/>
      <c r="D112" s="1"/>
      <c r="E112" s="3"/>
      <c r="F112" s="1"/>
      <c r="G112" s="141">
        <f>IF(Basic345678910111213141516171819202122232425262728[[#This Row],[نوع الخدمة]]="مخالفات", 50,
IF(Basic345678910111213141516171819202122232425262728[[#This Row],[نوع الخدمة]]="كاش ان",
    IF(F112&lt;=100, 18, IF(F112&lt;=250, 23, IF(F112&lt;=500, 35, IF(F112&lt;=1000, 40, F112*0.04)))),
IF(Basic345678910111213141516171819202122232425262728[[#This Row],[نوع الخدمة]]="كاش اوت",
    IF(F112&lt;=100, 15, IF(F112&lt;=250, 20, IF(F112&lt;=500, 30, IF(F112&lt;=1000, 35, F112*0.035)))),
0)))</f>
        <v>0</v>
      </c>
      <c r="H112" s="159">
        <f>IF(I112="مخالفات",50,Basic345678910111213141516171819202122232425262728[[#This Row],[قيمة الرسوم / العموله]]+Basic345678910111213141516171819202122232425262728[[#This Row],[قيمة الشحنه]])</f>
        <v>0</v>
      </c>
      <c r="I112" s="90"/>
      <c r="J112" s="142" t="str">
        <f t="shared" si="1"/>
        <v>5.5.2026</v>
      </c>
      <c r="L112" s="153">
        <v>101</v>
      </c>
      <c r="M112" s="92"/>
    </row>
    <row r="113" spans="1:13" ht="21.6" x14ac:dyDescent="0.65">
      <c r="A113" s="195"/>
      <c r="B113" s="144">
        <v>110</v>
      </c>
      <c r="C113" s="2"/>
      <c r="D113" s="1"/>
      <c r="E113" s="3"/>
      <c r="F113" s="1"/>
      <c r="G113" s="141">
        <f>IF(Basic345678910111213141516171819202122232425262728[[#This Row],[نوع الخدمة]]="مخالفات", 50,
IF(Basic345678910111213141516171819202122232425262728[[#This Row],[نوع الخدمة]]="كاش ان",
    IF(F113&lt;=100, 18, IF(F113&lt;=250, 23, IF(F113&lt;=500, 35, IF(F113&lt;=1000, 40, F113*0.04)))),
IF(Basic345678910111213141516171819202122232425262728[[#This Row],[نوع الخدمة]]="كاش اوت",
    IF(F113&lt;=100, 15, IF(F113&lt;=250, 20, IF(F113&lt;=500, 30, IF(F113&lt;=1000, 35, F113*0.035)))),
0)))</f>
        <v>0</v>
      </c>
      <c r="H113" s="159">
        <f>IF(I113="مخالفات",50,Basic345678910111213141516171819202122232425262728[[#This Row],[قيمة الرسوم / العموله]]+Basic345678910111213141516171819202122232425262728[[#This Row],[قيمة الشحنه]])</f>
        <v>0</v>
      </c>
      <c r="I113" s="90"/>
      <c r="J113" s="142" t="str">
        <f t="shared" si="1"/>
        <v>5.5.2026</v>
      </c>
      <c r="L113" s="153">
        <v>102</v>
      </c>
      <c r="M113" s="92"/>
    </row>
    <row r="114" spans="1:13" ht="21.6" x14ac:dyDescent="0.65">
      <c r="A114" s="195"/>
      <c r="B114" s="140">
        <v>111</v>
      </c>
      <c r="C114" s="2"/>
      <c r="D114" s="1"/>
      <c r="E114" s="3"/>
      <c r="F114" s="1"/>
      <c r="G114" s="141">
        <f>IF(Basic345678910111213141516171819202122232425262728[[#This Row],[نوع الخدمة]]="مخالفات", 50,
IF(Basic345678910111213141516171819202122232425262728[[#This Row],[نوع الخدمة]]="كاش ان",
    IF(F114&lt;=100, 18, IF(F114&lt;=250, 23, IF(F114&lt;=500, 35, IF(F114&lt;=1000, 40, F114*0.04)))),
IF(Basic345678910111213141516171819202122232425262728[[#This Row],[نوع الخدمة]]="كاش اوت",
    IF(F114&lt;=100, 15, IF(F114&lt;=250, 20, IF(F114&lt;=500, 30, IF(F114&lt;=1000, 35, F114*0.035)))),
0)))</f>
        <v>0</v>
      </c>
      <c r="H114" s="159">
        <f>IF(I114="مخالفات",50,Basic345678910111213141516171819202122232425262728[[#This Row],[قيمة الرسوم / العموله]]+Basic345678910111213141516171819202122232425262728[[#This Row],[قيمة الشحنه]])</f>
        <v>0</v>
      </c>
      <c r="I114" s="90"/>
      <c r="J114" s="142" t="str">
        <f t="shared" si="1"/>
        <v>5.5.2026</v>
      </c>
      <c r="L114" s="153">
        <v>103</v>
      </c>
      <c r="M114" s="92"/>
    </row>
    <row r="115" spans="1:13" ht="21.6" x14ac:dyDescent="0.65">
      <c r="A115" s="195"/>
      <c r="B115" s="140">
        <v>112</v>
      </c>
      <c r="C115" s="2"/>
      <c r="D115" s="1"/>
      <c r="E115" s="3"/>
      <c r="F115" s="1"/>
      <c r="G115" s="141">
        <f>IF(Basic345678910111213141516171819202122232425262728[[#This Row],[نوع الخدمة]]="مخالفات", 50,
IF(Basic345678910111213141516171819202122232425262728[[#This Row],[نوع الخدمة]]="كاش ان",
    IF(F115&lt;=100, 18, IF(F115&lt;=250, 23, IF(F115&lt;=500, 35, IF(F115&lt;=1000, 40, F115*0.04)))),
IF(Basic345678910111213141516171819202122232425262728[[#This Row],[نوع الخدمة]]="كاش اوت",
    IF(F115&lt;=100, 15, IF(F115&lt;=250, 20, IF(F115&lt;=500, 30, IF(F115&lt;=1000, 35, F115*0.035)))),
0)))</f>
        <v>0</v>
      </c>
      <c r="H115" s="159">
        <f>IF(I115="مخالفات",50,Basic345678910111213141516171819202122232425262728[[#This Row],[قيمة الرسوم / العموله]]+Basic345678910111213141516171819202122232425262728[[#This Row],[قيمة الشحنه]])</f>
        <v>0</v>
      </c>
      <c r="I115" s="90"/>
      <c r="J115" s="142" t="str">
        <f t="shared" si="1"/>
        <v>5.5.2026</v>
      </c>
      <c r="L115" s="153">
        <v>104</v>
      </c>
      <c r="M115" s="92"/>
    </row>
    <row r="116" spans="1:13" ht="21.6" x14ac:dyDescent="0.65">
      <c r="A116" s="195"/>
      <c r="B116" s="140">
        <v>113</v>
      </c>
      <c r="C116" s="2"/>
      <c r="D116" s="1"/>
      <c r="E116" s="3"/>
      <c r="F116" s="1"/>
      <c r="G116" s="141">
        <f>IF(Basic345678910111213141516171819202122232425262728[[#This Row],[نوع الخدمة]]="مخالفات", 50,
IF(Basic345678910111213141516171819202122232425262728[[#This Row],[نوع الخدمة]]="كاش ان",
    IF(F116&lt;=100, 18, IF(F116&lt;=250, 23, IF(F116&lt;=500, 35, IF(F116&lt;=1000, 40, F116*0.04)))),
IF(Basic345678910111213141516171819202122232425262728[[#This Row],[نوع الخدمة]]="كاش اوت",
    IF(F116&lt;=100, 15, IF(F116&lt;=250, 20, IF(F116&lt;=500, 30, IF(F116&lt;=1000, 35, F116*0.035)))),
0)))</f>
        <v>0</v>
      </c>
      <c r="H116" s="159">
        <f>IF(I116="مخالفات",50,Basic345678910111213141516171819202122232425262728[[#This Row],[قيمة الرسوم / العموله]]+Basic345678910111213141516171819202122232425262728[[#This Row],[قيمة الشحنه]])</f>
        <v>0</v>
      </c>
      <c r="I116" s="90"/>
      <c r="J116" s="142" t="str">
        <f t="shared" si="1"/>
        <v>5.5.2026</v>
      </c>
      <c r="L116" s="153">
        <v>105</v>
      </c>
      <c r="M116" s="92"/>
    </row>
    <row r="117" spans="1:13" ht="21.6" x14ac:dyDescent="0.65">
      <c r="A117" s="195"/>
      <c r="B117" s="144">
        <v>114</v>
      </c>
      <c r="C117" s="2"/>
      <c r="D117" s="1"/>
      <c r="E117" s="3"/>
      <c r="F117" s="1"/>
      <c r="G117" s="141">
        <f>IF(Basic345678910111213141516171819202122232425262728[[#This Row],[نوع الخدمة]]="مخالفات", 50,
IF(Basic345678910111213141516171819202122232425262728[[#This Row],[نوع الخدمة]]="كاش ان",
    IF(F117&lt;=100, 18, IF(F117&lt;=250, 23, IF(F117&lt;=500, 35, IF(F117&lt;=1000, 40, F117*0.04)))),
IF(Basic345678910111213141516171819202122232425262728[[#This Row],[نوع الخدمة]]="كاش اوت",
    IF(F117&lt;=100, 15, IF(F117&lt;=250, 20, IF(F117&lt;=500, 30, IF(F117&lt;=1000, 35, F117*0.035)))),
0)))</f>
        <v>0</v>
      </c>
      <c r="H117" s="159">
        <f>IF(I117="مخالفات",50,Basic345678910111213141516171819202122232425262728[[#This Row],[قيمة الرسوم / العموله]]+Basic345678910111213141516171819202122232425262728[[#This Row],[قيمة الشحنه]])</f>
        <v>0</v>
      </c>
      <c r="I117" s="90"/>
      <c r="J117" s="142" t="str">
        <f t="shared" si="1"/>
        <v>5.5.2026</v>
      </c>
      <c r="L117" s="153">
        <v>106</v>
      </c>
      <c r="M117" s="92"/>
    </row>
    <row r="118" spans="1:13" ht="21.6" x14ac:dyDescent="0.65">
      <c r="A118" s="195"/>
      <c r="B118" s="140">
        <v>115</v>
      </c>
      <c r="C118" s="2"/>
      <c r="D118" s="1"/>
      <c r="E118" s="3"/>
      <c r="F118" s="1"/>
      <c r="G118" s="141">
        <f>IF(Basic345678910111213141516171819202122232425262728[[#This Row],[نوع الخدمة]]="مخالفات", 50,
IF(Basic345678910111213141516171819202122232425262728[[#This Row],[نوع الخدمة]]="كاش ان",
    IF(F118&lt;=100, 18, IF(F118&lt;=250, 23, IF(F118&lt;=500, 35, IF(F118&lt;=1000, 40, F118*0.04)))),
IF(Basic345678910111213141516171819202122232425262728[[#This Row],[نوع الخدمة]]="كاش اوت",
    IF(F118&lt;=100, 15, IF(F118&lt;=250, 20, IF(F118&lt;=500, 30, IF(F118&lt;=1000, 35, F118*0.035)))),
0)))</f>
        <v>0</v>
      </c>
      <c r="H118" s="159">
        <f>IF(I118="مخالفات",50,Basic345678910111213141516171819202122232425262728[[#This Row],[قيمة الرسوم / العموله]]+Basic345678910111213141516171819202122232425262728[[#This Row],[قيمة الشحنه]])</f>
        <v>0</v>
      </c>
      <c r="I118" s="90"/>
      <c r="J118" s="142" t="str">
        <f t="shared" si="1"/>
        <v>5.5.2026</v>
      </c>
      <c r="L118" s="153">
        <v>107</v>
      </c>
      <c r="M118" s="92"/>
    </row>
    <row r="119" spans="1:13" ht="21.6" x14ac:dyDescent="0.65">
      <c r="A119" s="195"/>
      <c r="B119" s="140">
        <v>116</v>
      </c>
      <c r="C119" s="2"/>
      <c r="D119" s="1"/>
      <c r="E119" s="3"/>
      <c r="F119" s="1"/>
      <c r="G119" s="141">
        <f>IF(Basic345678910111213141516171819202122232425262728[[#This Row],[نوع الخدمة]]="مخالفات", 50,
IF(Basic345678910111213141516171819202122232425262728[[#This Row],[نوع الخدمة]]="كاش ان",
    IF(F119&lt;=100, 18, IF(F119&lt;=250, 23, IF(F119&lt;=500, 35, IF(F119&lt;=1000, 40, F119*0.04)))),
IF(Basic345678910111213141516171819202122232425262728[[#This Row],[نوع الخدمة]]="كاش اوت",
    IF(F119&lt;=100, 15, IF(F119&lt;=250, 20, IF(F119&lt;=500, 30, IF(F119&lt;=1000, 35, F119*0.035)))),
0)))</f>
        <v>0</v>
      </c>
      <c r="H119" s="159">
        <f>IF(I119="مخالفات",50,Basic345678910111213141516171819202122232425262728[[#This Row],[قيمة الرسوم / العموله]]+Basic345678910111213141516171819202122232425262728[[#This Row],[قيمة الشحنه]])</f>
        <v>0</v>
      </c>
      <c r="I119" s="90"/>
      <c r="J119" s="142" t="str">
        <f t="shared" si="1"/>
        <v>5.5.2026</v>
      </c>
      <c r="L119" s="153">
        <v>108</v>
      </c>
      <c r="M119" s="92"/>
    </row>
    <row r="120" spans="1:13" ht="21.6" x14ac:dyDescent="0.65">
      <c r="A120" s="195"/>
      <c r="B120" s="140">
        <v>117</v>
      </c>
      <c r="C120" s="2"/>
      <c r="D120" s="1"/>
      <c r="E120" s="3"/>
      <c r="F120" s="1"/>
      <c r="G120" s="141">
        <f>IF(Basic345678910111213141516171819202122232425262728[[#This Row],[نوع الخدمة]]="مخالفات", 50,
IF(Basic345678910111213141516171819202122232425262728[[#This Row],[نوع الخدمة]]="كاش ان",
    IF(F120&lt;=100, 18, IF(F120&lt;=250, 23, IF(F120&lt;=500, 35, IF(F120&lt;=1000, 40, F120*0.04)))),
IF(Basic345678910111213141516171819202122232425262728[[#This Row],[نوع الخدمة]]="كاش اوت",
    IF(F120&lt;=100, 15, IF(F120&lt;=250, 20, IF(F120&lt;=500, 30, IF(F120&lt;=1000, 35, F120*0.035)))),
0)))</f>
        <v>0</v>
      </c>
      <c r="H120" s="159">
        <f>IF(I120="مخالفات",50,Basic345678910111213141516171819202122232425262728[[#This Row],[قيمة الرسوم / العموله]]+Basic345678910111213141516171819202122232425262728[[#This Row],[قيمة الشحنه]])</f>
        <v>0</v>
      </c>
      <c r="I120" s="90"/>
      <c r="J120" s="142" t="str">
        <f t="shared" si="1"/>
        <v>5.5.2026</v>
      </c>
      <c r="L120" s="153">
        <v>109</v>
      </c>
      <c r="M120" s="92"/>
    </row>
    <row r="121" spans="1:13" ht="21.6" x14ac:dyDescent="0.65">
      <c r="A121" s="195"/>
      <c r="B121" s="144">
        <v>118</v>
      </c>
      <c r="C121" s="2"/>
      <c r="D121" s="1"/>
      <c r="E121" s="3"/>
      <c r="F121" s="1"/>
      <c r="G121" s="141">
        <f>IF(Basic345678910111213141516171819202122232425262728[[#This Row],[نوع الخدمة]]="مخالفات", 50,
IF(Basic345678910111213141516171819202122232425262728[[#This Row],[نوع الخدمة]]="كاش ان",
    IF(F121&lt;=100, 18, IF(F121&lt;=250, 23, IF(F121&lt;=500, 35, IF(F121&lt;=1000, 40, F121*0.04)))),
IF(Basic345678910111213141516171819202122232425262728[[#This Row],[نوع الخدمة]]="كاش اوت",
    IF(F121&lt;=100, 15, IF(F121&lt;=250, 20, IF(F121&lt;=500, 30, IF(F121&lt;=1000, 35, F121*0.035)))),
0)))</f>
        <v>0</v>
      </c>
      <c r="H121" s="159">
        <f>IF(I121="مخالفات",50,Basic345678910111213141516171819202122232425262728[[#This Row],[قيمة الرسوم / العموله]]+Basic345678910111213141516171819202122232425262728[[#This Row],[قيمة الشحنه]])</f>
        <v>0</v>
      </c>
      <c r="I121" s="90"/>
      <c r="J121" s="142" t="str">
        <f t="shared" si="1"/>
        <v>5.5.2026</v>
      </c>
      <c r="L121" s="153">
        <v>110</v>
      </c>
      <c r="M121" s="92"/>
    </row>
    <row r="122" spans="1:13" ht="21.6" x14ac:dyDescent="0.65">
      <c r="A122" s="195"/>
      <c r="B122" s="140">
        <v>119</v>
      </c>
      <c r="C122" s="2"/>
      <c r="D122" s="1"/>
      <c r="E122" s="3"/>
      <c r="F122" s="1"/>
      <c r="G122" s="141">
        <f>IF(Basic345678910111213141516171819202122232425262728[[#This Row],[نوع الخدمة]]="مخالفات", 50,
IF(Basic345678910111213141516171819202122232425262728[[#This Row],[نوع الخدمة]]="كاش ان",
    IF(F122&lt;=100, 18, IF(F122&lt;=250, 23, IF(F122&lt;=500, 35, IF(F122&lt;=1000, 40, F122*0.04)))),
IF(Basic345678910111213141516171819202122232425262728[[#This Row],[نوع الخدمة]]="كاش اوت",
    IF(F122&lt;=100, 15, IF(F122&lt;=250, 20, IF(F122&lt;=500, 30, IF(F122&lt;=1000, 35, F122*0.035)))),
0)))</f>
        <v>0</v>
      </c>
      <c r="H122" s="159">
        <f>IF(I122="مخالفات",50,Basic345678910111213141516171819202122232425262728[[#This Row],[قيمة الرسوم / العموله]]+Basic345678910111213141516171819202122232425262728[[#This Row],[قيمة الشحنه]])</f>
        <v>0</v>
      </c>
      <c r="I122" s="90"/>
      <c r="J122" s="142" t="str">
        <f t="shared" si="1"/>
        <v>5.5.2026</v>
      </c>
      <c r="L122" s="153">
        <v>111</v>
      </c>
      <c r="M122" s="92"/>
    </row>
    <row r="123" spans="1:13" ht="21.6" x14ac:dyDescent="0.65">
      <c r="A123" s="195"/>
      <c r="B123" s="140">
        <v>120</v>
      </c>
      <c r="C123" s="2"/>
      <c r="D123" s="1"/>
      <c r="E123" s="3"/>
      <c r="F123" s="1"/>
      <c r="G123" s="141">
        <f>IF(Basic345678910111213141516171819202122232425262728[[#This Row],[نوع الخدمة]]="مخالفات", 50,
IF(Basic345678910111213141516171819202122232425262728[[#This Row],[نوع الخدمة]]="كاش ان",
    IF(F123&lt;=100, 18, IF(F123&lt;=250, 23, IF(F123&lt;=500, 35, IF(F123&lt;=1000, 40, F123*0.04)))),
IF(Basic345678910111213141516171819202122232425262728[[#This Row],[نوع الخدمة]]="كاش اوت",
    IF(F123&lt;=100, 15, IF(F123&lt;=250, 20, IF(F123&lt;=500, 30, IF(F123&lt;=1000, 35, F123*0.035)))),
0)))</f>
        <v>0</v>
      </c>
      <c r="H123" s="159">
        <f>IF(I123="مخالفات",50,Basic345678910111213141516171819202122232425262728[[#This Row],[قيمة الرسوم / العموله]]+Basic345678910111213141516171819202122232425262728[[#This Row],[قيمة الشحنه]])</f>
        <v>0</v>
      </c>
      <c r="I123" s="90"/>
      <c r="J123" s="142" t="str">
        <f t="shared" si="1"/>
        <v>5.5.2026</v>
      </c>
      <c r="L123" s="153">
        <v>112</v>
      </c>
      <c r="M123" s="92"/>
    </row>
    <row r="124" spans="1:13" ht="21.6" x14ac:dyDescent="0.65">
      <c r="A124" s="195"/>
      <c r="B124" s="140">
        <v>121</v>
      </c>
      <c r="C124" s="2"/>
      <c r="D124" s="1"/>
      <c r="E124" s="3"/>
      <c r="F124" s="1"/>
      <c r="G124" s="141">
        <f>IF(Basic345678910111213141516171819202122232425262728[[#This Row],[نوع الخدمة]]="مخالفات", 50,
IF(Basic345678910111213141516171819202122232425262728[[#This Row],[نوع الخدمة]]="كاش ان",
    IF(F124&lt;=100, 18, IF(F124&lt;=250, 23, IF(F124&lt;=500, 35, IF(F124&lt;=1000, 40, F124*0.04)))),
IF(Basic345678910111213141516171819202122232425262728[[#This Row],[نوع الخدمة]]="كاش اوت",
    IF(F124&lt;=100, 15, IF(F124&lt;=250, 20, IF(F124&lt;=500, 30, IF(F124&lt;=1000, 35, F124*0.035)))),
0)))</f>
        <v>0</v>
      </c>
      <c r="H124" s="159">
        <f>IF(I124="مخالفات",50,Basic345678910111213141516171819202122232425262728[[#This Row],[قيمة الرسوم / العموله]]+Basic345678910111213141516171819202122232425262728[[#This Row],[قيمة الشحنه]])</f>
        <v>0</v>
      </c>
      <c r="I124" s="90"/>
      <c r="J124" s="142" t="str">
        <f t="shared" si="1"/>
        <v>5.5.2026</v>
      </c>
      <c r="L124" s="153">
        <v>113</v>
      </c>
      <c r="M124" s="92"/>
    </row>
    <row r="125" spans="1:13" ht="21.6" x14ac:dyDescent="0.65">
      <c r="A125" s="195"/>
      <c r="B125" s="144">
        <v>122</v>
      </c>
      <c r="C125" s="2"/>
      <c r="D125" s="1"/>
      <c r="E125" s="3"/>
      <c r="F125" s="1"/>
      <c r="G125" s="141">
        <f>IF(Basic345678910111213141516171819202122232425262728[[#This Row],[نوع الخدمة]]="مخالفات", 50,
IF(Basic345678910111213141516171819202122232425262728[[#This Row],[نوع الخدمة]]="كاش ان",
    IF(F125&lt;=100, 18, IF(F125&lt;=250, 23, IF(F125&lt;=500, 35, IF(F125&lt;=1000, 40, F125*0.04)))),
IF(Basic345678910111213141516171819202122232425262728[[#This Row],[نوع الخدمة]]="كاش اوت",
    IF(F125&lt;=100, 15, IF(F125&lt;=250, 20, IF(F125&lt;=500, 30, IF(F125&lt;=1000, 35, F125*0.035)))),
0)))</f>
        <v>0</v>
      </c>
      <c r="H125" s="159">
        <f>IF(I125="مخالفات",50,Basic345678910111213141516171819202122232425262728[[#This Row],[قيمة الرسوم / العموله]]+Basic345678910111213141516171819202122232425262728[[#This Row],[قيمة الشحنه]])</f>
        <v>0</v>
      </c>
      <c r="I125" s="90"/>
      <c r="J125" s="142" t="str">
        <f t="shared" si="1"/>
        <v>5.5.2026</v>
      </c>
      <c r="L125" s="153">
        <v>114</v>
      </c>
      <c r="M125" s="92"/>
    </row>
    <row r="126" spans="1:13" ht="21.6" x14ac:dyDescent="0.65">
      <c r="A126" s="195"/>
      <c r="B126" s="140">
        <v>123</v>
      </c>
      <c r="C126" s="2"/>
      <c r="D126" s="1"/>
      <c r="E126" s="3"/>
      <c r="F126" s="1"/>
      <c r="G126" s="141">
        <f>IF(Basic345678910111213141516171819202122232425262728[[#This Row],[نوع الخدمة]]="مخالفات", 50,
IF(Basic345678910111213141516171819202122232425262728[[#This Row],[نوع الخدمة]]="كاش ان",
    IF(F126&lt;=100, 18, IF(F126&lt;=250, 23, IF(F126&lt;=500, 35, IF(F126&lt;=1000, 40, F126*0.04)))),
IF(Basic345678910111213141516171819202122232425262728[[#This Row],[نوع الخدمة]]="كاش اوت",
    IF(F126&lt;=100, 15, IF(F126&lt;=250, 20, IF(F126&lt;=500, 30, IF(F126&lt;=1000, 35, F126*0.035)))),
0)))</f>
        <v>0</v>
      </c>
      <c r="H126" s="159">
        <f>IF(I126="مخالفات",50,Basic345678910111213141516171819202122232425262728[[#This Row],[قيمة الرسوم / العموله]]+Basic345678910111213141516171819202122232425262728[[#This Row],[قيمة الشحنه]])</f>
        <v>0</v>
      </c>
      <c r="I126" s="90"/>
      <c r="J126" s="142" t="str">
        <f t="shared" si="1"/>
        <v>5.5.2026</v>
      </c>
      <c r="L126" s="153">
        <v>115</v>
      </c>
      <c r="M126" s="92"/>
    </row>
    <row r="127" spans="1:13" ht="21.6" x14ac:dyDescent="0.65">
      <c r="A127" s="195"/>
      <c r="B127" s="140">
        <v>124</v>
      </c>
      <c r="C127" s="2"/>
      <c r="D127" s="1"/>
      <c r="E127" s="3"/>
      <c r="F127" s="1"/>
      <c r="G127" s="141">
        <f>IF(Basic345678910111213141516171819202122232425262728[[#This Row],[نوع الخدمة]]="مخالفات", 50,
IF(Basic345678910111213141516171819202122232425262728[[#This Row],[نوع الخدمة]]="كاش ان",
    IF(F127&lt;=100, 18, IF(F127&lt;=250, 23, IF(F127&lt;=500, 35, IF(F127&lt;=1000, 40, F127*0.04)))),
IF(Basic345678910111213141516171819202122232425262728[[#This Row],[نوع الخدمة]]="كاش اوت",
    IF(F127&lt;=100, 15, IF(F127&lt;=250, 20, IF(F127&lt;=500, 30, IF(F127&lt;=1000, 35, F127*0.035)))),
0)))</f>
        <v>0</v>
      </c>
      <c r="H127" s="159">
        <f>IF(I127="مخالفات",50,Basic345678910111213141516171819202122232425262728[[#This Row],[قيمة الرسوم / العموله]]+Basic345678910111213141516171819202122232425262728[[#This Row],[قيمة الشحنه]])</f>
        <v>0</v>
      </c>
      <c r="I127" s="90"/>
      <c r="J127" s="142" t="str">
        <f t="shared" si="1"/>
        <v>5.5.2026</v>
      </c>
      <c r="L127" s="153">
        <v>116</v>
      </c>
      <c r="M127" s="92"/>
    </row>
    <row r="128" spans="1:13" ht="21.6" x14ac:dyDescent="0.65">
      <c r="A128" s="195"/>
      <c r="B128" s="140">
        <v>125</v>
      </c>
      <c r="C128" s="2"/>
      <c r="D128" s="1"/>
      <c r="E128" s="3"/>
      <c r="F128" s="1"/>
      <c r="G128" s="141">
        <f>IF(Basic345678910111213141516171819202122232425262728[[#This Row],[نوع الخدمة]]="مخالفات", 50,
IF(Basic345678910111213141516171819202122232425262728[[#This Row],[نوع الخدمة]]="كاش ان",
    IF(F128&lt;=100, 18, IF(F128&lt;=250, 23, IF(F128&lt;=500, 35, IF(F128&lt;=1000, 40, F128*0.04)))),
IF(Basic345678910111213141516171819202122232425262728[[#This Row],[نوع الخدمة]]="كاش اوت",
    IF(F128&lt;=100, 15, IF(F128&lt;=250, 20, IF(F128&lt;=500, 30, IF(F128&lt;=1000, 35, F128*0.035)))),
0)))</f>
        <v>0</v>
      </c>
      <c r="H128" s="159">
        <f>IF(I128="مخالفات",50,Basic345678910111213141516171819202122232425262728[[#This Row],[قيمة الرسوم / العموله]]+Basic345678910111213141516171819202122232425262728[[#This Row],[قيمة الشحنه]])</f>
        <v>0</v>
      </c>
      <c r="I128" s="90"/>
      <c r="J128" s="142" t="str">
        <f t="shared" si="1"/>
        <v>5.5.2026</v>
      </c>
      <c r="L128" s="153">
        <v>117</v>
      </c>
      <c r="M128" s="92"/>
    </row>
    <row r="129" spans="1:13" ht="21.6" x14ac:dyDescent="0.65">
      <c r="A129" s="195"/>
      <c r="B129" s="144">
        <v>126</v>
      </c>
      <c r="C129" s="2"/>
      <c r="D129" s="1"/>
      <c r="E129" s="3"/>
      <c r="F129" s="1"/>
      <c r="G129" s="141">
        <f>IF(Basic345678910111213141516171819202122232425262728[[#This Row],[نوع الخدمة]]="مخالفات", 50,
IF(Basic345678910111213141516171819202122232425262728[[#This Row],[نوع الخدمة]]="كاش ان",
    IF(F129&lt;=100, 18, IF(F129&lt;=250, 23, IF(F129&lt;=500, 35, IF(F129&lt;=1000, 40, F129*0.04)))),
IF(Basic345678910111213141516171819202122232425262728[[#This Row],[نوع الخدمة]]="كاش اوت",
    IF(F129&lt;=100, 15, IF(F129&lt;=250, 20, IF(F129&lt;=500, 30, IF(F129&lt;=1000, 35, F129*0.035)))),
0)))</f>
        <v>0</v>
      </c>
      <c r="H129" s="159">
        <f>IF(I129="مخالفات",50,Basic345678910111213141516171819202122232425262728[[#This Row],[قيمة الرسوم / العموله]]+Basic345678910111213141516171819202122232425262728[[#This Row],[قيمة الشحنه]])</f>
        <v>0</v>
      </c>
      <c r="I129" s="90"/>
      <c r="J129" s="142" t="str">
        <f t="shared" si="1"/>
        <v>5.5.2026</v>
      </c>
      <c r="L129" s="153">
        <v>118</v>
      </c>
      <c r="M129" s="92"/>
    </row>
    <row r="130" spans="1:13" ht="21.6" x14ac:dyDescent="0.65">
      <c r="A130" s="195"/>
      <c r="B130" s="140">
        <v>127</v>
      </c>
      <c r="C130" s="2"/>
      <c r="D130" s="1"/>
      <c r="E130" s="3"/>
      <c r="F130" s="1"/>
      <c r="G130" s="141">
        <f>IF(Basic345678910111213141516171819202122232425262728[[#This Row],[نوع الخدمة]]="مخالفات", 50,
IF(Basic345678910111213141516171819202122232425262728[[#This Row],[نوع الخدمة]]="كاش ان",
    IF(F130&lt;=100, 18, IF(F130&lt;=250, 23, IF(F130&lt;=500, 35, IF(F130&lt;=1000, 40, F130*0.04)))),
IF(Basic345678910111213141516171819202122232425262728[[#This Row],[نوع الخدمة]]="كاش اوت",
    IF(F130&lt;=100, 15, IF(F130&lt;=250, 20, IF(F130&lt;=500, 30, IF(F130&lt;=1000, 35, F130*0.035)))),
0)))</f>
        <v>0</v>
      </c>
      <c r="H130" s="159">
        <f>IF(I130="مخالفات",50,Basic345678910111213141516171819202122232425262728[[#This Row],[قيمة الرسوم / العموله]]+Basic345678910111213141516171819202122232425262728[[#This Row],[قيمة الشحنه]])</f>
        <v>0</v>
      </c>
      <c r="I130" s="90"/>
      <c r="J130" s="142" t="str">
        <f t="shared" si="1"/>
        <v>5.5.2026</v>
      </c>
      <c r="L130" s="153">
        <v>119</v>
      </c>
      <c r="M130" s="92"/>
    </row>
    <row r="131" spans="1:13" ht="21.6" x14ac:dyDescent="0.65">
      <c r="A131" s="195"/>
      <c r="B131" s="140">
        <v>128</v>
      </c>
      <c r="C131" s="2"/>
      <c r="D131" s="1"/>
      <c r="E131" s="3"/>
      <c r="F131" s="1"/>
      <c r="G131" s="141">
        <f>IF(Basic345678910111213141516171819202122232425262728[[#This Row],[نوع الخدمة]]="مخالفات", 50,
IF(Basic345678910111213141516171819202122232425262728[[#This Row],[نوع الخدمة]]="كاش ان",
    IF(F131&lt;=100, 18, IF(F131&lt;=250, 23, IF(F131&lt;=500, 35, IF(F131&lt;=1000, 40, F131*0.04)))),
IF(Basic345678910111213141516171819202122232425262728[[#This Row],[نوع الخدمة]]="كاش اوت",
    IF(F131&lt;=100, 15, IF(F131&lt;=250, 20, IF(F131&lt;=500, 30, IF(F131&lt;=1000, 35, F131*0.035)))),
0)))</f>
        <v>0</v>
      </c>
      <c r="H131" s="159">
        <f>IF(I131="مخالفات",50,Basic345678910111213141516171819202122232425262728[[#This Row],[قيمة الرسوم / العموله]]+Basic345678910111213141516171819202122232425262728[[#This Row],[قيمة الشحنه]])</f>
        <v>0</v>
      </c>
      <c r="I131" s="90"/>
      <c r="J131" s="142" t="str">
        <f t="shared" si="1"/>
        <v>5.5.2026</v>
      </c>
      <c r="L131" s="153">
        <v>120</v>
      </c>
      <c r="M131" s="92"/>
    </row>
    <row r="132" spans="1:13" ht="21.6" x14ac:dyDescent="0.65">
      <c r="A132" s="195"/>
      <c r="B132" s="140">
        <v>129</v>
      </c>
      <c r="C132" s="2"/>
      <c r="D132" s="1"/>
      <c r="E132" s="3"/>
      <c r="F132" s="1"/>
      <c r="G132" s="141">
        <f>IF(Basic345678910111213141516171819202122232425262728[[#This Row],[نوع الخدمة]]="مخالفات", 50,
IF(Basic345678910111213141516171819202122232425262728[[#This Row],[نوع الخدمة]]="كاش ان",
    IF(F132&lt;=100, 18, IF(F132&lt;=250, 23, IF(F132&lt;=500, 35, IF(F132&lt;=1000, 40, F132*0.04)))),
IF(Basic345678910111213141516171819202122232425262728[[#This Row],[نوع الخدمة]]="كاش اوت",
    IF(F132&lt;=100, 15, IF(F132&lt;=250, 20, IF(F132&lt;=500, 30, IF(F132&lt;=1000, 35, F132*0.035)))),
0)))</f>
        <v>0</v>
      </c>
      <c r="H132" s="159">
        <f>IF(I132="مخالفات",50,Basic345678910111213141516171819202122232425262728[[#This Row],[قيمة الرسوم / العموله]]+Basic345678910111213141516171819202122232425262728[[#This Row],[قيمة الشحنه]])</f>
        <v>0</v>
      </c>
      <c r="I132" s="90"/>
      <c r="J132" s="142" t="str">
        <f t="shared" ref="J132:J195" si="2">M$3</f>
        <v>5.5.2026</v>
      </c>
      <c r="L132" s="153">
        <v>121</v>
      </c>
      <c r="M132" s="92"/>
    </row>
    <row r="133" spans="1:13" ht="21.6" x14ac:dyDescent="0.65">
      <c r="A133" s="195"/>
      <c r="B133" s="144">
        <v>130</v>
      </c>
      <c r="C133" s="2"/>
      <c r="D133" s="1"/>
      <c r="E133" s="3"/>
      <c r="F133" s="1"/>
      <c r="G133" s="141">
        <f>IF(Basic345678910111213141516171819202122232425262728[[#This Row],[نوع الخدمة]]="مخالفات", 50,
IF(Basic345678910111213141516171819202122232425262728[[#This Row],[نوع الخدمة]]="كاش ان",
    IF(F133&lt;=100, 18, IF(F133&lt;=250, 23, IF(F133&lt;=500, 35, IF(F133&lt;=1000, 40, F133*0.04)))),
IF(Basic345678910111213141516171819202122232425262728[[#This Row],[نوع الخدمة]]="كاش اوت",
    IF(F133&lt;=100, 15, IF(F133&lt;=250, 20, IF(F133&lt;=500, 30, IF(F133&lt;=1000, 35, F133*0.035)))),
0)))</f>
        <v>0</v>
      </c>
      <c r="H133" s="159">
        <f>IF(I133="مخالفات",50,Basic345678910111213141516171819202122232425262728[[#This Row],[قيمة الرسوم / العموله]]+Basic345678910111213141516171819202122232425262728[[#This Row],[قيمة الشحنه]])</f>
        <v>0</v>
      </c>
      <c r="I133" s="90"/>
      <c r="J133" s="142" t="str">
        <f t="shared" si="2"/>
        <v>5.5.2026</v>
      </c>
      <c r="L133" s="153">
        <v>122</v>
      </c>
      <c r="M133" s="92"/>
    </row>
    <row r="134" spans="1:13" ht="21.6" x14ac:dyDescent="0.65">
      <c r="A134" s="195"/>
      <c r="B134" s="140">
        <v>131</v>
      </c>
      <c r="C134" s="2"/>
      <c r="D134" s="1"/>
      <c r="E134" s="3"/>
      <c r="F134" s="1"/>
      <c r="G134" s="141">
        <f>IF(Basic345678910111213141516171819202122232425262728[[#This Row],[نوع الخدمة]]="مخالفات", 50,
IF(Basic345678910111213141516171819202122232425262728[[#This Row],[نوع الخدمة]]="كاش ان",
    IF(F134&lt;=100, 18, IF(F134&lt;=250, 23, IF(F134&lt;=500, 35, IF(F134&lt;=1000, 40, F134*0.04)))),
IF(Basic345678910111213141516171819202122232425262728[[#This Row],[نوع الخدمة]]="كاش اوت",
    IF(F134&lt;=100, 15, IF(F134&lt;=250, 20, IF(F134&lt;=500, 30, IF(F134&lt;=1000, 35, F134*0.035)))),
0)))</f>
        <v>0</v>
      </c>
      <c r="H134" s="159">
        <f>IF(I134="مخالفات",50,Basic345678910111213141516171819202122232425262728[[#This Row],[قيمة الرسوم / العموله]]+Basic345678910111213141516171819202122232425262728[[#This Row],[قيمة الشحنه]])</f>
        <v>0</v>
      </c>
      <c r="I134" s="90"/>
      <c r="J134" s="142" t="str">
        <f t="shared" si="2"/>
        <v>5.5.2026</v>
      </c>
      <c r="L134" s="153">
        <v>123</v>
      </c>
      <c r="M134" s="92"/>
    </row>
    <row r="135" spans="1:13" ht="21.6" x14ac:dyDescent="0.65">
      <c r="A135" s="195"/>
      <c r="B135" s="140">
        <v>132</v>
      </c>
      <c r="C135" s="2"/>
      <c r="D135" s="1"/>
      <c r="E135" s="3"/>
      <c r="F135" s="1"/>
      <c r="G135" s="141">
        <f>IF(Basic345678910111213141516171819202122232425262728[[#This Row],[نوع الخدمة]]="مخالفات", 50,
IF(Basic345678910111213141516171819202122232425262728[[#This Row],[نوع الخدمة]]="كاش ان",
    IF(F135&lt;=100, 18, IF(F135&lt;=250, 23, IF(F135&lt;=500, 35, IF(F135&lt;=1000, 40, F135*0.04)))),
IF(Basic345678910111213141516171819202122232425262728[[#This Row],[نوع الخدمة]]="كاش اوت",
    IF(F135&lt;=100, 15, IF(F135&lt;=250, 20, IF(F135&lt;=500, 30, IF(F135&lt;=1000, 35, F135*0.035)))),
0)))</f>
        <v>0</v>
      </c>
      <c r="H135" s="159">
        <f>IF(I135="مخالفات",50,Basic345678910111213141516171819202122232425262728[[#This Row],[قيمة الرسوم / العموله]]+Basic345678910111213141516171819202122232425262728[[#This Row],[قيمة الشحنه]])</f>
        <v>0</v>
      </c>
      <c r="I135" s="90"/>
      <c r="J135" s="142" t="str">
        <f t="shared" si="2"/>
        <v>5.5.2026</v>
      </c>
      <c r="L135" s="153">
        <v>124</v>
      </c>
      <c r="M135" s="92"/>
    </row>
    <row r="136" spans="1:13" ht="21.6" x14ac:dyDescent="0.65">
      <c r="A136" s="195"/>
      <c r="B136" s="140">
        <v>133</v>
      </c>
      <c r="C136" s="2"/>
      <c r="D136" s="1"/>
      <c r="E136" s="3"/>
      <c r="F136" s="1"/>
      <c r="G136" s="141">
        <f>IF(Basic345678910111213141516171819202122232425262728[[#This Row],[نوع الخدمة]]="مخالفات", 50,
IF(Basic345678910111213141516171819202122232425262728[[#This Row],[نوع الخدمة]]="كاش ان",
    IF(F136&lt;=100, 18, IF(F136&lt;=250, 23, IF(F136&lt;=500, 35, IF(F136&lt;=1000, 40, F136*0.04)))),
IF(Basic345678910111213141516171819202122232425262728[[#This Row],[نوع الخدمة]]="كاش اوت",
    IF(F136&lt;=100, 15, IF(F136&lt;=250, 20, IF(F136&lt;=500, 30, IF(F136&lt;=1000, 35, F136*0.035)))),
0)))</f>
        <v>0</v>
      </c>
      <c r="H136" s="159">
        <f>IF(I136="مخالفات",50,Basic345678910111213141516171819202122232425262728[[#This Row],[قيمة الرسوم / العموله]]+Basic345678910111213141516171819202122232425262728[[#This Row],[قيمة الشحنه]])</f>
        <v>0</v>
      </c>
      <c r="I136" s="90"/>
      <c r="J136" s="142" t="str">
        <f t="shared" si="2"/>
        <v>5.5.2026</v>
      </c>
      <c r="L136" s="153">
        <v>125</v>
      </c>
      <c r="M136" s="92"/>
    </row>
    <row r="137" spans="1:13" ht="21.6" x14ac:dyDescent="0.65">
      <c r="A137" s="195"/>
      <c r="B137" s="144">
        <v>134</v>
      </c>
      <c r="C137" s="2"/>
      <c r="D137" s="1"/>
      <c r="E137" s="3"/>
      <c r="F137" s="1"/>
      <c r="G137" s="141">
        <f>IF(Basic345678910111213141516171819202122232425262728[[#This Row],[نوع الخدمة]]="مخالفات", 50,
IF(Basic345678910111213141516171819202122232425262728[[#This Row],[نوع الخدمة]]="كاش ان",
    IF(F137&lt;=100, 18, IF(F137&lt;=250, 23, IF(F137&lt;=500, 35, IF(F137&lt;=1000, 40, F137*0.04)))),
IF(Basic345678910111213141516171819202122232425262728[[#This Row],[نوع الخدمة]]="كاش اوت",
    IF(F137&lt;=100, 15, IF(F137&lt;=250, 20, IF(F137&lt;=500, 30, IF(F137&lt;=1000, 35, F137*0.035)))),
0)))</f>
        <v>0</v>
      </c>
      <c r="H137" s="159">
        <f>IF(I137="مخالفات",50,Basic345678910111213141516171819202122232425262728[[#This Row],[قيمة الرسوم / العموله]]+Basic345678910111213141516171819202122232425262728[[#This Row],[قيمة الشحنه]])</f>
        <v>0</v>
      </c>
      <c r="I137" s="90"/>
      <c r="J137" s="142" t="str">
        <f t="shared" si="2"/>
        <v>5.5.2026</v>
      </c>
      <c r="L137" s="153">
        <v>126</v>
      </c>
      <c r="M137" s="92"/>
    </row>
    <row r="138" spans="1:13" ht="21.6" x14ac:dyDescent="0.65">
      <c r="A138" s="195"/>
      <c r="B138" s="140">
        <v>135</v>
      </c>
      <c r="C138" s="2"/>
      <c r="D138" s="1"/>
      <c r="E138" s="3"/>
      <c r="F138" s="1"/>
      <c r="G138" s="141">
        <f>IF(Basic345678910111213141516171819202122232425262728[[#This Row],[نوع الخدمة]]="مخالفات", 50,
IF(Basic345678910111213141516171819202122232425262728[[#This Row],[نوع الخدمة]]="كاش ان",
    IF(F138&lt;=100, 18, IF(F138&lt;=250, 23, IF(F138&lt;=500, 35, IF(F138&lt;=1000, 40, F138*0.04)))),
IF(Basic345678910111213141516171819202122232425262728[[#This Row],[نوع الخدمة]]="كاش اوت",
    IF(F138&lt;=100, 15, IF(F138&lt;=250, 20, IF(F138&lt;=500, 30, IF(F138&lt;=1000, 35, F138*0.035)))),
0)))</f>
        <v>0</v>
      </c>
      <c r="H138" s="159">
        <f>IF(I138="مخالفات",50,Basic345678910111213141516171819202122232425262728[[#This Row],[قيمة الرسوم / العموله]]+Basic345678910111213141516171819202122232425262728[[#This Row],[قيمة الشحنه]])</f>
        <v>0</v>
      </c>
      <c r="I138" s="90"/>
      <c r="J138" s="142" t="str">
        <f t="shared" si="2"/>
        <v>5.5.2026</v>
      </c>
      <c r="L138" s="153">
        <v>127</v>
      </c>
      <c r="M138" s="92"/>
    </row>
    <row r="139" spans="1:13" ht="21.6" x14ac:dyDescent="0.65">
      <c r="A139" s="195"/>
      <c r="B139" s="140">
        <v>136</v>
      </c>
      <c r="C139" s="2"/>
      <c r="D139" s="1"/>
      <c r="E139" s="3"/>
      <c r="F139" s="1"/>
      <c r="G139" s="141">
        <f>IF(Basic345678910111213141516171819202122232425262728[[#This Row],[نوع الخدمة]]="مخالفات", 50,
IF(Basic345678910111213141516171819202122232425262728[[#This Row],[نوع الخدمة]]="كاش ان",
    IF(F139&lt;=100, 18, IF(F139&lt;=250, 23, IF(F139&lt;=500, 35, IF(F139&lt;=1000, 40, F139*0.04)))),
IF(Basic345678910111213141516171819202122232425262728[[#This Row],[نوع الخدمة]]="كاش اوت",
    IF(F139&lt;=100, 15, IF(F139&lt;=250, 20, IF(F139&lt;=500, 30, IF(F139&lt;=1000, 35, F139*0.035)))),
0)))</f>
        <v>0</v>
      </c>
      <c r="H139" s="159">
        <f>IF(I139="مخالفات",50,Basic345678910111213141516171819202122232425262728[[#This Row],[قيمة الرسوم / العموله]]+Basic345678910111213141516171819202122232425262728[[#This Row],[قيمة الشحنه]])</f>
        <v>0</v>
      </c>
      <c r="I139" s="90"/>
      <c r="J139" s="142" t="str">
        <f t="shared" si="2"/>
        <v>5.5.2026</v>
      </c>
      <c r="L139" s="153">
        <v>128</v>
      </c>
      <c r="M139" s="92"/>
    </row>
    <row r="140" spans="1:13" ht="21.6" x14ac:dyDescent="0.65">
      <c r="A140" s="195"/>
      <c r="B140" s="140">
        <v>137</v>
      </c>
      <c r="C140" s="2"/>
      <c r="D140" s="1"/>
      <c r="E140" s="3"/>
      <c r="F140" s="1"/>
      <c r="G140" s="141">
        <f>IF(Basic345678910111213141516171819202122232425262728[[#This Row],[نوع الخدمة]]="مخالفات", 50,
IF(Basic345678910111213141516171819202122232425262728[[#This Row],[نوع الخدمة]]="كاش ان",
    IF(F140&lt;=100, 18, IF(F140&lt;=250, 23, IF(F140&lt;=500, 35, IF(F140&lt;=1000, 40, F140*0.04)))),
IF(Basic345678910111213141516171819202122232425262728[[#This Row],[نوع الخدمة]]="كاش اوت",
    IF(F140&lt;=100, 15, IF(F140&lt;=250, 20, IF(F140&lt;=500, 30, IF(F140&lt;=1000, 35, F140*0.035)))),
0)))</f>
        <v>0</v>
      </c>
      <c r="H140" s="159">
        <f>IF(I140="مخالفات",50,Basic345678910111213141516171819202122232425262728[[#This Row],[قيمة الرسوم / العموله]]+Basic345678910111213141516171819202122232425262728[[#This Row],[قيمة الشحنه]])</f>
        <v>0</v>
      </c>
      <c r="I140" s="90"/>
      <c r="J140" s="142" t="str">
        <f t="shared" si="2"/>
        <v>5.5.2026</v>
      </c>
      <c r="L140" s="153">
        <v>129</v>
      </c>
      <c r="M140" s="92"/>
    </row>
    <row r="141" spans="1:13" ht="21.6" x14ac:dyDescent="0.65">
      <c r="A141" s="195"/>
      <c r="B141" s="144">
        <v>138</v>
      </c>
      <c r="C141" s="2"/>
      <c r="D141" s="1"/>
      <c r="E141" s="3"/>
      <c r="F141" s="1"/>
      <c r="G141" s="141">
        <f>IF(Basic345678910111213141516171819202122232425262728[[#This Row],[نوع الخدمة]]="مخالفات", 50,
IF(Basic345678910111213141516171819202122232425262728[[#This Row],[نوع الخدمة]]="كاش ان",
    IF(F141&lt;=100, 18, IF(F141&lt;=250, 23, IF(F141&lt;=500, 35, IF(F141&lt;=1000, 40, F141*0.04)))),
IF(Basic345678910111213141516171819202122232425262728[[#This Row],[نوع الخدمة]]="كاش اوت",
    IF(F141&lt;=100, 15, IF(F141&lt;=250, 20, IF(F141&lt;=500, 30, IF(F141&lt;=1000, 35, F141*0.035)))),
0)))</f>
        <v>0</v>
      </c>
      <c r="H141" s="159">
        <f>IF(I141="مخالفات",50,Basic345678910111213141516171819202122232425262728[[#This Row],[قيمة الرسوم / العموله]]+Basic345678910111213141516171819202122232425262728[[#This Row],[قيمة الشحنه]])</f>
        <v>0</v>
      </c>
      <c r="I141" s="90"/>
      <c r="J141" s="142" t="str">
        <f t="shared" si="2"/>
        <v>5.5.2026</v>
      </c>
      <c r="L141" s="153">
        <v>130</v>
      </c>
      <c r="M141" s="92"/>
    </row>
    <row r="142" spans="1:13" ht="21.6" x14ac:dyDescent="0.65">
      <c r="A142" s="195"/>
      <c r="B142" s="140">
        <v>139</v>
      </c>
      <c r="C142" s="2"/>
      <c r="D142" s="1"/>
      <c r="E142" s="3"/>
      <c r="F142" s="1"/>
      <c r="G142" s="141">
        <f>IF(Basic345678910111213141516171819202122232425262728[[#This Row],[نوع الخدمة]]="مخالفات", 50,
IF(Basic345678910111213141516171819202122232425262728[[#This Row],[نوع الخدمة]]="كاش ان",
    IF(F142&lt;=100, 18, IF(F142&lt;=250, 23, IF(F142&lt;=500, 35, IF(F142&lt;=1000, 40, F142*0.04)))),
IF(Basic345678910111213141516171819202122232425262728[[#This Row],[نوع الخدمة]]="كاش اوت",
    IF(F142&lt;=100, 15, IF(F142&lt;=250, 20, IF(F142&lt;=500, 30, IF(F142&lt;=1000, 35, F142*0.035)))),
0)))</f>
        <v>0</v>
      </c>
      <c r="H142" s="159">
        <f>IF(I142="مخالفات",50,Basic345678910111213141516171819202122232425262728[[#This Row],[قيمة الرسوم / العموله]]+Basic345678910111213141516171819202122232425262728[[#This Row],[قيمة الشحنه]])</f>
        <v>0</v>
      </c>
      <c r="I142" s="90"/>
      <c r="J142" s="142" t="str">
        <f t="shared" si="2"/>
        <v>5.5.2026</v>
      </c>
      <c r="L142" s="153">
        <v>131</v>
      </c>
      <c r="M142" s="92"/>
    </row>
    <row r="143" spans="1:13" ht="21.6" x14ac:dyDescent="0.65">
      <c r="A143" s="195"/>
      <c r="B143" s="140">
        <v>140</v>
      </c>
      <c r="C143" s="2"/>
      <c r="D143" s="1"/>
      <c r="E143" s="3"/>
      <c r="F143" s="1"/>
      <c r="G143" s="141">
        <f>IF(Basic345678910111213141516171819202122232425262728[[#This Row],[نوع الخدمة]]="مخالفات", 50,
IF(Basic345678910111213141516171819202122232425262728[[#This Row],[نوع الخدمة]]="كاش ان",
    IF(F143&lt;=100, 18, IF(F143&lt;=250, 23, IF(F143&lt;=500, 35, IF(F143&lt;=1000, 40, F143*0.04)))),
IF(Basic345678910111213141516171819202122232425262728[[#This Row],[نوع الخدمة]]="كاش اوت",
    IF(F143&lt;=100, 15, IF(F143&lt;=250, 20, IF(F143&lt;=500, 30, IF(F143&lt;=1000, 35, F143*0.035)))),
0)))</f>
        <v>0</v>
      </c>
      <c r="H143" s="159">
        <f>IF(I143="مخالفات",50,Basic345678910111213141516171819202122232425262728[[#This Row],[قيمة الرسوم / العموله]]+Basic345678910111213141516171819202122232425262728[[#This Row],[قيمة الشحنه]])</f>
        <v>0</v>
      </c>
      <c r="I143" s="90"/>
      <c r="J143" s="142" t="str">
        <f t="shared" si="2"/>
        <v>5.5.2026</v>
      </c>
      <c r="L143" s="153">
        <v>132</v>
      </c>
      <c r="M143" s="92"/>
    </row>
    <row r="144" spans="1:13" ht="21.6" x14ac:dyDescent="0.65">
      <c r="A144" s="195"/>
      <c r="B144" s="140">
        <v>141</v>
      </c>
      <c r="C144" s="2"/>
      <c r="D144" s="1"/>
      <c r="E144" s="3"/>
      <c r="F144" s="1"/>
      <c r="G144" s="141">
        <f>IF(Basic345678910111213141516171819202122232425262728[[#This Row],[نوع الخدمة]]="مخالفات", 50,
IF(Basic345678910111213141516171819202122232425262728[[#This Row],[نوع الخدمة]]="كاش ان",
    IF(F144&lt;=100, 18, IF(F144&lt;=250, 23, IF(F144&lt;=500, 35, IF(F144&lt;=1000, 40, F144*0.04)))),
IF(Basic345678910111213141516171819202122232425262728[[#This Row],[نوع الخدمة]]="كاش اوت",
    IF(F144&lt;=100, 15, IF(F144&lt;=250, 20, IF(F144&lt;=500, 30, IF(F144&lt;=1000, 35, F144*0.035)))),
0)))</f>
        <v>0</v>
      </c>
      <c r="H144" s="159">
        <f>IF(I144="مخالفات",50,Basic345678910111213141516171819202122232425262728[[#This Row],[قيمة الرسوم / العموله]]+Basic345678910111213141516171819202122232425262728[[#This Row],[قيمة الشحنه]])</f>
        <v>0</v>
      </c>
      <c r="I144" s="90"/>
      <c r="J144" s="142" t="str">
        <f t="shared" si="2"/>
        <v>5.5.2026</v>
      </c>
      <c r="L144" s="153">
        <v>133</v>
      </c>
      <c r="M144" s="92"/>
    </row>
    <row r="145" spans="1:13" ht="21.6" x14ac:dyDescent="0.65">
      <c r="A145" s="195"/>
      <c r="B145" s="144">
        <v>142</v>
      </c>
      <c r="C145" s="2"/>
      <c r="D145" s="1"/>
      <c r="E145" s="3"/>
      <c r="F145" s="1"/>
      <c r="G145" s="141">
        <f>IF(Basic345678910111213141516171819202122232425262728[[#This Row],[نوع الخدمة]]="مخالفات", 50,
IF(Basic345678910111213141516171819202122232425262728[[#This Row],[نوع الخدمة]]="كاش ان",
    IF(F145&lt;=100, 18, IF(F145&lt;=250, 23, IF(F145&lt;=500, 35, IF(F145&lt;=1000, 40, F145*0.04)))),
IF(Basic345678910111213141516171819202122232425262728[[#This Row],[نوع الخدمة]]="كاش اوت",
    IF(F145&lt;=100, 15, IF(F145&lt;=250, 20, IF(F145&lt;=500, 30, IF(F145&lt;=1000, 35, F145*0.035)))),
0)))</f>
        <v>0</v>
      </c>
      <c r="H145" s="159">
        <f>IF(I145="مخالفات",50,Basic345678910111213141516171819202122232425262728[[#This Row],[قيمة الرسوم / العموله]]+Basic345678910111213141516171819202122232425262728[[#This Row],[قيمة الشحنه]])</f>
        <v>0</v>
      </c>
      <c r="I145" s="90"/>
      <c r="J145" s="142" t="str">
        <f t="shared" si="2"/>
        <v>5.5.2026</v>
      </c>
      <c r="L145" s="153">
        <v>134</v>
      </c>
      <c r="M145" s="92"/>
    </row>
    <row r="146" spans="1:13" ht="21.6" x14ac:dyDescent="0.65">
      <c r="A146" s="195"/>
      <c r="B146" s="140">
        <v>143</v>
      </c>
      <c r="C146" s="2"/>
      <c r="D146" s="1"/>
      <c r="E146" s="3"/>
      <c r="F146" s="1"/>
      <c r="G146" s="141">
        <f>IF(Basic345678910111213141516171819202122232425262728[[#This Row],[نوع الخدمة]]="مخالفات", 50,
IF(Basic345678910111213141516171819202122232425262728[[#This Row],[نوع الخدمة]]="كاش ان",
    IF(F146&lt;=100, 18, IF(F146&lt;=250, 23, IF(F146&lt;=500, 35, IF(F146&lt;=1000, 40, F146*0.04)))),
IF(Basic345678910111213141516171819202122232425262728[[#This Row],[نوع الخدمة]]="كاش اوت",
    IF(F146&lt;=100, 15, IF(F146&lt;=250, 20, IF(F146&lt;=500, 30, IF(F146&lt;=1000, 35, F146*0.035)))),
0)))</f>
        <v>0</v>
      </c>
      <c r="H146" s="159">
        <f>IF(I146="مخالفات",50,Basic345678910111213141516171819202122232425262728[[#This Row],[قيمة الرسوم / العموله]]+Basic345678910111213141516171819202122232425262728[[#This Row],[قيمة الشحنه]])</f>
        <v>0</v>
      </c>
      <c r="I146" s="90"/>
      <c r="J146" s="142" t="str">
        <f t="shared" si="2"/>
        <v>5.5.2026</v>
      </c>
      <c r="L146" s="153">
        <v>135</v>
      </c>
      <c r="M146" s="92"/>
    </row>
    <row r="147" spans="1:13" ht="21.6" x14ac:dyDescent="0.65">
      <c r="A147" s="195"/>
      <c r="B147" s="140">
        <v>144</v>
      </c>
      <c r="C147" s="2"/>
      <c r="D147" s="1"/>
      <c r="E147" s="3"/>
      <c r="F147" s="1"/>
      <c r="G147" s="141">
        <f>IF(Basic345678910111213141516171819202122232425262728[[#This Row],[نوع الخدمة]]="مخالفات", 50,
IF(Basic345678910111213141516171819202122232425262728[[#This Row],[نوع الخدمة]]="كاش ان",
    IF(F147&lt;=100, 18, IF(F147&lt;=250, 23, IF(F147&lt;=500, 35, IF(F147&lt;=1000, 40, F147*0.04)))),
IF(Basic345678910111213141516171819202122232425262728[[#This Row],[نوع الخدمة]]="كاش اوت",
    IF(F147&lt;=100, 15, IF(F147&lt;=250, 20, IF(F147&lt;=500, 30, IF(F147&lt;=1000, 35, F147*0.035)))),
0)))</f>
        <v>0</v>
      </c>
      <c r="H147" s="159">
        <f>IF(I147="مخالفات",50,Basic345678910111213141516171819202122232425262728[[#This Row],[قيمة الرسوم / العموله]]+Basic345678910111213141516171819202122232425262728[[#This Row],[قيمة الشحنه]])</f>
        <v>0</v>
      </c>
      <c r="I147" s="90"/>
      <c r="J147" s="142" t="str">
        <f t="shared" si="2"/>
        <v>5.5.2026</v>
      </c>
      <c r="L147" s="153">
        <v>136</v>
      </c>
      <c r="M147" s="92"/>
    </row>
    <row r="148" spans="1:13" ht="21.6" x14ac:dyDescent="0.65">
      <c r="A148" s="195"/>
      <c r="B148" s="140">
        <v>145</v>
      </c>
      <c r="C148" s="2"/>
      <c r="D148" s="1"/>
      <c r="E148" s="3"/>
      <c r="F148" s="1"/>
      <c r="G148" s="141">
        <f>IF(Basic345678910111213141516171819202122232425262728[[#This Row],[نوع الخدمة]]="مخالفات", 50,
IF(Basic345678910111213141516171819202122232425262728[[#This Row],[نوع الخدمة]]="كاش ان",
    IF(F148&lt;=100, 18, IF(F148&lt;=250, 23, IF(F148&lt;=500, 35, IF(F148&lt;=1000, 40, F148*0.04)))),
IF(Basic345678910111213141516171819202122232425262728[[#This Row],[نوع الخدمة]]="كاش اوت",
    IF(F148&lt;=100, 15, IF(F148&lt;=250, 20, IF(F148&lt;=500, 30, IF(F148&lt;=1000, 35, F148*0.035)))),
0)))</f>
        <v>0</v>
      </c>
      <c r="H148" s="159">
        <f>IF(I148="مخالفات",50,Basic345678910111213141516171819202122232425262728[[#This Row],[قيمة الرسوم / العموله]]+Basic345678910111213141516171819202122232425262728[[#This Row],[قيمة الشحنه]])</f>
        <v>0</v>
      </c>
      <c r="I148" s="90"/>
      <c r="J148" s="142" t="str">
        <f t="shared" si="2"/>
        <v>5.5.2026</v>
      </c>
      <c r="L148" s="153">
        <v>137</v>
      </c>
      <c r="M148" s="92"/>
    </row>
    <row r="149" spans="1:13" ht="21.6" x14ac:dyDescent="0.65">
      <c r="A149" s="195"/>
      <c r="B149" s="144">
        <v>146</v>
      </c>
      <c r="C149" s="2"/>
      <c r="D149" s="1"/>
      <c r="E149" s="3"/>
      <c r="F149" s="1"/>
      <c r="G149" s="141">
        <f>IF(Basic345678910111213141516171819202122232425262728[[#This Row],[نوع الخدمة]]="مخالفات", 50,
IF(Basic345678910111213141516171819202122232425262728[[#This Row],[نوع الخدمة]]="كاش ان",
    IF(F149&lt;=100, 18, IF(F149&lt;=250, 23, IF(F149&lt;=500, 35, IF(F149&lt;=1000, 40, F149*0.04)))),
IF(Basic345678910111213141516171819202122232425262728[[#This Row],[نوع الخدمة]]="كاش اوت",
    IF(F149&lt;=100, 15, IF(F149&lt;=250, 20, IF(F149&lt;=500, 30, IF(F149&lt;=1000, 35, F149*0.035)))),
0)))</f>
        <v>0</v>
      </c>
      <c r="H149" s="159">
        <f>IF(I149="مخالفات",50,Basic345678910111213141516171819202122232425262728[[#This Row],[قيمة الرسوم / العموله]]+Basic345678910111213141516171819202122232425262728[[#This Row],[قيمة الشحنه]])</f>
        <v>0</v>
      </c>
      <c r="I149" s="90"/>
      <c r="J149" s="142" t="str">
        <f t="shared" si="2"/>
        <v>5.5.2026</v>
      </c>
      <c r="L149" s="153">
        <v>138</v>
      </c>
      <c r="M149" s="92"/>
    </row>
    <row r="150" spans="1:13" ht="21.6" x14ac:dyDescent="0.65">
      <c r="A150" s="195"/>
      <c r="B150" s="140">
        <v>147</v>
      </c>
      <c r="C150" s="2"/>
      <c r="D150" s="1"/>
      <c r="E150" s="3"/>
      <c r="F150" s="1"/>
      <c r="G150" s="141">
        <f>IF(Basic345678910111213141516171819202122232425262728[[#This Row],[نوع الخدمة]]="مخالفات", 50,
IF(Basic345678910111213141516171819202122232425262728[[#This Row],[نوع الخدمة]]="كاش ان",
    IF(F150&lt;=100, 18, IF(F150&lt;=250, 23, IF(F150&lt;=500, 35, IF(F150&lt;=1000, 40, F150*0.04)))),
IF(Basic345678910111213141516171819202122232425262728[[#This Row],[نوع الخدمة]]="كاش اوت",
    IF(F150&lt;=100, 15, IF(F150&lt;=250, 20, IF(F150&lt;=500, 30, IF(F150&lt;=1000, 35, F150*0.035)))),
0)))</f>
        <v>0</v>
      </c>
      <c r="H150" s="159">
        <f>IF(I150="مخالفات",50,Basic345678910111213141516171819202122232425262728[[#This Row],[قيمة الرسوم / العموله]]+Basic345678910111213141516171819202122232425262728[[#This Row],[قيمة الشحنه]])</f>
        <v>0</v>
      </c>
      <c r="I150" s="90"/>
      <c r="J150" s="142" t="str">
        <f t="shared" si="2"/>
        <v>5.5.2026</v>
      </c>
      <c r="L150" s="153">
        <v>139</v>
      </c>
      <c r="M150" s="92"/>
    </row>
    <row r="151" spans="1:13" ht="21.6" x14ac:dyDescent="0.65">
      <c r="A151" s="195"/>
      <c r="B151" s="140">
        <v>148</v>
      </c>
      <c r="C151" s="2"/>
      <c r="D151" s="1"/>
      <c r="E151" s="3"/>
      <c r="F151" s="1"/>
      <c r="G151" s="141">
        <f>IF(Basic345678910111213141516171819202122232425262728[[#This Row],[نوع الخدمة]]="مخالفات", 50,
IF(Basic345678910111213141516171819202122232425262728[[#This Row],[نوع الخدمة]]="كاش ان",
    IF(F151&lt;=100, 18, IF(F151&lt;=250, 23, IF(F151&lt;=500, 35, IF(F151&lt;=1000, 40, F151*0.04)))),
IF(Basic345678910111213141516171819202122232425262728[[#This Row],[نوع الخدمة]]="كاش اوت",
    IF(F151&lt;=100, 15, IF(F151&lt;=250, 20, IF(F151&lt;=500, 30, IF(F151&lt;=1000, 35, F151*0.035)))),
0)))</f>
        <v>0</v>
      </c>
      <c r="H151" s="159">
        <f>IF(I151="مخالفات",50,Basic345678910111213141516171819202122232425262728[[#This Row],[قيمة الرسوم / العموله]]+Basic345678910111213141516171819202122232425262728[[#This Row],[قيمة الشحنه]])</f>
        <v>0</v>
      </c>
      <c r="I151" s="90"/>
      <c r="J151" s="142" t="str">
        <f t="shared" si="2"/>
        <v>5.5.2026</v>
      </c>
      <c r="L151" s="153">
        <v>140</v>
      </c>
      <c r="M151" s="92"/>
    </row>
    <row r="152" spans="1:13" ht="21.6" x14ac:dyDescent="0.65">
      <c r="A152" s="195"/>
      <c r="B152" s="140">
        <v>149</v>
      </c>
      <c r="C152" s="2"/>
      <c r="D152" s="1"/>
      <c r="E152" s="3"/>
      <c r="F152" s="1"/>
      <c r="G152" s="141">
        <f>IF(Basic345678910111213141516171819202122232425262728[[#This Row],[نوع الخدمة]]="مخالفات", 50,
IF(Basic345678910111213141516171819202122232425262728[[#This Row],[نوع الخدمة]]="كاش ان",
    IF(F152&lt;=100, 18, IF(F152&lt;=250, 23, IF(F152&lt;=500, 35, IF(F152&lt;=1000, 40, F152*0.04)))),
IF(Basic345678910111213141516171819202122232425262728[[#This Row],[نوع الخدمة]]="كاش اوت",
    IF(F152&lt;=100, 15, IF(F152&lt;=250, 20, IF(F152&lt;=500, 30, IF(F152&lt;=1000, 35, F152*0.035)))),
0)))</f>
        <v>0</v>
      </c>
      <c r="H152" s="159">
        <f>IF(I152="مخالفات",50,Basic345678910111213141516171819202122232425262728[[#This Row],[قيمة الرسوم / العموله]]+Basic345678910111213141516171819202122232425262728[[#This Row],[قيمة الشحنه]])</f>
        <v>0</v>
      </c>
      <c r="I152" s="90"/>
      <c r="J152" s="142" t="str">
        <f t="shared" si="2"/>
        <v>5.5.2026</v>
      </c>
      <c r="L152" s="153">
        <v>141</v>
      </c>
      <c r="M152" s="92"/>
    </row>
    <row r="153" spans="1:13" ht="21.6" x14ac:dyDescent="0.65">
      <c r="A153" s="195"/>
      <c r="B153" s="144">
        <v>150</v>
      </c>
      <c r="C153" s="2"/>
      <c r="D153" s="1"/>
      <c r="E153" s="3"/>
      <c r="F153" s="1"/>
      <c r="G153" s="141">
        <f>IF(Basic345678910111213141516171819202122232425262728[[#This Row],[نوع الخدمة]]="مخالفات", 50,
IF(Basic345678910111213141516171819202122232425262728[[#This Row],[نوع الخدمة]]="كاش ان",
    IF(F153&lt;=100, 18, IF(F153&lt;=250, 23, IF(F153&lt;=500, 35, IF(F153&lt;=1000, 40, F153*0.04)))),
IF(Basic345678910111213141516171819202122232425262728[[#This Row],[نوع الخدمة]]="كاش اوت",
    IF(F153&lt;=100, 15, IF(F153&lt;=250, 20, IF(F153&lt;=500, 30, IF(F153&lt;=1000, 35, F153*0.035)))),
0)))</f>
        <v>0</v>
      </c>
      <c r="H153" s="159">
        <f>IF(I153="مخالفات",50,Basic345678910111213141516171819202122232425262728[[#This Row],[قيمة الرسوم / العموله]]+Basic345678910111213141516171819202122232425262728[[#This Row],[قيمة الشحنه]])</f>
        <v>0</v>
      </c>
      <c r="I153" s="90"/>
      <c r="J153" s="142" t="str">
        <f t="shared" si="2"/>
        <v>5.5.2026</v>
      </c>
      <c r="L153" s="153">
        <v>142</v>
      </c>
      <c r="M153" s="92"/>
    </row>
    <row r="154" spans="1:13" ht="21.6" x14ac:dyDescent="0.65">
      <c r="A154" s="195"/>
      <c r="B154" s="140">
        <v>151</v>
      </c>
      <c r="C154" s="2"/>
      <c r="D154" s="1"/>
      <c r="E154" s="3"/>
      <c r="F154" s="1"/>
      <c r="G154" s="141">
        <f>IF(Basic345678910111213141516171819202122232425262728[[#This Row],[نوع الخدمة]]="مخالفات", 50,
IF(Basic345678910111213141516171819202122232425262728[[#This Row],[نوع الخدمة]]="كاش ان",
    IF(F154&lt;=100, 18, IF(F154&lt;=250, 23, IF(F154&lt;=500, 35, IF(F154&lt;=1000, 40, F154*0.04)))),
IF(Basic345678910111213141516171819202122232425262728[[#This Row],[نوع الخدمة]]="كاش اوت",
    IF(F154&lt;=100, 15, IF(F154&lt;=250, 20, IF(F154&lt;=500, 30, IF(F154&lt;=1000, 35, F154*0.035)))),
0)))</f>
        <v>0</v>
      </c>
      <c r="H154" s="159">
        <f>IF(I154="مخالفات",50,Basic345678910111213141516171819202122232425262728[[#This Row],[قيمة الرسوم / العموله]]+Basic345678910111213141516171819202122232425262728[[#This Row],[قيمة الشحنه]])</f>
        <v>0</v>
      </c>
      <c r="I154" s="90"/>
      <c r="J154" s="142" t="str">
        <f t="shared" si="2"/>
        <v>5.5.2026</v>
      </c>
      <c r="L154" s="153">
        <v>143</v>
      </c>
      <c r="M154" s="92"/>
    </row>
    <row r="155" spans="1:13" ht="21.6" x14ac:dyDescent="0.65">
      <c r="A155" s="195"/>
      <c r="B155" s="140">
        <v>152</v>
      </c>
      <c r="C155" s="2"/>
      <c r="D155" s="1"/>
      <c r="E155" s="3"/>
      <c r="F155" s="1"/>
      <c r="G155" s="141">
        <f>IF(Basic345678910111213141516171819202122232425262728[[#This Row],[نوع الخدمة]]="مخالفات", 50,
IF(Basic345678910111213141516171819202122232425262728[[#This Row],[نوع الخدمة]]="كاش ان",
    IF(F155&lt;=100, 18, IF(F155&lt;=250, 23, IF(F155&lt;=500, 35, IF(F155&lt;=1000, 40, F155*0.04)))),
IF(Basic345678910111213141516171819202122232425262728[[#This Row],[نوع الخدمة]]="كاش اوت",
    IF(F155&lt;=100, 15, IF(F155&lt;=250, 20, IF(F155&lt;=500, 30, IF(F155&lt;=1000, 35, F155*0.035)))),
0)))</f>
        <v>0</v>
      </c>
      <c r="H155" s="159">
        <f>IF(I155="مخالفات",50,Basic345678910111213141516171819202122232425262728[[#This Row],[قيمة الرسوم / العموله]]+Basic345678910111213141516171819202122232425262728[[#This Row],[قيمة الشحنه]])</f>
        <v>0</v>
      </c>
      <c r="I155" s="90"/>
      <c r="J155" s="142" t="str">
        <f t="shared" si="2"/>
        <v>5.5.2026</v>
      </c>
      <c r="L155" s="153">
        <v>144</v>
      </c>
      <c r="M155" s="92"/>
    </row>
    <row r="156" spans="1:13" ht="21.6" x14ac:dyDescent="0.65">
      <c r="A156" s="195"/>
      <c r="B156" s="140">
        <v>153</v>
      </c>
      <c r="C156" s="2"/>
      <c r="D156" s="1"/>
      <c r="E156" s="3"/>
      <c r="F156" s="1"/>
      <c r="G156" s="141">
        <f>IF(Basic345678910111213141516171819202122232425262728[[#This Row],[نوع الخدمة]]="مخالفات", 50,
IF(Basic345678910111213141516171819202122232425262728[[#This Row],[نوع الخدمة]]="كاش ان",
    IF(F156&lt;=100, 18, IF(F156&lt;=250, 23, IF(F156&lt;=500, 35, IF(F156&lt;=1000, 40, F156*0.04)))),
IF(Basic345678910111213141516171819202122232425262728[[#This Row],[نوع الخدمة]]="كاش اوت",
    IF(F156&lt;=100, 15, IF(F156&lt;=250, 20, IF(F156&lt;=500, 30, IF(F156&lt;=1000, 35, F156*0.035)))),
0)))</f>
        <v>0</v>
      </c>
      <c r="H156" s="159">
        <f>IF(I156="مخالفات",50,Basic345678910111213141516171819202122232425262728[[#This Row],[قيمة الرسوم / العموله]]+Basic345678910111213141516171819202122232425262728[[#This Row],[قيمة الشحنه]])</f>
        <v>0</v>
      </c>
      <c r="I156" s="90"/>
      <c r="J156" s="142" t="str">
        <f t="shared" si="2"/>
        <v>5.5.2026</v>
      </c>
      <c r="L156" s="153">
        <v>145</v>
      </c>
      <c r="M156" s="92"/>
    </row>
    <row r="157" spans="1:13" ht="21.6" x14ac:dyDescent="0.65">
      <c r="A157" s="195"/>
      <c r="B157" s="144">
        <v>154</v>
      </c>
      <c r="C157" s="2"/>
      <c r="D157" s="1"/>
      <c r="E157" s="3"/>
      <c r="F157" s="1"/>
      <c r="G157" s="141">
        <f>IF(Basic345678910111213141516171819202122232425262728[[#This Row],[نوع الخدمة]]="مخالفات", 50,
IF(Basic345678910111213141516171819202122232425262728[[#This Row],[نوع الخدمة]]="كاش ان",
    IF(F157&lt;=100, 18, IF(F157&lt;=250, 23, IF(F157&lt;=500, 35, IF(F157&lt;=1000, 40, F157*0.04)))),
IF(Basic345678910111213141516171819202122232425262728[[#This Row],[نوع الخدمة]]="كاش اوت",
    IF(F157&lt;=100, 15, IF(F157&lt;=250, 20, IF(F157&lt;=500, 30, IF(F157&lt;=1000, 35, F157*0.035)))),
0)))</f>
        <v>0</v>
      </c>
      <c r="H157" s="159">
        <f>IF(I157="مخالفات",50,Basic345678910111213141516171819202122232425262728[[#This Row],[قيمة الرسوم / العموله]]+Basic345678910111213141516171819202122232425262728[[#This Row],[قيمة الشحنه]])</f>
        <v>0</v>
      </c>
      <c r="I157" s="90"/>
      <c r="J157" s="142" t="str">
        <f t="shared" si="2"/>
        <v>5.5.2026</v>
      </c>
      <c r="L157" s="153">
        <v>146</v>
      </c>
      <c r="M157" s="92"/>
    </row>
    <row r="158" spans="1:13" ht="21.6" x14ac:dyDescent="0.65">
      <c r="A158" s="195"/>
      <c r="B158" s="140">
        <v>155</v>
      </c>
      <c r="C158" s="2"/>
      <c r="D158" s="1"/>
      <c r="E158" s="3"/>
      <c r="F158" s="1"/>
      <c r="G158" s="141">
        <f>IF(Basic345678910111213141516171819202122232425262728[[#This Row],[نوع الخدمة]]="مخالفات", 50,
IF(Basic345678910111213141516171819202122232425262728[[#This Row],[نوع الخدمة]]="كاش ان",
    IF(F158&lt;=100, 18, IF(F158&lt;=250, 23, IF(F158&lt;=500, 35, IF(F158&lt;=1000, 40, F158*0.04)))),
IF(Basic345678910111213141516171819202122232425262728[[#This Row],[نوع الخدمة]]="كاش اوت",
    IF(F158&lt;=100, 15, IF(F158&lt;=250, 20, IF(F158&lt;=500, 30, IF(F158&lt;=1000, 35, F158*0.035)))),
0)))</f>
        <v>0</v>
      </c>
      <c r="H158" s="159">
        <f>IF(I158="مخالفات",50,Basic345678910111213141516171819202122232425262728[[#This Row],[قيمة الرسوم / العموله]]+Basic345678910111213141516171819202122232425262728[[#This Row],[قيمة الشحنه]])</f>
        <v>0</v>
      </c>
      <c r="I158" s="90"/>
      <c r="J158" s="142" t="str">
        <f t="shared" si="2"/>
        <v>5.5.2026</v>
      </c>
      <c r="L158" s="153">
        <v>147</v>
      </c>
      <c r="M158" s="92"/>
    </row>
    <row r="159" spans="1:13" ht="21.6" x14ac:dyDescent="0.65">
      <c r="A159" s="195"/>
      <c r="B159" s="140">
        <v>156</v>
      </c>
      <c r="C159" s="2"/>
      <c r="D159" s="1"/>
      <c r="E159" s="3"/>
      <c r="F159" s="1"/>
      <c r="G159" s="141">
        <f>IF(Basic345678910111213141516171819202122232425262728[[#This Row],[نوع الخدمة]]="مخالفات", 50,
IF(Basic345678910111213141516171819202122232425262728[[#This Row],[نوع الخدمة]]="كاش ان",
    IF(F159&lt;=100, 18, IF(F159&lt;=250, 23, IF(F159&lt;=500, 35, IF(F159&lt;=1000, 40, F159*0.04)))),
IF(Basic345678910111213141516171819202122232425262728[[#This Row],[نوع الخدمة]]="كاش اوت",
    IF(F159&lt;=100, 15, IF(F159&lt;=250, 20, IF(F159&lt;=500, 30, IF(F159&lt;=1000, 35, F159*0.035)))),
0)))</f>
        <v>0</v>
      </c>
      <c r="H159" s="159">
        <f>IF(I159="مخالفات",50,Basic345678910111213141516171819202122232425262728[[#This Row],[قيمة الرسوم / العموله]]+Basic345678910111213141516171819202122232425262728[[#This Row],[قيمة الشحنه]])</f>
        <v>0</v>
      </c>
      <c r="I159" s="90"/>
      <c r="J159" s="142" t="str">
        <f t="shared" si="2"/>
        <v>5.5.2026</v>
      </c>
      <c r="L159" s="153">
        <v>148</v>
      </c>
      <c r="M159" s="92"/>
    </row>
    <row r="160" spans="1:13" ht="21.6" x14ac:dyDescent="0.65">
      <c r="A160" s="195"/>
      <c r="B160" s="140">
        <v>157</v>
      </c>
      <c r="C160" s="2"/>
      <c r="D160" s="1"/>
      <c r="E160" s="3"/>
      <c r="F160" s="1"/>
      <c r="G160" s="141">
        <f>IF(Basic345678910111213141516171819202122232425262728[[#This Row],[نوع الخدمة]]="مخالفات", 50,
IF(Basic345678910111213141516171819202122232425262728[[#This Row],[نوع الخدمة]]="كاش ان",
    IF(F160&lt;=100, 18, IF(F160&lt;=250, 23, IF(F160&lt;=500, 35, IF(F160&lt;=1000, 40, F160*0.04)))),
IF(Basic345678910111213141516171819202122232425262728[[#This Row],[نوع الخدمة]]="كاش اوت",
    IF(F160&lt;=100, 15, IF(F160&lt;=250, 20, IF(F160&lt;=500, 30, IF(F160&lt;=1000, 35, F160*0.035)))),
0)))</f>
        <v>0</v>
      </c>
      <c r="H160" s="159">
        <f>IF(I160="مخالفات",50,Basic345678910111213141516171819202122232425262728[[#This Row],[قيمة الرسوم / العموله]]+Basic345678910111213141516171819202122232425262728[[#This Row],[قيمة الشحنه]])</f>
        <v>0</v>
      </c>
      <c r="I160" s="90"/>
      <c r="J160" s="142" t="str">
        <f t="shared" si="2"/>
        <v>5.5.2026</v>
      </c>
      <c r="L160" s="153">
        <v>149</v>
      </c>
      <c r="M160" s="92"/>
    </row>
    <row r="161" spans="1:13" ht="21.6" x14ac:dyDescent="0.65">
      <c r="A161" s="195"/>
      <c r="B161" s="144">
        <v>158</v>
      </c>
      <c r="C161" s="2"/>
      <c r="D161" s="1"/>
      <c r="E161" s="3"/>
      <c r="F161" s="1"/>
      <c r="G161" s="141">
        <f>IF(Basic345678910111213141516171819202122232425262728[[#This Row],[نوع الخدمة]]="مخالفات", 50,
IF(Basic345678910111213141516171819202122232425262728[[#This Row],[نوع الخدمة]]="كاش ان",
    IF(F161&lt;=100, 18, IF(F161&lt;=250, 23, IF(F161&lt;=500, 35, IF(F161&lt;=1000, 40, F161*0.04)))),
IF(Basic345678910111213141516171819202122232425262728[[#This Row],[نوع الخدمة]]="كاش اوت",
    IF(F161&lt;=100, 15, IF(F161&lt;=250, 20, IF(F161&lt;=500, 30, IF(F161&lt;=1000, 35, F161*0.035)))),
0)))</f>
        <v>0</v>
      </c>
      <c r="H161" s="159">
        <f>IF(I161="مخالفات",50,Basic345678910111213141516171819202122232425262728[[#This Row],[قيمة الرسوم / العموله]]+Basic345678910111213141516171819202122232425262728[[#This Row],[قيمة الشحنه]])</f>
        <v>0</v>
      </c>
      <c r="I161" s="90"/>
      <c r="J161" s="142" t="str">
        <f t="shared" si="2"/>
        <v>5.5.2026</v>
      </c>
      <c r="L161" s="153">
        <v>150</v>
      </c>
      <c r="M161" s="92"/>
    </row>
    <row r="162" spans="1:13" ht="21.6" x14ac:dyDescent="0.65">
      <c r="A162" s="195"/>
      <c r="B162" s="140">
        <v>159</v>
      </c>
      <c r="C162" s="2"/>
      <c r="D162" s="1"/>
      <c r="E162" s="3"/>
      <c r="F162" s="1"/>
      <c r="G162" s="141">
        <f>IF(Basic345678910111213141516171819202122232425262728[[#This Row],[نوع الخدمة]]="مخالفات", 50,
IF(Basic345678910111213141516171819202122232425262728[[#This Row],[نوع الخدمة]]="كاش ان",
    IF(F162&lt;=100, 18, IF(F162&lt;=250, 23, IF(F162&lt;=500, 35, IF(F162&lt;=1000, 40, F162*0.04)))),
IF(Basic345678910111213141516171819202122232425262728[[#This Row],[نوع الخدمة]]="كاش اوت",
    IF(F162&lt;=100, 15, IF(F162&lt;=250, 20, IF(F162&lt;=500, 30, IF(F162&lt;=1000, 35, F162*0.035)))),
0)))</f>
        <v>0</v>
      </c>
      <c r="H162" s="159">
        <f>IF(I162="مخالفات",50,Basic345678910111213141516171819202122232425262728[[#This Row],[قيمة الرسوم / العموله]]+Basic345678910111213141516171819202122232425262728[[#This Row],[قيمة الشحنه]])</f>
        <v>0</v>
      </c>
      <c r="I162" s="90"/>
      <c r="J162" s="142" t="str">
        <f t="shared" si="2"/>
        <v>5.5.2026</v>
      </c>
      <c r="L162" s="153">
        <v>151</v>
      </c>
      <c r="M162" s="92"/>
    </row>
    <row r="163" spans="1:13" ht="21.6" x14ac:dyDescent="0.65">
      <c r="A163" s="195"/>
      <c r="B163" s="140">
        <v>160</v>
      </c>
      <c r="C163" s="2"/>
      <c r="D163" s="1"/>
      <c r="E163" s="3"/>
      <c r="F163" s="1"/>
      <c r="G163" s="141">
        <f>IF(Basic345678910111213141516171819202122232425262728[[#This Row],[نوع الخدمة]]="مخالفات", 50,
IF(Basic345678910111213141516171819202122232425262728[[#This Row],[نوع الخدمة]]="كاش ان",
    IF(F163&lt;=100, 18, IF(F163&lt;=250, 23, IF(F163&lt;=500, 35, IF(F163&lt;=1000, 40, F163*0.04)))),
IF(Basic345678910111213141516171819202122232425262728[[#This Row],[نوع الخدمة]]="كاش اوت",
    IF(F163&lt;=100, 15, IF(F163&lt;=250, 20, IF(F163&lt;=500, 30, IF(F163&lt;=1000, 35, F163*0.035)))),
0)))</f>
        <v>0</v>
      </c>
      <c r="H163" s="159">
        <f>IF(I163="مخالفات",50,Basic345678910111213141516171819202122232425262728[[#This Row],[قيمة الرسوم / العموله]]+Basic345678910111213141516171819202122232425262728[[#This Row],[قيمة الشحنه]])</f>
        <v>0</v>
      </c>
      <c r="I163" s="90"/>
      <c r="J163" s="142" t="str">
        <f t="shared" si="2"/>
        <v>5.5.2026</v>
      </c>
      <c r="L163" s="153">
        <v>152</v>
      </c>
      <c r="M163" s="92"/>
    </row>
    <row r="164" spans="1:13" ht="21.6" x14ac:dyDescent="0.65">
      <c r="A164" s="195"/>
      <c r="B164" s="140">
        <v>161</v>
      </c>
      <c r="C164" s="2"/>
      <c r="D164" s="1"/>
      <c r="E164" s="3"/>
      <c r="F164" s="1"/>
      <c r="G164" s="141">
        <f>IF(Basic345678910111213141516171819202122232425262728[[#This Row],[نوع الخدمة]]="مخالفات", 50,
IF(Basic345678910111213141516171819202122232425262728[[#This Row],[نوع الخدمة]]="كاش ان",
    IF(F164&lt;=100, 18, IF(F164&lt;=250, 23, IF(F164&lt;=500, 35, IF(F164&lt;=1000, 40, F164*0.04)))),
IF(Basic345678910111213141516171819202122232425262728[[#This Row],[نوع الخدمة]]="كاش اوت",
    IF(F164&lt;=100, 15, IF(F164&lt;=250, 20, IF(F164&lt;=500, 30, IF(F164&lt;=1000, 35, F164*0.035)))),
0)))</f>
        <v>0</v>
      </c>
      <c r="H164" s="159">
        <f>IF(I164="مخالفات",50,Basic345678910111213141516171819202122232425262728[[#This Row],[قيمة الرسوم / العموله]]+Basic345678910111213141516171819202122232425262728[[#This Row],[قيمة الشحنه]])</f>
        <v>0</v>
      </c>
      <c r="I164" s="90"/>
      <c r="J164" s="142" t="str">
        <f t="shared" si="2"/>
        <v>5.5.2026</v>
      </c>
      <c r="L164" s="153">
        <v>153</v>
      </c>
      <c r="M164" s="92"/>
    </row>
    <row r="165" spans="1:13" ht="21.6" x14ac:dyDescent="0.65">
      <c r="A165" s="195"/>
      <c r="B165" s="144">
        <v>162</v>
      </c>
      <c r="C165" s="2"/>
      <c r="D165" s="1"/>
      <c r="E165" s="3"/>
      <c r="F165" s="1"/>
      <c r="G165" s="141">
        <f>IF(Basic345678910111213141516171819202122232425262728[[#This Row],[نوع الخدمة]]="مخالفات", 50,
IF(Basic345678910111213141516171819202122232425262728[[#This Row],[نوع الخدمة]]="كاش ان",
    IF(F165&lt;=100, 18, IF(F165&lt;=250, 23, IF(F165&lt;=500, 35, IF(F165&lt;=1000, 40, F165*0.04)))),
IF(Basic345678910111213141516171819202122232425262728[[#This Row],[نوع الخدمة]]="كاش اوت",
    IF(F165&lt;=100, 15, IF(F165&lt;=250, 20, IF(F165&lt;=500, 30, IF(F165&lt;=1000, 35, F165*0.035)))),
0)))</f>
        <v>0</v>
      </c>
      <c r="H165" s="159">
        <f>IF(I165="مخالفات",50,Basic345678910111213141516171819202122232425262728[[#This Row],[قيمة الرسوم / العموله]]+Basic345678910111213141516171819202122232425262728[[#This Row],[قيمة الشحنه]])</f>
        <v>0</v>
      </c>
      <c r="I165" s="90"/>
      <c r="J165" s="142" t="str">
        <f t="shared" si="2"/>
        <v>5.5.2026</v>
      </c>
      <c r="L165" s="153">
        <v>154</v>
      </c>
      <c r="M165" s="92"/>
    </row>
    <row r="166" spans="1:13" ht="21.6" x14ac:dyDescent="0.65">
      <c r="A166" s="195"/>
      <c r="B166" s="140">
        <v>163</v>
      </c>
      <c r="C166" s="2"/>
      <c r="D166" s="1"/>
      <c r="E166" s="3"/>
      <c r="F166" s="1"/>
      <c r="G166" s="141">
        <f>IF(Basic345678910111213141516171819202122232425262728[[#This Row],[نوع الخدمة]]="مخالفات", 50,
IF(Basic345678910111213141516171819202122232425262728[[#This Row],[نوع الخدمة]]="كاش ان",
    IF(F166&lt;=100, 18, IF(F166&lt;=250, 23, IF(F166&lt;=500, 35, IF(F166&lt;=1000, 40, F166*0.04)))),
IF(Basic345678910111213141516171819202122232425262728[[#This Row],[نوع الخدمة]]="كاش اوت",
    IF(F166&lt;=100, 15, IF(F166&lt;=250, 20, IF(F166&lt;=500, 30, IF(F166&lt;=1000, 35, F166*0.035)))),
0)))</f>
        <v>0</v>
      </c>
      <c r="H166" s="159">
        <f>IF(I166="مخالفات",50,Basic345678910111213141516171819202122232425262728[[#This Row],[قيمة الرسوم / العموله]]+Basic345678910111213141516171819202122232425262728[[#This Row],[قيمة الشحنه]])</f>
        <v>0</v>
      </c>
      <c r="I166" s="90"/>
      <c r="J166" s="142" t="str">
        <f t="shared" si="2"/>
        <v>5.5.2026</v>
      </c>
      <c r="L166" s="153">
        <v>155</v>
      </c>
      <c r="M166" s="92"/>
    </row>
    <row r="167" spans="1:13" ht="21.6" x14ac:dyDescent="0.65">
      <c r="A167" s="195"/>
      <c r="B167" s="140">
        <v>164</v>
      </c>
      <c r="C167" s="2"/>
      <c r="D167" s="1"/>
      <c r="E167" s="3"/>
      <c r="F167" s="1"/>
      <c r="G167" s="141">
        <f>IF(Basic345678910111213141516171819202122232425262728[[#This Row],[نوع الخدمة]]="مخالفات", 50,
IF(Basic345678910111213141516171819202122232425262728[[#This Row],[نوع الخدمة]]="كاش ان",
    IF(F167&lt;=100, 18, IF(F167&lt;=250, 23, IF(F167&lt;=500, 35, IF(F167&lt;=1000, 40, F167*0.04)))),
IF(Basic345678910111213141516171819202122232425262728[[#This Row],[نوع الخدمة]]="كاش اوت",
    IF(F167&lt;=100, 15, IF(F167&lt;=250, 20, IF(F167&lt;=500, 30, IF(F167&lt;=1000, 35, F167*0.035)))),
0)))</f>
        <v>0</v>
      </c>
      <c r="H167" s="159">
        <f>IF(I167="مخالفات",50,Basic345678910111213141516171819202122232425262728[[#This Row],[قيمة الرسوم / العموله]]+Basic345678910111213141516171819202122232425262728[[#This Row],[قيمة الشحنه]])</f>
        <v>0</v>
      </c>
      <c r="I167" s="90"/>
      <c r="J167" s="142" t="str">
        <f t="shared" si="2"/>
        <v>5.5.2026</v>
      </c>
      <c r="L167" s="153">
        <v>156</v>
      </c>
      <c r="M167" s="92"/>
    </row>
    <row r="168" spans="1:13" ht="21.6" x14ac:dyDescent="0.65">
      <c r="A168" s="195"/>
      <c r="B168" s="140">
        <v>165</v>
      </c>
      <c r="C168" s="2"/>
      <c r="D168" s="1"/>
      <c r="E168" s="3"/>
      <c r="F168" s="1"/>
      <c r="G168" s="141">
        <f>IF(Basic345678910111213141516171819202122232425262728[[#This Row],[نوع الخدمة]]="مخالفات", 50,
IF(Basic345678910111213141516171819202122232425262728[[#This Row],[نوع الخدمة]]="كاش ان",
    IF(F168&lt;=100, 18, IF(F168&lt;=250, 23, IF(F168&lt;=500, 35, IF(F168&lt;=1000, 40, F168*0.04)))),
IF(Basic345678910111213141516171819202122232425262728[[#This Row],[نوع الخدمة]]="كاش اوت",
    IF(F168&lt;=100, 15, IF(F168&lt;=250, 20, IF(F168&lt;=500, 30, IF(F168&lt;=1000, 35, F168*0.035)))),
0)))</f>
        <v>0</v>
      </c>
      <c r="H168" s="159">
        <f>IF(I168="مخالفات",50,Basic345678910111213141516171819202122232425262728[[#This Row],[قيمة الرسوم / العموله]]+Basic345678910111213141516171819202122232425262728[[#This Row],[قيمة الشحنه]])</f>
        <v>0</v>
      </c>
      <c r="I168" s="90"/>
      <c r="J168" s="142" t="str">
        <f t="shared" si="2"/>
        <v>5.5.2026</v>
      </c>
      <c r="L168" s="153">
        <v>157</v>
      </c>
      <c r="M168" s="92"/>
    </row>
    <row r="169" spans="1:13" ht="21.6" x14ac:dyDescent="0.65">
      <c r="A169" s="195"/>
      <c r="B169" s="144">
        <v>166</v>
      </c>
      <c r="C169" s="2"/>
      <c r="D169" s="1"/>
      <c r="E169" s="3"/>
      <c r="F169" s="1"/>
      <c r="G169" s="141">
        <f>IF(Basic345678910111213141516171819202122232425262728[[#This Row],[نوع الخدمة]]="مخالفات", 50,
IF(Basic345678910111213141516171819202122232425262728[[#This Row],[نوع الخدمة]]="كاش ان",
    IF(F169&lt;=100, 18, IF(F169&lt;=250, 23, IF(F169&lt;=500, 35, IF(F169&lt;=1000, 40, F169*0.04)))),
IF(Basic345678910111213141516171819202122232425262728[[#This Row],[نوع الخدمة]]="كاش اوت",
    IF(F169&lt;=100, 15, IF(F169&lt;=250, 20, IF(F169&lt;=500, 30, IF(F169&lt;=1000, 35, F169*0.035)))),
0)))</f>
        <v>0</v>
      </c>
      <c r="H169" s="159">
        <f>IF(I169="مخالفات",50,Basic345678910111213141516171819202122232425262728[[#This Row],[قيمة الرسوم / العموله]]+Basic345678910111213141516171819202122232425262728[[#This Row],[قيمة الشحنه]])</f>
        <v>0</v>
      </c>
      <c r="I169" s="90"/>
      <c r="J169" s="142" t="str">
        <f t="shared" si="2"/>
        <v>5.5.2026</v>
      </c>
      <c r="L169" s="153">
        <v>158</v>
      </c>
      <c r="M169" s="92"/>
    </row>
    <row r="170" spans="1:13" ht="21.6" x14ac:dyDescent="0.65">
      <c r="A170" s="195"/>
      <c r="B170" s="140">
        <v>167</v>
      </c>
      <c r="C170" s="2"/>
      <c r="D170" s="1"/>
      <c r="E170" s="3"/>
      <c r="F170" s="1"/>
      <c r="G170" s="141">
        <f>IF(Basic345678910111213141516171819202122232425262728[[#This Row],[نوع الخدمة]]="مخالفات", 50,
IF(Basic345678910111213141516171819202122232425262728[[#This Row],[نوع الخدمة]]="كاش ان",
    IF(F170&lt;=100, 18, IF(F170&lt;=250, 23, IF(F170&lt;=500, 35, IF(F170&lt;=1000, 40, F170*0.04)))),
IF(Basic345678910111213141516171819202122232425262728[[#This Row],[نوع الخدمة]]="كاش اوت",
    IF(F170&lt;=100, 15, IF(F170&lt;=250, 20, IF(F170&lt;=500, 30, IF(F170&lt;=1000, 35, F170*0.035)))),
0)))</f>
        <v>0</v>
      </c>
      <c r="H170" s="159">
        <f>IF(I170="مخالفات",50,Basic345678910111213141516171819202122232425262728[[#This Row],[قيمة الرسوم / العموله]]+Basic345678910111213141516171819202122232425262728[[#This Row],[قيمة الشحنه]])</f>
        <v>0</v>
      </c>
      <c r="I170" s="90"/>
      <c r="J170" s="142" t="str">
        <f t="shared" si="2"/>
        <v>5.5.2026</v>
      </c>
      <c r="L170" s="153">
        <v>159</v>
      </c>
      <c r="M170" s="92"/>
    </row>
    <row r="171" spans="1:13" ht="21.6" x14ac:dyDescent="0.65">
      <c r="A171" s="195"/>
      <c r="B171" s="140">
        <v>168</v>
      </c>
      <c r="C171" s="2"/>
      <c r="D171" s="1"/>
      <c r="E171" s="3"/>
      <c r="F171" s="1"/>
      <c r="G171" s="141">
        <f>IF(Basic345678910111213141516171819202122232425262728[[#This Row],[نوع الخدمة]]="مخالفات", 50,
IF(Basic345678910111213141516171819202122232425262728[[#This Row],[نوع الخدمة]]="كاش ان",
    IF(F171&lt;=100, 18, IF(F171&lt;=250, 23, IF(F171&lt;=500, 35, IF(F171&lt;=1000, 40, F171*0.04)))),
IF(Basic345678910111213141516171819202122232425262728[[#This Row],[نوع الخدمة]]="كاش اوت",
    IF(F171&lt;=100, 15, IF(F171&lt;=250, 20, IF(F171&lt;=500, 30, IF(F171&lt;=1000, 35, F171*0.035)))),
0)))</f>
        <v>0</v>
      </c>
      <c r="H171" s="159">
        <f>IF(I171="مخالفات",50,Basic345678910111213141516171819202122232425262728[[#This Row],[قيمة الرسوم / العموله]]+Basic345678910111213141516171819202122232425262728[[#This Row],[قيمة الشحنه]])</f>
        <v>0</v>
      </c>
      <c r="I171" s="90"/>
      <c r="J171" s="142" t="str">
        <f t="shared" si="2"/>
        <v>5.5.2026</v>
      </c>
      <c r="L171" s="153">
        <v>160</v>
      </c>
      <c r="M171" s="92"/>
    </row>
    <row r="172" spans="1:13" ht="21.6" x14ac:dyDescent="0.65">
      <c r="A172" s="195"/>
      <c r="B172" s="140">
        <v>169</v>
      </c>
      <c r="C172" s="2"/>
      <c r="D172" s="1"/>
      <c r="E172" s="3"/>
      <c r="F172" s="1"/>
      <c r="G172" s="141">
        <f>IF(Basic345678910111213141516171819202122232425262728[[#This Row],[نوع الخدمة]]="مخالفات", 50,
IF(Basic345678910111213141516171819202122232425262728[[#This Row],[نوع الخدمة]]="كاش ان",
    IF(F172&lt;=100, 18, IF(F172&lt;=250, 23, IF(F172&lt;=500, 35, IF(F172&lt;=1000, 40, F172*0.04)))),
IF(Basic345678910111213141516171819202122232425262728[[#This Row],[نوع الخدمة]]="كاش اوت",
    IF(F172&lt;=100, 15, IF(F172&lt;=250, 20, IF(F172&lt;=500, 30, IF(F172&lt;=1000, 35, F172*0.035)))),
0)))</f>
        <v>0</v>
      </c>
      <c r="H172" s="159">
        <f>IF(I172="مخالفات",50,Basic345678910111213141516171819202122232425262728[[#This Row],[قيمة الرسوم / العموله]]+Basic345678910111213141516171819202122232425262728[[#This Row],[قيمة الشحنه]])</f>
        <v>0</v>
      </c>
      <c r="I172" s="90"/>
      <c r="J172" s="142" t="str">
        <f t="shared" si="2"/>
        <v>5.5.2026</v>
      </c>
      <c r="L172" s="153">
        <v>161</v>
      </c>
      <c r="M172" s="92"/>
    </row>
    <row r="173" spans="1:13" ht="21.6" x14ac:dyDescent="0.65">
      <c r="A173" s="195"/>
      <c r="B173" s="144">
        <v>170</v>
      </c>
      <c r="C173" s="2"/>
      <c r="D173" s="1"/>
      <c r="E173" s="3"/>
      <c r="F173" s="1"/>
      <c r="G173" s="141">
        <f>IF(Basic345678910111213141516171819202122232425262728[[#This Row],[نوع الخدمة]]="مخالفات", 50,
IF(Basic345678910111213141516171819202122232425262728[[#This Row],[نوع الخدمة]]="كاش ان",
    IF(F173&lt;=100, 18, IF(F173&lt;=250, 23, IF(F173&lt;=500, 35, IF(F173&lt;=1000, 40, F173*0.04)))),
IF(Basic345678910111213141516171819202122232425262728[[#This Row],[نوع الخدمة]]="كاش اوت",
    IF(F173&lt;=100, 15, IF(F173&lt;=250, 20, IF(F173&lt;=500, 30, IF(F173&lt;=1000, 35, F173*0.035)))),
0)))</f>
        <v>0</v>
      </c>
      <c r="H173" s="159">
        <f>IF(I173="مخالفات",50,Basic345678910111213141516171819202122232425262728[[#This Row],[قيمة الرسوم / العموله]]+Basic345678910111213141516171819202122232425262728[[#This Row],[قيمة الشحنه]])</f>
        <v>0</v>
      </c>
      <c r="I173" s="90"/>
      <c r="J173" s="142" t="str">
        <f t="shared" si="2"/>
        <v>5.5.2026</v>
      </c>
      <c r="L173" s="153">
        <v>162</v>
      </c>
      <c r="M173" s="92"/>
    </row>
    <row r="174" spans="1:13" ht="21.6" x14ac:dyDescent="0.65">
      <c r="A174" s="195"/>
      <c r="B174" s="140">
        <v>171</v>
      </c>
      <c r="C174" s="2"/>
      <c r="D174" s="1"/>
      <c r="E174" s="3"/>
      <c r="F174" s="1"/>
      <c r="G174" s="141">
        <f>IF(Basic345678910111213141516171819202122232425262728[[#This Row],[نوع الخدمة]]="مخالفات", 50,
IF(Basic345678910111213141516171819202122232425262728[[#This Row],[نوع الخدمة]]="كاش ان",
    IF(F174&lt;=100, 18, IF(F174&lt;=250, 23, IF(F174&lt;=500, 35, IF(F174&lt;=1000, 40, F174*0.04)))),
IF(Basic345678910111213141516171819202122232425262728[[#This Row],[نوع الخدمة]]="كاش اوت",
    IF(F174&lt;=100, 15, IF(F174&lt;=250, 20, IF(F174&lt;=500, 30, IF(F174&lt;=1000, 35, F174*0.035)))),
0)))</f>
        <v>0</v>
      </c>
      <c r="H174" s="159">
        <f>IF(I174="مخالفات",50,Basic345678910111213141516171819202122232425262728[[#This Row],[قيمة الرسوم / العموله]]+Basic345678910111213141516171819202122232425262728[[#This Row],[قيمة الشحنه]])</f>
        <v>0</v>
      </c>
      <c r="I174" s="90"/>
      <c r="J174" s="142" t="str">
        <f t="shared" si="2"/>
        <v>5.5.2026</v>
      </c>
      <c r="L174" s="153">
        <v>163</v>
      </c>
      <c r="M174" s="92"/>
    </row>
    <row r="175" spans="1:13" ht="21.6" x14ac:dyDescent="0.65">
      <c r="A175" s="195"/>
      <c r="B175" s="140">
        <v>172</v>
      </c>
      <c r="C175" s="2"/>
      <c r="D175" s="1"/>
      <c r="E175" s="3"/>
      <c r="F175" s="1"/>
      <c r="G175" s="141">
        <f>IF(Basic345678910111213141516171819202122232425262728[[#This Row],[نوع الخدمة]]="مخالفات", 50,
IF(Basic345678910111213141516171819202122232425262728[[#This Row],[نوع الخدمة]]="كاش ان",
    IF(F175&lt;=100, 18, IF(F175&lt;=250, 23, IF(F175&lt;=500, 35, IF(F175&lt;=1000, 40, F175*0.04)))),
IF(Basic345678910111213141516171819202122232425262728[[#This Row],[نوع الخدمة]]="كاش اوت",
    IF(F175&lt;=100, 15, IF(F175&lt;=250, 20, IF(F175&lt;=500, 30, IF(F175&lt;=1000, 35, F175*0.035)))),
0)))</f>
        <v>0</v>
      </c>
      <c r="H175" s="159">
        <f>IF(I175="مخالفات",50,Basic345678910111213141516171819202122232425262728[[#This Row],[قيمة الرسوم / العموله]]+Basic345678910111213141516171819202122232425262728[[#This Row],[قيمة الشحنه]])</f>
        <v>0</v>
      </c>
      <c r="I175" s="90"/>
      <c r="J175" s="142" t="str">
        <f t="shared" si="2"/>
        <v>5.5.2026</v>
      </c>
      <c r="L175" s="153">
        <v>164</v>
      </c>
      <c r="M175" s="92"/>
    </row>
    <row r="176" spans="1:13" ht="21.6" x14ac:dyDescent="0.65">
      <c r="A176" s="195"/>
      <c r="B176" s="140">
        <v>173</v>
      </c>
      <c r="C176" s="2"/>
      <c r="D176" s="1"/>
      <c r="E176" s="3"/>
      <c r="F176" s="1"/>
      <c r="G176" s="141">
        <f>IF(Basic345678910111213141516171819202122232425262728[[#This Row],[نوع الخدمة]]="مخالفات", 50,
IF(Basic345678910111213141516171819202122232425262728[[#This Row],[نوع الخدمة]]="كاش ان",
    IF(F176&lt;=100, 18, IF(F176&lt;=250, 23, IF(F176&lt;=500, 35, IF(F176&lt;=1000, 40, F176*0.04)))),
IF(Basic345678910111213141516171819202122232425262728[[#This Row],[نوع الخدمة]]="كاش اوت",
    IF(F176&lt;=100, 15, IF(F176&lt;=250, 20, IF(F176&lt;=500, 30, IF(F176&lt;=1000, 35, F176*0.035)))),
0)))</f>
        <v>0</v>
      </c>
      <c r="H176" s="159">
        <f>IF(I176="مخالفات",50,Basic345678910111213141516171819202122232425262728[[#This Row],[قيمة الرسوم / العموله]]+Basic345678910111213141516171819202122232425262728[[#This Row],[قيمة الشحنه]])</f>
        <v>0</v>
      </c>
      <c r="I176" s="90"/>
      <c r="J176" s="142" t="str">
        <f t="shared" si="2"/>
        <v>5.5.2026</v>
      </c>
      <c r="L176" s="153">
        <v>165</v>
      </c>
      <c r="M176" s="92"/>
    </row>
    <row r="177" spans="1:13" ht="21.6" x14ac:dyDescent="0.65">
      <c r="A177" s="195"/>
      <c r="B177" s="144">
        <v>174</v>
      </c>
      <c r="C177" s="2"/>
      <c r="D177" s="1"/>
      <c r="E177" s="3"/>
      <c r="F177" s="1"/>
      <c r="G177" s="141">
        <f>IF(Basic345678910111213141516171819202122232425262728[[#This Row],[نوع الخدمة]]="مخالفات", 50,
IF(Basic345678910111213141516171819202122232425262728[[#This Row],[نوع الخدمة]]="كاش ان",
    IF(F177&lt;=100, 18, IF(F177&lt;=250, 23, IF(F177&lt;=500, 35, IF(F177&lt;=1000, 40, F177*0.04)))),
IF(Basic345678910111213141516171819202122232425262728[[#This Row],[نوع الخدمة]]="كاش اوت",
    IF(F177&lt;=100, 15, IF(F177&lt;=250, 20, IF(F177&lt;=500, 30, IF(F177&lt;=1000, 35, F177*0.035)))),
0)))</f>
        <v>0</v>
      </c>
      <c r="H177" s="159">
        <f>IF(I177="مخالفات",50,Basic345678910111213141516171819202122232425262728[[#This Row],[قيمة الرسوم / العموله]]+Basic345678910111213141516171819202122232425262728[[#This Row],[قيمة الشحنه]])</f>
        <v>0</v>
      </c>
      <c r="I177" s="90"/>
      <c r="J177" s="142" t="str">
        <f t="shared" si="2"/>
        <v>5.5.2026</v>
      </c>
      <c r="L177" s="153">
        <v>166</v>
      </c>
      <c r="M177" s="92"/>
    </row>
    <row r="178" spans="1:13" ht="21.6" x14ac:dyDescent="0.65">
      <c r="A178" s="195"/>
      <c r="B178" s="140">
        <v>175</v>
      </c>
      <c r="C178" s="2"/>
      <c r="D178" s="1"/>
      <c r="E178" s="3"/>
      <c r="F178" s="1"/>
      <c r="G178" s="141">
        <f>IF(Basic345678910111213141516171819202122232425262728[[#This Row],[نوع الخدمة]]="مخالفات", 50,
IF(Basic345678910111213141516171819202122232425262728[[#This Row],[نوع الخدمة]]="كاش ان",
    IF(F178&lt;=100, 18, IF(F178&lt;=250, 23, IF(F178&lt;=500, 35, IF(F178&lt;=1000, 40, F178*0.04)))),
IF(Basic345678910111213141516171819202122232425262728[[#This Row],[نوع الخدمة]]="كاش اوت",
    IF(F178&lt;=100, 15, IF(F178&lt;=250, 20, IF(F178&lt;=500, 30, IF(F178&lt;=1000, 35, F178*0.035)))),
0)))</f>
        <v>0</v>
      </c>
      <c r="H178" s="159">
        <f>IF(I178="مخالفات",50,Basic345678910111213141516171819202122232425262728[[#This Row],[قيمة الرسوم / العموله]]+Basic345678910111213141516171819202122232425262728[[#This Row],[قيمة الشحنه]])</f>
        <v>0</v>
      </c>
      <c r="I178" s="90"/>
      <c r="J178" s="142" t="str">
        <f t="shared" si="2"/>
        <v>5.5.2026</v>
      </c>
      <c r="L178" s="153">
        <v>167</v>
      </c>
      <c r="M178" s="92"/>
    </row>
    <row r="179" spans="1:13" ht="21.6" x14ac:dyDescent="0.65">
      <c r="A179" s="195"/>
      <c r="B179" s="140">
        <v>176</v>
      </c>
      <c r="C179" s="2"/>
      <c r="D179" s="1"/>
      <c r="E179" s="3"/>
      <c r="F179" s="1"/>
      <c r="G179" s="141">
        <f>IF(Basic345678910111213141516171819202122232425262728[[#This Row],[نوع الخدمة]]="مخالفات", 50,
IF(Basic345678910111213141516171819202122232425262728[[#This Row],[نوع الخدمة]]="كاش ان",
    IF(F179&lt;=100, 18, IF(F179&lt;=250, 23, IF(F179&lt;=500, 35, IF(F179&lt;=1000, 40, F179*0.04)))),
IF(Basic345678910111213141516171819202122232425262728[[#This Row],[نوع الخدمة]]="كاش اوت",
    IF(F179&lt;=100, 15, IF(F179&lt;=250, 20, IF(F179&lt;=500, 30, IF(F179&lt;=1000, 35, F179*0.035)))),
0)))</f>
        <v>0</v>
      </c>
      <c r="H179" s="159">
        <f>IF(I179="مخالفات",50,Basic345678910111213141516171819202122232425262728[[#This Row],[قيمة الرسوم / العموله]]+Basic345678910111213141516171819202122232425262728[[#This Row],[قيمة الشحنه]])</f>
        <v>0</v>
      </c>
      <c r="I179" s="90"/>
      <c r="J179" s="142" t="str">
        <f t="shared" si="2"/>
        <v>5.5.2026</v>
      </c>
      <c r="L179" s="153">
        <v>168</v>
      </c>
      <c r="M179" s="92"/>
    </row>
    <row r="180" spans="1:13" ht="21.6" x14ac:dyDescent="0.65">
      <c r="A180" s="195"/>
      <c r="B180" s="140">
        <v>177</v>
      </c>
      <c r="C180" s="2"/>
      <c r="D180" s="1"/>
      <c r="E180" s="3"/>
      <c r="F180" s="1"/>
      <c r="G180" s="141">
        <f>IF(Basic345678910111213141516171819202122232425262728[[#This Row],[نوع الخدمة]]="مخالفات", 50,
IF(Basic345678910111213141516171819202122232425262728[[#This Row],[نوع الخدمة]]="كاش ان",
    IF(F180&lt;=100, 18, IF(F180&lt;=250, 23, IF(F180&lt;=500, 35, IF(F180&lt;=1000, 40, F180*0.04)))),
IF(Basic345678910111213141516171819202122232425262728[[#This Row],[نوع الخدمة]]="كاش اوت",
    IF(F180&lt;=100, 15, IF(F180&lt;=250, 20, IF(F180&lt;=500, 30, IF(F180&lt;=1000, 35, F180*0.035)))),
0)))</f>
        <v>0</v>
      </c>
      <c r="H180" s="159">
        <f>IF(I180="مخالفات",50,Basic345678910111213141516171819202122232425262728[[#This Row],[قيمة الرسوم / العموله]]+Basic345678910111213141516171819202122232425262728[[#This Row],[قيمة الشحنه]])</f>
        <v>0</v>
      </c>
      <c r="I180" s="90"/>
      <c r="J180" s="142" t="str">
        <f t="shared" si="2"/>
        <v>5.5.2026</v>
      </c>
      <c r="L180" s="153">
        <v>169</v>
      </c>
      <c r="M180" s="92"/>
    </row>
    <row r="181" spans="1:13" ht="21.6" x14ac:dyDescent="0.65">
      <c r="A181" s="195"/>
      <c r="B181" s="144">
        <v>178</v>
      </c>
      <c r="C181" s="2"/>
      <c r="D181" s="1"/>
      <c r="E181" s="3"/>
      <c r="F181" s="1"/>
      <c r="G181" s="141">
        <f>IF(Basic345678910111213141516171819202122232425262728[[#This Row],[نوع الخدمة]]="مخالفات", 50,
IF(Basic345678910111213141516171819202122232425262728[[#This Row],[نوع الخدمة]]="كاش ان",
    IF(F181&lt;=100, 18, IF(F181&lt;=250, 23, IF(F181&lt;=500, 35, IF(F181&lt;=1000, 40, F181*0.04)))),
IF(Basic345678910111213141516171819202122232425262728[[#This Row],[نوع الخدمة]]="كاش اوت",
    IF(F181&lt;=100, 15, IF(F181&lt;=250, 20, IF(F181&lt;=500, 30, IF(F181&lt;=1000, 35, F181*0.035)))),
0)))</f>
        <v>0</v>
      </c>
      <c r="H181" s="159">
        <f>IF(I181="مخالفات",50,Basic345678910111213141516171819202122232425262728[[#This Row],[قيمة الرسوم / العموله]]+Basic345678910111213141516171819202122232425262728[[#This Row],[قيمة الشحنه]])</f>
        <v>0</v>
      </c>
      <c r="I181" s="90"/>
      <c r="J181" s="142" t="str">
        <f t="shared" si="2"/>
        <v>5.5.2026</v>
      </c>
      <c r="L181" s="153">
        <v>170</v>
      </c>
      <c r="M181" s="92"/>
    </row>
    <row r="182" spans="1:13" ht="21.6" x14ac:dyDescent="0.65">
      <c r="A182" s="195"/>
      <c r="B182" s="140">
        <v>179</v>
      </c>
      <c r="C182" s="2"/>
      <c r="D182" s="1"/>
      <c r="E182" s="3"/>
      <c r="F182" s="1"/>
      <c r="G182" s="141">
        <f>IF(Basic345678910111213141516171819202122232425262728[[#This Row],[نوع الخدمة]]="مخالفات", 50,
IF(Basic345678910111213141516171819202122232425262728[[#This Row],[نوع الخدمة]]="كاش ان",
    IF(F182&lt;=100, 18, IF(F182&lt;=250, 23, IF(F182&lt;=500, 35, IF(F182&lt;=1000, 40, F182*0.04)))),
IF(Basic345678910111213141516171819202122232425262728[[#This Row],[نوع الخدمة]]="كاش اوت",
    IF(F182&lt;=100, 15, IF(F182&lt;=250, 20, IF(F182&lt;=500, 30, IF(F182&lt;=1000, 35, F182*0.035)))),
0)))</f>
        <v>0</v>
      </c>
      <c r="H182" s="159">
        <f>IF(I182="مخالفات",50,Basic345678910111213141516171819202122232425262728[[#This Row],[قيمة الرسوم / العموله]]+Basic345678910111213141516171819202122232425262728[[#This Row],[قيمة الشحنه]])</f>
        <v>0</v>
      </c>
      <c r="I182" s="90"/>
      <c r="J182" s="142" t="str">
        <f t="shared" si="2"/>
        <v>5.5.2026</v>
      </c>
      <c r="L182" s="153">
        <v>171</v>
      </c>
      <c r="M182" s="92"/>
    </row>
    <row r="183" spans="1:13" ht="21.6" x14ac:dyDescent="0.65">
      <c r="A183" s="195"/>
      <c r="B183" s="140">
        <v>180</v>
      </c>
      <c r="C183" s="2"/>
      <c r="D183" s="1"/>
      <c r="E183" s="3"/>
      <c r="F183" s="1"/>
      <c r="G183" s="141">
        <f>IF(Basic345678910111213141516171819202122232425262728[[#This Row],[نوع الخدمة]]="مخالفات", 50,
IF(Basic345678910111213141516171819202122232425262728[[#This Row],[نوع الخدمة]]="كاش ان",
    IF(F183&lt;=100, 18, IF(F183&lt;=250, 23, IF(F183&lt;=500, 35, IF(F183&lt;=1000, 40, F183*0.04)))),
IF(Basic345678910111213141516171819202122232425262728[[#This Row],[نوع الخدمة]]="كاش اوت",
    IF(F183&lt;=100, 15, IF(F183&lt;=250, 20, IF(F183&lt;=500, 30, IF(F183&lt;=1000, 35, F183*0.035)))),
0)))</f>
        <v>0</v>
      </c>
      <c r="H183" s="159">
        <f>IF(I183="مخالفات",50,Basic345678910111213141516171819202122232425262728[[#This Row],[قيمة الرسوم / العموله]]+Basic345678910111213141516171819202122232425262728[[#This Row],[قيمة الشحنه]])</f>
        <v>0</v>
      </c>
      <c r="I183" s="90"/>
      <c r="J183" s="142" t="str">
        <f t="shared" si="2"/>
        <v>5.5.2026</v>
      </c>
      <c r="L183" s="153">
        <v>172</v>
      </c>
      <c r="M183" s="92"/>
    </row>
    <row r="184" spans="1:13" ht="21.6" x14ac:dyDescent="0.65">
      <c r="A184" s="195"/>
      <c r="B184" s="140">
        <v>181</v>
      </c>
      <c r="C184" s="2"/>
      <c r="D184" s="1"/>
      <c r="E184" s="3"/>
      <c r="F184" s="1"/>
      <c r="G184" s="141">
        <f>IF(Basic345678910111213141516171819202122232425262728[[#This Row],[نوع الخدمة]]="مخالفات", 50,
IF(Basic345678910111213141516171819202122232425262728[[#This Row],[نوع الخدمة]]="كاش ان",
    IF(F184&lt;=100, 18, IF(F184&lt;=250, 23, IF(F184&lt;=500, 35, IF(F184&lt;=1000, 40, F184*0.04)))),
IF(Basic345678910111213141516171819202122232425262728[[#This Row],[نوع الخدمة]]="كاش اوت",
    IF(F184&lt;=100, 15, IF(F184&lt;=250, 20, IF(F184&lt;=500, 30, IF(F184&lt;=1000, 35, F184*0.035)))),
0)))</f>
        <v>0</v>
      </c>
      <c r="H184" s="159">
        <f>IF(I184="مخالفات",50,Basic345678910111213141516171819202122232425262728[[#This Row],[قيمة الرسوم / العموله]]+Basic345678910111213141516171819202122232425262728[[#This Row],[قيمة الشحنه]])</f>
        <v>0</v>
      </c>
      <c r="I184" s="90"/>
      <c r="J184" s="142" t="str">
        <f t="shared" si="2"/>
        <v>5.5.2026</v>
      </c>
      <c r="L184" s="153">
        <v>173</v>
      </c>
      <c r="M184" s="92"/>
    </row>
    <row r="185" spans="1:13" ht="21.6" x14ac:dyDescent="0.65">
      <c r="A185" s="195"/>
      <c r="B185" s="144">
        <v>182</v>
      </c>
      <c r="C185" s="2"/>
      <c r="D185" s="1"/>
      <c r="E185" s="3"/>
      <c r="F185" s="1"/>
      <c r="G185" s="141">
        <f>IF(Basic345678910111213141516171819202122232425262728[[#This Row],[نوع الخدمة]]="مخالفات", 50,
IF(Basic345678910111213141516171819202122232425262728[[#This Row],[نوع الخدمة]]="كاش ان",
    IF(F185&lt;=100, 18, IF(F185&lt;=250, 23, IF(F185&lt;=500, 35, IF(F185&lt;=1000, 40, F185*0.04)))),
IF(Basic345678910111213141516171819202122232425262728[[#This Row],[نوع الخدمة]]="كاش اوت",
    IF(F185&lt;=100, 15, IF(F185&lt;=250, 20, IF(F185&lt;=500, 30, IF(F185&lt;=1000, 35, F185*0.035)))),
0)))</f>
        <v>0</v>
      </c>
      <c r="H185" s="159">
        <f>IF(I185="مخالفات",50,Basic345678910111213141516171819202122232425262728[[#This Row],[قيمة الرسوم / العموله]]+Basic345678910111213141516171819202122232425262728[[#This Row],[قيمة الشحنه]])</f>
        <v>0</v>
      </c>
      <c r="I185" s="90"/>
      <c r="J185" s="142" t="str">
        <f t="shared" si="2"/>
        <v>5.5.2026</v>
      </c>
      <c r="L185" s="153">
        <v>174</v>
      </c>
      <c r="M185" s="92"/>
    </row>
    <row r="186" spans="1:13" ht="21.6" x14ac:dyDescent="0.65">
      <c r="A186" s="195"/>
      <c r="B186" s="140">
        <v>183</v>
      </c>
      <c r="C186" s="2"/>
      <c r="D186" s="1"/>
      <c r="E186" s="3"/>
      <c r="F186" s="1"/>
      <c r="G186" s="141">
        <f>IF(Basic345678910111213141516171819202122232425262728[[#This Row],[نوع الخدمة]]="مخالفات", 50,
IF(Basic345678910111213141516171819202122232425262728[[#This Row],[نوع الخدمة]]="كاش ان",
    IF(F186&lt;=100, 18, IF(F186&lt;=250, 23, IF(F186&lt;=500, 35, IF(F186&lt;=1000, 40, F186*0.04)))),
IF(Basic345678910111213141516171819202122232425262728[[#This Row],[نوع الخدمة]]="كاش اوت",
    IF(F186&lt;=100, 15, IF(F186&lt;=250, 20, IF(F186&lt;=500, 30, IF(F186&lt;=1000, 35, F186*0.035)))),
0)))</f>
        <v>0</v>
      </c>
      <c r="H186" s="159">
        <f>IF(I186="مخالفات",50,Basic345678910111213141516171819202122232425262728[[#This Row],[قيمة الرسوم / العموله]]+Basic345678910111213141516171819202122232425262728[[#This Row],[قيمة الشحنه]])</f>
        <v>0</v>
      </c>
      <c r="I186" s="90"/>
      <c r="J186" s="142" t="str">
        <f t="shared" si="2"/>
        <v>5.5.2026</v>
      </c>
      <c r="L186" s="153">
        <v>175</v>
      </c>
      <c r="M186" s="92"/>
    </row>
    <row r="187" spans="1:13" ht="21.6" x14ac:dyDescent="0.65">
      <c r="A187" s="195"/>
      <c r="B187" s="140">
        <v>184</v>
      </c>
      <c r="C187" s="2"/>
      <c r="D187" s="1"/>
      <c r="E187" s="3"/>
      <c r="F187" s="1"/>
      <c r="G187" s="141">
        <f>IF(Basic345678910111213141516171819202122232425262728[[#This Row],[نوع الخدمة]]="مخالفات", 50,
IF(Basic345678910111213141516171819202122232425262728[[#This Row],[نوع الخدمة]]="كاش ان",
    IF(F187&lt;=100, 18, IF(F187&lt;=250, 23, IF(F187&lt;=500, 35, IF(F187&lt;=1000, 40, F187*0.04)))),
IF(Basic345678910111213141516171819202122232425262728[[#This Row],[نوع الخدمة]]="كاش اوت",
    IF(F187&lt;=100, 15, IF(F187&lt;=250, 20, IF(F187&lt;=500, 30, IF(F187&lt;=1000, 35, F187*0.035)))),
0)))</f>
        <v>0</v>
      </c>
      <c r="H187" s="159">
        <f>IF(I187="مخالفات",50,Basic345678910111213141516171819202122232425262728[[#This Row],[قيمة الرسوم / العموله]]+Basic345678910111213141516171819202122232425262728[[#This Row],[قيمة الشحنه]])</f>
        <v>0</v>
      </c>
      <c r="I187" s="90"/>
      <c r="J187" s="142" t="str">
        <f t="shared" si="2"/>
        <v>5.5.2026</v>
      </c>
      <c r="L187" s="153">
        <v>176</v>
      </c>
      <c r="M187" s="92"/>
    </row>
    <row r="188" spans="1:13" ht="21.6" x14ac:dyDescent="0.65">
      <c r="A188" s="195"/>
      <c r="B188" s="140">
        <v>185</v>
      </c>
      <c r="C188" s="2"/>
      <c r="D188" s="1"/>
      <c r="E188" s="3"/>
      <c r="F188" s="1"/>
      <c r="G188" s="141">
        <f>IF(Basic345678910111213141516171819202122232425262728[[#This Row],[نوع الخدمة]]="مخالفات", 50,
IF(Basic345678910111213141516171819202122232425262728[[#This Row],[نوع الخدمة]]="كاش ان",
    IF(F188&lt;=100, 18, IF(F188&lt;=250, 23, IF(F188&lt;=500, 35, IF(F188&lt;=1000, 40, F188*0.04)))),
IF(Basic345678910111213141516171819202122232425262728[[#This Row],[نوع الخدمة]]="كاش اوت",
    IF(F188&lt;=100, 15, IF(F188&lt;=250, 20, IF(F188&lt;=500, 30, IF(F188&lt;=1000, 35, F188*0.035)))),
0)))</f>
        <v>0</v>
      </c>
      <c r="H188" s="159">
        <f>IF(I188="مخالفات",50,Basic345678910111213141516171819202122232425262728[[#This Row],[قيمة الرسوم / العموله]]+Basic345678910111213141516171819202122232425262728[[#This Row],[قيمة الشحنه]])</f>
        <v>0</v>
      </c>
      <c r="I188" s="90"/>
      <c r="J188" s="142" t="str">
        <f t="shared" si="2"/>
        <v>5.5.2026</v>
      </c>
      <c r="L188" s="153">
        <v>177</v>
      </c>
      <c r="M188" s="92"/>
    </row>
    <row r="189" spans="1:13" ht="21.6" x14ac:dyDescent="0.65">
      <c r="A189" s="195"/>
      <c r="B189" s="144">
        <v>186</v>
      </c>
      <c r="C189" s="2"/>
      <c r="D189" s="1"/>
      <c r="E189" s="3"/>
      <c r="F189" s="1"/>
      <c r="G189" s="141">
        <f>IF(Basic345678910111213141516171819202122232425262728[[#This Row],[نوع الخدمة]]="مخالفات", 50,
IF(Basic345678910111213141516171819202122232425262728[[#This Row],[نوع الخدمة]]="كاش ان",
    IF(F189&lt;=100, 18, IF(F189&lt;=250, 23, IF(F189&lt;=500, 35, IF(F189&lt;=1000, 40, F189*0.04)))),
IF(Basic345678910111213141516171819202122232425262728[[#This Row],[نوع الخدمة]]="كاش اوت",
    IF(F189&lt;=100, 15, IF(F189&lt;=250, 20, IF(F189&lt;=500, 30, IF(F189&lt;=1000, 35, F189*0.035)))),
0)))</f>
        <v>0</v>
      </c>
      <c r="H189" s="159">
        <f>IF(I189="مخالفات",50,Basic345678910111213141516171819202122232425262728[[#This Row],[قيمة الرسوم / العموله]]+Basic345678910111213141516171819202122232425262728[[#This Row],[قيمة الشحنه]])</f>
        <v>0</v>
      </c>
      <c r="I189" s="90"/>
      <c r="J189" s="142" t="str">
        <f t="shared" si="2"/>
        <v>5.5.2026</v>
      </c>
      <c r="L189" s="153">
        <v>178</v>
      </c>
      <c r="M189" s="92"/>
    </row>
    <row r="190" spans="1:13" ht="21.6" x14ac:dyDescent="0.65">
      <c r="A190" s="195"/>
      <c r="B190" s="140">
        <v>187</v>
      </c>
      <c r="C190" s="2"/>
      <c r="D190" s="1"/>
      <c r="E190" s="3"/>
      <c r="F190" s="1"/>
      <c r="G190" s="141">
        <f>IF(Basic345678910111213141516171819202122232425262728[[#This Row],[نوع الخدمة]]="مخالفات", 50,
IF(Basic345678910111213141516171819202122232425262728[[#This Row],[نوع الخدمة]]="كاش ان",
    IF(F190&lt;=100, 18, IF(F190&lt;=250, 23, IF(F190&lt;=500, 35, IF(F190&lt;=1000, 40, F190*0.04)))),
IF(Basic345678910111213141516171819202122232425262728[[#This Row],[نوع الخدمة]]="كاش اوت",
    IF(F190&lt;=100, 15, IF(F190&lt;=250, 20, IF(F190&lt;=500, 30, IF(F190&lt;=1000, 35, F190*0.035)))),
0)))</f>
        <v>0</v>
      </c>
      <c r="H190" s="159">
        <f>IF(I190="مخالفات",50,Basic345678910111213141516171819202122232425262728[[#This Row],[قيمة الرسوم / العموله]]+Basic345678910111213141516171819202122232425262728[[#This Row],[قيمة الشحنه]])</f>
        <v>0</v>
      </c>
      <c r="I190" s="90"/>
      <c r="J190" s="142" t="str">
        <f t="shared" si="2"/>
        <v>5.5.2026</v>
      </c>
      <c r="L190" s="153">
        <v>179</v>
      </c>
      <c r="M190" s="92"/>
    </row>
    <row r="191" spans="1:13" ht="21.6" x14ac:dyDescent="0.65">
      <c r="A191" s="195"/>
      <c r="B191" s="140">
        <v>188</v>
      </c>
      <c r="C191" s="2"/>
      <c r="D191" s="1"/>
      <c r="E191" s="3"/>
      <c r="F191" s="1"/>
      <c r="G191" s="141">
        <f>IF(Basic345678910111213141516171819202122232425262728[[#This Row],[نوع الخدمة]]="مخالفات", 50,
IF(Basic345678910111213141516171819202122232425262728[[#This Row],[نوع الخدمة]]="كاش ان",
    IF(F191&lt;=100, 18, IF(F191&lt;=250, 23, IF(F191&lt;=500, 35, IF(F191&lt;=1000, 40, F191*0.04)))),
IF(Basic345678910111213141516171819202122232425262728[[#This Row],[نوع الخدمة]]="كاش اوت",
    IF(F191&lt;=100, 15, IF(F191&lt;=250, 20, IF(F191&lt;=500, 30, IF(F191&lt;=1000, 35, F191*0.035)))),
0)))</f>
        <v>0</v>
      </c>
      <c r="H191" s="159">
        <f>IF(I191="مخالفات",50,Basic345678910111213141516171819202122232425262728[[#This Row],[قيمة الرسوم / العموله]]+Basic345678910111213141516171819202122232425262728[[#This Row],[قيمة الشحنه]])</f>
        <v>0</v>
      </c>
      <c r="I191" s="90"/>
      <c r="J191" s="142" t="str">
        <f t="shared" si="2"/>
        <v>5.5.2026</v>
      </c>
      <c r="L191" s="153">
        <v>180</v>
      </c>
      <c r="M191" s="92"/>
    </row>
    <row r="192" spans="1:13" ht="21.6" x14ac:dyDescent="0.65">
      <c r="A192" s="195"/>
      <c r="B192" s="140">
        <v>189</v>
      </c>
      <c r="C192" s="2"/>
      <c r="D192" s="1"/>
      <c r="E192" s="3"/>
      <c r="F192" s="1"/>
      <c r="G192" s="141">
        <f>IF(Basic345678910111213141516171819202122232425262728[[#This Row],[نوع الخدمة]]="مخالفات", 50,
IF(Basic345678910111213141516171819202122232425262728[[#This Row],[نوع الخدمة]]="كاش ان",
    IF(F192&lt;=100, 18, IF(F192&lt;=250, 23, IF(F192&lt;=500, 35, IF(F192&lt;=1000, 40, F192*0.04)))),
IF(Basic345678910111213141516171819202122232425262728[[#This Row],[نوع الخدمة]]="كاش اوت",
    IF(F192&lt;=100, 15, IF(F192&lt;=250, 20, IF(F192&lt;=500, 30, IF(F192&lt;=1000, 35, F192*0.035)))),
0)))</f>
        <v>0</v>
      </c>
      <c r="H192" s="159">
        <f>IF(I192="مخالفات",50,Basic345678910111213141516171819202122232425262728[[#This Row],[قيمة الرسوم / العموله]]+Basic345678910111213141516171819202122232425262728[[#This Row],[قيمة الشحنه]])</f>
        <v>0</v>
      </c>
      <c r="I192" s="90"/>
      <c r="J192" s="142" t="str">
        <f t="shared" si="2"/>
        <v>5.5.2026</v>
      </c>
      <c r="L192" s="153">
        <v>181</v>
      </c>
      <c r="M192" s="92"/>
    </row>
    <row r="193" spans="1:13" ht="21.6" x14ac:dyDescent="0.65">
      <c r="A193" s="195"/>
      <c r="B193" s="144">
        <v>190</v>
      </c>
      <c r="C193" s="2"/>
      <c r="D193" s="1"/>
      <c r="E193" s="3"/>
      <c r="F193" s="1"/>
      <c r="G193" s="141">
        <f>IF(Basic345678910111213141516171819202122232425262728[[#This Row],[نوع الخدمة]]="مخالفات", 50,
IF(Basic345678910111213141516171819202122232425262728[[#This Row],[نوع الخدمة]]="كاش ان",
    IF(F193&lt;=100, 18, IF(F193&lt;=250, 23, IF(F193&lt;=500, 35, IF(F193&lt;=1000, 40, F193*0.04)))),
IF(Basic345678910111213141516171819202122232425262728[[#This Row],[نوع الخدمة]]="كاش اوت",
    IF(F193&lt;=100, 15, IF(F193&lt;=250, 20, IF(F193&lt;=500, 30, IF(F193&lt;=1000, 35, F193*0.035)))),
0)))</f>
        <v>0</v>
      </c>
      <c r="H193" s="159">
        <f>IF(I193="مخالفات",50,Basic345678910111213141516171819202122232425262728[[#This Row],[قيمة الرسوم / العموله]]+Basic345678910111213141516171819202122232425262728[[#This Row],[قيمة الشحنه]])</f>
        <v>0</v>
      </c>
      <c r="I193" s="90"/>
      <c r="J193" s="142" t="str">
        <f t="shared" si="2"/>
        <v>5.5.2026</v>
      </c>
      <c r="L193" s="153">
        <v>182</v>
      </c>
      <c r="M193" s="92"/>
    </row>
    <row r="194" spans="1:13" ht="21.6" x14ac:dyDescent="0.65">
      <c r="A194" s="195"/>
      <c r="B194" s="140">
        <v>191</v>
      </c>
      <c r="C194" s="2"/>
      <c r="D194" s="1"/>
      <c r="E194" s="3"/>
      <c r="F194" s="1"/>
      <c r="G194" s="141">
        <f>IF(Basic345678910111213141516171819202122232425262728[[#This Row],[نوع الخدمة]]="مخالفات", 50,
IF(Basic345678910111213141516171819202122232425262728[[#This Row],[نوع الخدمة]]="كاش ان",
    IF(F194&lt;=100, 18, IF(F194&lt;=250, 23, IF(F194&lt;=500, 35, IF(F194&lt;=1000, 40, F194*0.04)))),
IF(Basic345678910111213141516171819202122232425262728[[#This Row],[نوع الخدمة]]="كاش اوت",
    IF(F194&lt;=100, 15, IF(F194&lt;=250, 20, IF(F194&lt;=500, 30, IF(F194&lt;=1000, 35, F194*0.035)))),
0)))</f>
        <v>0</v>
      </c>
      <c r="H194" s="159">
        <f>IF(I194="مخالفات",50,Basic345678910111213141516171819202122232425262728[[#This Row],[قيمة الرسوم / العموله]]+Basic345678910111213141516171819202122232425262728[[#This Row],[قيمة الشحنه]])</f>
        <v>0</v>
      </c>
      <c r="I194" s="90"/>
      <c r="J194" s="142" t="str">
        <f t="shared" si="2"/>
        <v>5.5.2026</v>
      </c>
      <c r="L194" s="153">
        <v>183</v>
      </c>
      <c r="M194" s="92"/>
    </row>
    <row r="195" spans="1:13" ht="21.6" x14ac:dyDescent="0.65">
      <c r="A195" s="195"/>
      <c r="B195" s="140">
        <v>192</v>
      </c>
      <c r="C195" s="2"/>
      <c r="D195" s="1"/>
      <c r="E195" s="3"/>
      <c r="F195" s="1"/>
      <c r="G195" s="141">
        <f>IF(Basic345678910111213141516171819202122232425262728[[#This Row],[نوع الخدمة]]="مخالفات", 50,
IF(Basic345678910111213141516171819202122232425262728[[#This Row],[نوع الخدمة]]="كاش ان",
    IF(F195&lt;=100, 18, IF(F195&lt;=250, 23, IF(F195&lt;=500, 35, IF(F195&lt;=1000, 40, F195*0.04)))),
IF(Basic345678910111213141516171819202122232425262728[[#This Row],[نوع الخدمة]]="كاش اوت",
    IF(F195&lt;=100, 15, IF(F195&lt;=250, 20, IF(F195&lt;=500, 30, IF(F195&lt;=1000, 35, F195*0.035)))),
0)))</f>
        <v>0</v>
      </c>
      <c r="H195" s="159">
        <f>IF(I195="مخالفات",50,Basic345678910111213141516171819202122232425262728[[#This Row],[قيمة الرسوم / العموله]]+Basic345678910111213141516171819202122232425262728[[#This Row],[قيمة الشحنه]])</f>
        <v>0</v>
      </c>
      <c r="I195" s="90"/>
      <c r="J195" s="142" t="str">
        <f t="shared" si="2"/>
        <v>5.5.2026</v>
      </c>
      <c r="L195" s="153">
        <v>184</v>
      </c>
      <c r="M195" s="92"/>
    </row>
    <row r="196" spans="1:13" ht="21.6" x14ac:dyDescent="0.65">
      <c r="A196" s="195"/>
      <c r="B196" s="140">
        <v>193</v>
      </c>
      <c r="C196" s="2"/>
      <c r="D196" s="1"/>
      <c r="E196" s="3"/>
      <c r="F196" s="1"/>
      <c r="G196" s="141">
        <f>IF(Basic345678910111213141516171819202122232425262728[[#This Row],[نوع الخدمة]]="مخالفات", 50,
IF(Basic345678910111213141516171819202122232425262728[[#This Row],[نوع الخدمة]]="كاش ان",
    IF(F196&lt;=100, 18, IF(F196&lt;=250, 23, IF(F196&lt;=500, 35, IF(F196&lt;=1000, 40, F196*0.04)))),
IF(Basic345678910111213141516171819202122232425262728[[#This Row],[نوع الخدمة]]="كاش اوت",
    IF(F196&lt;=100, 15, IF(F196&lt;=250, 20, IF(F196&lt;=500, 30, IF(F196&lt;=1000, 35, F196*0.035)))),
0)))</f>
        <v>0</v>
      </c>
      <c r="H196" s="159">
        <f>IF(I196="مخالفات",50,Basic345678910111213141516171819202122232425262728[[#This Row],[قيمة الرسوم / العموله]]+Basic345678910111213141516171819202122232425262728[[#This Row],[قيمة الشحنه]])</f>
        <v>0</v>
      </c>
      <c r="I196" s="90"/>
      <c r="J196" s="142" t="str">
        <f t="shared" ref="J196:J226" si="3">M$3</f>
        <v>5.5.2026</v>
      </c>
      <c r="L196" s="153">
        <v>185</v>
      </c>
      <c r="M196" s="92"/>
    </row>
    <row r="197" spans="1:13" ht="21.6" x14ac:dyDescent="0.65">
      <c r="A197" s="195"/>
      <c r="B197" s="144">
        <v>194</v>
      </c>
      <c r="C197" s="2"/>
      <c r="D197" s="1"/>
      <c r="E197" s="3"/>
      <c r="F197" s="1"/>
      <c r="G197" s="141">
        <f>IF(Basic345678910111213141516171819202122232425262728[[#This Row],[نوع الخدمة]]="مخالفات", 50,
IF(Basic345678910111213141516171819202122232425262728[[#This Row],[نوع الخدمة]]="كاش ان",
    IF(F197&lt;=100, 18, IF(F197&lt;=250, 23, IF(F197&lt;=500, 35, IF(F197&lt;=1000, 40, F197*0.04)))),
IF(Basic345678910111213141516171819202122232425262728[[#This Row],[نوع الخدمة]]="كاش اوت",
    IF(F197&lt;=100, 15, IF(F197&lt;=250, 20, IF(F197&lt;=500, 30, IF(F197&lt;=1000, 35, F197*0.035)))),
0)))</f>
        <v>0</v>
      </c>
      <c r="H197" s="159">
        <f>IF(I197="مخالفات",50,Basic345678910111213141516171819202122232425262728[[#This Row],[قيمة الرسوم / العموله]]+Basic345678910111213141516171819202122232425262728[[#This Row],[قيمة الشحنه]])</f>
        <v>0</v>
      </c>
      <c r="I197" s="90"/>
      <c r="J197" s="142" t="str">
        <f t="shared" si="3"/>
        <v>5.5.2026</v>
      </c>
      <c r="L197" s="153">
        <v>186</v>
      </c>
      <c r="M197" s="92"/>
    </row>
    <row r="198" spans="1:13" ht="21.6" x14ac:dyDescent="0.65">
      <c r="A198" s="195"/>
      <c r="B198" s="140">
        <v>195</v>
      </c>
      <c r="C198" s="2"/>
      <c r="D198" s="1"/>
      <c r="E198" s="3"/>
      <c r="F198" s="1"/>
      <c r="G198" s="141">
        <f>IF(Basic345678910111213141516171819202122232425262728[[#This Row],[نوع الخدمة]]="مخالفات", 50,
IF(Basic345678910111213141516171819202122232425262728[[#This Row],[نوع الخدمة]]="كاش ان",
    IF(F198&lt;=100, 18, IF(F198&lt;=250, 23, IF(F198&lt;=500, 35, IF(F198&lt;=1000, 40, F198*0.04)))),
IF(Basic345678910111213141516171819202122232425262728[[#This Row],[نوع الخدمة]]="كاش اوت",
    IF(F198&lt;=100, 15, IF(F198&lt;=250, 20, IF(F198&lt;=500, 30, IF(F198&lt;=1000, 35, F198*0.035)))),
0)))</f>
        <v>0</v>
      </c>
      <c r="H198" s="159">
        <f>IF(I198="مخالفات",50,Basic345678910111213141516171819202122232425262728[[#This Row],[قيمة الرسوم / العموله]]+Basic345678910111213141516171819202122232425262728[[#This Row],[قيمة الشحنه]])</f>
        <v>0</v>
      </c>
      <c r="I198" s="90"/>
      <c r="J198" s="142" t="str">
        <f t="shared" si="3"/>
        <v>5.5.2026</v>
      </c>
      <c r="L198" s="153">
        <v>187</v>
      </c>
      <c r="M198" s="92"/>
    </row>
    <row r="199" spans="1:13" ht="21.6" x14ac:dyDescent="0.65">
      <c r="A199" s="195"/>
      <c r="B199" s="140">
        <v>196</v>
      </c>
      <c r="C199" s="2"/>
      <c r="D199" s="1"/>
      <c r="E199" s="3"/>
      <c r="F199" s="1"/>
      <c r="G199" s="141">
        <f>IF(Basic345678910111213141516171819202122232425262728[[#This Row],[نوع الخدمة]]="مخالفات", 50,
IF(Basic345678910111213141516171819202122232425262728[[#This Row],[نوع الخدمة]]="كاش ان",
    IF(F199&lt;=100, 18, IF(F199&lt;=250, 23, IF(F199&lt;=500, 35, IF(F199&lt;=1000, 40, F199*0.04)))),
IF(Basic345678910111213141516171819202122232425262728[[#This Row],[نوع الخدمة]]="كاش اوت",
    IF(F199&lt;=100, 15, IF(F199&lt;=250, 20, IF(F199&lt;=500, 30, IF(F199&lt;=1000, 35, F199*0.035)))),
0)))</f>
        <v>0</v>
      </c>
      <c r="H199" s="159">
        <f>IF(I199="مخالفات",50,Basic345678910111213141516171819202122232425262728[[#This Row],[قيمة الرسوم / العموله]]+Basic345678910111213141516171819202122232425262728[[#This Row],[قيمة الشحنه]])</f>
        <v>0</v>
      </c>
      <c r="I199" s="90"/>
      <c r="J199" s="142" t="str">
        <f t="shared" si="3"/>
        <v>5.5.2026</v>
      </c>
      <c r="L199" s="153">
        <v>188</v>
      </c>
      <c r="M199" s="92"/>
    </row>
    <row r="200" spans="1:13" ht="21.6" x14ac:dyDescent="0.65">
      <c r="A200" s="195"/>
      <c r="B200" s="140">
        <v>197</v>
      </c>
      <c r="C200" s="2"/>
      <c r="D200" s="1"/>
      <c r="E200" s="3"/>
      <c r="F200" s="1"/>
      <c r="G200" s="141">
        <f>IF(Basic345678910111213141516171819202122232425262728[[#This Row],[نوع الخدمة]]="مخالفات", 50,
IF(Basic345678910111213141516171819202122232425262728[[#This Row],[نوع الخدمة]]="كاش ان",
    IF(F200&lt;=100, 18, IF(F200&lt;=250, 23, IF(F200&lt;=500, 35, IF(F200&lt;=1000, 40, F200*0.04)))),
IF(Basic345678910111213141516171819202122232425262728[[#This Row],[نوع الخدمة]]="كاش اوت",
    IF(F200&lt;=100, 15, IF(F200&lt;=250, 20, IF(F200&lt;=500, 30, IF(F200&lt;=1000, 35, F200*0.035)))),
0)))</f>
        <v>0</v>
      </c>
      <c r="H200" s="159">
        <f>IF(I200="مخالفات",50,Basic345678910111213141516171819202122232425262728[[#This Row],[قيمة الرسوم / العموله]]+Basic345678910111213141516171819202122232425262728[[#This Row],[قيمة الشحنه]])</f>
        <v>0</v>
      </c>
      <c r="I200" s="90"/>
      <c r="J200" s="142" t="str">
        <f t="shared" si="3"/>
        <v>5.5.2026</v>
      </c>
      <c r="L200" s="153">
        <v>189</v>
      </c>
      <c r="M200" s="92"/>
    </row>
    <row r="201" spans="1:13" ht="21.6" x14ac:dyDescent="0.65">
      <c r="A201" s="195"/>
      <c r="B201" s="144">
        <v>198</v>
      </c>
      <c r="C201" s="2"/>
      <c r="D201" s="1"/>
      <c r="E201" s="3"/>
      <c r="F201" s="1"/>
      <c r="G201" s="141">
        <f>IF(Basic345678910111213141516171819202122232425262728[[#This Row],[نوع الخدمة]]="مخالفات", 50,
IF(Basic345678910111213141516171819202122232425262728[[#This Row],[نوع الخدمة]]="كاش ان",
    IF(F201&lt;=100, 18, IF(F201&lt;=250, 23, IF(F201&lt;=500, 35, IF(F201&lt;=1000, 40, F201*0.04)))),
IF(Basic345678910111213141516171819202122232425262728[[#This Row],[نوع الخدمة]]="كاش اوت",
    IF(F201&lt;=100, 15, IF(F201&lt;=250, 20, IF(F201&lt;=500, 30, IF(F201&lt;=1000, 35, F201*0.035)))),
0)))</f>
        <v>0</v>
      </c>
      <c r="H201" s="159">
        <f>IF(I201="مخالفات",50,Basic345678910111213141516171819202122232425262728[[#This Row],[قيمة الرسوم / العموله]]+Basic345678910111213141516171819202122232425262728[[#This Row],[قيمة الشحنه]])</f>
        <v>0</v>
      </c>
      <c r="I201" s="90"/>
      <c r="J201" s="142" t="str">
        <f t="shared" si="3"/>
        <v>5.5.2026</v>
      </c>
      <c r="L201" s="153">
        <v>190</v>
      </c>
      <c r="M201" s="92"/>
    </row>
    <row r="202" spans="1:13" ht="21.6" x14ac:dyDescent="0.65">
      <c r="A202" s="195"/>
      <c r="B202" s="140">
        <v>199</v>
      </c>
      <c r="C202" s="2"/>
      <c r="D202" s="1"/>
      <c r="E202" s="3"/>
      <c r="F202" s="1"/>
      <c r="G202" s="141">
        <f>IF(Basic345678910111213141516171819202122232425262728[[#This Row],[نوع الخدمة]]="مخالفات", 50,
IF(Basic345678910111213141516171819202122232425262728[[#This Row],[نوع الخدمة]]="كاش ان",
    IF(F202&lt;=100, 18, IF(F202&lt;=250, 23, IF(F202&lt;=500, 35, IF(F202&lt;=1000, 40, F202*0.04)))),
IF(Basic345678910111213141516171819202122232425262728[[#This Row],[نوع الخدمة]]="كاش اوت",
    IF(F202&lt;=100, 15, IF(F202&lt;=250, 20, IF(F202&lt;=500, 30, IF(F202&lt;=1000, 35, F202*0.035)))),
0)))</f>
        <v>0</v>
      </c>
      <c r="H202" s="159">
        <f>IF(I202="مخالفات",50,Basic345678910111213141516171819202122232425262728[[#This Row],[قيمة الرسوم / العموله]]+Basic345678910111213141516171819202122232425262728[[#This Row],[قيمة الشحنه]])</f>
        <v>0</v>
      </c>
      <c r="I202" s="90"/>
      <c r="J202" s="142" t="str">
        <f t="shared" si="3"/>
        <v>5.5.2026</v>
      </c>
      <c r="L202" s="153">
        <v>191</v>
      </c>
      <c r="M202" s="92"/>
    </row>
    <row r="203" spans="1:13" ht="21.6" x14ac:dyDescent="0.65">
      <c r="A203" s="195"/>
      <c r="B203" s="140">
        <v>200</v>
      </c>
      <c r="C203" s="2"/>
      <c r="D203" s="1"/>
      <c r="E203" s="3"/>
      <c r="F203" s="1"/>
      <c r="G203" s="141">
        <f>IF(Basic345678910111213141516171819202122232425262728[[#This Row],[نوع الخدمة]]="مخالفات", 50,
IF(Basic345678910111213141516171819202122232425262728[[#This Row],[نوع الخدمة]]="كاش ان",
    IF(F203&lt;=100, 18, IF(F203&lt;=250, 23, IF(F203&lt;=500, 35, IF(F203&lt;=1000, 40, F203*0.04)))),
IF(Basic345678910111213141516171819202122232425262728[[#This Row],[نوع الخدمة]]="كاش اوت",
    IF(F203&lt;=100, 15, IF(F203&lt;=250, 20, IF(F203&lt;=500, 30, IF(F203&lt;=1000, 35, F203*0.035)))),
0)))</f>
        <v>0</v>
      </c>
      <c r="H203" s="159">
        <f>IF(I203="مخالفات",50,Basic345678910111213141516171819202122232425262728[[#This Row],[قيمة الرسوم / العموله]]+Basic345678910111213141516171819202122232425262728[[#This Row],[قيمة الشحنه]])</f>
        <v>0</v>
      </c>
      <c r="I203" s="90"/>
      <c r="J203" s="142" t="str">
        <f t="shared" si="3"/>
        <v>5.5.2026</v>
      </c>
      <c r="L203" s="153">
        <v>192</v>
      </c>
      <c r="M203" s="92"/>
    </row>
    <row r="204" spans="1:13" ht="21.6" x14ac:dyDescent="0.65">
      <c r="A204" s="195"/>
      <c r="B204" s="140">
        <v>201</v>
      </c>
      <c r="C204" s="2"/>
      <c r="D204" s="1"/>
      <c r="E204" s="3"/>
      <c r="F204" s="1"/>
      <c r="G204" s="141">
        <f>IF(Basic345678910111213141516171819202122232425262728[[#This Row],[نوع الخدمة]]="مخالفات", 50,
IF(Basic345678910111213141516171819202122232425262728[[#This Row],[نوع الخدمة]]="كاش ان",
    IF(F204&lt;=100, 18, IF(F204&lt;=250, 23, IF(F204&lt;=500, 35, IF(F204&lt;=1000, 40, F204*0.04)))),
IF(Basic345678910111213141516171819202122232425262728[[#This Row],[نوع الخدمة]]="كاش اوت",
    IF(F204&lt;=100, 15, IF(F204&lt;=250, 20, IF(F204&lt;=500, 30, IF(F204&lt;=1000, 35, F204*0.035)))),
0)))</f>
        <v>0</v>
      </c>
      <c r="H204" s="159">
        <f>IF(I204="مخالفات",50,Basic345678910111213141516171819202122232425262728[[#This Row],[قيمة الرسوم / العموله]]+Basic345678910111213141516171819202122232425262728[[#This Row],[قيمة الشحنه]])</f>
        <v>0</v>
      </c>
      <c r="I204" s="90"/>
      <c r="J204" s="142" t="str">
        <f t="shared" si="3"/>
        <v>5.5.2026</v>
      </c>
      <c r="L204" s="153">
        <v>193</v>
      </c>
      <c r="M204" s="92"/>
    </row>
    <row r="205" spans="1:13" ht="21.6" x14ac:dyDescent="0.65">
      <c r="A205" s="195"/>
      <c r="B205" s="144">
        <v>202</v>
      </c>
      <c r="C205" s="2"/>
      <c r="D205" s="1"/>
      <c r="E205" s="3"/>
      <c r="F205" s="1"/>
      <c r="G205" s="141">
        <f>IF(Basic345678910111213141516171819202122232425262728[[#This Row],[نوع الخدمة]]="مخالفات", 50,
IF(Basic345678910111213141516171819202122232425262728[[#This Row],[نوع الخدمة]]="كاش ان",
    IF(F205&lt;=100, 18, IF(F205&lt;=250, 23, IF(F205&lt;=500, 35, IF(F205&lt;=1000, 40, F205*0.04)))),
IF(Basic345678910111213141516171819202122232425262728[[#This Row],[نوع الخدمة]]="كاش اوت",
    IF(F205&lt;=100, 15, IF(F205&lt;=250, 20, IF(F205&lt;=500, 30, IF(F205&lt;=1000, 35, F205*0.035)))),
0)))</f>
        <v>0</v>
      </c>
      <c r="H205" s="159">
        <f>IF(I205="مخالفات",50,Basic345678910111213141516171819202122232425262728[[#This Row],[قيمة الرسوم / العموله]]+Basic345678910111213141516171819202122232425262728[[#This Row],[قيمة الشحنه]])</f>
        <v>0</v>
      </c>
      <c r="I205" s="90"/>
      <c r="J205" s="142" t="str">
        <f t="shared" si="3"/>
        <v>5.5.2026</v>
      </c>
      <c r="L205" s="153">
        <v>194</v>
      </c>
      <c r="M205" s="92"/>
    </row>
    <row r="206" spans="1:13" ht="21.6" x14ac:dyDescent="0.65">
      <c r="A206" s="195"/>
      <c r="B206" s="140">
        <v>203</v>
      </c>
      <c r="C206" s="2"/>
      <c r="D206" s="1"/>
      <c r="E206" s="3"/>
      <c r="F206" s="1"/>
      <c r="G206" s="141">
        <f>IF(Basic345678910111213141516171819202122232425262728[[#This Row],[نوع الخدمة]]="مخالفات", 50,
IF(Basic345678910111213141516171819202122232425262728[[#This Row],[نوع الخدمة]]="كاش ان",
    IF(F206&lt;=100, 18, IF(F206&lt;=250, 23, IF(F206&lt;=500, 35, IF(F206&lt;=1000, 40, F206*0.04)))),
IF(Basic345678910111213141516171819202122232425262728[[#This Row],[نوع الخدمة]]="كاش اوت",
    IF(F206&lt;=100, 15, IF(F206&lt;=250, 20, IF(F206&lt;=500, 30, IF(F206&lt;=1000, 35, F206*0.035)))),
0)))</f>
        <v>0</v>
      </c>
      <c r="H206" s="159">
        <f>IF(I206="مخالفات",50,Basic345678910111213141516171819202122232425262728[[#This Row],[قيمة الرسوم / العموله]]+Basic345678910111213141516171819202122232425262728[[#This Row],[قيمة الشحنه]])</f>
        <v>0</v>
      </c>
      <c r="I206" s="90"/>
      <c r="J206" s="142" t="str">
        <f t="shared" si="3"/>
        <v>5.5.2026</v>
      </c>
      <c r="L206" s="153">
        <v>195</v>
      </c>
      <c r="M206" s="92"/>
    </row>
    <row r="207" spans="1:13" ht="21.6" x14ac:dyDescent="0.65">
      <c r="A207" s="195"/>
      <c r="B207" s="140">
        <v>204</v>
      </c>
      <c r="C207" s="2"/>
      <c r="D207" s="1"/>
      <c r="E207" s="3"/>
      <c r="F207" s="1"/>
      <c r="G207" s="141">
        <f>IF(Basic345678910111213141516171819202122232425262728[[#This Row],[نوع الخدمة]]="مخالفات", 50,
IF(Basic345678910111213141516171819202122232425262728[[#This Row],[نوع الخدمة]]="كاش ان",
    IF(F207&lt;=100, 18, IF(F207&lt;=250, 23, IF(F207&lt;=500, 35, IF(F207&lt;=1000, 40, F207*0.04)))),
IF(Basic345678910111213141516171819202122232425262728[[#This Row],[نوع الخدمة]]="كاش اوت",
    IF(F207&lt;=100, 15, IF(F207&lt;=250, 20, IF(F207&lt;=500, 30, IF(F207&lt;=1000, 35, F207*0.035)))),
0)))</f>
        <v>0</v>
      </c>
      <c r="H207" s="159">
        <f>IF(I207="مخالفات",50,Basic345678910111213141516171819202122232425262728[[#This Row],[قيمة الرسوم / العموله]]+Basic345678910111213141516171819202122232425262728[[#This Row],[قيمة الشحنه]])</f>
        <v>0</v>
      </c>
      <c r="I207" s="90"/>
      <c r="J207" s="142" t="str">
        <f t="shared" si="3"/>
        <v>5.5.2026</v>
      </c>
      <c r="L207" s="153">
        <v>196</v>
      </c>
      <c r="M207" s="92"/>
    </row>
    <row r="208" spans="1:13" ht="21.6" x14ac:dyDescent="0.65">
      <c r="A208" s="195"/>
      <c r="B208" s="140">
        <v>205</v>
      </c>
      <c r="C208" s="2"/>
      <c r="D208" s="1"/>
      <c r="E208" s="3"/>
      <c r="F208" s="1"/>
      <c r="G208" s="141">
        <f>IF(Basic345678910111213141516171819202122232425262728[[#This Row],[نوع الخدمة]]="مخالفات", 50,
IF(Basic345678910111213141516171819202122232425262728[[#This Row],[نوع الخدمة]]="كاش ان",
    IF(F208&lt;=100, 18, IF(F208&lt;=250, 23, IF(F208&lt;=500, 35, IF(F208&lt;=1000, 40, F208*0.04)))),
IF(Basic345678910111213141516171819202122232425262728[[#This Row],[نوع الخدمة]]="كاش اوت",
    IF(F208&lt;=100, 15, IF(F208&lt;=250, 20, IF(F208&lt;=500, 30, IF(F208&lt;=1000, 35, F208*0.035)))),
0)))</f>
        <v>0</v>
      </c>
      <c r="H208" s="159">
        <f>IF(I208="مخالفات",50,Basic345678910111213141516171819202122232425262728[[#This Row],[قيمة الرسوم / العموله]]+Basic345678910111213141516171819202122232425262728[[#This Row],[قيمة الشحنه]])</f>
        <v>0</v>
      </c>
      <c r="I208" s="90"/>
      <c r="J208" s="142" t="str">
        <f t="shared" si="3"/>
        <v>5.5.2026</v>
      </c>
      <c r="L208" s="153">
        <v>197</v>
      </c>
      <c r="M208" s="92"/>
    </row>
    <row r="209" spans="1:13" ht="21.6" x14ac:dyDescent="0.65">
      <c r="A209" s="195"/>
      <c r="B209" s="144">
        <v>206</v>
      </c>
      <c r="C209" s="2"/>
      <c r="D209" s="1"/>
      <c r="E209" s="3"/>
      <c r="F209" s="1"/>
      <c r="G209" s="141">
        <f>IF(Basic345678910111213141516171819202122232425262728[[#This Row],[نوع الخدمة]]="مخالفات", 50,
IF(Basic345678910111213141516171819202122232425262728[[#This Row],[نوع الخدمة]]="كاش ان",
    IF(F209&lt;=100, 18, IF(F209&lt;=250, 23, IF(F209&lt;=500, 35, IF(F209&lt;=1000, 40, F209*0.04)))),
IF(Basic345678910111213141516171819202122232425262728[[#This Row],[نوع الخدمة]]="كاش اوت",
    IF(F209&lt;=100, 15, IF(F209&lt;=250, 20, IF(F209&lt;=500, 30, IF(F209&lt;=1000, 35, F209*0.035)))),
0)))</f>
        <v>0</v>
      </c>
      <c r="H209" s="159">
        <f>IF(I209="مخالفات",50,Basic345678910111213141516171819202122232425262728[[#This Row],[قيمة الرسوم / العموله]]+Basic345678910111213141516171819202122232425262728[[#This Row],[قيمة الشحنه]])</f>
        <v>0</v>
      </c>
      <c r="I209" s="90"/>
      <c r="J209" s="142" t="str">
        <f t="shared" si="3"/>
        <v>5.5.2026</v>
      </c>
      <c r="L209" s="153">
        <v>198</v>
      </c>
      <c r="M209" s="92"/>
    </row>
    <row r="210" spans="1:13" ht="21.6" x14ac:dyDescent="0.65">
      <c r="A210" s="195"/>
      <c r="B210" s="140">
        <v>207</v>
      </c>
      <c r="C210" s="2"/>
      <c r="D210" s="1"/>
      <c r="E210" s="3"/>
      <c r="F210" s="1"/>
      <c r="G210" s="141">
        <f>IF(Basic345678910111213141516171819202122232425262728[[#This Row],[نوع الخدمة]]="مخالفات", 50,
IF(Basic345678910111213141516171819202122232425262728[[#This Row],[نوع الخدمة]]="كاش ان",
    IF(F210&lt;=100, 18, IF(F210&lt;=250, 23, IF(F210&lt;=500, 35, IF(F210&lt;=1000, 40, F210*0.04)))),
IF(Basic345678910111213141516171819202122232425262728[[#This Row],[نوع الخدمة]]="كاش اوت",
    IF(F210&lt;=100, 15, IF(F210&lt;=250, 20, IF(F210&lt;=500, 30, IF(F210&lt;=1000, 35, F210*0.035)))),
0)))</f>
        <v>0</v>
      </c>
      <c r="H210" s="159">
        <f>IF(I210="مخالفات",50,Basic345678910111213141516171819202122232425262728[[#This Row],[قيمة الرسوم / العموله]]+Basic345678910111213141516171819202122232425262728[[#This Row],[قيمة الشحنه]])</f>
        <v>0</v>
      </c>
      <c r="I210" s="90"/>
      <c r="J210" s="142" t="str">
        <f t="shared" si="3"/>
        <v>5.5.2026</v>
      </c>
      <c r="L210" s="153">
        <v>199</v>
      </c>
      <c r="M210" s="92"/>
    </row>
    <row r="211" spans="1:13" ht="21.6" x14ac:dyDescent="0.65">
      <c r="A211" s="195"/>
      <c r="B211" s="140">
        <v>208</v>
      </c>
      <c r="C211" s="2"/>
      <c r="D211" s="1"/>
      <c r="E211" s="3"/>
      <c r="F211" s="1"/>
      <c r="G211" s="141">
        <f>IF(Basic345678910111213141516171819202122232425262728[[#This Row],[نوع الخدمة]]="مخالفات", 50,
IF(Basic345678910111213141516171819202122232425262728[[#This Row],[نوع الخدمة]]="كاش ان",
    IF(F211&lt;=100, 18, IF(F211&lt;=250, 23, IF(F211&lt;=500, 35, IF(F211&lt;=1000, 40, F211*0.04)))),
IF(Basic345678910111213141516171819202122232425262728[[#This Row],[نوع الخدمة]]="كاش اوت",
    IF(F211&lt;=100, 15, IF(F211&lt;=250, 20, IF(F211&lt;=500, 30, IF(F211&lt;=1000, 35, F211*0.035)))),
0)))</f>
        <v>0</v>
      </c>
      <c r="H211" s="159">
        <f>IF(I211="مخالفات",50,Basic345678910111213141516171819202122232425262728[[#This Row],[قيمة الرسوم / العموله]]+Basic345678910111213141516171819202122232425262728[[#This Row],[قيمة الشحنه]])</f>
        <v>0</v>
      </c>
      <c r="I211" s="90"/>
      <c r="J211" s="142" t="str">
        <f t="shared" si="3"/>
        <v>5.5.2026</v>
      </c>
      <c r="L211" s="153">
        <v>200</v>
      </c>
      <c r="M211" s="92"/>
    </row>
    <row r="212" spans="1:13" ht="21.6" x14ac:dyDescent="0.65">
      <c r="A212" s="195"/>
      <c r="B212" s="140">
        <v>209</v>
      </c>
      <c r="C212" s="2"/>
      <c r="D212" s="1"/>
      <c r="E212" s="3"/>
      <c r="F212" s="1"/>
      <c r="G212" s="141">
        <f>IF(Basic345678910111213141516171819202122232425262728[[#This Row],[نوع الخدمة]]="مخالفات", 50,
IF(Basic345678910111213141516171819202122232425262728[[#This Row],[نوع الخدمة]]="كاش ان",
    IF(F212&lt;=100, 18, IF(F212&lt;=250, 23, IF(F212&lt;=500, 35, IF(F212&lt;=1000, 40, F212*0.04)))),
IF(Basic345678910111213141516171819202122232425262728[[#This Row],[نوع الخدمة]]="كاش اوت",
    IF(F212&lt;=100, 15, IF(F212&lt;=250, 20, IF(F212&lt;=500, 30, IF(F212&lt;=1000, 35, F212*0.035)))),
0)))</f>
        <v>0</v>
      </c>
      <c r="H212" s="159">
        <f>IF(I212="مخالفات",50,Basic345678910111213141516171819202122232425262728[[#This Row],[قيمة الرسوم / العموله]]+Basic345678910111213141516171819202122232425262728[[#This Row],[قيمة الشحنه]])</f>
        <v>0</v>
      </c>
      <c r="I212" s="90"/>
      <c r="J212" s="142" t="str">
        <f t="shared" si="3"/>
        <v>5.5.2026</v>
      </c>
      <c r="L212" s="153">
        <v>201</v>
      </c>
      <c r="M212" s="92"/>
    </row>
    <row r="213" spans="1:13" ht="21.6" x14ac:dyDescent="0.65">
      <c r="A213" s="195"/>
      <c r="B213" s="144">
        <v>210</v>
      </c>
      <c r="C213" s="2"/>
      <c r="D213" s="1"/>
      <c r="E213" s="3"/>
      <c r="F213" s="1"/>
      <c r="G213" s="141">
        <f>IF(Basic345678910111213141516171819202122232425262728[[#This Row],[نوع الخدمة]]="مخالفات", 50,
IF(Basic345678910111213141516171819202122232425262728[[#This Row],[نوع الخدمة]]="كاش ان",
    IF(F213&lt;=100, 18, IF(F213&lt;=250, 23, IF(F213&lt;=500, 35, IF(F213&lt;=1000, 40, F213*0.04)))),
IF(Basic345678910111213141516171819202122232425262728[[#This Row],[نوع الخدمة]]="كاش اوت",
    IF(F213&lt;=100, 15, IF(F213&lt;=250, 20, IF(F213&lt;=500, 30, IF(F213&lt;=1000, 35, F213*0.035)))),
0)))</f>
        <v>0</v>
      </c>
      <c r="H213" s="159">
        <f>IF(I213="مخالفات",50,Basic345678910111213141516171819202122232425262728[[#This Row],[قيمة الرسوم / العموله]]+Basic345678910111213141516171819202122232425262728[[#This Row],[قيمة الشحنه]])</f>
        <v>0</v>
      </c>
      <c r="I213" s="90"/>
      <c r="J213" s="142" t="str">
        <f t="shared" si="3"/>
        <v>5.5.2026</v>
      </c>
      <c r="L213" s="153">
        <v>202</v>
      </c>
      <c r="M213" s="92"/>
    </row>
    <row r="214" spans="1:13" ht="21.6" x14ac:dyDescent="0.65">
      <c r="A214" s="195"/>
      <c r="B214" s="140">
        <v>211</v>
      </c>
      <c r="C214" s="2"/>
      <c r="D214" s="1"/>
      <c r="E214" s="3"/>
      <c r="F214" s="1"/>
      <c r="G214" s="141">
        <f>IF(Basic345678910111213141516171819202122232425262728[[#This Row],[نوع الخدمة]]="مخالفات", 50,
IF(Basic345678910111213141516171819202122232425262728[[#This Row],[نوع الخدمة]]="كاش ان",
    IF(F214&lt;=100, 18, IF(F214&lt;=250, 23, IF(F214&lt;=500, 35, IF(F214&lt;=1000, 40, F214*0.04)))),
IF(Basic345678910111213141516171819202122232425262728[[#This Row],[نوع الخدمة]]="كاش اوت",
    IF(F214&lt;=100, 15, IF(F214&lt;=250, 20, IF(F214&lt;=500, 30, IF(F214&lt;=1000, 35, F214*0.035)))),
0)))</f>
        <v>0</v>
      </c>
      <c r="H214" s="159">
        <f>IF(I214="مخالفات",50,Basic345678910111213141516171819202122232425262728[[#This Row],[قيمة الرسوم / العموله]]+Basic345678910111213141516171819202122232425262728[[#This Row],[قيمة الشحنه]])</f>
        <v>0</v>
      </c>
      <c r="I214" s="90"/>
      <c r="J214" s="142" t="str">
        <f t="shared" si="3"/>
        <v>5.5.2026</v>
      </c>
      <c r="L214" s="153">
        <v>203</v>
      </c>
      <c r="M214" s="92"/>
    </row>
    <row r="215" spans="1:13" ht="21.6" x14ac:dyDescent="0.65">
      <c r="A215" s="195"/>
      <c r="B215" s="140">
        <v>212</v>
      </c>
      <c r="C215" s="2"/>
      <c r="D215" s="1"/>
      <c r="E215" s="3"/>
      <c r="F215" s="1"/>
      <c r="G215" s="141">
        <f>IF(Basic345678910111213141516171819202122232425262728[[#This Row],[نوع الخدمة]]="مخالفات", 50,
IF(Basic345678910111213141516171819202122232425262728[[#This Row],[نوع الخدمة]]="كاش ان",
    IF(F215&lt;=100, 18, IF(F215&lt;=250, 23, IF(F215&lt;=500, 35, IF(F215&lt;=1000, 40, F215*0.04)))),
IF(Basic345678910111213141516171819202122232425262728[[#This Row],[نوع الخدمة]]="كاش اوت",
    IF(F215&lt;=100, 15, IF(F215&lt;=250, 20, IF(F215&lt;=500, 30, IF(F215&lt;=1000, 35, F215*0.035)))),
0)))</f>
        <v>0</v>
      </c>
      <c r="H215" s="159">
        <f>IF(I215="مخالفات",50,Basic345678910111213141516171819202122232425262728[[#This Row],[قيمة الرسوم / العموله]]+Basic345678910111213141516171819202122232425262728[[#This Row],[قيمة الشحنه]])</f>
        <v>0</v>
      </c>
      <c r="I215" s="90"/>
      <c r="J215" s="142" t="str">
        <f t="shared" si="3"/>
        <v>5.5.2026</v>
      </c>
      <c r="L215" s="153">
        <v>204</v>
      </c>
      <c r="M215" s="92"/>
    </row>
    <row r="216" spans="1:13" ht="21.6" x14ac:dyDescent="0.65">
      <c r="A216" s="195"/>
      <c r="B216" s="140">
        <v>213</v>
      </c>
      <c r="C216" s="2"/>
      <c r="D216" s="1"/>
      <c r="E216" s="3"/>
      <c r="F216" s="1"/>
      <c r="G216" s="141">
        <f>IF(Basic345678910111213141516171819202122232425262728[[#This Row],[نوع الخدمة]]="مخالفات", 50,
IF(Basic345678910111213141516171819202122232425262728[[#This Row],[نوع الخدمة]]="كاش ان",
    IF(F216&lt;=100, 18, IF(F216&lt;=250, 23, IF(F216&lt;=500, 35, IF(F216&lt;=1000, 40, F216*0.04)))),
IF(Basic345678910111213141516171819202122232425262728[[#This Row],[نوع الخدمة]]="كاش اوت",
    IF(F216&lt;=100, 15, IF(F216&lt;=250, 20, IF(F216&lt;=500, 30, IF(F216&lt;=1000, 35, F216*0.035)))),
0)))</f>
        <v>0</v>
      </c>
      <c r="H216" s="159">
        <f>IF(I216="مخالفات",50,Basic345678910111213141516171819202122232425262728[[#This Row],[قيمة الرسوم / العموله]]+Basic345678910111213141516171819202122232425262728[[#This Row],[قيمة الشحنه]])</f>
        <v>0</v>
      </c>
      <c r="I216" s="90"/>
      <c r="J216" s="142" t="str">
        <f t="shared" si="3"/>
        <v>5.5.2026</v>
      </c>
      <c r="L216" s="153">
        <v>205</v>
      </c>
      <c r="M216" s="92"/>
    </row>
    <row r="217" spans="1:13" ht="21.6" x14ac:dyDescent="0.65">
      <c r="A217" s="195"/>
      <c r="B217" s="144">
        <v>214</v>
      </c>
      <c r="C217" s="2"/>
      <c r="D217" s="1"/>
      <c r="E217" s="3"/>
      <c r="F217" s="1"/>
      <c r="G217" s="141">
        <f>IF(Basic345678910111213141516171819202122232425262728[[#This Row],[نوع الخدمة]]="مخالفات", 50,
IF(Basic345678910111213141516171819202122232425262728[[#This Row],[نوع الخدمة]]="كاش ان",
    IF(F217&lt;=100, 18, IF(F217&lt;=250, 23, IF(F217&lt;=500, 35, IF(F217&lt;=1000, 40, F217*0.04)))),
IF(Basic345678910111213141516171819202122232425262728[[#This Row],[نوع الخدمة]]="كاش اوت",
    IF(F217&lt;=100, 15, IF(F217&lt;=250, 20, IF(F217&lt;=500, 30, IF(F217&lt;=1000, 35, F217*0.035)))),
0)))</f>
        <v>0</v>
      </c>
      <c r="H217" s="159">
        <f>IF(I217="مخالفات",50,Basic345678910111213141516171819202122232425262728[[#This Row],[قيمة الرسوم / العموله]]+Basic345678910111213141516171819202122232425262728[[#This Row],[قيمة الشحنه]])</f>
        <v>0</v>
      </c>
      <c r="I217" s="90"/>
      <c r="J217" s="142" t="str">
        <f t="shared" si="3"/>
        <v>5.5.2026</v>
      </c>
      <c r="L217" s="153">
        <v>206</v>
      </c>
      <c r="M217" s="92"/>
    </row>
    <row r="218" spans="1:13" ht="21.6" x14ac:dyDescent="0.65">
      <c r="A218" s="195"/>
      <c r="B218" s="140">
        <v>215</v>
      </c>
      <c r="C218" s="2"/>
      <c r="D218" s="1"/>
      <c r="E218" s="3"/>
      <c r="F218" s="1"/>
      <c r="G218" s="141">
        <f>IF(Basic345678910111213141516171819202122232425262728[[#This Row],[نوع الخدمة]]="مخالفات", 50,
IF(Basic345678910111213141516171819202122232425262728[[#This Row],[نوع الخدمة]]="كاش ان",
    IF(F218&lt;=100, 18, IF(F218&lt;=250, 23, IF(F218&lt;=500, 35, IF(F218&lt;=1000, 40, F218*0.04)))),
IF(Basic345678910111213141516171819202122232425262728[[#This Row],[نوع الخدمة]]="كاش اوت",
    IF(F218&lt;=100, 15, IF(F218&lt;=250, 20, IF(F218&lt;=500, 30, IF(F218&lt;=1000, 35, F218*0.035)))),
0)))</f>
        <v>0</v>
      </c>
      <c r="H218" s="159">
        <f>IF(I218="مخالفات",50,Basic345678910111213141516171819202122232425262728[[#This Row],[قيمة الرسوم / العموله]]+Basic345678910111213141516171819202122232425262728[[#This Row],[قيمة الشحنه]])</f>
        <v>0</v>
      </c>
      <c r="I218" s="90"/>
      <c r="J218" s="142" t="str">
        <f t="shared" si="3"/>
        <v>5.5.2026</v>
      </c>
      <c r="L218" s="153">
        <v>207</v>
      </c>
      <c r="M218" s="92"/>
    </row>
    <row r="219" spans="1:13" ht="21.6" x14ac:dyDescent="0.65">
      <c r="A219" s="195"/>
      <c r="B219" s="140">
        <v>216</v>
      </c>
      <c r="C219" s="2"/>
      <c r="D219" s="1"/>
      <c r="E219" s="3"/>
      <c r="F219" s="1"/>
      <c r="G219" s="141">
        <f>IF(Basic345678910111213141516171819202122232425262728[[#This Row],[نوع الخدمة]]="مخالفات", 50,
IF(Basic345678910111213141516171819202122232425262728[[#This Row],[نوع الخدمة]]="كاش ان",
    IF(F219&lt;=100, 18, IF(F219&lt;=250, 23, IF(F219&lt;=500, 35, IF(F219&lt;=1000, 40, F219*0.04)))),
IF(Basic345678910111213141516171819202122232425262728[[#This Row],[نوع الخدمة]]="كاش اوت",
    IF(F219&lt;=100, 15, IF(F219&lt;=250, 20, IF(F219&lt;=500, 30, IF(F219&lt;=1000, 35, F219*0.035)))),
0)))</f>
        <v>0</v>
      </c>
      <c r="H219" s="159">
        <f>IF(I219="مخالفات",50,Basic345678910111213141516171819202122232425262728[[#This Row],[قيمة الرسوم / العموله]]+Basic345678910111213141516171819202122232425262728[[#This Row],[قيمة الشحنه]])</f>
        <v>0</v>
      </c>
      <c r="I219" s="90"/>
      <c r="J219" s="142" t="str">
        <f t="shared" si="3"/>
        <v>5.5.2026</v>
      </c>
      <c r="L219" s="153">
        <v>208</v>
      </c>
      <c r="M219" s="92"/>
    </row>
    <row r="220" spans="1:13" ht="21.6" x14ac:dyDescent="0.65">
      <c r="A220" s="195"/>
      <c r="B220" s="140">
        <v>217</v>
      </c>
      <c r="C220" s="2"/>
      <c r="D220" s="1"/>
      <c r="E220" s="3"/>
      <c r="F220" s="1"/>
      <c r="G220" s="141">
        <f>IF(Basic345678910111213141516171819202122232425262728[[#This Row],[نوع الخدمة]]="مخالفات", 50,
IF(Basic345678910111213141516171819202122232425262728[[#This Row],[نوع الخدمة]]="كاش ان",
    IF(F220&lt;=100, 18, IF(F220&lt;=250, 23, IF(F220&lt;=500, 35, IF(F220&lt;=1000, 40, F220*0.04)))),
IF(Basic345678910111213141516171819202122232425262728[[#This Row],[نوع الخدمة]]="كاش اوت",
    IF(F220&lt;=100, 15, IF(F220&lt;=250, 20, IF(F220&lt;=500, 30, IF(F220&lt;=1000, 35, F220*0.035)))),
0)))</f>
        <v>0</v>
      </c>
      <c r="H220" s="159">
        <f>IF(I220="مخالفات",50,Basic345678910111213141516171819202122232425262728[[#This Row],[قيمة الرسوم / العموله]]+Basic345678910111213141516171819202122232425262728[[#This Row],[قيمة الشحنه]])</f>
        <v>0</v>
      </c>
      <c r="I220" s="90"/>
      <c r="J220" s="142" t="str">
        <f t="shared" si="3"/>
        <v>5.5.2026</v>
      </c>
      <c r="L220" s="153">
        <v>209</v>
      </c>
      <c r="M220" s="92"/>
    </row>
    <row r="221" spans="1:13" ht="21.6" x14ac:dyDescent="0.65">
      <c r="A221" s="195"/>
      <c r="B221" s="144">
        <v>218</v>
      </c>
      <c r="C221" s="2"/>
      <c r="D221" s="1"/>
      <c r="E221" s="3"/>
      <c r="F221" s="1"/>
      <c r="G221" s="141">
        <f>IF(Basic345678910111213141516171819202122232425262728[[#This Row],[نوع الخدمة]]="مخالفات", 50,
IF(Basic345678910111213141516171819202122232425262728[[#This Row],[نوع الخدمة]]="كاش ان",
    IF(F221&lt;=100, 18, IF(F221&lt;=250, 23, IF(F221&lt;=500, 35, IF(F221&lt;=1000, 40, F221*0.04)))),
IF(Basic345678910111213141516171819202122232425262728[[#This Row],[نوع الخدمة]]="كاش اوت",
    IF(F221&lt;=100, 15, IF(F221&lt;=250, 20, IF(F221&lt;=500, 30, IF(F221&lt;=1000, 35, F221*0.035)))),
0)))</f>
        <v>0</v>
      </c>
      <c r="H221" s="159">
        <f>IF(I221="مخالفات",50,Basic345678910111213141516171819202122232425262728[[#This Row],[قيمة الرسوم / العموله]]+Basic345678910111213141516171819202122232425262728[[#This Row],[قيمة الشحنه]])</f>
        <v>0</v>
      </c>
      <c r="I221" s="90"/>
      <c r="J221" s="142" t="str">
        <f t="shared" si="3"/>
        <v>5.5.2026</v>
      </c>
      <c r="L221" s="153">
        <v>210</v>
      </c>
      <c r="M221" s="92"/>
    </row>
    <row r="222" spans="1:13" ht="21.6" x14ac:dyDescent="0.65">
      <c r="A222" s="195"/>
      <c r="B222" s="140">
        <v>219</v>
      </c>
      <c r="C222" s="2"/>
      <c r="D222" s="1"/>
      <c r="E222" s="3"/>
      <c r="F222" s="1"/>
      <c r="G222" s="141">
        <f>IF(Basic345678910111213141516171819202122232425262728[[#This Row],[نوع الخدمة]]="مخالفات", 50,
IF(Basic345678910111213141516171819202122232425262728[[#This Row],[نوع الخدمة]]="كاش ان",
    IF(F222&lt;=100, 18, IF(F222&lt;=250, 23, IF(F222&lt;=500, 35, IF(F222&lt;=1000, 40, F222*0.04)))),
IF(Basic345678910111213141516171819202122232425262728[[#This Row],[نوع الخدمة]]="كاش اوت",
    IF(F222&lt;=100, 15, IF(F222&lt;=250, 20, IF(F222&lt;=500, 30, IF(F222&lt;=1000, 35, F222*0.035)))),
0)))</f>
        <v>0</v>
      </c>
      <c r="H222" s="159">
        <f>IF(I222="مخالفات",50,Basic345678910111213141516171819202122232425262728[[#This Row],[قيمة الرسوم / العموله]]+Basic345678910111213141516171819202122232425262728[[#This Row],[قيمة الشحنه]])</f>
        <v>0</v>
      </c>
      <c r="I222" s="90"/>
      <c r="J222" s="142" t="str">
        <f t="shared" si="3"/>
        <v>5.5.2026</v>
      </c>
      <c r="L222" s="153">
        <v>211</v>
      </c>
      <c r="M222" s="92"/>
    </row>
    <row r="223" spans="1:13" ht="21.6" x14ac:dyDescent="0.65">
      <c r="A223" s="195"/>
      <c r="B223" s="140">
        <v>220</v>
      </c>
      <c r="C223" s="2"/>
      <c r="D223" s="1"/>
      <c r="E223" s="3"/>
      <c r="F223" s="1"/>
      <c r="G223" s="141">
        <f>IF(Basic345678910111213141516171819202122232425262728[[#This Row],[نوع الخدمة]]="مخالفات", 50,
IF(Basic345678910111213141516171819202122232425262728[[#This Row],[نوع الخدمة]]="كاش ان",
    IF(F223&lt;=100, 18, IF(F223&lt;=250, 23, IF(F223&lt;=500, 35, IF(F223&lt;=1000, 40, F223*0.04)))),
IF(Basic345678910111213141516171819202122232425262728[[#This Row],[نوع الخدمة]]="كاش اوت",
    IF(F223&lt;=100, 15, IF(F223&lt;=250, 20, IF(F223&lt;=500, 30, IF(F223&lt;=1000, 35, F223*0.035)))),
0)))</f>
        <v>0</v>
      </c>
      <c r="H223" s="159">
        <f>IF(I223="مخالفات",50,Basic345678910111213141516171819202122232425262728[[#This Row],[قيمة الرسوم / العموله]]+Basic345678910111213141516171819202122232425262728[[#This Row],[قيمة الشحنه]])</f>
        <v>0</v>
      </c>
      <c r="I223" s="90"/>
      <c r="J223" s="142" t="str">
        <f t="shared" si="3"/>
        <v>5.5.2026</v>
      </c>
      <c r="L223" s="153">
        <v>212</v>
      </c>
      <c r="M223" s="92"/>
    </row>
    <row r="224" spans="1:13" ht="21.6" x14ac:dyDescent="0.65">
      <c r="A224" s="195"/>
      <c r="B224" s="140">
        <v>221</v>
      </c>
      <c r="C224" s="2"/>
      <c r="D224" s="1"/>
      <c r="E224" s="3"/>
      <c r="F224" s="1"/>
      <c r="G224" s="141">
        <f>IF(Basic345678910111213141516171819202122232425262728[[#This Row],[نوع الخدمة]]="مخالفات", 50,
IF(Basic345678910111213141516171819202122232425262728[[#This Row],[نوع الخدمة]]="كاش ان",
    IF(F224&lt;=100, 18, IF(F224&lt;=250, 23, IF(F224&lt;=500, 35, IF(F224&lt;=1000, 40, F224*0.04)))),
IF(Basic345678910111213141516171819202122232425262728[[#This Row],[نوع الخدمة]]="كاش اوت",
    IF(F224&lt;=100, 15, IF(F224&lt;=250, 20, IF(F224&lt;=500, 30, IF(F224&lt;=1000, 35, F224*0.035)))),
0)))</f>
        <v>0</v>
      </c>
      <c r="H224" s="159">
        <f>IF(I224="مخالفات",50,Basic345678910111213141516171819202122232425262728[[#This Row],[قيمة الرسوم / العموله]]+Basic345678910111213141516171819202122232425262728[[#This Row],[قيمة الشحنه]])</f>
        <v>0</v>
      </c>
      <c r="I224" s="90"/>
      <c r="J224" s="142" t="str">
        <f t="shared" si="3"/>
        <v>5.5.2026</v>
      </c>
      <c r="L224" s="153">
        <v>213</v>
      </c>
      <c r="M224" s="92"/>
    </row>
    <row r="225" spans="1:13" ht="21.6" x14ac:dyDescent="0.65">
      <c r="A225" s="195"/>
      <c r="B225" s="144">
        <v>222</v>
      </c>
      <c r="C225" s="2"/>
      <c r="D225" s="1"/>
      <c r="E225" s="3"/>
      <c r="F225" s="1"/>
      <c r="G225" s="141">
        <f>IF(Basic345678910111213141516171819202122232425262728[[#This Row],[نوع الخدمة]]="مخالفات", 50,
IF(Basic345678910111213141516171819202122232425262728[[#This Row],[نوع الخدمة]]="كاش ان",
    IF(F225&lt;=100, 18, IF(F225&lt;=250, 23, IF(F225&lt;=500, 35, IF(F225&lt;=1000, 40, F225*0.04)))),
IF(Basic345678910111213141516171819202122232425262728[[#This Row],[نوع الخدمة]]="كاش اوت",
    IF(F225&lt;=100, 15, IF(F225&lt;=250, 20, IF(F225&lt;=500, 30, IF(F225&lt;=1000, 35, F225*0.035)))),
0)))</f>
        <v>0</v>
      </c>
      <c r="H225" s="159">
        <f>IF(I225="مخالفات",50,Basic345678910111213141516171819202122232425262728[[#This Row],[قيمة الرسوم / العموله]]+Basic345678910111213141516171819202122232425262728[[#This Row],[قيمة الشحنه]])</f>
        <v>0</v>
      </c>
      <c r="I225" s="90"/>
      <c r="J225" s="142" t="str">
        <f t="shared" si="3"/>
        <v>5.5.2026</v>
      </c>
      <c r="L225" s="153">
        <v>214</v>
      </c>
      <c r="M225" s="92"/>
    </row>
    <row r="226" spans="1:13" ht="21.6" x14ac:dyDescent="0.65">
      <c r="A226" s="195"/>
      <c r="B226" s="140">
        <v>223</v>
      </c>
      <c r="C226" s="4"/>
      <c r="D226" s="5"/>
      <c r="E226" s="6"/>
      <c r="F226" s="5"/>
      <c r="G226" s="141">
        <f>IF(Basic345678910111213141516171819202122232425262728[[#This Row],[نوع الخدمة]]="مخالفات", 50,
IF(Basic345678910111213141516171819202122232425262728[[#This Row],[نوع الخدمة]]="كاش ان",
    IF(F226&lt;=100, 18, IF(F226&lt;=250, 23, IF(F226&lt;=500, 35, IF(F226&lt;=1000, 40, F226*0.04)))),
IF(Basic345678910111213141516171819202122232425262728[[#This Row],[نوع الخدمة]]="كاش اوت",
    IF(F226&lt;=100, 15, IF(F226&lt;=250, 20, IF(F226&lt;=500, 30, IF(F226&lt;=1000, 35, F226*0.035)))),
0)))</f>
        <v>0</v>
      </c>
      <c r="H226" s="160">
        <f>IF(I226="مخالفات",50,Basic345678910111213141516171819202122232425262728[[#This Row],[قيمة الرسوم / العموله]]+Basic345678910111213141516171819202122232425262728[[#This Row],[قيمة الشحنه]])</f>
        <v>0</v>
      </c>
      <c r="I226" s="90"/>
      <c r="J226" s="142" t="str">
        <f t="shared" si="3"/>
        <v>5.5.2026</v>
      </c>
      <c r="L226" s="156">
        <v>215</v>
      </c>
      <c r="M226" s="93"/>
    </row>
  </sheetData>
  <sheetProtection algorithmName="SHA-512" hashValue="Co2JXw2VDIhcxYDCI4unR4HTIaHZ42xi0yHfbqTOfkzeK3EIxjXIkWf8JyJLZnNYDUp8OWHEOcsJd61lDzWfoQ==" saltValue="fp2EZ1KRFJZuLtioiglEXA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107" priority="12" operator="equal">
      <formula>$BH$10</formula>
    </cfRule>
    <cfRule type="cellIs" dxfId="106" priority="13" operator="equal">
      <formula>$BH$9</formula>
    </cfRule>
    <cfRule type="cellIs" dxfId="105" priority="14" operator="equal">
      <formula>$BH$8</formula>
    </cfRule>
  </conditionalFormatting>
  <conditionalFormatting sqref="P11">
    <cfRule type="cellIs" dxfId="104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{DDF03F8A-4ECC-4C8B-9140-9B9ABEB04CE3}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{46F9E481-2F5D-444B-A02B-A9ED2AA6BB0D}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{5988A54F-07C2-43DF-AB5D-8B4CCF61F54A}</x14:id>
        </ext>
      </extLst>
    </cfRule>
  </conditionalFormatting>
  <dataValidations count="2">
    <dataValidation type="list" allowBlank="1" showInputMessage="1" showErrorMessage="1" sqref="I4:I226" xr:uid="{00000000-0002-0000-0400-000000000000}">
      <formula1>$BH$8:$BH$10</formula1>
    </dataValidation>
    <dataValidation type="textLength" operator="equal" allowBlank="1" showInputMessage="1" showErrorMessage="1" errorTitle="يجب إخال رقم IPN صحيح 13 رقم" sqref="C1:C1048576" xr:uid="{00000000-0002-0000-0400-000001000000}">
      <formula1>13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DF03F8A-4ECC-4C8B-9140-9B9ABEB04CE3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46F9E481-2F5D-444B-A02B-A9ED2AA6BB0D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5988A54F-07C2-43DF-AB5D-8B4CCF61F54A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H226"/>
  <sheetViews>
    <sheetView showGridLines="0" showRowColHeaders="0" rightToLeft="1" topLeftCell="E1" zoomScale="80" zoomScaleNormal="80" workbookViewId="0">
      <selection activeCell="M4" sqref="M4"/>
    </sheetView>
  </sheetViews>
  <sheetFormatPr defaultColWidth="9.109375" defaultRowHeight="14.4" x14ac:dyDescent="0.3"/>
  <cols>
    <col min="1" max="1" width="4.109375" style="124" customWidth="1"/>
    <col min="2" max="2" width="6.5546875" style="125" bestFit="1" customWidth="1"/>
    <col min="3" max="3" width="27.109375" style="126" customWidth="1"/>
    <col min="4" max="4" width="15.6640625" style="124" customWidth="1"/>
    <col min="5" max="5" width="17.5546875" style="157" customWidth="1"/>
    <col min="6" max="6" width="12.88671875" style="124" bestFit="1" customWidth="1"/>
    <col min="7" max="7" width="19" style="124" bestFit="1" customWidth="1"/>
    <col min="8" max="8" width="19" style="124" customWidth="1"/>
    <col min="9" max="9" width="12.44140625" style="128" bestFit="1" customWidth="1"/>
    <col min="10" max="10" width="17.5546875" style="129" customWidth="1"/>
    <col min="11" max="11" width="3.5546875" style="124" customWidth="1"/>
    <col min="12" max="12" width="8.5546875" style="124" bestFit="1" customWidth="1"/>
    <col min="13" max="13" width="24.88671875" style="124" customWidth="1"/>
    <col min="14" max="14" width="3.88671875" style="124" customWidth="1"/>
    <col min="15" max="15" width="26.5546875" style="124" bestFit="1" customWidth="1"/>
    <col min="16" max="16" width="10.88671875" style="124" bestFit="1" customWidth="1"/>
    <col min="17" max="17" width="3.5546875" style="124" customWidth="1"/>
    <col min="18" max="19" width="15.5546875" style="128" customWidth="1"/>
    <col min="20" max="20" width="11.33203125" style="128" customWidth="1"/>
    <col min="21" max="23" width="12.6640625" style="128" customWidth="1"/>
    <col min="24" max="24" width="12.6640625" style="124" customWidth="1"/>
    <col min="25" max="16384" width="9.109375" style="124"/>
  </cols>
  <sheetData>
    <row r="1" spans="1:60" x14ac:dyDescent="0.3">
      <c r="E1" s="127">
        <f>Total!F5</f>
        <v>69</v>
      </c>
      <c r="F1" s="192" t="str">
        <f>Total!G5</f>
        <v>العبور</v>
      </c>
      <c r="G1" s="192"/>
      <c r="H1" s="192"/>
    </row>
    <row r="3" spans="1:60" ht="15.6" x14ac:dyDescent="0.3">
      <c r="B3" s="130" t="s">
        <v>0</v>
      </c>
      <c r="C3" s="131" t="s">
        <v>1</v>
      </c>
      <c r="D3" s="132" t="s">
        <v>2</v>
      </c>
      <c r="E3" s="133" t="s">
        <v>3</v>
      </c>
      <c r="F3" s="132" t="s">
        <v>4</v>
      </c>
      <c r="G3" s="132" t="s">
        <v>5</v>
      </c>
      <c r="H3" s="132" t="s">
        <v>76</v>
      </c>
      <c r="I3" s="132" t="s">
        <v>6</v>
      </c>
      <c r="J3" s="134" t="s">
        <v>7</v>
      </c>
      <c r="L3" s="135" t="s">
        <v>7</v>
      </c>
      <c r="M3" s="136" t="s">
        <v>91</v>
      </c>
      <c r="O3" s="137" t="s">
        <v>17</v>
      </c>
      <c r="P3" s="138">
        <f>M5+M6</f>
        <v>0</v>
      </c>
      <c r="T3" s="173"/>
      <c r="U3" s="173"/>
      <c r="V3" s="173"/>
      <c r="W3" s="173"/>
      <c r="X3" s="139"/>
    </row>
    <row r="4" spans="1:60" ht="21.6" x14ac:dyDescent="0.65">
      <c r="A4" s="195"/>
      <c r="B4" s="140">
        <v>1</v>
      </c>
      <c r="C4" s="8"/>
      <c r="D4" s="9"/>
      <c r="E4" s="10"/>
      <c r="F4" s="9"/>
      <c r="G4" s="141">
        <f>IF(Basic3456789101112131415161718192021222324252627[[#This Row],[نوع الخدمة]]="مخالفات", 50,
IF(Basic3456789101112131415161718192021222324252627[[#This Row],[نوع الخدمة]]="كاش ان",
    IF(F4&lt;=100, 18, IF(F4&lt;=250, 23, IF(F4&lt;=500, 35, IF(F4&lt;=1000, 40, F4*0.04)))),
IF(Basic3456789101112131415161718192021222324252627[[#This Row],[نوع الخدمة]]="كاش اوت",
    IF(F4&lt;=100, 15, IF(F4&lt;=250, 20, IF(F4&lt;=500, 30, IF(F4&lt;=1000, 35, F4*0.035)))),
0)))</f>
        <v>0</v>
      </c>
      <c r="H4" s="141">
        <f>IF(I4="مخالفات",50,Basic3456789101112131415161718192021222324252627[[#This Row],[قيمة الرسوم / العموله]]+Basic3456789101112131415161718192021222324252627[[#This Row],[قيمة الشحنه]])</f>
        <v>0</v>
      </c>
      <c r="I4" s="90"/>
      <c r="J4" s="142" t="str">
        <f t="shared" ref="J4:J67" si="0">M$3</f>
        <v>6.5.2026</v>
      </c>
      <c r="L4" s="135" t="s">
        <v>26</v>
      </c>
      <c r="M4" s="90"/>
      <c r="O4" s="137" t="s">
        <v>18</v>
      </c>
      <c r="P4" s="138">
        <f>M4</f>
        <v>0</v>
      </c>
      <c r="S4" s="143" t="s">
        <v>22</v>
      </c>
      <c r="T4" s="143" t="s">
        <v>23</v>
      </c>
      <c r="U4" s="173"/>
      <c r="V4" s="173"/>
      <c r="W4" s="173"/>
      <c r="X4" s="139"/>
    </row>
    <row r="5" spans="1:60" ht="21.6" x14ac:dyDescent="0.65">
      <c r="A5" s="195"/>
      <c r="B5" s="144">
        <v>2</v>
      </c>
      <c r="C5" s="8"/>
      <c r="D5" s="9"/>
      <c r="E5" s="10"/>
      <c r="F5" s="9"/>
      <c r="G5" s="141">
        <f>IF(Basic3456789101112131415161718192021222324252627[[#This Row],[نوع الخدمة]]="مخالفات", 50,
IF(Basic3456789101112131415161718192021222324252627[[#This Row],[نوع الخدمة]]="كاش ان",
    IF(F5&lt;=100, 18, IF(F5&lt;=250, 23, IF(F5&lt;=500, 35, IF(F5&lt;=1000, 40, F5*0.04)))),
IF(Basic3456789101112131415161718192021222324252627[[#This Row],[نوع الخدمة]]="كاش اوت",
    IF(F5&lt;=100, 15, IF(F5&lt;=250, 20, IF(F5&lt;=500, 30, IF(F5&lt;=1000, 35, F5*0.035)))),
0)))</f>
        <v>0</v>
      </c>
      <c r="H5" s="141">
        <f>IF(I5="مخالفات",50,Basic3456789101112131415161718192021222324252627[[#This Row],[قيمة الرسوم / العموله]]+Basic3456789101112131415161718192021222324252627[[#This Row],[قيمة الشحنه]])</f>
        <v>0</v>
      </c>
      <c r="I5" s="90"/>
      <c r="J5" s="142" t="str">
        <f t="shared" si="0"/>
        <v>6.5.2026</v>
      </c>
      <c r="L5" s="135" t="s">
        <v>27</v>
      </c>
      <c r="M5" s="90"/>
      <c r="O5" s="137" t="s">
        <v>19</v>
      </c>
      <c r="P5" s="138">
        <f>SUMIF(Basic3456789101112131415161718192021222324252627[نوع الخدمة],"كاش ان",Basic3456789101112131415161718192021222324252627[قيمة الشحنه])</f>
        <v>0</v>
      </c>
      <c r="S5" s="145">
        <f>P5+P9+P12+P7</f>
        <v>0</v>
      </c>
      <c r="T5" s="145">
        <f>P3</f>
        <v>0</v>
      </c>
    </row>
    <row r="6" spans="1:60" ht="21.6" x14ac:dyDescent="0.65">
      <c r="A6" s="195"/>
      <c r="B6" s="140">
        <v>3</v>
      </c>
      <c r="C6" s="8"/>
      <c r="D6" s="9"/>
      <c r="E6" s="10"/>
      <c r="F6" s="9"/>
      <c r="G6" s="141">
        <f>IF(Basic3456789101112131415161718192021222324252627[[#This Row],[نوع الخدمة]]="مخالفات", 50,
IF(Basic3456789101112131415161718192021222324252627[[#This Row],[نوع الخدمة]]="كاش ان",
    IF(F6&lt;=100, 18, IF(F6&lt;=250, 23, IF(F6&lt;=500, 35, IF(F6&lt;=1000, 40, F6*0.04)))),
IF(Basic3456789101112131415161718192021222324252627[[#This Row],[نوع الخدمة]]="كاش اوت",
    IF(F6&lt;=100, 15, IF(F6&lt;=250, 20, IF(F6&lt;=500, 30, IF(F6&lt;=1000, 35, F6*0.035)))),
0)))</f>
        <v>0</v>
      </c>
      <c r="H6" s="141">
        <f>IF(I6="مخالفات",50,Basic3456789101112131415161718192021222324252627[[#This Row],[قيمة الرسوم / العموله]]+Basic3456789101112131415161718192021222324252627[[#This Row],[قيمة الشحنه]])</f>
        <v>0</v>
      </c>
      <c r="I6" s="90"/>
      <c r="J6" s="142" t="str">
        <f t="shared" si="0"/>
        <v>6.5.2026</v>
      </c>
      <c r="L6" s="135" t="s">
        <v>28</v>
      </c>
      <c r="M6" s="90"/>
      <c r="O6" s="146" t="s">
        <v>12</v>
      </c>
      <c r="P6" s="138">
        <f>P3*150</f>
        <v>0</v>
      </c>
    </row>
    <row r="7" spans="1:60" ht="21.6" x14ac:dyDescent="0.65">
      <c r="A7" s="195"/>
      <c r="B7" s="140">
        <v>4</v>
      </c>
      <c r="C7" s="8"/>
      <c r="D7" s="9"/>
      <c r="E7" s="10"/>
      <c r="F7" s="9"/>
      <c r="G7" s="141">
        <f>IF(Basic3456789101112131415161718192021222324252627[[#This Row],[نوع الخدمة]]="مخالفات", 50,
IF(Basic3456789101112131415161718192021222324252627[[#This Row],[نوع الخدمة]]="كاش ان",
    IF(F7&lt;=100, 18, IF(F7&lt;=250, 23, IF(F7&lt;=500, 35, IF(F7&lt;=1000, 40, F7*0.04)))),
IF(Basic3456789101112131415161718192021222324252627[[#This Row],[نوع الخدمة]]="كاش اوت",
    IF(F7&lt;=100, 15, IF(F7&lt;=250, 20, IF(F7&lt;=500, 30, IF(F7&lt;=1000, 35, F7*0.035)))),
0)))</f>
        <v>0</v>
      </c>
      <c r="H7" s="141">
        <f>IF(I7="مخالفات",50,Basic3456789101112131415161718192021222324252627[[#This Row],[قيمة الرسوم / العموله]]+Basic3456789101112131415161718192021222324252627[[#This Row],[قيمة الشحنه]])</f>
        <v>0</v>
      </c>
      <c r="I7" s="90"/>
      <c r="J7" s="142" t="str">
        <f t="shared" si="0"/>
        <v>6.5.2026</v>
      </c>
      <c r="L7" s="137" t="s">
        <v>11</v>
      </c>
      <c r="M7" s="165"/>
      <c r="O7" s="146" t="s">
        <v>75</v>
      </c>
      <c r="P7" s="138">
        <f>SUMIF(Basic3456789101112131415161718192021222324252627[نوع الخدمة],"مخالفات",Basic3456789101112131415161718192021222324252627[الاجمــــــــــالي])</f>
        <v>0</v>
      </c>
      <c r="R7" s="173"/>
      <c r="S7" s="173"/>
    </row>
    <row r="8" spans="1:60" ht="21.6" x14ac:dyDescent="0.65">
      <c r="A8" s="195"/>
      <c r="B8" s="140">
        <v>5</v>
      </c>
      <c r="C8" s="8"/>
      <c r="D8" s="9"/>
      <c r="E8" s="10"/>
      <c r="F8" s="9"/>
      <c r="G8" s="141">
        <f>IF(Basic3456789101112131415161718192021222324252627[[#This Row],[نوع الخدمة]]="مخالفات", 50,
IF(Basic3456789101112131415161718192021222324252627[[#This Row],[نوع الخدمة]]="كاش ان",
    IF(F8&lt;=100, 18, IF(F8&lt;=250, 23, IF(F8&lt;=500, 35, IF(F8&lt;=1000, 40, F8*0.04)))),
IF(Basic3456789101112131415161718192021222324252627[[#This Row],[نوع الخدمة]]="كاش اوت",
    IF(F8&lt;=100, 15, IF(F8&lt;=250, 20, IF(F8&lt;=500, 30, IF(F8&lt;=1000, 35, F8*0.035)))),
0)))</f>
        <v>0</v>
      </c>
      <c r="H8" s="141">
        <f>IF(I8="مخالفات",50,Basic3456789101112131415161718192021222324252627[[#This Row],[قيمة الرسوم / العموله]]+Basic3456789101112131415161718192021222324252627[[#This Row],[قيمة الشحنه]])</f>
        <v>0</v>
      </c>
      <c r="I8" s="90"/>
      <c r="J8" s="142" t="str">
        <f t="shared" si="0"/>
        <v>6.5.2026</v>
      </c>
      <c r="L8" s="166" t="s">
        <v>79</v>
      </c>
      <c r="M8" s="167">
        <v>0</v>
      </c>
      <c r="O8" s="137" t="s">
        <v>11</v>
      </c>
      <c r="P8" s="138">
        <f>M7</f>
        <v>0</v>
      </c>
      <c r="R8" s="143" t="s">
        <v>72</v>
      </c>
      <c r="S8" s="143" t="s">
        <v>25</v>
      </c>
      <c r="T8" s="143" t="s">
        <v>24</v>
      </c>
      <c r="U8" s="143" t="s">
        <v>73</v>
      </c>
      <c r="V8" s="143" t="s">
        <v>25</v>
      </c>
      <c r="W8" s="143" t="s">
        <v>24</v>
      </c>
      <c r="BH8" s="148" t="s">
        <v>8</v>
      </c>
    </row>
    <row r="9" spans="1:60" ht="18" customHeight="1" x14ac:dyDescent="0.65">
      <c r="A9" s="195"/>
      <c r="B9" s="144">
        <v>6</v>
      </c>
      <c r="C9" s="8"/>
      <c r="D9" s="9"/>
      <c r="E9" s="10"/>
      <c r="F9" s="9"/>
      <c r="G9" s="141">
        <f>IF(Basic3456789101112131415161718192021222324252627[[#This Row],[نوع الخدمة]]="مخالفات", 50,
IF(Basic3456789101112131415161718192021222324252627[[#This Row],[نوع الخدمة]]="كاش ان",
    IF(F9&lt;=100, 18, IF(F9&lt;=250, 23, IF(F9&lt;=500, 35, IF(F9&lt;=1000, 40, F9*0.04)))),
IF(Basic3456789101112131415161718192021222324252627[[#This Row],[نوع الخدمة]]="كاش اوت",
    IF(F9&lt;=100, 15, IF(F9&lt;=250, 20, IF(F9&lt;=500, 30, IF(F9&lt;=1000, 35, F9*0.035)))),
0)))</f>
        <v>0</v>
      </c>
      <c r="H9" s="141">
        <f>IF(I9="مخالفات",50,Basic3456789101112131415161718192021222324252627[[#This Row],[قيمة الرسوم / العموله]]+Basic3456789101112131415161718192021222324252627[[#This Row],[قيمة الشحنه]])</f>
        <v>0</v>
      </c>
      <c r="I9" s="90"/>
      <c r="J9" s="142" t="str">
        <f t="shared" si="0"/>
        <v>6.5.2026</v>
      </c>
      <c r="L9" s="166" t="s">
        <v>80</v>
      </c>
      <c r="M9" s="167">
        <v>0</v>
      </c>
      <c r="O9" s="137" t="s">
        <v>20</v>
      </c>
      <c r="P9" s="138">
        <f>SUMIF(Basic3456789101112131415161718192021222324252627[نوع الخدمة],"كاش ان",Basic3456789101112131415161718192021222324252627[قيمة الرسوم / العموله])</f>
        <v>0</v>
      </c>
      <c r="R9" s="149">
        <f>Total!H5/24</f>
        <v>29166.666666666668</v>
      </c>
      <c r="S9" s="149">
        <f>S5</f>
        <v>0</v>
      </c>
      <c r="T9" s="150">
        <f>S9/R9</f>
        <v>0</v>
      </c>
      <c r="U9" s="149">
        <f>Total!K5/24</f>
        <v>2.9166666666666665</v>
      </c>
      <c r="V9" s="149">
        <f>T5</f>
        <v>0</v>
      </c>
      <c r="W9" s="150">
        <f>V9/U9</f>
        <v>0</v>
      </c>
      <c r="BH9" s="148" t="s">
        <v>9</v>
      </c>
    </row>
    <row r="10" spans="1:60" ht="21.6" x14ac:dyDescent="0.65">
      <c r="A10" s="195"/>
      <c r="B10" s="140">
        <v>7</v>
      </c>
      <c r="C10" s="8"/>
      <c r="D10" s="9"/>
      <c r="E10" s="10"/>
      <c r="F10" s="9"/>
      <c r="G10" s="141">
        <f>IF(Basic3456789101112131415161718192021222324252627[[#This Row],[نوع الخدمة]]="مخالفات", 50,
IF(Basic3456789101112131415161718192021222324252627[[#This Row],[نوع الخدمة]]="كاش ان",
    IF(F10&lt;=100, 18, IF(F10&lt;=250, 23, IF(F10&lt;=500, 35, IF(F10&lt;=1000, 40, F10*0.04)))),
IF(Basic3456789101112131415161718192021222324252627[[#This Row],[نوع الخدمة]]="كاش اوت",
    IF(F10&lt;=100, 15, IF(F10&lt;=250, 20, IF(F10&lt;=500, 30, IF(F10&lt;=1000, 35, F10*0.035)))),
0)))</f>
        <v>0</v>
      </c>
      <c r="H10" s="141">
        <f>IF(I10="مخالفات",50,Basic3456789101112131415161718192021222324252627[[#This Row],[قيمة الرسوم / العموله]]+Basic3456789101112131415161718192021222324252627[[#This Row],[قيمة الشحنه]])</f>
        <v>0</v>
      </c>
      <c r="I10" s="90"/>
      <c r="J10" s="142" t="str">
        <f t="shared" si="0"/>
        <v>6.5.2026</v>
      </c>
      <c r="O10" s="137" t="s">
        <v>16</v>
      </c>
      <c r="P10" s="138">
        <f>SUMIF(Basic3456789101112131415161718192021222324252627[نوع الخدمة],"كاش اوت",Basic3456789101112131415161718192021222324252627[قيمة الشحنه])</f>
        <v>0</v>
      </c>
      <c r="R10" s="191">
        <f>(W9+T9)/2</f>
        <v>0</v>
      </c>
      <c r="S10" s="191"/>
      <c r="T10" s="191"/>
      <c r="U10" s="191"/>
      <c r="V10" s="191"/>
      <c r="W10" s="191"/>
      <c r="BH10" s="148" t="s">
        <v>10</v>
      </c>
    </row>
    <row r="11" spans="1:60" ht="21.6" x14ac:dyDescent="0.65">
      <c r="A11" s="195"/>
      <c r="B11" s="140">
        <v>8</v>
      </c>
      <c r="C11" s="8"/>
      <c r="D11" s="9"/>
      <c r="E11" s="10"/>
      <c r="F11" s="9"/>
      <c r="G11" s="141">
        <f>IF(Basic3456789101112131415161718192021222324252627[[#This Row],[نوع الخدمة]]="مخالفات", 50,
IF(Basic3456789101112131415161718192021222324252627[[#This Row],[نوع الخدمة]]="كاش ان",
    IF(F11&lt;=100, 18, IF(F11&lt;=250, 23, IF(F11&lt;=500, 35, IF(F11&lt;=1000, 40, F11*0.04)))),
IF(Basic3456789101112131415161718192021222324252627[[#This Row],[نوع الخدمة]]="كاش اوت",
    IF(F11&lt;=100, 15, IF(F11&lt;=250, 20, IF(F11&lt;=500, 30, IF(F11&lt;=1000, 35, F11*0.035)))),
0)))</f>
        <v>0</v>
      </c>
      <c r="H11" s="141">
        <f>IF(I11="مخالفات",50,Basic3456789101112131415161718192021222324252627[[#This Row],[قيمة الرسوم / العموله]]+Basic3456789101112131415161718192021222324252627[[#This Row],[قيمة الشحنه]])</f>
        <v>0</v>
      </c>
      <c r="I11" s="90"/>
      <c r="J11" s="142" t="str">
        <f t="shared" si="0"/>
        <v>6.5.2026</v>
      </c>
      <c r="L11" s="169" t="s">
        <v>77</v>
      </c>
      <c r="M11" s="168" t="s">
        <v>78</v>
      </c>
      <c r="O11" s="151" t="s">
        <v>21</v>
      </c>
      <c r="P11" s="152">
        <f>(P5+P6+P9+P7+P4)-P10-P8</f>
        <v>0</v>
      </c>
      <c r="T11" s="173"/>
    </row>
    <row r="12" spans="1:60" ht="21.6" x14ac:dyDescent="0.65">
      <c r="A12" s="195"/>
      <c r="B12" s="140">
        <v>9</v>
      </c>
      <c r="C12" s="8"/>
      <c r="D12" s="9"/>
      <c r="E12" s="10"/>
      <c r="F12" s="9"/>
      <c r="G12" s="141">
        <f>IF(Basic3456789101112131415161718192021222324252627[[#This Row],[نوع الخدمة]]="مخالفات", 50,
IF(Basic3456789101112131415161718192021222324252627[[#This Row],[نوع الخدمة]]="كاش ان",
    IF(F12&lt;=100, 18, IF(F12&lt;=250, 23, IF(F12&lt;=500, 35, IF(F12&lt;=1000, 40, F12*0.04)))),
IF(Basic3456789101112131415161718192021222324252627[[#This Row],[نوع الخدمة]]="كاش اوت",
    IF(F12&lt;=100, 15, IF(F12&lt;=250, 20, IF(F12&lt;=500, 30, IF(F12&lt;=1000, 35, F12*0.035)))),
0)))</f>
        <v>0</v>
      </c>
      <c r="H12" s="141">
        <f>IF(I12="مخالفات",50,Basic3456789101112131415161718192021222324252627[[#This Row],[قيمة الرسوم / العموله]]+Basic3456789101112131415161718192021222324252627[[#This Row],[قيمة الشحنه]])</f>
        <v>0</v>
      </c>
      <c r="I12" s="90"/>
      <c r="J12" s="142" t="str">
        <f t="shared" si="0"/>
        <v>6.5.2026</v>
      </c>
      <c r="L12" s="153">
        <v>1</v>
      </c>
      <c r="M12" s="91"/>
      <c r="O12" s="137" t="s">
        <v>29</v>
      </c>
      <c r="P12" s="138">
        <f>SUMIF(Basic3456789101112131415161718192021222324252627[نوع الخدمة],"كاش اوت",Basic3456789101112131415161718192021222324252627[الاجمــــــــــالي])</f>
        <v>0</v>
      </c>
    </row>
    <row r="13" spans="1:60" ht="21.6" x14ac:dyDescent="0.65">
      <c r="A13" s="195"/>
      <c r="B13" s="144">
        <v>10</v>
      </c>
      <c r="C13" s="8"/>
      <c r="D13" s="9"/>
      <c r="E13" s="10"/>
      <c r="F13" s="9"/>
      <c r="G13" s="141">
        <f>IF(Basic3456789101112131415161718192021222324252627[[#This Row],[نوع الخدمة]]="مخالفات", 50,
IF(Basic3456789101112131415161718192021222324252627[[#This Row],[نوع الخدمة]]="كاش ان",
    IF(F13&lt;=100, 18, IF(F13&lt;=250, 23, IF(F13&lt;=500, 35, IF(F13&lt;=1000, 40, F13*0.04)))),
IF(Basic3456789101112131415161718192021222324252627[[#This Row],[نوع الخدمة]]="كاش اوت",
    IF(F13&lt;=100, 15, IF(F13&lt;=250, 20, IF(F13&lt;=500, 30, IF(F13&lt;=1000, 35, F13*0.035)))),
0)))</f>
        <v>0</v>
      </c>
      <c r="H13" s="141">
        <f>IF(I13="مخالفات",50,Basic3456789101112131415161718192021222324252627[[#This Row],[قيمة الرسوم / العموله]]+Basic3456789101112131415161718192021222324252627[[#This Row],[قيمة الشحنه]])</f>
        <v>0</v>
      </c>
      <c r="I13" s="90"/>
      <c r="J13" s="142" t="str">
        <f t="shared" si="0"/>
        <v>6.5.2026</v>
      </c>
      <c r="L13" s="153">
        <v>2</v>
      </c>
      <c r="M13" s="92"/>
    </row>
    <row r="14" spans="1:60" ht="21.6" x14ac:dyDescent="0.65">
      <c r="A14" s="195"/>
      <c r="B14" s="140">
        <v>11</v>
      </c>
      <c r="C14" s="2"/>
      <c r="D14" s="1"/>
      <c r="E14" s="3"/>
      <c r="F14" s="1"/>
      <c r="G14" s="141">
        <f>IF(Basic3456789101112131415161718192021222324252627[[#This Row],[نوع الخدمة]]="مخالفات", 50,
IF(Basic3456789101112131415161718192021222324252627[[#This Row],[نوع الخدمة]]="كاش ان",
    IF(F14&lt;=100, 18, IF(F14&lt;=250, 23, IF(F14&lt;=500, 35, IF(F14&lt;=1000, 40, F14*0.04)))),
IF(Basic3456789101112131415161718192021222324252627[[#This Row],[نوع الخدمة]]="كاش اوت",
    IF(F14&lt;=100, 15, IF(F14&lt;=250, 20, IF(F14&lt;=500, 30, IF(F14&lt;=1000, 35, F14*0.035)))),
0)))</f>
        <v>0</v>
      </c>
      <c r="H14" s="159">
        <f>IF(I14="مخالفات",50,Basic3456789101112131415161718192021222324252627[[#This Row],[قيمة الرسوم / العموله]]+Basic3456789101112131415161718192021222324252627[[#This Row],[قيمة الشحنه]])</f>
        <v>0</v>
      </c>
      <c r="I14" s="90"/>
      <c r="J14" s="142" t="str">
        <f t="shared" si="0"/>
        <v>6.5.2026</v>
      </c>
      <c r="L14" s="153">
        <v>3</v>
      </c>
      <c r="M14" s="92"/>
    </row>
    <row r="15" spans="1:60" ht="21.6" x14ac:dyDescent="0.65">
      <c r="A15" s="195"/>
      <c r="B15" s="140">
        <v>12</v>
      </c>
      <c r="C15" s="2"/>
      <c r="D15" s="1"/>
      <c r="E15" s="3"/>
      <c r="F15" s="1"/>
      <c r="G15" s="141">
        <f>IF(Basic3456789101112131415161718192021222324252627[[#This Row],[نوع الخدمة]]="مخالفات", 50,
IF(Basic3456789101112131415161718192021222324252627[[#This Row],[نوع الخدمة]]="كاش ان",
    IF(F15&lt;=100, 18, IF(F15&lt;=250, 23, IF(F15&lt;=500, 35, IF(F15&lt;=1000, 40, F15*0.04)))),
IF(Basic3456789101112131415161718192021222324252627[[#This Row],[نوع الخدمة]]="كاش اوت",
    IF(F15&lt;=100, 15, IF(F15&lt;=250, 20, IF(F15&lt;=500, 30, IF(F15&lt;=1000, 35, F15*0.035)))),
0)))</f>
        <v>0</v>
      </c>
      <c r="H15" s="159">
        <f>IF(I15="مخالفات",50,Basic3456789101112131415161718192021222324252627[[#This Row],[قيمة الرسوم / العموله]]+Basic3456789101112131415161718192021222324252627[[#This Row],[قيمة الشحنه]])</f>
        <v>0</v>
      </c>
      <c r="I15" s="90"/>
      <c r="J15" s="142" t="str">
        <f t="shared" si="0"/>
        <v>6.5.2026</v>
      </c>
      <c r="L15" s="153">
        <v>4</v>
      </c>
      <c r="M15" s="92"/>
      <c r="O15" s="154" t="s">
        <v>10</v>
      </c>
      <c r="P15" s="155">
        <f>COUNTIF(Basic3456789101112131415161718192021222324252627[نوع الخدمة],"مخالفات")</f>
        <v>0</v>
      </c>
    </row>
    <row r="16" spans="1:60" ht="21.6" x14ac:dyDescent="0.65">
      <c r="A16" s="195"/>
      <c r="B16" s="140">
        <v>13</v>
      </c>
      <c r="C16" s="2"/>
      <c r="D16" s="1"/>
      <c r="E16" s="3"/>
      <c r="F16" s="1"/>
      <c r="G16" s="141">
        <f>IF(Basic3456789101112131415161718192021222324252627[[#This Row],[نوع الخدمة]]="مخالفات", 50,
IF(Basic3456789101112131415161718192021222324252627[[#This Row],[نوع الخدمة]]="كاش ان",
    IF(F16&lt;=100, 18, IF(F16&lt;=250, 23, IF(F16&lt;=500, 35, IF(F16&lt;=1000, 40, F16*0.04)))),
IF(Basic3456789101112131415161718192021222324252627[[#This Row],[نوع الخدمة]]="كاش اوت",
    IF(F16&lt;=100, 15, IF(F16&lt;=250, 20, IF(F16&lt;=500, 30, IF(F16&lt;=1000, 35, F16*0.035)))),
0)))</f>
        <v>0</v>
      </c>
      <c r="H16" s="159">
        <f>IF(I16="مخالفات",50,Basic3456789101112131415161718192021222324252627[[#This Row],[قيمة الرسوم / العموله]]+Basic3456789101112131415161718192021222324252627[[#This Row],[قيمة الشحنه]])</f>
        <v>0</v>
      </c>
      <c r="I16" s="90"/>
      <c r="J16" s="142" t="str">
        <f t="shared" si="0"/>
        <v>6.5.2026</v>
      </c>
      <c r="L16" s="153">
        <v>5</v>
      </c>
      <c r="M16" s="92"/>
      <c r="O16" s="154" t="s">
        <v>13</v>
      </c>
      <c r="P16" s="155">
        <f>COUNTIF(Basic3456789101112131415161718192021222324252627[نوع الخدمة],"كاش ان")</f>
        <v>0</v>
      </c>
    </row>
    <row r="17" spans="1:21" ht="21.6" x14ac:dyDescent="0.65">
      <c r="A17" s="195"/>
      <c r="B17" s="144">
        <v>14</v>
      </c>
      <c r="C17" s="2"/>
      <c r="D17" s="1"/>
      <c r="E17" s="3"/>
      <c r="F17" s="1"/>
      <c r="G17" s="141">
        <f>IF(Basic3456789101112131415161718192021222324252627[[#This Row],[نوع الخدمة]]="مخالفات", 50,
IF(Basic3456789101112131415161718192021222324252627[[#This Row],[نوع الخدمة]]="كاش ان",
    IF(F17&lt;=100, 18, IF(F17&lt;=250, 23, IF(F17&lt;=500, 35, IF(F17&lt;=1000, 40, F17*0.04)))),
IF(Basic3456789101112131415161718192021222324252627[[#This Row],[نوع الخدمة]]="كاش اوت",
    IF(F17&lt;=100, 15, IF(F17&lt;=250, 20, IF(F17&lt;=500, 30, IF(F17&lt;=1000, 35, F17*0.035)))),
0)))</f>
        <v>0</v>
      </c>
      <c r="H17" s="159">
        <f>IF(I17="مخالفات",50,Basic3456789101112131415161718192021222324252627[[#This Row],[قيمة الرسوم / العموله]]+Basic3456789101112131415161718192021222324252627[[#This Row],[قيمة الشحنه]])</f>
        <v>0</v>
      </c>
      <c r="I17" s="90"/>
      <c r="J17" s="142" t="str">
        <f t="shared" si="0"/>
        <v>6.5.2026</v>
      </c>
      <c r="L17" s="153">
        <v>6</v>
      </c>
      <c r="M17" s="92"/>
      <c r="O17" s="154" t="s">
        <v>14</v>
      </c>
      <c r="P17" s="155">
        <f>COUNTIF(Basic3456789101112131415161718192021222324252627[نوع الخدمة],"كاش اوت")</f>
        <v>0</v>
      </c>
    </row>
    <row r="18" spans="1:21" ht="21.6" x14ac:dyDescent="0.65">
      <c r="A18" s="195"/>
      <c r="B18" s="140">
        <v>15</v>
      </c>
      <c r="C18" s="2"/>
      <c r="D18" s="1"/>
      <c r="E18" s="3"/>
      <c r="F18" s="1"/>
      <c r="G18" s="141">
        <f>IF(Basic3456789101112131415161718192021222324252627[[#This Row],[نوع الخدمة]]="مخالفات", 50,
IF(Basic3456789101112131415161718192021222324252627[[#This Row],[نوع الخدمة]]="كاش ان",
    IF(F18&lt;=100, 18, IF(F18&lt;=250, 23, IF(F18&lt;=500, 35, IF(F18&lt;=1000, 40, F18*0.04)))),
IF(Basic3456789101112131415161718192021222324252627[[#This Row],[نوع الخدمة]]="كاش اوت",
    IF(F18&lt;=100, 15, IF(F18&lt;=250, 20, IF(F18&lt;=500, 30, IF(F18&lt;=1000, 35, F18*0.035)))),
0)))</f>
        <v>0</v>
      </c>
      <c r="H18" s="159">
        <f>IF(I18="مخالفات",50,Basic3456789101112131415161718192021222324252627[[#This Row],[قيمة الرسوم / العموله]]+Basic3456789101112131415161718192021222324252627[[#This Row],[قيمة الشحنه]])</f>
        <v>0</v>
      </c>
      <c r="I18" s="90"/>
      <c r="J18" s="142" t="str">
        <f t="shared" si="0"/>
        <v>6.5.2026</v>
      </c>
      <c r="L18" s="153">
        <v>7</v>
      </c>
      <c r="M18" s="92"/>
      <c r="O18" s="154" t="s">
        <v>15</v>
      </c>
      <c r="P18" s="155">
        <f>P16+P17</f>
        <v>0</v>
      </c>
    </row>
    <row r="19" spans="1:21" ht="21.6" x14ac:dyDescent="0.65">
      <c r="A19" s="195"/>
      <c r="B19" s="140">
        <v>16</v>
      </c>
      <c r="C19" s="2"/>
      <c r="D19" s="1"/>
      <c r="E19" s="3"/>
      <c r="F19" s="1"/>
      <c r="G19" s="141">
        <f>IF(Basic3456789101112131415161718192021222324252627[[#This Row],[نوع الخدمة]]="مخالفات", 50,
IF(Basic3456789101112131415161718192021222324252627[[#This Row],[نوع الخدمة]]="كاش ان",
    IF(F19&lt;=100, 18, IF(F19&lt;=250, 23, IF(F19&lt;=500, 35, IF(F19&lt;=1000, 40, F19*0.04)))),
IF(Basic3456789101112131415161718192021222324252627[[#This Row],[نوع الخدمة]]="كاش اوت",
    IF(F19&lt;=100, 15, IF(F19&lt;=250, 20, IF(F19&lt;=500, 30, IF(F19&lt;=1000, 35, F19*0.035)))),
0)))</f>
        <v>0</v>
      </c>
      <c r="H19" s="159">
        <f>IF(I19="مخالفات",50,Basic3456789101112131415161718192021222324252627[[#This Row],[قيمة الرسوم / العموله]]+Basic3456789101112131415161718192021222324252627[[#This Row],[قيمة الشحنه]])</f>
        <v>0</v>
      </c>
      <c r="I19" s="90"/>
      <c r="J19" s="142" t="str">
        <f t="shared" si="0"/>
        <v>6.5.2026</v>
      </c>
      <c r="L19" s="153">
        <v>8</v>
      </c>
      <c r="M19" s="92"/>
    </row>
    <row r="20" spans="1:21" ht="21.6" x14ac:dyDescent="0.65">
      <c r="A20" s="195"/>
      <c r="B20" s="140">
        <v>17</v>
      </c>
      <c r="C20" s="2"/>
      <c r="D20" s="1"/>
      <c r="E20" s="3"/>
      <c r="F20" s="1"/>
      <c r="G20" s="141">
        <f>IF(Basic3456789101112131415161718192021222324252627[[#This Row],[نوع الخدمة]]="مخالفات", 50,
IF(Basic3456789101112131415161718192021222324252627[[#This Row],[نوع الخدمة]]="كاش ان",
    IF(F20&lt;=100, 18, IF(F20&lt;=250, 23, IF(F20&lt;=500, 35, IF(F20&lt;=1000, 40, F20*0.04)))),
IF(Basic3456789101112131415161718192021222324252627[[#This Row],[نوع الخدمة]]="كاش اوت",
    IF(F20&lt;=100, 15, IF(F20&lt;=250, 20, IF(F20&lt;=500, 30, IF(F20&lt;=1000, 35, F20*0.035)))),
0)))</f>
        <v>0</v>
      </c>
      <c r="H20" s="159">
        <f>IF(I20="مخالفات",50,Basic3456789101112131415161718192021222324252627[[#This Row],[قيمة الرسوم / العموله]]+Basic3456789101112131415161718192021222324252627[[#This Row],[قيمة الشحنه]])</f>
        <v>0</v>
      </c>
      <c r="I20" s="90"/>
      <c r="J20" s="142" t="str">
        <f t="shared" si="0"/>
        <v>6.5.2026</v>
      </c>
      <c r="L20" s="153">
        <v>9</v>
      </c>
      <c r="M20" s="92"/>
      <c r="O20" s="193" t="s">
        <v>30</v>
      </c>
      <c r="P20" s="194"/>
    </row>
    <row r="21" spans="1:21" ht="21.6" x14ac:dyDescent="0.65">
      <c r="A21" s="195"/>
      <c r="B21" s="144">
        <v>18</v>
      </c>
      <c r="C21" s="2"/>
      <c r="D21" s="1"/>
      <c r="E21" s="3"/>
      <c r="F21" s="1"/>
      <c r="G21" s="141">
        <f>IF(Basic3456789101112131415161718192021222324252627[[#This Row],[نوع الخدمة]]="مخالفات", 50,
IF(Basic3456789101112131415161718192021222324252627[[#This Row],[نوع الخدمة]]="كاش ان",
    IF(F21&lt;=100, 18, IF(F21&lt;=250, 23, IF(F21&lt;=500, 35, IF(F21&lt;=1000, 40, F21*0.04)))),
IF(Basic3456789101112131415161718192021222324252627[[#This Row],[نوع الخدمة]]="كاش اوت",
    IF(F21&lt;=100, 15, IF(F21&lt;=250, 20, IF(F21&lt;=500, 30, IF(F21&lt;=1000, 35, F21*0.035)))),
0)))</f>
        <v>0</v>
      </c>
      <c r="H21" s="159">
        <f>IF(I21="مخالفات",50,Basic3456789101112131415161718192021222324252627[[#This Row],[قيمة الرسوم / العموله]]+Basic3456789101112131415161718192021222324252627[[#This Row],[قيمة الشحنه]])</f>
        <v>0</v>
      </c>
      <c r="I21" s="90"/>
      <c r="J21" s="142" t="str">
        <f t="shared" si="0"/>
        <v>6.5.2026</v>
      </c>
      <c r="L21" s="153">
        <v>10</v>
      </c>
      <c r="M21" s="92"/>
      <c r="O21" s="196" t="s">
        <v>31</v>
      </c>
      <c r="P21" s="197"/>
    </row>
    <row r="22" spans="1:21" ht="21.6" x14ac:dyDescent="0.65">
      <c r="A22" s="195"/>
      <c r="B22" s="140">
        <v>19</v>
      </c>
      <c r="C22" s="2"/>
      <c r="D22" s="1"/>
      <c r="E22" s="3"/>
      <c r="F22" s="1"/>
      <c r="G22" s="141">
        <f>IF(Basic3456789101112131415161718192021222324252627[[#This Row],[نوع الخدمة]]="مخالفات", 50,
IF(Basic3456789101112131415161718192021222324252627[[#This Row],[نوع الخدمة]]="كاش ان",
    IF(F22&lt;=100, 18, IF(F22&lt;=250, 23, IF(F22&lt;=500, 35, IF(F22&lt;=1000, 40, F22*0.04)))),
IF(Basic3456789101112131415161718192021222324252627[[#This Row],[نوع الخدمة]]="كاش اوت",
    IF(F22&lt;=100, 15, IF(F22&lt;=250, 20, IF(F22&lt;=500, 30, IF(F22&lt;=1000, 35, F22*0.035)))),
0)))</f>
        <v>0</v>
      </c>
      <c r="H22" s="159">
        <f>IF(I22="مخالفات",50,Basic3456789101112131415161718192021222324252627[[#This Row],[قيمة الرسوم / العموله]]+Basic3456789101112131415161718192021222324252627[[#This Row],[قيمة الشحنه]])</f>
        <v>0</v>
      </c>
      <c r="I22" s="90"/>
      <c r="J22" s="142" t="str">
        <f t="shared" si="0"/>
        <v>6.5.2026</v>
      </c>
      <c r="L22" s="153">
        <v>11</v>
      </c>
      <c r="M22" s="92"/>
      <c r="O22" s="147" t="s">
        <v>27</v>
      </c>
      <c r="P22" s="135">
        <f>M8+'5'!P28</f>
        <v>-4</v>
      </c>
    </row>
    <row r="23" spans="1:21" ht="21.6" x14ac:dyDescent="0.65">
      <c r="A23" s="195"/>
      <c r="B23" s="140">
        <v>20</v>
      </c>
      <c r="C23" s="2"/>
      <c r="D23" s="1"/>
      <c r="E23" s="3"/>
      <c r="F23" s="1"/>
      <c r="G23" s="141">
        <f>IF(Basic3456789101112131415161718192021222324252627[[#This Row],[نوع الخدمة]]="مخالفات", 50,
IF(Basic3456789101112131415161718192021222324252627[[#This Row],[نوع الخدمة]]="كاش ان",
    IF(F23&lt;=100, 18, IF(F23&lt;=250, 23, IF(F23&lt;=500, 35, IF(F23&lt;=1000, 40, F23*0.04)))),
IF(Basic3456789101112131415161718192021222324252627[[#This Row],[نوع الخدمة]]="كاش اوت",
    IF(F23&lt;=100, 15, IF(F23&lt;=250, 20, IF(F23&lt;=500, 30, IF(F23&lt;=1000, 35, F23*0.035)))),
0)))</f>
        <v>0</v>
      </c>
      <c r="H23" s="159">
        <f>IF(I23="مخالفات",50,Basic3456789101112131415161718192021222324252627[[#This Row],[قيمة الرسوم / العموله]]+Basic3456789101112131415161718192021222324252627[[#This Row],[قيمة الشحنه]])</f>
        <v>0</v>
      </c>
      <c r="I23" s="90"/>
      <c r="J23" s="142" t="str">
        <f t="shared" si="0"/>
        <v>6.5.2026</v>
      </c>
      <c r="L23" s="153">
        <v>12</v>
      </c>
      <c r="M23" s="92"/>
      <c r="O23" s="147" t="s">
        <v>28</v>
      </c>
      <c r="P23" s="135">
        <f>M9+'5'!P29</f>
        <v>0</v>
      </c>
      <c r="T23" s="173"/>
      <c r="U23" s="173"/>
    </row>
    <row r="24" spans="1:21" ht="21.6" x14ac:dyDescent="0.65">
      <c r="A24" s="195"/>
      <c r="B24" s="140">
        <v>21</v>
      </c>
      <c r="C24" s="2"/>
      <c r="D24" s="1"/>
      <c r="E24" s="3"/>
      <c r="F24" s="1"/>
      <c r="G24" s="141">
        <f>IF(Basic3456789101112131415161718192021222324252627[[#This Row],[نوع الخدمة]]="مخالفات", 50,
IF(Basic3456789101112131415161718192021222324252627[[#This Row],[نوع الخدمة]]="كاش ان",
    IF(F24&lt;=100, 18, IF(F24&lt;=250, 23, IF(F24&lt;=500, 35, IF(F24&lt;=1000, 40, F24*0.04)))),
IF(Basic3456789101112131415161718192021222324252627[[#This Row],[نوع الخدمة]]="كاش اوت",
    IF(F24&lt;=100, 15, IF(F24&lt;=250, 20, IF(F24&lt;=500, 30, IF(F24&lt;=1000, 35, F24*0.035)))),
0)))</f>
        <v>0</v>
      </c>
      <c r="H24" s="159">
        <f>IF(I24="مخالفات",50,Basic3456789101112131415161718192021222324252627[[#This Row],[قيمة الرسوم / العموله]]+Basic3456789101112131415161718192021222324252627[[#This Row],[قيمة الشحنه]])</f>
        <v>0</v>
      </c>
      <c r="I24" s="90"/>
      <c r="J24" s="142" t="str">
        <f t="shared" si="0"/>
        <v>6.5.2026</v>
      </c>
      <c r="L24" s="153">
        <v>13</v>
      </c>
      <c r="M24" s="92"/>
      <c r="O24" s="196" t="s">
        <v>32</v>
      </c>
      <c r="P24" s="197"/>
    </row>
    <row r="25" spans="1:21" ht="21.6" x14ac:dyDescent="0.65">
      <c r="A25" s="195"/>
      <c r="B25" s="144">
        <v>22</v>
      </c>
      <c r="C25" s="2"/>
      <c r="D25" s="1"/>
      <c r="E25" s="3"/>
      <c r="F25" s="1"/>
      <c r="G25" s="141">
        <f>IF(Basic3456789101112131415161718192021222324252627[[#This Row],[نوع الخدمة]]="مخالفات", 50,
IF(Basic3456789101112131415161718192021222324252627[[#This Row],[نوع الخدمة]]="كاش ان",
    IF(F25&lt;=100, 18, IF(F25&lt;=250, 23, IF(F25&lt;=500, 35, IF(F25&lt;=1000, 40, F25*0.04)))),
IF(Basic3456789101112131415161718192021222324252627[[#This Row],[نوع الخدمة]]="كاش اوت",
    IF(F25&lt;=100, 15, IF(F25&lt;=250, 20, IF(F25&lt;=500, 30, IF(F25&lt;=1000, 35, F25*0.035)))),
0)))</f>
        <v>0</v>
      </c>
      <c r="H25" s="159">
        <f>IF(I25="مخالفات",50,Basic3456789101112131415161718192021222324252627[[#This Row],[قيمة الرسوم / العموله]]+Basic3456789101112131415161718192021222324252627[[#This Row],[قيمة الشحنه]])</f>
        <v>0</v>
      </c>
      <c r="I25" s="90"/>
      <c r="J25" s="142" t="str">
        <f t="shared" si="0"/>
        <v>6.5.2026</v>
      </c>
      <c r="L25" s="153">
        <v>14</v>
      </c>
      <c r="M25" s="92"/>
      <c r="O25" s="147" t="s">
        <v>27</v>
      </c>
      <c r="P25" s="135">
        <f>M5</f>
        <v>0</v>
      </c>
    </row>
    <row r="26" spans="1:21" ht="21.6" x14ac:dyDescent="0.65">
      <c r="A26" s="195"/>
      <c r="B26" s="140">
        <v>23</v>
      </c>
      <c r="C26" s="2"/>
      <c r="D26" s="1"/>
      <c r="E26" s="3"/>
      <c r="F26" s="1"/>
      <c r="G26" s="141">
        <f>IF(Basic3456789101112131415161718192021222324252627[[#This Row],[نوع الخدمة]]="مخالفات", 50,
IF(Basic3456789101112131415161718192021222324252627[[#This Row],[نوع الخدمة]]="كاش ان",
    IF(F26&lt;=100, 18, IF(F26&lt;=250, 23, IF(F26&lt;=500, 35, IF(F26&lt;=1000, 40, F26*0.04)))),
IF(Basic3456789101112131415161718192021222324252627[[#This Row],[نوع الخدمة]]="كاش اوت",
    IF(F26&lt;=100, 15, IF(F26&lt;=250, 20, IF(F26&lt;=500, 30, IF(F26&lt;=1000, 35, F26*0.035)))),
0)))</f>
        <v>0</v>
      </c>
      <c r="H26" s="159">
        <f>IF(I26="مخالفات",50,Basic3456789101112131415161718192021222324252627[[#This Row],[قيمة الرسوم / العموله]]+Basic3456789101112131415161718192021222324252627[[#This Row],[قيمة الشحنه]])</f>
        <v>0</v>
      </c>
      <c r="I26" s="90"/>
      <c r="J26" s="142" t="str">
        <f t="shared" si="0"/>
        <v>6.5.2026</v>
      </c>
      <c r="L26" s="153">
        <v>15</v>
      </c>
      <c r="M26" s="92"/>
      <c r="O26" s="147" t="s">
        <v>28</v>
      </c>
      <c r="P26" s="135">
        <f>M6</f>
        <v>0</v>
      </c>
    </row>
    <row r="27" spans="1:21" ht="21.6" x14ac:dyDescent="0.65">
      <c r="A27" s="195"/>
      <c r="B27" s="140">
        <v>24</v>
      </c>
      <c r="C27" s="2"/>
      <c r="D27" s="1"/>
      <c r="E27" s="3"/>
      <c r="F27" s="1"/>
      <c r="G27" s="141">
        <f>IF(Basic3456789101112131415161718192021222324252627[[#This Row],[نوع الخدمة]]="مخالفات", 50,
IF(Basic3456789101112131415161718192021222324252627[[#This Row],[نوع الخدمة]]="كاش ان",
    IF(F27&lt;=100, 18, IF(F27&lt;=250, 23, IF(F27&lt;=500, 35, IF(F27&lt;=1000, 40, F27*0.04)))),
IF(Basic3456789101112131415161718192021222324252627[[#This Row],[نوع الخدمة]]="كاش اوت",
    IF(F27&lt;=100, 15, IF(F27&lt;=250, 20, IF(F27&lt;=500, 30, IF(F27&lt;=1000, 35, F27*0.035)))),
0)))</f>
        <v>0</v>
      </c>
      <c r="H27" s="159">
        <f>IF(I27="مخالفات",50,Basic3456789101112131415161718192021222324252627[[#This Row],[قيمة الرسوم / العموله]]+Basic3456789101112131415161718192021222324252627[[#This Row],[قيمة الشحنه]])</f>
        <v>0</v>
      </c>
      <c r="I27" s="90"/>
      <c r="J27" s="142" t="str">
        <f t="shared" si="0"/>
        <v>6.5.2026</v>
      </c>
      <c r="L27" s="153">
        <v>16</v>
      </c>
      <c r="M27" s="92"/>
      <c r="O27" s="196" t="s">
        <v>33</v>
      </c>
      <c r="P27" s="197"/>
    </row>
    <row r="28" spans="1:21" ht="21.6" x14ac:dyDescent="0.65">
      <c r="A28" s="195"/>
      <c r="B28" s="140">
        <v>25</v>
      </c>
      <c r="C28" s="2"/>
      <c r="D28" s="1"/>
      <c r="E28" s="3"/>
      <c r="F28" s="1"/>
      <c r="G28" s="141">
        <f>IF(Basic3456789101112131415161718192021222324252627[[#This Row],[نوع الخدمة]]="مخالفات", 50,
IF(Basic3456789101112131415161718192021222324252627[[#This Row],[نوع الخدمة]]="كاش ان",
    IF(F28&lt;=100, 18, IF(F28&lt;=250, 23, IF(F28&lt;=500, 35, IF(F28&lt;=1000, 40, F28*0.04)))),
IF(Basic3456789101112131415161718192021222324252627[[#This Row],[نوع الخدمة]]="كاش اوت",
    IF(F28&lt;=100, 15, IF(F28&lt;=250, 20, IF(F28&lt;=500, 30, IF(F28&lt;=1000, 35, F28*0.035)))),
0)))</f>
        <v>0</v>
      </c>
      <c r="H28" s="159">
        <f>IF(I28="مخالفات",50,Basic3456789101112131415161718192021222324252627[[#This Row],[قيمة الرسوم / العموله]]+Basic3456789101112131415161718192021222324252627[[#This Row],[قيمة الشحنه]])</f>
        <v>0</v>
      </c>
      <c r="I28" s="90"/>
      <c r="J28" s="142" t="str">
        <f t="shared" si="0"/>
        <v>6.5.2026</v>
      </c>
      <c r="L28" s="153">
        <v>17</v>
      </c>
      <c r="M28" s="92"/>
      <c r="O28" s="147" t="s">
        <v>27</v>
      </c>
      <c r="P28" s="135">
        <f>P22-P25</f>
        <v>-4</v>
      </c>
    </row>
    <row r="29" spans="1:21" ht="21.6" x14ac:dyDescent="0.65">
      <c r="A29" s="195"/>
      <c r="B29" s="144">
        <v>26</v>
      </c>
      <c r="C29" s="2"/>
      <c r="D29" s="1"/>
      <c r="E29" s="3"/>
      <c r="F29" s="1"/>
      <c r="G29" s="141">
        <f>IF(Basic3456789101112131415161718192021222324252627[[#This Row],[نوع الخدمة]]="مخالفات", 50,
IF(Basic3456789101112131415161718192021222324252627[[#This Row],[نوع الخدمة]]="كاش ان",
    IF(F29&lt;=100, 18, IF(F29&lt;=250, 23, IF(F29&lt;=500, 35, IF(F29&lt;=1000, 40, F29*0.04)))),
IF(Basic3456789101112131415161718192021222324252627[[#This Row],[نوع الخدمة]]="كاش اوت",
    IF(F29&lt;=100, 15, IF(F29&lt;=250, 20, IF(F29&lt;=500, 30, IF(F29&lt;=1000, 35, F29*0.035)))),
0)))</f>
        <v>0</v>
      </c>
      <c r="H29" s="159">
        <f>IF(I29="مخالفات",50,Basic3456789101112131415161718192021222324252627[[#This Row],[قيمة الرسوم / العموله]]+Basic3456789101112131415161718192021222324252627[[#This Row],[قيمة الشحنه]])</f>
        <v>0</v>
      </c>
      <c r="I29" s="90"/>
      <c r="J29" s="142" t="str">
        <f t="shared" si="0"/>
        <v>6.5.2026</v>
      </c>
      <c r="L29" s="153">
        <v>18</v>
      </c>
      <c r="M29" s="92"/>
      <c r="O29" s="147" t="s">
        <v>28</v>
      </c>
      <c r="P29" s="135">
        <f>P23-P26</f>
        <v>0</v>
      </c>
    </row>
    <row r="30" spans="1:21" ht="21.6" x14ac:dyDescent="0.65">
      <c r="A30" s="195"/>
      <c r="B30" s="140">
        <v>27</v>
      </c>
      <c r="C30" s="2"/>
      <c r="D30" s="1"/>
      <c r="E30" s="3"/>
      <c r="F30" s="1"/>
      <c r="G30" s="141">
        <f>IF(Basic3456789101112131415161718192021222324252627[[#This Row],[نوع الخدمة]]="مخالفات", 50,
IF(Basic3456789101112131415161718192021222324252627[[#This Row],[نوع الخدمة]]="كاش ان",
    IF(F30&lt;=100, 18, IF(F30&lt;=250, 23, IF(F30&lt;=500, 35, IF(F30&lt;=1000, 40, F30*0.04)))),
IF(Basic3456789101112131415161718192021222324252627[[#This Row],[نوع الخدمة]]="كاش اوت",
    IF(F30&lt;=100, 15, IF(F30&lt;=250, 20, IF(F30&lt;=500, 30, IF(F30&lt;=1000, 35, F30*0.035)))),
0)))</f>
        <v>0</v>
      </c>
      <c r="H30" s="159">
        <f>IF(I30="مخالفات",50,Basic3456789101112131415161718192021222324252627[[#This Row],[قيمة الرسوم / العموله]]+Basic3456789101112131415161718192021222324252627[[#This Row],[قيمة الشحنه]])</f>
        <v>0</v>
      </c>
      <c r="I30" s="90"/>
      <c r="J30" s="142" t="str">
        <f t="shared" si="0"/>
        <v>6.5.2026</v>
      </c>
      <c r="L30" s="153">
        <v>19</v>
      </c>
      <c r="M30" s="92"/>
    </row>
    <row r="31" spans="1:21" ht="21.6" x14ac:dyDescent="0.65">
      <c r="A31" s="195"/>
      <c r="B31" s="140">
        <v>28</v>
      </c>
      <c r="C31" s="2"/>
      <c r="D31" s="1"/>
      <c r="E31" s="3"/>
      <c r="F31" s="1"/>
      <c r="G31" s="141">
        <f>IF(Basic3456789101112131415161718192021222324252627[[#This Row],[نوع الخدمة]]="مخالفات", 50,
IF(Basic3456789101112131415161718192021222324252627[[#This Row],[نوع الخدمة]]="كاش ان",
    IF(F31&lt;=100, 18, IF(F31&lt;=250, 23, IF(F31&lt;=500, 35, IF(F31&lt;=1000, 40, F31*0.04)))),
IF(Basic3456789101112131415161718192021222324252627[[#This Row],[نوع الخدمة]]="كاش اوت",
    IF(F31&lt;=100, 15, IF(F31&lt;=250, 20, IF(F31&lt;=500, 30, IF(F31&lt;=1000, 35, F31*0.035)))),
0)))</f>
        <v>0</v>
      </c>
      <c r="H31" s="159">
        <f>IF(I31="مخالفات",50,Basic3456789101112131415161718192021222324252627[[#This Row],[قيمة الرسوم / العموله]]+Basic3456789101112131415161718192021222324252627[[#This Row],[قيمة الشحنه]])</f>
        <v>0</v>
      </c>
      <c r="I31" s="90"/>
      <c r="J31" s="142" t="str">
        <f t="shared" si="0"/>
        <v>6.5.2026</v>
      </c>
      <c r="L31" s="153">
        <v>20</v>
      </c>
      <c r="M31" s="92"/>
    </row>
    <row r="32" spans="1:21" ht="21.6" x14ac:dyDescent="0.65">
      <c r="A32" s="195"/>
      <c r="B32" s="140">
        <v>29</v>
      </c>
      <c r="C32" s="2"/>
      <c r="D32" s="1"/>
      <c r="E32" s="3"/>
      <c r="F32" s="1"/>
      <c r="G32" s="141">
        <f>IF(Basic3456789101112131415161718192021222324252627[[#This Row],[نوع الخدمة]]="مخالفات", 50,
IF(Basic3456789101112131415161718192021222324252627[[#This Row],[نوع الخدمة]]="كاش ان",
    IF(F32&lt;=100, 18, IF(F32&lt;=250, 23, IF(F32&lt;=500, 35, IF(F32&lt;=1000, 40, F32*0.04)))),
IF(Basic3456789101112131415161718192021222324252627[[#This Row],[نوع الخدمة]]="كاش اوت",
    IF(F32&lt;=100, 15, IF(F32&lt;=250, 20, IF(F32&lt;=500, 30, IF(F32&lt;=1000, 35, F32*0.035)))),
0)))</f>
        <v>0</v>
      </c>
      <c r="H32" s="159">
        <f>IF(I32="مخالفات",50,Basic3456789101112131415161718192021222324252627[[#This Row],[قيمة الرسوم / العموله]]+Basic3456789101112131415161718192021222324252627[[#This Row],[قيمة الشحنه]])</f>
        <v>0</v>
      </c>
      <c r="I32" s="90"/>
      <c r="J32" s="142" t="str">
        <f t="shared" si="0"/>
        <v>6.5.2026</v>
      </c>
      <c r="L32" s="153">
        <v>21</v>
      </c>
      <c r="M32" s="92"/>
    </row>
    <row r="33" spans="1:13" ht="21.6" x14ac:dyDescent="0.65">
      <c r="A33" s="195"/>
      <c r="B33" s="144">
        <v>30</v>
      </c>
      <c r="C33" s="2"/>
      <c r="D33" s="1"/>
      <c r="E33" s="3"/>
      <c r="F33" s="1"/>
      <c r="G33" s="141">
        <f>IF(Basic3456789101112131415161718192021222324252627[[#This Row],[نوع الخدمة]]="مخالفات", 50,
IF(Basic3456789101112131415161718192021222324252627[[#This Row],[نوع الخدمة]]="كاش ان",
    IF(F33&lt;=100, 18, IF(F33&lt;=250, 23, IF(F33&lt;=500, 35, IF(F33&lt;=1000, 40, F33*0.04)))),
IF(Basic3456789101112131415161718192021222324252627[[#This Row],[نوع الخدمة]]="كاش اوت",
    IF(F33&lt;=100, 15, IF(F33&lt;=250, 20, IF(F33&lt;=500, 30, IF(F33&lt;=1000, 35, F33*0.035)))),
0)))</f>
        <v>0</v>
      </c>
      <c r="H33" s="159">
        <f>IF(I33="مخالفات",50,Basic3456789101112131415161718192021222324252627[[#This Row],[قيمة الرسوم / العموله]]+Basic3456789101112131415161718192021222324252627[[#This Row],[قيمة الشحنه]])</f>
        <v>0</v>
      </c>
      <c r="I33" s="90"/>
      <c r="J33" s="142" t="str">
        <f t="shared" si="0"/>
        <v>6.5.2026</v>
      </c>
      <c r="L33" s="153">
        <v>22</v>
      </c>
      <c r="M33" s="92"/>
    </row>
    <row r="34" spans="1:13" ht="21.6" x14ac:dyDescent="0.65">
      <c r="A34" s="195"/>
      <c r="B34" s="140">
        <v>31</v>
      </c>
      <c r="C34" s="2"/>
      <c r="D34" s="1"/>
      <c r="E34" s="3"/>
      <c r="F34" s="1"/>
      <c r="G34" s="141">
        <f>IF(Basic3456789101112131415161718192021222324252627[[#This Row],[نوع الخدمة]]="مخالفات", 50,
IF(Basic3456789101112131415161718192021222324252627[[#This Row],[نوع الخدمة]]="كاش ان",
    IF(F34&lt;=100, 18, IF(F34&lt;=250, 23, IF(F34&lt;=500, 35, IF(F34&lt;=1000, 40, F34*0.04)))),
IF(Basic3456789101112131415161718192021222324252627[[#This Row],[نوع الخدمة]]="كاش اوت",
    IF(F34&lt;=100, 15, IF(F34&lt;=250, 20, IF(F34&lt;=500, 30, IF(F34&lt;=1000, 35, F34*0.035)))),
0)))</f>
        <v>0</v>
      </c>
      <c r="H34" s="159">
        <f>IF(I34="مخالفات",50,Basic3456789101112131415161718192021222324252627[[#This Row],[قيمة الرسوم / العموله]]+Basic3456789101112131415161718192021222324252627[[#This Row],[قيمة الشحنه]])</f>
        <v>0</v>
      </c>
      <c r="I34" s="90"/>
      <c r="J34" s="142" t="str">
        <f t="shared" si="0"/>
        <v>6.5.2026</v>
      </c>
      <c r="L34" s="153">
        <v>23</v>
      </c>
      <c r="M34" s="92"/>
    </row>
    <row r="35" spans="1:13" ht="21.6" x14ac:dyDescent="0.65">
      <c r="A35" s="195"/>
      <c r="B35" s="140">
        <v>32</v>
      </c>
      <c r="C35" s="2"/>
      <c r="D35" s="1"/>
      <c r="E35" s="3"/>
      <c r="F35" s="1"/>
      <c r="G35" s="141">
        <f>IF(Basic3456789101112131415161718192021222324252627[[#This Row],[نوع الخدمة]]="مخالفات", 50,
IF(Basic3456789101112131415161718192021222324252627[[#This Row],[نوع الخدمة]]="كاش ان",
    IF(F35&lt;=100, 18, IF(F35&lt;=250, 23, IF(F35&lt;=500, 35, IF(F35&lt;=1000, 40, F35*0.04)))),
IF(Basic3456789101112131415161718192021222324252627[[#This Row],[نوع الخدمة]]="كاش اوت",
    IF(F35&lt;=100, 15, IF(F35&lt;=250, 20, IF(F35&lt;=500, 30, IF(F35&lt;=1000, 35, F35*0.035)))),
0)))</f>
        <v>0</v>
      </c>
      <c r="H35" s="159">
        <f>IF(I35="مخالفات",50,Basic3456789101112131415161718192021222324252627[[#This Row],[قيمة الرسوم / العموله]]+Basic3456789101112131415161718192021222324252627[[#This Row],[قيمة الشحنه]])</f>
        <v>0</v>
      </c>
      <c r="I35" s="90"/>
      <c r="J35" s="142" t="str">
        <f t="shared" si="0"/>
        <v>6.5.2026</v>
      </c>
      <c r="L35" s="153">
        <v>24</v>
      </c>
      <c r="M35" s="92"/>
    </row>
    <row r="36" spans="1:13" ht="21.6" x14ac:dyDescent="0.65">
      <c r="A36" s="195"/>
      <c r="B36" s="140">
        <v>33</v>
      </c>
      <c r="C36" s="2"/>
      <c r="D36" s="1"/>
      <c r="E36" s="3"/>
      <c r="F36" s="1"/>
      <c r="G36" s="141">
        <f>IF(Basic3456789101112131415161718192021222324252627[[#This Row],[نوع الخدمة]]="مخالفات", 50,
IF(Basic3456789101112131415161718192021222324252627[[#This Row],[نوع الخدمة]]="كاش ان",
    IF(F36&lt;=100, 18, IF(F36&lt;=250, 23, IF(F36&lt;=500, 35, IF(F36&lt;=1000, 40, F36*0.04)))),
IF(Basic3456789101112131415161718192021222324252627[[#This Row],[نوع الخدمة]]="كاش اوت",
    IF(F36&lt;=100, 15, IF(F36&lt;=250, 20, IF(F36&lt;=500, 30, IF(F36&lt;=1000, 35, F36*0.035)))),
0)))</f>
        <v>0</v>
      </c>
      <c r="H36" s="159">
        <f>IF(I36="مخالفات",50,Basic3456789101112131415161718192021222324252627[[#This Row],[قيمة الرسوم / العموله]]+Basic3456789101112131415161718192021222324252627[[#This Row],[قيمة الشحنه]])</f>
        <v>0</v>
      </c>
      <c r="I36" s="90"/>
      <c r="J36" s="142" t="str">
        <f t="shared" si="0"/>
        <v>6.5.2026</v>
      </c>
      <c r="L36" s="153">
        <v>25</v>
      </c>
      <c r="M36" s="92"/>
    </row>
    <row r="37" spans="1:13" ht="21.6" x14ac:dyDescent="0.65">
      <c r="A37" s="195"/>
      <c r="B37" s="144">
        <v>34</v>
      </c>
      <c r="C37" s="2"/>
      <c r="D37" s="1"/>
      <c r="E37" s="3"/>
      <c r="F37" s="1"/>
      <c r="G37" s="141">
        <f>IF(Basic3456789101112131415161718192021222324252627[[#This Row],[نوع الخدمة]]="مخالفات", 50,
IF(Basic3456789101112131415161718192021222324252627[[#This Row],[نوع الخدمة]]="كاش ان",
    IF(F37&lt;=100, 18, IF(F37&lt;=250, 23, IF(F37&lt;=500, 35, IF(F37&lt;=1000, 40, F37*0.04)))),
IF(Basic3456789101112131415161718192021222324252627[[#This Row],[نوع الخدمة]]="كاش اوت",
    IF(F37&lt;=100, 15, IF(F37&lt;=250, 20, IF(F37&lt;=500, 30, IF(F37&lt;=1000, 35, F37*0.035)))),
0)))</f>
        <v>0</v>
      </c>
      <c r="H37" s="159">
        <f>IF(I37="مخالفات",50,Basic3456789101112131415161718192021222324252627[[#This Row],[قيمة الرسوم / العموله]]+Basic3456789101112131415161718192021222324252627[[#This Row],[قيمة الشحنه]])</f>
        <v>0</v>
      </c>
      <c r="I37" s="90"/>
      <c r="J37" s="142" t="str">
        <f t="shared" si="0"/>
        <v>6.5.2026</v>
      </c>
      <c r="L37" s="153">
        <v>26</v>
      </c>
      <c r="M37" s="92"/>
    </row>
    <row r="38" spans="1:13" ht="21.6" x14ac:dyDescent="0.65">
      <c r="A38" s="195"/>
      <c r="B38" s="140">
        <v>35</v>
      </c>
      <c r="C38" s="2"/>
      <c r="D38" s="1"/>
      <c r="E38" s="3"/>
      <c r="F38" s="1"/>
      <c r="G38" s="141">
        <f>IF(Basic3456789101112131415161718192021222324252627[[#This Row],[نوع الخدمة]]="مخالفات", 50,
IF(Basic3456789101112131415161718192021222324252627[[#This Row],[نوع الخدمة]]="كاش ان",
    IF(F38&lt;=100, 18, IF(F38&lt;=250, 23, IF(F38&lt;=500, 35, IF(F38&lt;=1000, 40, F38*0.04)))),
IF(Basic3456789101112131415161718192021222324252627[[#This Row],[نوع الخدمة]]="كاش اوت",
    IF(F38&lt;=100, 15, IF(F38&lt;=250, 20, IF(F38&lt;=500, 30, IF(F38&lt;=1000, 35, F38*0.035)))),
0)))</f>
        <v>0</v>
      </c>
      <c r="H38" s="159">
        <f>IF(I38="مخالفات",50,Basic3456789101112131415161718192021222324252627[[#This Row],[قيمة الرسوم / العموله]]+Basic3456789101112131415161718192021222324252627[[#This Row],[قيمة الشحنه]])</f>
        <v>0</v>
      </c>
      <c r="I38" s="90"/>
      <c r="J38" s="142" t="str">
        <f t="shared" si="0"/>
        <v>6.5.2026</v>
      </c>
      <c r="L38" s="153">
        <v>27</v>
      </c>
      <c r="M38" s="92"/>
    </row>
    <row r="39" spans="1:13" ht="21.6" x14ac:dyDescent="0.65">
      <c r="A39" s="195"/>
      <c r="B39" s="140">
        <v>36</v>
      </c>
      <c r="C39" s="2"/>
      <c r="D39" s="1"/>
      <c r="E39" s="3"/>
      <c r="F39" s="1"/>
      <c r="G39" s="141">
        <f>IF(Basic3456789101112131415161718192021222324252627[[#This Row],[نوع الخدمة]]="مخالفات", 50,
IF(Basic3456789101112131415161718192021222324252627[[#This Row],[نوع الخدمة]]="كاش ان",
    IF(F39&lt;=100, 18, IF(F39&lt;=250, 23, IF(F39&lt;=500, 35, IF(F39&lt;=1000, 40, F39*0.04)))),
IF(Basic3456789101112131415161718192021222324252627[[#This Row],[نوع الخدمة]]="كاش اوت",
    IF(F39&lt;=100, 15, IF(F39&lt;=250, 20, IF(F39&lt;=500, 30, IF(F39&lt;=1000, 35, F39*0.035)))),
0)))</f>
        <v>0</v>
      </c>
      <c r="H39" s="159">
        <f>IF(I39="مخالفات",50,Basic3456789101112131415161718192021222324252627[[#This Row],[قيمة الرسوم / العموله]]+Basic3456789101112131415161718192021222324252627[[#This Row],[قيمة الشحنه]])</f>
        <v>0</v>
      </c>
      <c r="I39" s="90"/>
      <c r="J39" s="142" t="str">
        <f t="shared" si="0"/>
        <v>6.5.2026</v>
      </c>
      <c r="L39" s="153">
        <v>28</v>
      </c>
      <c r="M39" s="92"/>
    </row>
    <row r="40" spans="1:13" ht="21.6" x14ac:dyDescent="0.65">
      <c r="A40" s="195"/>
      <c r="B40" s="140">
        <v>37</v>
      </c>
      <c r="C40" s="2"/>
      <c r="D40" s="1"/>
      <c r="E40" s="3"/>
      <c r="F40" s="1"/>
      <c r="G40" s="141">
        <f>IF(Basic3456789101112131415161718192021222324252627[[#This Row],[نوع الخدمة]]="مخالفات", 50,
IF(Basic3456789101112131415161718192021222324252627[[#This Row],[نوع الخدمة]]="كاش ان",
    IF(F40&lt;=100, 18, IF(F40&lt;=250, 23, IF(F40&lt;=500, 35, IF(F40&lt;=1000, 40, F40*0.04)))),
IF(Basic3456789101112131415161718192021222324252627[[#This Row],[نوع الخدمة]]="كاش اوت",
    IF(F40&lt;=100, 15, IF(F40&lt;=250, 20, IF(F40&lt;=500, 30, IF(F40&lt;=1000, 35, F40*0.035)))),
0)))</f>
        <v>0</v>
      </c>
      <c r="H40" s="159">
        <f>IF(I40="مخالفات",50,Basic3456789101112131415161718192021222324252627[[#This Row],[قيمة الرسوم / العموله]]+Basic3456789101112131415161718192021222324252627[[#This Row],[قيمة الشحنه]])</f>
        <v>0</v>
      </c>
      <c r="I40" s="90"/>
      <c r="J40" s="142" t="str">
        <f t="shared" si="0"/>
        <v>6.5.2026</v>
      </c>
      <c r="L40" s="153">
        <v>29</v>
      </c>
      <c r="M40" s="92"/>
    </row>
    <row r="41" spans="1:13" ht="21.6" x14ac:dyDescent="0.65">
      <c r="A41" s="195"/>
      <c r="B41" s="144">
        <v>38</v>
      </c>
      <c r="C41" s="2"/>
      <c r="D41" s="1"/>
      <c r="E41" s="3"/>
      <c r="F41" s="1"/>
      <c r="G41" s="141">
        <f>IF(Basic3456789101112131415161718192021222324252627[[#This Row],[نوع الخدمة]]="مخالفات", 50,
IF(Basic3456789101112131415161718192021222324252627[[#This Row],[نوع الخدمة]]="كاش ان",
    IF(F41&lt;=100, 18, IF(F41&lt;=250, 23, IF(F41&lt;=500, 35, IF(F41&lt;=1000, 40, F41*0.04)))),
IF(Basic3456789101112131415161718192021222324252627[[#This Row],[نوع الخدمة]]="كاش اوت",
    IF(F41&lt;=100, 15, IF(F41&lt;=250, 20, IF(F41&lt;=500, 30, IF(F41&lt;=1000, 35, F41*0.035)))),
0)))</f>
        <v>0</v>
      </c>
      <c r="H41" s="159">
        <f>IF(I41="مخالفات",50,Basic3456789101112131415161718192021222324252627[[#This Row],[قيمة الرسوم / العموله]]+Basic3456789101112131415161718192021222324252627[[#This Row],[قيمة الشحنه]])</f>
        <v>0</v>
      </c>
      <c r="I41" s="90"/>
      <c r="J41" s="142" t="str">
        <f t="shared" si="0"/>
        <v>6.5.2026</v>
      </c>
      <c r="L41" s="153">
        <v>30</v>
      </c>
      <c r="M41" s="92"/>
    </row>
    <row r="42" spans="1:13" ht="21.6" x14ac:dyDescent="0.65">
      <c r="A42" s="195"/>
      <c r="B42" s="140">
        <v>39</v>
      </c>
      <c r="C42" s="2"/>
      <c r="D42" s="1"/>
      <c r="E42" s="3"/>
      <c r="F42" s="1"/>
      <c r="G42" s="141">
        <f>IF(Basic3456789101112131415161718192021222324252627[[#This Row],[نوع الخدمة]]="مخالفات", 50,
IF(Basic3456789101112131415161718192021222324252627[[#This Row],[نوع الخدمة]]="كاش ان",
    IF(F42&lt;=100, 18, IF(F42&lt;=250, 23, IF(F42&lt;=500, 35, IF(F42&lt;=1000, 40, F42*0.04)))),
IF(Basic3456789101112131415161718192021222324252627[[#This Row],[نوع الخدمة]]="كاش اوت",
    IF(F42&lt;=100, 15, IF(F42&lt;=250, 20, IF(F42&lt;=500, 30, IF(F42&lt;=1000, 35, F42*0.035)))),
0)))</f>
        <v>0</v>
      </c>
      <c r="H42" s="159">
        <f>IF(I42="مخالفات",50,Basic3456789101112131415161718192021222324252627[[#This Row],[قيمة الرسوم / العموله]]+Basic3456789101112131415161718192021222324252627[[#This Row],[قيمة الشحنه]])</f>
        <v>0</v>
      </c>
      <c r="I42" s="90"/>
      <c r="J42" s="142" t="str">
        <f t="shared" si="0"/>
        <v>6.5.2026</v>
      </c>
      <c r="L42" s="153">
        <v>31</v>
      </c>
      <c r="M42" s="92"/>
    </row>
    <row r="43" spans="1:13" ht="21.6" x14ac:dyDescent="0.65">
      <c r="A43" s="195"/>
      <c r="B43" s="140">
        <v>40</v>
      </c>
      <c r="C43" s="2"/>
      <c r="D43" s="1"/>
      <c r="E43" s="3"/>
      <c r="F43" s="1"/>
      <c r="G43" s="141">
        <f>IF(Basic3456789101112131415161718192021222324252627[[#This Row],[نوع الخدمة]]="مخالفات", 50,
IF(Basic3456789101112131415161718192021222324252627[[#This Row],[نوع الخدمة]]="كاش ان",
    IF(F43&lt;=100, 18, IF(F43&lt;=250, 23, IF(F43&lt;=500, 35, IF(F43&lt;=1000, 40, F43*0.04)))),
IF(Basic3456789101112131415161718192021222324252627[[#This Row],[نوع الخدمة]]="كاش اوت",
    IF(F43&lt;=100, 15, IF(F43&lt;=250, 20, IF(F43&lt;=500, 30, IF(F43&lt;=1000, 35, F43*0.035)))),
0)))</f>
        <v>0</v>
      </c>
      <c r="H43" s="159">
        <f>IF(I43="مخالفات",50,Basic3456789101112131415161718192021222324252627[[#This Row],[قيمة الرسوم / العموله]]+Basic3456789101112131415161718192021222324252627[[#This Row],[قيمة الشحنه]])</f>
        <v>0</v>
      </c>
      <c r="I43" s="90"/>
      <c r="J43" s="142" t="str">
        <f t="shared" si="0"/>
        <v>6.5.2026</v>
      </c>
      <c r="L43" s="153">
        <v>32</v>
      </c>
      <c r="M43" s="92"/>
    </row>
    <row r="44" spans="1:13" ht="21.6" x14ac:dyDescent="0.65">
      <c r="A44" s="195"/>
      <c r="B44" s="140">
        <v>41</v>
      </c>
      <c r="C44" s="2"/>
      <c r="D44" s="1"/>
      <c r="E44" s="3"/>
      <c r="F44" s="1"/>
      <c r="G44" s="141">
        <f>IF(Basic3456789101112131415161718192021222324252627[[#This Row],[نوع الخدمة]]="مخالفات", 50,
IF(Basic3456789101112131415161718192021222324252627[[#This Row],[نوع الخدمة]]="كاش ان",
    IF(F44&lt;=100, 18, IF(F44&lt;=250, 23, IF(F44&lt;=500, 35, IF(F44&lt;=1000, 40, F44*0.04)))),
IF(Basic3456789101112131415161718192021222324252627[[#This Row],[نوع الخدمة]]="كاش اوت",
    IF(F44&lt;=100, 15, IF(F44&lt;=250, 20, IF(F44&lt;=500, 30, IF(F44&lt;=1000, 35, F44*0.035)))),
0)))</f>
        <v>0</v>
      </c>
      <c r="H44" s="159">
        <f>IF(I44="مخالفات",50,Basic3456789101112131415161718192021222324252627[[#This Row],[قيمة الرسوم / العموله]]+Basic3456789101112131415161718192021222324252627[[#This Row],[قيمة الشحنه]])</f>
        <v>0</v>
      </c>
      <c r="I44" s="90"/>
      <c r="J44" s="142" t="str">
        <f t="shared" si="0"/>
        <v>6.5.2026</v>
      </c>
      <c r="L44" s="153">
        <v>33</v>
      </c>
      <c r="M44" s="92"/>
    </row>
    <row r="45" spans="1:13" ht="21.6" x14ac:dyDescent="0.65">
      <c r="A45" s="195"/>
      <c r="B45" s="144">
        <v>42</v>
      </c>
      <c r="C45" s="2"/>
      <c r="D45" s="1"/>
      <c r="E45" s="3"/>
      <c r="F45" s="1"/>
      <c r="G45" s="141">
        <f>IF(Basic3456789101112131415161718192021222324252627[[#This Row],[نوع الخدمة]]="مخالفات", 50,
IF(Basic3456789101112131415161718192021222324252627[[#This Row],[نوع الخدمة]]="كاش ان",
    IF(F45&lt;=100, 18, IF(F45&lt;=250, 23, IF(F45&lt;=500, 35, IF(F45&lt;=1000, 40, F45*0.04)))),
IF(Basic3456789101112131415161718192021222324252627[[#This Row],[نوع الخدمة]]="كاش اوت",
    IF(F45&lt;=100, 15, IF(F45&lt;=250, 20, IF(F45&lt;=500, 30, IF(F45&lt;=1000, 35, F45*0.035)))),
0)))</f>
        <v>0</v>
      </c>
      <c r="H45" s="159">
        <f>IF(I45="مخالفات",50,Basic3456789101112131415161718192021222324252627[[#This Row],[قيمة الرسوم / العموله]]+Basic3456789101112131415161718192021222324252627[[#This Row],[قيمة الشحنه]])</f>
        <v>0</v>
      </c>
      <c r="I45" s="90"/>
      <c r="J45" s="142" t="str">
        <f t="shared" si="0"/>
        <v>6.5.2026</v>
      </c>
      <c r="L45" s="153">
        <v>34</v>
      </c>
      <c r="M45" s="92"/>
    </row>
    <row r="46" spans="1:13" ht="21.6" x14ac:dyDescent="0.65">
      <c r="A46" s="195"/>
      <c r="B46" s="140">
        <v>43</v>
      </c>
      <c r="C46" s="2"/>
      <c r="D46" s="1"/>
      <c r="E46" s="3"/>
      <c r="F46" s="1"/>
      <c r="G46" s="141">
        <f>IF(Basic3456789101112131415161718192021222324252627[[#This Row],[نوع الخدمة]]="مخالفات", 50,
IF(Basic3456789101112131415161718192021222324252627[[#This Row],[نوع الخدمة]]="كاش ان",
    IF(F46&lt;=100, 18, IF(F46&lt;=250, 23, IF(F46&lt;=500, 35, IF(F46&lt;=1000, 40, F46*0.04)))),
IF(Basic3456789101112131415161718192021222324252627[[#This Row],[نوع الخدمة]]="كاش اوت",
    IF(F46&lt;=100, 15, IF(F46&lt;=250, 20, IF(F46&lt;=500, 30, IF(F46&lt;=1000, 35, F46*0.035)))),
0)))</f>
        <v>0</v>
      </c>
      <c r="H46" s="159">
        <f>IF(I46="مخالفات",50,Basic3456789101112131415161718192021222324252627[[#This Row],[قيمة الرسوم / العموله]]+Basic3456789101112131415161718192021222324252627[[#This Row],[قيمة الشحنه]])</f>
        <v>0</v>
      </c>
      <c r="I46" s="90"/>
      <c r="J46" s="142" t="str">
        <f t="shared" si="0"/>
        <v>6.5.2026</v>
      </c>
      <c r="L46" s="153">
        <v>35</v>
      </c>
      <c r="M46" s="92"/>
    </row>
    <row r="47" spans="1:13" ht="21.6" x14ac:dyDescent="0.65">
      <c r="A47" s="195"/>
      <c r="B47" s="140">
        <v>44</v>
      </c>
      <c r="C47" s="2"/>
      <c r="D47" s="1"/>
      <c r="E47" s="3"/>
      <c r="F47" s="1"/>
      <c r="G47" s="141">
        <f>IF(Basic3456789101112131415161718192021222324252627[[#This Row],[نوع الخدمة]]="مخالفات", 50,
IF(Basic3456789101112131415161718192021222324252627[[#This Row],[نوع الخدمة]]="كاش ان",
    IF(F47&lt;=100, 18, IF(F47&lt;=250, 23, IF(F47&lt;=500, 35, IF(F47&lt;=1000, 40, F47*0.04)))),
IF(Basic3456789101112131415161718192021222324252627[[#This Row],[نوع الخدمة]]="كاش اوت",
    IF(F47&lt;=100, 15, IF(F47&lt;=250, 20, IF(F47&lt;=500, 30, IF(F47&lt;=1000, 35, F47*0.035)))),
0)))</f>
        <v>0</v>
      </c>
      <c r="H47" s="159">
        <f>IF(I47="مخالفات",50,Basic3456789101112131415161718192021222324252627[[#This Row],[قيمة الرسوم / العموله]]+Basic3456789101112131415161718192021222324252627[[#This Row],[قيمة الشحنه]])</f>
        <v>0</v>
      </c>
      <c r="I47" s="90"/>
      <c r="J47" s="142" t="str">
        <f t="shared" si="0"/>
        <v>6.5.2026</v>
      </c>
      <c r="L47" s="153">
        <v>36</v>
      </c>
      <c r="M47" s="92"/>
    </row>
    <row r="48" spans="1:13" ht="21.6" x14ac:dyDescent="0.65">
      <c r="A48" s="195"/>
      <c r="B48" s="140">
        <v>45</v>
      </c>
      <c r="C48" s="2"/>
      <c r="D48" s="1"/>
      <c r="E48" s="3"/>
      <c r="F48" s="1"/>
      <c r="G48" s="141">
        <f>IF(Basic3456789101112131415161718192021222324252627[[#This Row],[نوع الخدمة]]="مخالفات", 50,
IF(Basic3456789101112131415161718192021222324252627[[#This Row],[نوع الخدمة]]="كاش ان",
    IF(F48&lt;=100, 18, IF(F48&lt;=250, 23, IF(F48&lt;=500, 35, IF(F48&lt;=1000, 40, F48*0.04)))),
IF(Basic3456789101112131415161718192021222324252627[[#This Row],[نوع الخدمة]]="كاش اوت",
    IF(F48&lt;=100, 15, IF(F48&lt;=250, 20, IF(F48&lt;=500, 30, IF(F48&lt;=1000, 35, F48*0.035)))),
0)))</f>
        <v>0</v>
      </c>
      <c r="H48" s="159">
        <f>IF(I48="مخالفات",50,Basic3456789101112131415161718192021222324252627[[#This Row],[قيمة الرسوم / العموله]]+Basic3456789101112131415161718192021222324252627[[#This Row],[قيمة الشحنه]])</f>
        <v>0</v>
      </c>
      <c r="I48" s="90"/>
      <c r="J48" s="142" t="str">
        <f t="shared" si="0"/>
        <v>6.5.2026</v>
      </c>
      <c r="L48" s="153">
        <v>37</v>
      </c>
      <c r="M48" s="92"/>
    </row>
    <row r="49" spans="1:13" ht="21.6" x14ac:dyDescent="0.65">
      <c r="A49" s="195"/>
      <c r="B49" s="144">
        <v>46</v>
      </c>
      <c r="C49" s="2"/>
      <c r="D49" s="1"/>
      <c r="E49" s="3"/>
      <c r="F49" s="1"/>
      <c r="G49" s="141">
        <f>IF(Basic3456789101112131415161718192021222324252627[[#This Row],[نوع الخدمة]]="مخالفات", 50,
IF(Basic3456789101112131415161718192021222324252627[[#This Row],[نوع الخدمة]]="كاش ان",
    IF(F49&lt;=100, 18, IF(F49&lt;=250, 23, IF(F49&lt;=500, 35, IF(F49&lt;=1000, 40, F49*0.04)))),
IF(Basic3456789101112131415161718192021222324252627[[#This Row],[نوع الخدمة]]="كاش اوت",
    IF(F49&lt;=100, 15, IF(F49&lt;=250, 20, IF(F49&lt;=500, 30, IF(F49&lt;=1000, 35, F49*0.035)))),
0)))</f>
        <v>0</v>
      </c>
      <c r="H49" s="159">
        <f>IF(I49="مخالفات",50,Basic3456789101112131415161718192021222324252627[[#This Row],[قيمة الرسوم / العموله]]+Basic3456789101112131415161718192021222324252627[[#This Row],[قيمة الشحنه]])</f>
        <v>0</v>
      </c>
      <c r="I49" s="90"/>
      <c r="J49" s="142" t="str">
        <f t="shared" si="0"/>
        <v>6.5.2026</v>
      </c>
      <c r="L49" s="153">
        <v>38</v>
      </c>
      <c r="M49" s="92"/>
    </row>
    <row r="50" spans="1:13" ht="21.6" x14ac:dyDescent="0.65">
      <c r="A50" s="195"/>
      <c r="B50" s="140">
        <v>47</v>
      </c>
      <c r="C50" s="2"/>
      <c r="D50" s="1"/>
      <c r="E50" s="3"/>
      <c r="F50" s="1"/>
      <c r="G50" s="141">
        <f>IF(Basic3456789101112131415161718192021222324252627[[#This Row],[نوع الخدمة]]="مخالفات", 50,
IF(Basic3456789101112131415161718192021222324252627[[#This Row],[نوع الخدمة]]="كاش ان",
    IF(F50&lt;=100, 18, IF(F50&lt;=250, 23, IF(F50&lt;=500, 35, IF(F50&lt;=1000, 40, F50*0.04)))),
IF(Basic3456789101112131415161718192021222324252627[[#This Row],[نوع الخدمة]]="كاش اوت",
    IF(F50&lt;=100, 15, IF(F50&lt;=250, 20, IF(F50&lt;=500, 30, IF(F50&lt;=1000, 35, F50*0.035)))),
0)))</f>
        <v>0</v>
      </c>
      <c r="H50" s="159">
        <f>IF(I50="مخالفات",50,Basic3456789101112131415161718192021222324252627[[#This Row],[قيمة الرسوم / العموله]]+Basic3456789101112131415161718192021222324252627[[#This Row],[قيمة الشحنه]])</f>
        <v>0</v>
      </c>
      <c r="I50" s="90"/>
      <c r="J50" s="142" t="str">
        <f t="shared" si="0"/>
        <v>6.5.2026</v>
      </c>
      <c r="L50" s="153">
        <v>39</v>
      </c>
      <c r="M50" s="92"/>
    </row>
    <row r="51" spans="1:13" ht="21.6" x14ac:dyDescent="0.65">
      <c r="A51" s="195"/>
      <c r="B51" s="140">
        <v>48</v>
      </c>
      <c r="C51" s="2"/>
      <c r="D51" s="1"/>
      <c r="E51" s="3"/>
      <c r="F51" s="1"/>
      <c r="G51" s="141">
        <f>IF(Basic3456789101112131415161718192021222324252627[[#This Row],[نوع الخدمة]]="مخالفات", 50,
IF(Basic3456789101112131415161718192021222324252627[[#This Row],[نوع الخدمة]]="كاش ان",
    IF(F51&lt;=100, 18, IF(F51&lt;=250, 23, IF(F51&lt;=500, 35, IF(F51&lt;=1000, 40, F51*0.04)))),
IF(Basic3456789101112131415161718192021222324252627[[#This Row],[نوع الخدمة]]="كاش اوت",
    IF(F51&lt;=100, 15, IF(F51&lt;=250, 20, IF(F51&lt;=500, 30, IF(F51&lt;=1000, 35, F51*0.035)))),
0)))</f>
        <v>0</v>
      </c>
      <c r="H51" s="159">
        <f>IF(I51="مخالفات",50,Basic3456789101112131415161718192021222324252627[[#This Row],[قيمة الرسوم / العموله]]+Basic3456789101112131415161718192021222324252627[[#This Row],[قيمة الشحنه]])</f>
        <v>0</v>
      </c>
      <c r="I51" s="90"/>
      <c r="J51" s="142" t="str">
        <f t="shared" si="0"/>
        <v>6.5.2026</v>
      </c>
      <c r="L51" s="153">
        <v>40</v>
      </c>
      <c r="M51" s="92"/>
    </row>
    <row r="52" spans="1:13" ht="21.6" x14ac:dyDescent="0.65">
      <c r="A52" s="195"/>
      <c r="B52" s="140">
        <v>49</v>
      </c>
      <c r="C52" s="2"/>
      <c r="D52" s="1"/>
      <c r="E52" s="3"/>
      <c r="F52" s="1"/>
      <c r="G52" s="141">
        <f>IF(Basic3456789101112131415161718192021222324252627[[#This Row],[نوع الخدمة]]="مخالفات", 50,
IF(Basic3456789101112131415161718192021222324252627[[#This Row],[نوع الخدمة]]="كاش ان",
    IF(F52&lt;=100, 18, IF(F52&lt;=250, 23, IF(F52&lt;=500, 35, IF(F52&lt;=1000, 40, F52*0.04)))),
IF(Basic3456789101112131415161718192021222324252627[[#This Row],[نوع الخدمة]]="كاش اوت",
    IF(F52&lt;=100, 15, IF(F52&lt;=250, 20, IF(F52&lt;=500, 30, IF(F52&lt;=1000, 35, F52*0.035)))),
0)))</f>
        <v>0</v>
      </c>
      <c r="H52" s="159">
        <f>IF(I52="مخالفات",50,Basic3456789101112131415161718192021222324252627[[#This Row],[قيمة الرسوم / العموله]]+Basic3456789101112131415161718192021222324252627[[#This Row],[قيمة الشحنه]])</f>
        <v>0</v>
      </c>
      <c r="I52" s="90"/>
      <c r="J52" s="142" t="str">
        <f t="shared" si="0"/>
        <v>6.5.2026</v>
      </c>
      <c r="L52" s="153">
        <v>41</v>
      </c>
      <c r="M52" s="92"/>
    </row>
    <row r="53" spans="1:13" ht="21.6" x14ac:dyDescent="0.65">
      <c r="A53" s="195"/>
      <c r="B53" s="144">
        <v>50</v>
      </c>
      <c r="C53" s="2"/>
      <c r="D53" s="1"/>
      <c r="E53" s="3"/>
      <c r="F53" s="1"/>
      <c r="G53" s="141">
        <f>IF(Basic3456789101112131415161718192021222324252627[[#This Row],[نوع الخدمة]]="مخالفات", 50,
IF(Basic3456789101112131415161718192021222324252627[[#This Row],[نوع الخدمة]]="كاش ان",
    IF(F53&lt;=100, 18, IF(F53&lt;=250, 23, IF(F53&lt;=500, 35, IF(F53&lt;=1000, 40, F53*0.04)))),
IF(Basic3456789101112131415161718192021222324252627[[#This Row],[نوع الخدمة]]="كاش اوت",
    IF(F53&lt;=100, 15, IF(F53&lt;=250, 20, IF(F53&lt;=500, 30, IF(F53&lt;=1000, 35, F53*0.035)))),
0)))</f>
        <v>0</v>
      </c>
      <c r="H53" s="159">
        <f>IF(I53="مخالفات",50,Basic3456789101112131415161718192021222324252627[[#This Row],[قيمة الرسوم / العموله]]+Basic3456789101112131415161718192021222324252627[[#This Row],[قيمة الشحنه]])</f>
        <v>0</v>
      </c>
      <c r="I53" s="90"/>
      <c r="J53" s="142" t="str">
        <f t="shared" si="0"/>
        <v>6.5.2026</v>
      </c>
      <c r="L53" s="153">
        <v>42</v>
      </c>
      <c r="M53" s="92"/>
    </row>
    <row r="54" spans="1:13" ht="21.6" x14ac:dyDescent="0.65">
      <c r="A54" s="195"/>
      <c r="B54" s="140">
        <v>51</v>
      </c>
      <c r="C54" s="2"/>
      <c r="D54" s="1"/>
      <c r="E54" s="3"/>
      <c r="F54" s="1"/>
      <c r="G54" s="141">
        <f>IF(Basic3456789101112131415161718192021222324252627[[#This Row],[نوع الخدمة]]="مخالفات", 50,
IF(Basic3456789101112131415161718192021222324252627[[#This Row],[نوع الخدمة]]="كاش ان",
    IF(F54&lt;=100, 18, IF(F54&lt;=250, 23, IF(F54&lt;=500, 35, IF(F54&lt;=1000, 40, F54*0.04)))),
IF(Basic3456789101112131415161718192021222324252627[[#This Row],[نوع الخدمة]]="كاش اوت",
    IF(F54&lt;=100, 15, IF(F54&lt;=250, 20, IF(F54&lt;=500, 30, IF(F54&lt;=1000, 35, F54*0.035)))),
0)))</f>
        <v>0</v>
      </c>
      <c r="H54" s="159">
        <f>IF(I54="مخالفات",50,Basic3456789101112131415161718192021222324252627[[#This Row],[قيمة الرسوم / العموله]]+Basic3456789101112131415161718192021222324252627[[#This Row],[قيمة الشحنه]])</f>
        <v>0</v>
      </c>
      <c r="I54" s="90"/>
      <c r="J54" s="142" t="str">
        <f t="shared" si="0"/>
        <v>6.5.2026</v>
      </c>
      <c r="L54" s="153">
        <v>43</v>
      </c>
      <c r="M54" s="92"/>
    </row>
    <row r="55" spans="1:13" ht="21.6" x14ac:dyDescent="0.65">
      <c r="A55" s="195"/>
      <c r="B55" s="140">
        <v>52</v>
      </c>
      <c r="C55" s="2"/>
      <c r="D55" s="1"/>
      <c r="E55" s="3"/>
      <c r="F55" s="1"/>
      <c r="G55" s="141">
        <f>IF(Basic3456789101112131415161718192021222324252627[[#This Row],[نوع الخدمة]]="مخالفات", 50,
IF(Basic3456789101112131415161718192021222324252627[[#This Row],[نوع الخدمة]]="كاش ان",
    IF(F55&lt;=100, 18, IF(F55&lt;=250, 23, IF(F55&lt;=500, 35, IF(F55&lt;=1000, 40, F55*0.04)))),
IF(Basic3456789101112131415161718192021222324252627[[#This Row],[نوع الخدمة]]="كاش اوت",
    IF(F55&lt;=100, 15, IF(F55&lt;=250, 20, IF(F55&lt;=500, 30, IF(F55&lt;=1000, 35, F55*0.035)))),
0)))</f>
        <v>0</v>
      </c>
      <c r="H55" s="159">
        <f>IF(I55="مخالفات",50,Basic3456789101112131415161718192021222324252627[[#This Row],[قيمة الرسوم / العموله]]+Basic3456789101112131415161718192021222324252627[[#This Row],[قيمة الشحنه]])</f>
        <v>0</v>
      </c>
      <c r="I55" s="90"/>
      <c r="J55" s="142" t="str">
        <f t="shared" si="0"/>
        <v>6.5.2026</v>
      </c>
      <c r="L55" s="153">
        <v>44</v>
      </c>
      <c r="M55" s="92"/>
    </row>
    <row r="56" spans="1:13" ht="21.6" x14ac:dyDescent="0.65">
      <c r="A56" s="195"/>
      <c r="B56" s="140">
        <v>53</v>
      </c>
      <c r="C56" s="2"/>
      <c r="D56" s="1"/>
      <c r="E56" s="3"/>
      <c r="F56" s="1"/>
      <c r="G56" s="141">
        <f>IF(Basic3456789101112131415161718192021222324252627[[#This Row],[نوع الخدمة]]="مخالفات", 50,
IF(Basic3456789101112131415161718192021222324252627[[#This Row],[نوع الخدمة]]="كاش ان",
    IF(F56&lt;=100, 18, IF(F56&lt;=250, 23, IF(F56&lt;=500, 35, IF(F56&lt;=1000, 40, F56*0.04)))),
IF(Basic3456789101112131415161718192021222324252627[[#This Row],[نوع الخدمة]]="كاش اوت",
    IF(F56&lt;=100, 15, IF(F56&lt;=250, 20, IF(F56&lt;=500, 30, IF(F56&lt;=1000, 35, F56*0.035)))),
0)))</f>
        <v>0</v>
      </c>
      <c r="H56" s="159">
        <f>IF(I56="مخالفات",50,Basic3456789101112131415161718192021222324252627[[#This Row],[قيمة الرسوم / العموله]]+Basic3456789101112131415161718192021222324252627[[#This Row],[قيمة الشحنه]])</f>
        <v>0</v>
      </c>
      <c r="I56" s="90"/>
      <c r="J56" s="142" t="str">
        <f t="shared" si="0"/>
        <v>6.5.2026</v>
      </c>
      <c r="L56" s="153">
        <v>45</v>
      </c>
      <c r="M56" s="92"/>
    </row>
    <row r="57" spans="1:13" ht="21.6" x14ac:dyDescent="0.65">
      <c r="A57" s="195"/>
      <c r="B57" s="144">
        <v>54</v>
      </c>
      <c r="C57" s="2"/>
      <c r="D57" s="1"/>
      <c r="E57" s="3"/>
      <c r="F57" s="1"/>
      <c r="G57" s="141">
        <f>IF(Basic3456789101112131415161718192021222324252627[[#This Row],[نوع الخدمة]]="مخالفات", 50,
IF(Basic3456789101112131415161718192021222324252627[[#This Row],[نوع الخدمة]]="كاش ان",
    IF(F57&lt;=100, 18, IF(F57&lt;=250, 23, IF(F57&lt;=500, 35, IF(F57&lt;=1000, 40, F57*0.04)))),
IF(Basic3456789101112131415161718192021222324252627[[#This Row],[نوع الخدمة]]="كاش اوت",
    IF(F57&lt;=100, 15, IF(F57&lt;=250, 20, IF(F57&lt;=500, 30, IF(F57&lt;=1000, 35, F57*0.035)))),
0)))</f>
        <v>0</v>
      </c>
      <c r="H57" s="159">
        <f>IF(I57="مخالفات",50,Basic3456789101112131415161718192021222324252627[[#This Row],[قيمة الرسوم / العموله]]+Basic3456789101112131415161718192021222324252627[[#This Row],[قيمة الشحنه]])</f>
        <v>0</v>
      </c>
      <c r="I57" s="90"/>
      <c r="J57" s="142" t="str">
        <f t="shared" si="0"/>
        <v>6.5.2026</v>
      </c>
      <c r="L57" s="153">
        <v>46</v>
      </c>
      <c r="M57" s="92"/>
    </row>
    <row r="58" spans="1:13" ht="21.6" x14ac:dyDescent="0.65">
      <c r="A58" s="195"/>
      <c r="B58" s="140">
        <v>55</v>
      </c>
      <c r="C58" s="2"/>
      <c r="D58" s="1"/>
      <c r="E58" s="3"/>
      <c r="F58" s="1"/>
      <c r="G58" s="141">
        <f>IF(Basic3456789101112131415161718192021222324252627[[#This Row],[نوع الخدمة]]="مخالفات", 50,
IF(Basic3456789101112131415161718192021222324252627[[#This Row],[نوع الخدمة]]="كاش ان",
    IF(F58&lt;=100, 18, IF(F58&lt;=250, 23, IF(F58&lt;=500, 35, IF(F58&lt;=1000, 40, F58*0.04)))),
IF(Basic3456789101112131415161718192021222324252627[[#This Row],[نوع الخدمة]]="كاش اوت",
    IF(F58&lt;=100, 15, IF(F58&lt;=250, 20, IF(F58&lt;=500, 30, IF(F58&lt;=1000, 35, F58*0.035)))),
0)))</f>
        <v>0</v>
      </c>
      <c r="H58" s="159">
        <f>IF(I58="مخالفات",50,Basic3456789101112131415161718192021222324252627[[#This Row],[قيمة الرسوم / العموله]]+Basic3456789101112131415161718192021222324252627[[#This Row],[قيمة الشحنه]])</f>
        <v>0</v>
      </c>
      <c r="I58" s="90"/>
      <c r="J58" s="142" t="str">
        <f t="shared" si="0"/>
        <v>6.5.2026</v>
      </c>
      <c r="L58" s="153">
        <v>47</v>
      </c>
      <c r="M58" s="92"/>
    </row>
    <row r="59" spans="1:13" ht="21.6" x14ac:dyDescent="0.65">
      <c r="A59" s="195"/>
      <c r="B59" s="140">
        <v>56</v>
      </c>
      <c r="C59" s="2"/>
      <c r="D59" s="1"/>
      <c r="E59" s="3"/>
      <c r="F59" s="1"/>
      <c r="G59" s="141">
        <f>IF(Basic3456789101112131415161718192021222324252627[[#This Row],[نوع الخدمة]]="مخالفات", 50,
IF(Basic3456789101112131415161718192021222324252627[[#This Row],[نوع الخدمة]]="كاش ان",
    IF(F59&lt;=100, 18, IF(F59&lt;=250, 23, IF(F59&lt;=500, 35, IF(F59&lt;=1000, 40, F59*0.04)))),
IF(Basic3456789101112131415161718192021222324252627[[#This Row],[نوع الخدمة]]="كاش اوت",
    IF(F59&lt;=100, 15, IF(F59&lt;=250, 20, IF(F59&lt;=500, 30, IF(F59&lt;=1000, 35, F59*0.035)))),
0)))</f>
        <v>0</v>
      </c>
      <c r="H59" s="159">
        <f>IF(I59="مخالفات",50,Basic3456789101112131415161718192021222324252627[[#This Row],[قيمة الرسوم / العموله]]+Basic3456789101112131415161718192021222324252627[[#This Row],[قيمة الشحنه]])</f>
        <v>0</v>
      </c>
      <c r="I59" s="90"/>
      <c r="J59" s="142" t="str">
        <f t="shared" si="0"/>
        <v>6.5.2026</v>
      </c>
      <c r="L59" s="153">
        <v>48</v>
      </c>
      <c r="M59" s="92"/>
    </row>
    <row r="60" spans="1:13" ht="21.6" x14ac:dyDescent="0.65">
      <c r="A60" s="195"/>
      <c r="B60" s="140">
        <v>57</v>
      </c>
      <c r="C60" s="2"/>
      <c r="D60" s="1"/>
      <c r="E60" s="3"/>
      <c r="F60" s="1"/>
      <c r="G60" s="141">
        <f>IF(Basic3456789101112131415161718192021222324252627[[#This Row],[نوع الخدمة]]="مخالفات", 50,
IF(Basic3456789101112131415161718192021222324252627[[#This Row],[نوع الخدمة]]="كاش ان",
    IF(F60&lt;=100, 18, IF(F60&lt;=250, 23, IF(F60&lt;=500, 35, IF(F60&lt;=1000, 40, F60*0.04)))),
IF(Basic3456789101112131415161718192021222324252627[[#This Row],[نوع الخدمة]]="كاش اوت",
    IF(F60&lt;=100, 15, IF(F60&lt;=250, 20, IF(F60&lt;=500, 30, IF(F60&lt;=1000, 35, F60*0.035)))),
0)))</f>
        <v>0</v>
      </c>
      <c r="H60" s="159">
        <f>IF(I60="مخالفات",50,Basic3456789101112131415161718192021222324252627[[#This Row],[قيمة الرسوم / العموله]]+Basic3456789101112131415161718192021222324252627[[#This Row],[قيمة الشحنه]])</f>
        <v>0</v>
      </c>
      <c r="I60" s="90"/>
      <c r="J60" s="142" t="str">
        <f t="shared" si="0"/>
        <v>6.5.2026</v>
      </c>
      <c r="L60" s="153">
        <v>49</v>
      </c>
      <c r="M60" s="92"/>
    </row>
    <row r="61" spans="1:13" ht="21.6" x14ac:dyDescent="0.65">
      <c r="A61" s="195"/>
      <c r="B61" s="144">
        <v>58</v>
      </c>
      <c r="C61" s="2"/>
      <c r="D61" s="1"/>
      <c r="E61" s="3"/>
      <c r="F61" s="1"/>
      <c r="G61" s="141">
        <f>IF(Basic3456789101112131415161718192021222324252627[[#This Row],[نوع الخدمة]]="مخالفات", 50,
IF(Basic3456789101112131415161718192021222324252627[[#This Row],[نوع الخدمة]]="كاش ان",
    IF(F61&lt;=100, 18, IF(F61&lt;=250, 23, IF(F61&lt;=500, 35, IF(F61&lt;=1000, 40, F61*0.04)))),
IF(Basic3456789101112131415161718192021222324252627[[#This Row],[نوع الخدمة]]="كاش اوت",
    IF(F61&lt;=100, 15, IF(F61&lt;=250, 20, IF(F61&lt;=500, 30, IF(F61&lt;=1000, 35, F61*0.035)))),
0)))</f>
        <v>0</v>
      </c>
      <c r="H61" s="159">
        <f>IF(I61="مخالفات",50,Basic3456789101112131415161718192021222324252627[[#This Row],[قيمة الرسوم / العموله]]+Basic3456789101112131415161718192021222324252627[[#This Row],[قيمة الشحنه]])</f>
        <v>0</v>
      </c>
      <c r="I61" s="90"/>
      <c r="J61" s="142" t="str">
        <f t="shared" si="0"/>
        <v>6.5.2026</v>
      </c>
      <c r="L61" s="153">
        <v>50</v>
      </c>
      <c r="M61" s="92"/>
    </row>
    <row r="62" spans="1:13" ht="21.6" x14ac:dyDescent="0.65">
      <c r="A62" s="195"/>
      <c r="B62" s="140">
        <v>59</v>
      </c>
      <c r="C62" s="2"/>
      <c r="D62" s="1"/>
      <c r="E62" s="3"/>
      <c r="F62" s="1"/>
      <c r="G62" s="141">
        <f>IF(Basic3456789101112131415161718192021222324252627[[#This Row],[نوع الخدمة]]="مخالفات", 50,
IF(Basic3456789101112131415161718192021222324252627[[#This Row],[نوع الخدمة]]="كاش ان",
    IF(F62&lt;=100, 18, IF(F62&lt;=250, 23, IF(F62&lt;=500, 35, IF(F62&lt;=1000, 40, F62*0.04)))),
IF(Basic3456789101112131415161718192021222324252627[[#This Row],[نوع الخدمة]]="كاش اوت",
    IF(F62&lt;=100, 15, IF(F62&lt;=250, 20, IF(F62&lt;=500, 30, IF(F62&lt;=1000, 35, F62*0.035)))),
0)))</f>
        <v>0</v>
      </c>
      <c r="H62" s="159">
        <f>IF(I62="مخالفات",50,Basic3456789101112131415161718192021222324252627[[#This Row],[قيمة الرسوم / العموله]]+Basic3456789101112131415161718192021222324252627[[#This Row],[قيمة الشحنه]])</f>
        <v>0</v>
      </c>
      <c r="I62" s="90"/>
      <c r="J62" s="142" t="str">
        <f t="shared" si="0"/>
        <v>6.5.2026</v>
      </c>
      <c r="L62" s="153">
        <v>51</v>
      </c>
      <c r="M62" s="92"/>
    </row>
    <row r="63" spans="1:13" ht="21.6" x14ac:dyDescent="0.65">
      <c r="A63" s="195"/>
      <c r="B63" s="140">
        <v>60</v>
      </c>
      <c r="C63" s="2"/>
      <c r="D63" s="1"/>
      <c r="E63" s="3"/>
      <c r="F63" s="1"/>
      <c r="G63" s="141">
        <f>IF(Basic3456789101112131415161718192021222324252627[[#This Row],[نوع الخدمة]]="مخالفات", 50,
IF(Basic3456789101112131415161718192021222324252627[[#This Row],[نوع الخدمة]]="كاش ان",
    IF(F63&lt;=100, 18, IF(F63&lt;=250, 23, IF(F63&lt;=500, 35, IF(F63&lt;=1000, 40, F63*0.04)))),
IF(Basic3456789101112131415161718192021222324252627[[#This Row],[نوع الخدمة]]="كاش اوت",
    IF(F63&lt;=100, 15, IF(F63&lt;=250, 20, IF(F63&lt;=500, 30, IF(F63&lt;=1000, 35, F63*0.035)))),
0)))</f>
        <v>0</v>
      </c>
      <c r="H63" s="159">
        <f>IF(I63="مخالفات",50,Basic3456789101112131415161718192021222324252627[[#This Row],[قيمة الرسوم / العموله]]+Basic3456789101112131415161718192021222324252627[[#This Row],[قيمة الشحنه]])</f>
        <v>0</v>
      </c>
      <c r="I63" s="90"/>
      <c r="J63" s="142" t="str">
        <f t="shared" si="0"/>
        <v>6.5.2026</v>
      </c>
      <c r="L63" s="153">
        <v>52</v>
      </c>
      <c r="M63" s="92"/>
    </row>
    <row r="64" spans="1:13" ht="21.6" x14ac:dyDescent="0.65">
      <c r="A64" s="195"/>
      <c r="B64" s="140">
        <v>61</v>
      </c>
      <c r="C64" s="2"/>
      <c r="D64" s="1"/>
      <c r="E64" s="3"/>
      <c r="F64" s="1"/>
      <c r="G64" s="141">
        <f>IF(Basic3456789101112131415161718192021222324252627[[#This Row],[نوع الخدمة]]="مخالفات", 50,
IF(Basic3456789101112131415161718192021222324252627[[#This Row],[نوع الخدمة]]="كاش ان",
    IF(F64&lt;=100, 18, IF(F64&lt;=250, 23, IF(F64&lt;=500, 35, IF(F64&lt;=1000, 40, F64*0.04)))),
IF(Basic3456789101112131415161718192021222324252627[[#This Row],[نوع الخدمة]]="كاش اوت",
    IF(F64&lt;=100, 15, IF(F64&lt;=250, 20, IF(F64&lt;=500, 30, IF(F64&lt;=1000, 35, F64*0.035)))),
0)))</f>
        <v>0</v>
      </c>
      <c r="H64" s="159">
        <f>IF(I64="مخالفات",50,Basic3456789101112131415161718192021222324252627[[#This Row],[قيمة الرسوم / العموله]]+Basic3456789101112131415161718192021222324252627[[#This Row],[قيمة الشحنه]])</f>
        <v>0</v>
      </c>
      <c r="I64" s="90"/>
      <c r="J64" s="142" t="str">
        <f t="shared" si="0"/>
        <v>6.5.2026</v>
      </c>
      <c r="L64" s="153">
        <v>53</v>
      </c>
      <c r="M64" s="92"/>
    </row>
    <row r="65" spans="1:13" ht="21.6" x14ac:dyDescent="0.65">
      <c r="A65" s="195"/>
      <c r="B65" s="144">
        <v>62</v>
      </c>
      <c r="C65" s="2"/>
      <c r="D65" s="1"/>
      <c r="E65" s="3"/>
      <c r="F65" s="1"/>
      <c r="G65" s="141">
        <f>IF(Basic3456789101112131415161718192021222324252627[[#This Row],[نوع الخدمة]]="مخالفات", 50,
IF(Basic3456789101112131415161718192021222324252627[[#This Row],[نوع الخدمة]]="كاش ان",
    IF(F65&lt;=100, 18, IF(F65&lt;=250, 23, IF(F65&lt;=500, 35, IF(F65&lt;=1000, 40, F65*0.04)))),
IF(Basic3456789101112131415161718192021222324252627[[#This Row],[نوع الخدمة]]="كاش اوت",
    IF(F65&lt;=100, 15, IF(F65&lt;=250, 20, IF(F65&lt;=500, 30, IF(F65&lt;=1000, 35, F65*0.035)))),
0)))</f>
        <v>0</v>
      </c>
      <c r="H65" s="159">
        <f>IF(I65="مخالفات",50,Basic3456789101112131415161718192021222324252627[[#This Row],[قيمة الرسوم / العموله]]+Basic3456789101112131415161718192021222324252627[[#This Row],[قيمة الشحنه]])</f>
        <v>0</v>
      </c>
      <c r="I65" s="90"/>
      <c r="J65" s="142" t="str">
        <f t="shared" si="0"/>
        <v>6.5.2026</v>
      </c>
      <c r="L65" s="153">
        <v>54</v>
      </c>
      <c r="M65" s="92"/>
    </row>
    <row r="66" spans="1:13" ht="21.6" x14ac:dyDescent="0.65">
      <c r="A66" s="195"/>
      <c r="B66" s="140">
        <v>63</v>
      </c>
      <c r="C66" s="2"/>
      <c r="D66" s="1"/>
      <c r="E66" s="3"/>
      <c r="F66" s="1"/>
      <c r="G66" s="141">
        <f>IF(Basic3456789101112131415161718192021222324252627[[#This Row],[نوع الخدمة]]="مخالفات", 50,
IF(Basic3456789101112131415161718192021222324252627[[#This Row],[نوع الخدمة]]="كاش ان",
    IF(F66&lt;=100, 18, IF(F66&lt;=250, 23, IF(F66&lt;=500, 35, IF(F66&lt;=1000, 40, F66*0.04)))),
IF(Basic3456789101112131415161718192021222324252627[[#This Row],[نوع الخدمة]]="كاش اوت",
    IF(F66&lt;=100, 15, IF(F66&lt;=250, 20, IF(F66&lt;=500, 30, IF(F66&lt;=1000, 35, F66*0.035)))),
0)))</f>
        <v>0</v>
      </c>
      <c r="H66" s="159">
        <f>IF(I66="مخالفات",50,Basic3456789101112131415161718192021222324252627[[#This Row],[قيمة الرسوم / العموله]]+Basic3456789101112131415161718192021222324252627[[#This Row],[قيمة الشحنه]])</f>
        <v>0</v>
      </c>
      <c r="I66" s="90"/>
      <c r="J66" s="142" t="str">
        <f t="shared" si="0"/>
        <v>6.5.2026</v>
      </c>
      <c r="L66" s="153">
        <v>55</v>
      </c>
      <c r="M66" s="92"/>
    </row>
    <row r="67" spans="1:13" ht="21.6" x14ac:dyDescent="0.65">
      <c r="A67" s="195"/>
      <c r="B67" s="140">
        <v>64</v>
      </c>
      <c r="C67" s="2"/>
      <c r="D67" s="1"/>
      <c r="E67" s="3"/>
      <c r="F67" s="1"/>
      <c r="G67" s="141">
        <f>IF(Basic3456789101112131415161718192021222324252627[[#This Row],[نوع الخدمة]]="مخالفات", 50,
IF(Basic3456789101112131415161718192021222324252627[[#This Row],[نوع الخدمة]]="كاش ان",
    IF(F67&lt;=100, 18, IF(F67&lt;=250, 23, IF(F67&lt;=500, 35, IF(F67&lt;=1000, 40, F67*0.04)))),
IF(Basic3456789101112131415161718192021222324252627[[#This Row],[نوع الخدمة]]="كاش اوت",
    IF(F67&lt;=100, 15, IF(F67&lt;=250, 20, IF(F67&lt;=500, 30, IF(F67&lt;=1000, 35, F67*0.035)))),
0)))</f>
        <v>0</v>
      </c>
      <c r="H67" s="159">
        <f>IF(I67="مخالفات",50,Basic3456789101112131415161718192021222324252627[[#This Row],[قيمة الرسوم / العموله]]+Basic3456789101112131415161718192021222324252627[[#This Row],[قيمة الشحنه]])</f>
        <v>0</v>
      </c>
      <c r="I67" s="90"/>
      <c r="J67" s="142" t="str">
        <f t="shared" si="0"/>
        <v>6.5.2026</v>
      </c>
      <c r="L67" s="153">
        <v>56</v>
      </c>
      <c r="M67" s="92"/>
    </row>
    <row r="68" spans="1:13" ht="21.6" x14ac:dyDescent="0.65">
      <c r="A68" s="195"/>
      <c r="B68" s="140">
        <v>65</v>
      </c>
      <c r="C68" s="2"/>
      <c r="D68" s="1"/>
      <c r="E68" s="3"/>
      <c r="F68" s="1"/>
      <c r="G68" s="141">
        <f>IF(Basic3456789101112131415161718192021222324252627[[#This Row],[نوع الخدمة]]="مخالفات", 50,
IF(Basic3456789101112131415161718192021222324252627[[#This Row],[نوع الخدمة]]="كاش ان",
    IF(F68&lt;=100, 18, IF(F68&lt;=250, 23, IF(F68&lt;=500, 35, IF(F68&lt;=1000, 40, F68*0.04)))),
IF(Basic3456789101112131415161718192021222324252627[[#This Row],[نوع الخدمة]]="كاش اوت",
    IF(F68&lt;=100, 15, IF(F68&lt;=250, 20, IF(F68&lt;=500, 30, IF(F68&lt;=1000, 35, F68*0.035)))),
0)))</f>
        <v>0</v>
      </c>
      <c r="H68" s="159">
        <f>IF(I68="مخالفات",50,Basic3456789101112131415161718192021222324252627[[#This Row],[قيمة الرسوم / العموله]]+Basic3456789101112131415161718192021222324252627[[#This Row],[قيمة الشحنه]])</f>
        <v>0</v>
      </c>
      <c r="I68" s="90"/>
      <c r="J68" s="142" t="str">
        <f t="shared" ref="J68:J131" si="1">M$3</f>
        <v>6.5.2026</v>
      </c>
      <c r="L68" s="153">
        <v>57</v>
      </c>
      <c r="M68" s="92"/>
    </row>
    <row r="69" spans="1:13" ht="21.6" x14ac:dyDescent="0.65">
      <c r="A69" s="195"/>
      <c r="B69" s="144">
        <v>66</v>
      </c>
      <c r="C69" s="2"/>
      <c r="D69" s="1"/>
      <c r="E69" s="3"/>
      <c r="F69" s="1"/>
      <c r="G69" s="141">
        <f>IF(Basic3456789101112131415161718192021222324252627[[#This Row],[نوع الخدمة]]="مخالفات", 50,
IF(Basic3456789101112131415161718192021222324252627[[#This Row],[نوع الخدمة]]="كاش ان",
    IF(F69&lt;=100, 18, IF(F69&lt;=250, 23, IF(F69&lt;=500, 35, IF(F69&lt;=1000, 40, F69*0.04)))),
IF(Basic3456789101112131415161718192021222324252627[[#This Row],[نوع الخدمة]]="كاش اوت",
    IF(F69&lt;=100, 15, IF(F69&lt;=250, 20, IF(F69&lt;=500, 30, IF(F69&lt;=1000, 35, F69*0.035)))),
0)))</f>
        <v>0</v>
      </c>
      <c r="H69" s="159">
        <f>IF(I69="مخالفات",50,Basic3456789101112131415161718192021222324252627[[#This Row],[قيمة الرسوم / العموله]]+Basic3456789101112131415161718192021222324252627[[#This Row],[قيمة الشحنه]])</f>
        <v>0</v>
      </c>
      <c r="I69" s="90"/>
      <c r="J69" s="142" t="str">
        <f t="shared" si="1"/>
        <v>6.5.2026</v>
      </c>
      <c r="L69" s="153">
        <v>58</v>
      </c>
      <c r="M69" s="92"/>
    </row>
    <row r="70" spans="1:13" ht="21.6" x14ac:dyDescent="0.65">
      <c r="A70" s="195"/>
      <c r="B70" s="140">
        <v>67</v>
      </c>
      <c r="C70" s="2"/>
      <c r="D70" s="1"/>
      <c r="E70" s="3"/>
      <c r="F70" s="1"/>
      <c r="G70" s="141">
        <f>IF(Basic3456789101112131415161718192021222324252627[[#This Row],[نوع الخدمة]]="مخالفات", 50,
IF(Basic3456789101112131415161718192021222324252627[[#This Row],[نوع الخدمة]]="كاش ان",
    IF(F70&lt;=100, 18, IF(F70&lt;=250, 23, IF(F70&lt;=500, 35, IF(F70&lt;=1000, 40, F70*0.04)))),
IF(Basic3456789101112131415161718192021222324252627[[#This Row],[نوع الخدمة]]="كاش اوت",
    IF(F70&lt;=100, 15, IF(F70&lt;=250, 20, IF(F70&lt;=500, 30, IF(F70&lt;=1000, 35, F70*0.035)))),
0)))</f>
        <v>0</v>
      </c>
      <c r="H70" s="159">
        <f>IF(I70="مخالفات",50,Basic3456789101112131415161718192021222324252627[[#This Row],[قيمة الرسوم / العموله]]+Basic3456789101112131415161718192021222324252627[[#This Row],[قيمة الشحنه]])</f>
        <v>0</v>
      </c>
      <c r="I70" s="90"/>
      <c r="J70" s="142" t="str">
        <f t="shared" si="1"/>
        <v>6.5.2026</v>
      </c>
      <c r="L70" s="153">
        <v>59</v>
      </c>
      <c r="M70" s="92"/>
    </row>
    <row r="71" spans="1:13" ht="21.6" x14ac:dyDescent="0.65">
      <c r="A71" s="195"/>
      <c r="B71" s="140">
        <v>68</v>
      </c>
      <c r="C71" s="2"/>
      <c r="D71" s="1"/>
      <c r="E71" s="3"/>
      <c r="F71" s="1"/>
      <c r="G71" s="141">
        <f>IF(Basic3456789101112131415161718192021222324252627[[#This Row],[نوع الخدمة]]="مخالفات", 50,
IF(Basic3456789101112131415161718192021222324252627[[#This Row],[نوع الخدمة]]="كاش ان",
    IF(F71&lt;=100, 18, IF(F71&lt;=250, 23, IF(F71&lt;=500, 35, IF(F71&lt;=1000, 40, F71*0.04)))),
IF(Basic3456789101112131415161718192021222324252627[[#This Row],[نوع الخدمة]]="كاش اوت",
    IF(F71&lt;=100, 15, IF(F71&lt;=250, 20, IF(F71&lt;=500, 30, IF(F71&lt;=1000, 35, F71*0.035)))),
0)))</f>
        <v>0</v>
      </c>
      <c r="H71" s="159">
        <f>IF(I71="مخالفات",50,Basic3456789101112131415161718192021222324252627[[#This Row],[قيمة الرسوم / العموله]]+Basic3456789101112131415161718192021222324252627[[#This Row],[قيمة الشحنه]])</f>
        <v>0</v>
      </c>
      <c r="I71" s="90"/>
      <c r="J71" s="142" t="str">
        <f t="shared" si="1"/>
        <v>6.5.2026</v>
      </c>
      <c r="L71" s="153">
        <v>60</v>
      </c>
      <c r="M71" s="92"/>
    </row>
    <row r="72" spans="1:13" ht="21.6" x14ac:dyDescent="0.65">
      <c r="A72" s="195"/>
      <c r="B72" s="140">
        <v>69</v>
      </c>
      <c r="C72" s="2"/>
      <c r="D72" s="1"/>
      <c r="E72" s="3"/>
      <c r="F72" s="1"/>
      <c r="G72" s="141">
        <f>IF(Basic3456789101112131415161718192021222324252627[[#This Row],[نوع الخدمة]]="مخالفات", 50,
IF(Basic3456789101112131415161718192021222324252627[[#This Row],[نوع الخدمة]]="كاش ان",
    IF(F72&lt;=100, 18, IF(F72&lt;=250, 23, IF(F72&lt;=500, 35, IF(F72&lt;=1000, 40, F72*0.04)))),
IF(Basic3456789101112131415161718192021222324252627[[#This Row],[نوع الخدمة]]="كاش اوت",
    IF(F72&lt;=100, 15, IF(F72&lt;=250, 20, IF(F72&lt;=500, 30, IF(F72&lt;=1000, 35, F72*0.035)))),
0)))</f>
        <v>0</v>
      </c>
      <c r="H72" s="159">
        <f>IF(I72="مخالفات",50,Basic3456789101112131415161718192021222324252627[[#This Row],[قيمة الرسوم / العموله]]+Basic3456789101112131415161718192021222324252627[[#This Row],[قيمة الشحنه]])</f>
        <v>0</v>
      </c>
      <c r="I72" s="90"/>
      <c r="J72" s="142" t="str">
        <f t="shared" si="1"/>
        <v>6.5.2026</v>
      </c>
      <c r="L72" s="153">
        <v>61</v>
      </c>
      <c r="M72" s="92"/>
    </row>
    <row r="73" spans="1:13" ht="21.6" x14ac:dyDescent="0.65">
      <c r="A73" s="195"/>
      <c r="B73" s="144">
        <v>70</v>
      </c>
      <c r="C73" s="2"/>
      <c r="D73" s="1"/>
      <c r="E73" s="3"/>
      <c r="F73" s="1"/>
      <c r="G73" s="141">
        <f>IF(Basic3456789101112131415161718192021222324252627[[#This Row],[نوع الخدمة]]="مخالفات", 50,
IF(Basic3456789101112131415161718192021222324252627[[#This Row],[نوع الخدمة]]="كاش ان",
    IF(F73&lt;=100, 18, IF(F73&lt;=250, 23, IF(F73&lt;=500, 35, IF(F73&lt;=1000, 40, F73*0.04)))),
IF(Basic3456789101112131415161718192021222324252627[[#This Row],[نوع الخدمة]]="كاش اوت",
    IF(F73&lt;=100, 15, IF(F73&lt;=250, 20, IF(F73&lt;=500, 30, IF(F73&lt;=1000, 35, F73*0.035)))),
0)))</f>
        <v>0</v>
      </c>
      <c r="H73" s="159">
        <f>IF(I73="مخالفات",50,Basic3456789101112131415161718192021222324252627[[#This Row],[قيمة الرسوم / العموله]]+Basic3456789101112131415161718192021222324252627[[#This Row],[قيمة الشحنه]])</f>
        <v>0</v>
      </c>
      <c r="I73" s="90"/>
      <c r="J73" s="142" t="str">
        <f t="shared" si="1"/>
        <v>6.5.2026</v>
      </c>
      <c r="L73" s="153">
        <v>62</v>
      </c>
      <c r="M73" s="92"/>
    </row>
    <row r="74" spans="1:13" ht="21.6" x14ac:dyDescent="0.65">
      <c r="A74" s="195"/>
      <c r="B74" s="140">
        <v>71</v>
      </c>
      <c r="C74" s="2"/>
      <c r="D74" s="1"/>
      <c r="E74" s="3"/>
      <c r="F74" s="1"/>
      <c r="G74" s="141">
        <f>IF(Basic3456789101112131415161718192021222324252627[[#This Row],[نوع الخدمة]]="مخالفات", 50,
IF(Basic3456789101112131415161718192021222324252627[[#This Row],[نوع الخدمة]]="كاش ان",
    IF(F74&lt;=100, 18, IF(F74&lt;=250, 23, IF(F74&lt;=500, 35, IF(F74&lt;=1000, 40, F74*0.04)))),
IF(Basic3456789101112131415161718192021222324252627[[#This Row],[نوع الخدمة]]="كاش اوت",
    IF(F74&lt;=100, 15, IF(F74&lt;=250, 20, IF(F74&lt;=500, 30, IF(F74&lt;=1000, 35, F74*0.035)))),
0)))</f>
        <v>0</v>
      </c>
      <c r="H74" s="159">
        <f>IF(I74="مخالفات",50,Basic3456789101112131415161718192021222324252627[[#This Row],[قيمة الرسوم / العموله]]+Basic3456789101112131415161718192021222324252627[[#This Row],[قيمة الشحنه]])</f>
        <v>0</v>
      </c>
      <c r="I74" s="90"/>
      <c r="J74" s="142" t="str">
        <f t="shared" si="1"/>
        <v>6.5.2026</v>
      </c>
      <c r="L74" s="153">
        <v>63</v>
      </c>
      <c r="M74" s="92"/>
    </row>
    <row r="75" spans="1:13" ht="21.6" x14ac:dyDescent="0.65">
      <c r="A75" s="195"/>
      <c r="B75" s="140">
        <v>72</v>
      </c>
      <c r="C75" s="2"/>
      <c r="D75" s="1"/>
      <c r="E75" s="3"/>
      <c r="F75" s="1"/>
      <c r="G75" s="141">
        <f>IF(Basic3456789101112131415161718192021222324252627[[#This Row],[نوع الخدمة]]="مخالفات", 50,
IF(Basic3456789101112131415161718192021222324252627[[#This Row],[نوع الخدمة]]="كاش ان",
    IF(F75&lt;=100, 18, IF(F75&lt;=250, 23, IF(F75&lt;=500, 35, IF(F75&lt;=1000, 40, F75*0.04)))),
IF(Basic3456789101112131415161718192021222324252627[[#This Row],[نوع الخدمة]]="كاش اوت",
    IF(F75&lt;=100, 15, IF(F75&lt;=250, 20, IF(F75&lt;=500, 30, IF(F75&lt;=1000, 35, F75*0.035)))),
0)))</f>
        <v>0</v>
      </c>
      <c r="H75" s="159">
        <f>IF(I75="مخالفات",50,Basic3456789101112131415161718192021222324252627[[#This Row],[قيمة الرسوم / العموله]]+Basic3456789101112131415161718192021222324252627[[#This Row],[قيمة الشحنه]])</f>
        <v>0</v>
      </c>
      <c r="I75" s="90"/>
      <c r="J75" s="142" t="str">
        <f t="shared" si="1"/>
        <v>6.5.2026</v>
      </c>
      <c r="L75" s="153">
        <v>64</v>
      </c>
      <c r="M75" s="92"/>
    </row>
    <row r="76" spans="1:13" ht="21.6" x14ac:dyDescent="0.65">
      <c r="A76" s="195"/>
      <c r="B76" s="140">
        <v>73</v>
      </c>
      <c r="C76" s="2"/>
      <c r="D76" s="1"/>
      <c r="E76" s="3"/>
      <c r="F76" s="1"/>
      <c r="G76" s="141">
        <f>IF(Basic3456789101112131415161718192021222324252627[[#This Row],[نوع الخدمة]]="مخالفات", 50,
IF(Basic3456789101112131415161718192021222324252627[[#This Row],[نوع الخدمة]]="كاش ان",
    IF(F76&lt;=100, 18, IF(F76&lt;=250, 23, IF(F76&lt;=500, 35, IF(F76&lt;=1000, 40, F76*0.04)))),
IF(Basic3456789101112131415161718192021222324252627[[#This Row],[نوع الخدمة]]="كاش اوت",
    IF(F76&lt;=100, 15, IF(F76&lt;=250, 20, IF(F76&lt;=500, 30, IF(F76&lt;=1000, 35, F76*0.035)))),
0)))</f>
        <v>0</v>
      </c>
      <c r="H76" s="159">
        <f>IF(I76="مخالفات",50,Basic3456789101112131415161718192021222324252627[[#This Row],[قيمة الرسوم / العموله]]+Basic3456789101112131415161718192021222324252627[[#This Row],[قيمة الشحنه]])</f>
        <v>0</v>
      </c>
      <c r="I76" s="90"/>
      <c r="J76" s="142" t="str">
        <f t="shared" si="1"/>
        <v>6.5.2026</v>
      </c>
      <c r="L76" s="153">
        <v>65</v>
      </c>
      <c r="M76" s="92"/>
    </row>
    <row r="77" spans="1:13" ht="21.6" x14ac:dyDescent="0.65">
      <c r="A77" s="195"/>
      <c r="B77" s="144">
        <v>74</v>
      </c>
      <c r="C77" s="2"/>
      <c r="D77" s="1"/>
      <c r="E77" s="3"/>
      <c r="F77" s="1"/>
      <c r="G77" s="141">
        <f>IF(Basic3456789101112131415161718192021222324252627[[#This Row],[نوع الخدمة]]="مخالفات", 50,
IF(Basic3456789101112131415161718192021222324252627[[#This Row],[نوع الخدمة]]="كاش ان",
    IF(F77&lt;=100, 18, IF(F77&lt;=250, 23, IF(F77&lt;=500, 35, IF(F77&lt;=1000, 40, F77*0.04)))),
IF(Basic3456789101112131415161718192021222324252627[[#This Row],[نوع الخدمة]]="كاش اوت",
    IF(F77&lt;=100, 15, IF(F77&lt;=250, 20, IF(F77&lt;=500, 30, IF(F77&lt;=1000, 35, F77*0.035)))),
0)))</f>
        <v>0</v>
      </c>
      <c r="H77" s="159">
        <f>IF(I77="مخالفات",50,Basic3456789101112131415161718192021222324252627[[#This Row],[قيمة الرسوم / العموله]]+Basic3456789101112131415161718192021222324252627[[#This Row],[قيمة الشحنه]])</f>
        <v>0</v>
      </c>
      <c r="I77" s="90"/>
      <c r="J77" s="142" t="str">
        <f t="shared" si="1"/>
        <v>6.5.2026</v>
      </c>
      <c r="L77" s="153">
        <v>66</v>
      </c>
      <c r="M77" s="92"/>
    </row>
    <row r="78" spans="1:13" ht="21.6" x14ac:dyDescent="0.65">
      <c r="A78" s="195"/>
      <c r="B78" s="140">
        <v>75</v>
      </c>
      <c r="C78" s="2"/>
      <c r="D78" s="1"/>
      <c r="E78" s="3"/>
      <c r="F78" s="1"/>
      <c r="G78" s="141">
        <f>IF(Basic3456789101112131415161718192021222324252627[[#This Row],[نوع الخدمة]]="مخالفات", 50,
IF(Basic3456789101112131415161718192021222324252627[[#This Row],[نوع الخدمة]]="كاش ان",
    IF(F78&lt;=100, 18, IF(F78&lt;=250, 23, IF(F78&lt;=500, 35, IF(F78&lt;=1000, 40, F78*0.04)))),
IF(Basic3456789101112131415161718192021222324252627[[#This Row],[نوع الخدمة]]="كاش اوت",
    IF(F78&lt;=100, 15, IF(F78&lt;=250, 20, IF(F78&lt;=500, 30, IF(F78&lt;=1000, 35, F78*0.035)))),
0)))</f>
        <v>0</v>
      </c>
      <c r="H78" s="159">
        <f>IF(I78="مخالفات",50,Basic3456789101112131415161718192021222324252627[[#This Row],[قيمة الرسوم / العموله]]+Basic3456789101112131415161718192021222324252627[[#This Row],[قيمة الشحنه]])</f>
        <v>0</v>
      </c>
      <c r="I78" s="90"/>
      <c r="J78" s="142" t="str">
        <f t="shared" si="1"/>
        <v>6.5.2026</v>
      </c>
      <c r="L78" s="153">
        <v>67</v>
      </c>
      <c r="M78" s="92"/>
    </row>
    <row r="79" spans="1:13" ht="21.6" x14ac:dyDescent="0.65">
      <c r="A79" s="195"/>
      <c r="B79" s="140">
        <v>76</v>
      </c>
      <c r="C79" s="2"/>
      <c r="D79" s="1"/>
      <c r="E79" s="3"/>
      <c r="F79" s="1"/>
      <c r="G79" s="141">
        <f>IF(Basic3456789101112131415161718192021222324252627[[#This Row],[نوع الخدمة]]="مخالفات", 50,
IF(Basic3456789101112131415161718192021222324252627[[#This Row],[نوع الخدمة]]="كاش ان",
    IF(F79&lt;=100, 18, IF(F79&lt;=250, 23, IF(F79&lt;=500, 35, IF(F79&lt;=1000, 40, F79*0.04)))),
IF(Basic3456789101112131415161718192021222324252627[[#This Row],[نوع الخدمة]]="كاش اوت",
    IF(F79&lt;=100, 15, IF(F79&lt;=250, 20, IF(F79&lt;=500, 30, IF(F79&lt;=1000, 35, F79*0.035)))),
0)))</f>
        <v>0</v>
      </c>
      <c r="H79" s="159">
        <f>IF(I79="مخالفات",50,Basic3456789101112131415161718192021222324252627[[#This Row],[قيمة الرسوم / العموله]]+Basic3456789101112131415161718192021222324252627[[#This Row],[قيمة الشحنه]])</f>
        <v>0</v>
      </c>
      <c r="I79" s="90"/>
      <c r="J79" s="142" t="str">
        <f t="shared" si="1"/>
        <v>6.5.2026</v>
      </c>
      <c r="L79" s="153">
        <v>68</v>
      </c>
      <c r="M79" s="92"/>
    </row>
    <row r="80" spans="1:13" ht="21.6" x14ac:dyDescent="0.65">
      <c r="A80" s="195"/>
      <c r="B80" s="140">
        <v>77</v>
      </c>
      <c r="C80" s="2"/>
      <c r="D80" s="1"/>
      <c r="E80" s="3"/>
      <c r="F80" s="1"/>
      <c r="G80" s="141">
        <f>IF(Basic3456789101112131415161718192021222324252627[[#This Row],[نوع الخدمة]]="مخالفات", 50,
IF(Basic3456789101112131415161718192021222324252627[[#This Row],[نوع الخدمة]]="كاش ان",
    IF(F80&lt;=100, 18, IF(F80&lt;=250, 23, IF(F80&lt;=500, 35, IF(F80&lt;=1000, 40, F80*0.04)))),
IF(Basic3456789101112131415161718192021222324252627[[#This Row],[نوع الخدمة]]="كاش اوت",
    IF(F80&lt;=100, 15, IF(F80&lt;=250, 20, IF(F80&lt;=500, 30, IF(F80&lt;=1000, 35, F80*0.035)))),
0)))</f>
        <v>0</v>
      </c>
      <c r="H80" s="159">
        <f>IF(I80="مخالفات",50,Basic3456789101112131415161718192021222324252627[[#This Row],[قيمة الرسوم / العموله]]+Basic3456789101112131415161718192021222324252627[[#This Row],[قيمة الشحنه]])</f>
        <v>0</v>
      </c>
      <c r="I80" s="90"/>
      <c r="J80" s="142" t="str">
        <f t="shared" si="1"/>
        <v>6.5.2026</v>
      </c>
      <c r="L80" s="153">
        <v>69</v>
      </c>
      <c r="M80" s="92"/>
    </row>
    <row r="81" spans="1:13" ht="21.6" x14ac:dyDescent="0.65">
      <c r="A81" s="195"/>
      <c r="B81" s="144">
        <v>78</v>
      </c>
      <c r="C81" s="2"/>
      <c r="D81" s="1"/>
      <c r="E81" s="3"/>
      <c r="F81" s="1"/>
      <c r="G81" s="141">
        <f>IF(Basic3456789101112131415161718192021222324252627[[#This Row],[نوع الخدمة]]="مخالفات", 50,
IF(Basic3456789101112131415161718192021222324252627[[#This Row],[نوع الخدمة]]="كاش ان",
    IF(F81&lt;=100, 18, IF(F81&lt;=250, 23, IF(F81&lt;=500, 35, IF(F81&lt;=1000, 40, F81*0.04)))),
IF(Basic3456789101112131415161718192021222324252627[[#This Row],[نوع الخدمة]]="كاش اوت",
    IF(F81&lt;=100, 15, IF(F81&lt;=250, 20, IF(F81&lt;=500, 30, IF(F81&lt;=1000, 35, F81*0.035)))),
0)))</f>
        <v>0</v>
      </c>
      <c r="H81" s="159">
        <f>IF(I81="مخالفات",50,Basic3456789101112131415161718192021222324252627[[#This Row],[قيمة الرسوم / العموله]]+Basic3456789101112131415161718192021222324252627[[#This Row],[قيمة الشحنه]])</f>
        <v>0</v>
      </c>
      <c r="I81" s="90"/>
      <c r="J81" s="142" t="str">
        <f t="shared" si="1"/>
        <v>6.5.2026</v>
      </c>
      <c r="L81" s="153">
        <v>70</v>
      </c>
      <c r="M81" s="92"/>
    </row>
    <row r="82" spans="1:13" ht="21.6" x14ac:dyDescent="0.65">
      <c r="A82" s="195"/>
      <c r="B82" s="140">
        <v>79</v>
      </c>
      <c r="C82" s="2"/>
      <c r="D82" s="1"/>
      <c r="E82" s="3"/>
      <c r="F82" s="1"/>
      <c r="G82" s="141">
        <f>IF(Basic3456789101112131415161718192021222324252627[[#This Row],[نوع الخدمة]]="مخالفات", 50,
IF(Basic3456789101112131415161718192021222324252627[[#This Row],[نوع الخدمة]]="كاش ان",
    IF(F82&lt;=100, 18, IF(F82&lt;=250, 23, IF(F82&lt;=500, 35, IF(F82&lt;=1000, 40, F82*0.04)))),
IF(Basic3456789101112131415161718192021222324252627[[#This Row],[نوع الخدمة]]="كاش اوت",
    IF(F82&lt;=100, 15, IF(F82&lt;=250, 20, IF(F82&lt;=500, 30, IF(F82&lt;=1000, 35, F82*0.035)))),
0)))</f>
        <v>0</v>
      </c>
      <c r="H82" s="159">
        <f>IF(I82="مخالفات",50,Basic3456789101112131415161718192021222324252627[[#This Row],[قيمة الرسوم / العموله]]+Basic3456789101112131415161718192021222324252627[[#This Row],[قيمة الشحنه]])</f>
        <v>0</v>
      </c>
      <c r="I82" s="90"/>
      <c r="J82" s="142" t="str">
        <f t="shared" si="1"/>
        <v>6.5.2026</v>
      </c>
      <c r="L82" s="153">
        <v>71</v>
      </c>
      <c r="M82" s="92"/>
    </row>
    <row r="83" spans="1:13" ht="21.6" x14ac:dyDescent="0.65">
      <c r="A83" s="195"/>
      <c r="B83" s="140">
        <v>80</v>
      </c>
      <c r="C83" s="2"/>
      <c r="D83" s="1"/>
      <c r="E83" s="3"/>
      <c r="F83" s="1"/>
      <c r="G83" s="141">
        <f>IF(Basic3456789101112131415161718192021222324252627[[#This Row],[نوع الخدمة]]="مخالفات", 50,
IF(Basic3456789101112131415161718192021222324252627[[#This Row],[نوع الخدمة]]="كاش ان",
    IF(F83&lt;=100, 18, IF(F83&lt;=250, 23, IF(F83&lt;=500, 35, IF(F83&lt;=1000, 40, F83*0.04)))),
IF(Basic3456789101112131415161718192021222324252627[[#This Row],[نوع الخدمة]]="كاش اوت",
    IF(F83&lt;=100, 15, IF(F83&lt;=250, 20, IF(F83&lt;=500, 30, IF(F83&lt;=1000, 35, F83*0.035)))),
0)))</f>
        <v>0</v>
      </c>
      <c r="H83" s="159">
        <f>IF(I83="مخالفات",50,Basic3456789101112131415161718192021222324252627[[#This Row],[قيمة الرسوم / العموله]]+Basic3456789101112131415161718192021222324252627[[#This Row],[قيمة الشحنه]])</f>
        <v>0</v>
      </c>
      <c r="I83" s="90"/>
      <c r="J83" s="142" t="str">
        <f t="shared" si="1"/>
        <v>6.5.2026</v>
      </c>
      <c r="L83" s="153">
        <v>72</v>
      </c>
      <c r="M83" s="92"/>
    </row>
    <row r="84" spans="1:13" ht="21.6" x14ac:dyDescent="0.65">
      <c r="A84" s="195"/>
      <c r="B84" s="140">
        <v>81</v>
      </c>
      <c r="C84" s="2"/>
      <c r="D84" s="1"/>
      <c r="E84" s="3"/>
      <c r="F84" s="1"/>
      <c r="G84" s="141">
        <f>IF(Basic3456789101112131415161718192021222324252627[[#This Row],[نوع الخدمة]]="مخالفات", 50,
IF(Basic3456789101112131415161718192021222324252627[[#This Row],[نوع الخدمة]]="كاش ان",
    IF(F84&lt;=100, 18, IF(F84&lt;=250, 23, IF(F84&lt;=500, 35, IF(F84&lt;=1000, 40, F84*0.04)))),
IF(Basic3456789101112131415161718192021222324252627[[#This Row],[نوع الخدمة]]="كاش اوت",
    IF(F84&lt;=100, 15, IF(F84&lt;=250, 20, IF(F84&lt;=500, 30, IF(F84&lt;=1000, 35, F84*0.035)))),
0)))</f>
        <v>0</v>
      </c>
      <c r="H84" s="159">
        <f>IF(I84="مخالفات",50,Basic3456789101112131415161718192021222324252627[[#This Row],[قيمة الرسوم / العموله]]+Basic3456789101112131415161718192021222324252627[[#This Row],[قيمة الشحنه]])</f>
        <v>0</v>
      </c>
      <c r="I84" s="90"/>
      <c r="J84" s="142" t="str">
        <f t="shared" si="1"/>
        <v>6.5.2026</v>
      </c>
      <c r="L84" s="153">
        <v>73</v>
      </c>
      <c r="M84" s="92"/>
    </row>
    <row r="85" spans="1:13" ht="21.6" x14ac:dyDescent="0.65">
      <c r="A85" s="195"/>
      <c r="B85" s="144">
        <v>82</v>
      </c>
      <c r="C85" s="2"/>
      <c r="D85" s="1"/>
      <c r="E85" s="3"/>
      <c r="F85" s="1"/>
      <c r="G85" s="141">
        <f>IF(Basic3456789101112131415161718192021222324252627[[#This Row],[نوع الخدمة]]="مخالفات", 50,
IF(Basic3456789101112131415161718192021222324252627[[#This Row],[نوع الخدمة]]="كاش ان",
    IF(F85&lt;=100, 18, IF(F85&lt;=250, 23, IF(F85&lt;=500, 35, IF(F85&lt;=1000, 40, F85*0.04)))),
IF(Basic3456789101112131415161718192021222324252627[[#This Row],[نوع الخدمة]]="كاش اوت",
    IF(F85&lt;=100, 15, IF(F85&lt;=250, 20, IF(F85&lt;=500, 30, IF(F85&lt;=1000, 35, F85*0.035)))),
0)))</f>
        <v>0</v>
      </c>
      <c r="H85" s="159">
        <f>IF(I85="مخالفات",50,Basic3456789101112131415161718192021222324252627[[#This Row],[قيمة الرسوم / العموله]]+Basic3456789101112131415161718192021222324252627[[#This Row],[قيمة الشحنه]])</f>
        <v>0</v>
      </c>
      <c r="I85" s="90"/>
      <c r="J85" s="142" t="str">
        <f t="shared" si="1"/>
        <v>6.5.2026</v>
      </c>
      <c r="L85" s="153">
        <v>74</v>
      </c>
      <c r="M85" s="92"/>
    </row>
    <row r="86" spans="1:13" ht="21.6" x14ac:dyDescent="0.65">
      <c r="A86" s="195"/>
      <c r="B86" s="140">
        <v>83</v>
      </c>
      <c r="C86" s="2"/>
      <c r="D86" s="1"/>
      <c r="E86" s="3"/>
      <c r="F86" s="1"/>
      <c r="G86" s="141">
        <f>IF(Basic3456789101112131415161718192021222324252627[[#This Row],[نوع الخدمة]]="مخالفات", 50,
IF(Basic3456789101112131415161718192021222324252627[[#This Row],[نوع الخدمة]]="كاش ان",
    IF(F86&lt;=100, 18, IF(F86&lt;=250, 23, IF(F86&lt;=500, 35, IF(F86&lt;=1000, 40, F86*0.04)))),
IF(Basic3456789101112131415161718192021222324252627[[#This Row],[نوع الخدمة]]="كاش اوت",
    IF(F86&lt;=100, 15, IF(F86&lt;=250, 20, IF(F86&lt;=500, 30, IF(F86&lt;=1000, 35, F86*0.035)))),
0)))</f>
        <v>0</v>
      </c>
      <c r="H86" s="159">
        <f>IF(I86="مخالفات",50,Basic3456789101112131415161718192021222324252627[[#This Row],[قيمة الرسوم / العموله]]+Basic3456789101112131415161718192021222324252627[[#This Row],[قيمة الشحنه]])</f>
        <v>0</v>
      </c>
      <c r="I86" s="90"/>
      <c r="J86" s="142" t="str">
        <f t="shared" si="1"/>
        <v>6.5.2026</v>
      </c>
      <c r="L86" s="153">
        <v>75</v>
      </c>
      <c r="M86" s="92"/>
    </row>
    <row r="87" spans="1:13" ht="21.6" x14ac:dyDescent="0.65">
      <c r="A87" s="195"/>
      <c r="B87" s="140">
        <v>84</v>
      </c>
      <c r="C87" s="2"/>
      <c r="D87" s="1"/>
      <c r="E87" s="3"/>
      <c r="F87" s="1"/>
      <c r="G87" s="141">
        <f>IF(Basic3456789101112131415161718192021222324252627[[#This Row],[نوع الخدمة]]="مخالفات", 50,
IF(Basic3456789101112131415161718192021222324252627[[#This Row],[نوع الخدمة]]="كاش ان",
    IF(F87&lt;=100, 18, IF(F87&lt;=250, 23, IF(F87&lt;=500, 35, IF(F87&lt;=1000, 40, F87*0.04)))),
IF(Basic3456789101112131415161718192021222324252627[[#This Row],[نوع الخدمة]]="كاش اوت",
    IF(F87&lt;=100, 15, IF(F87&lt;=250, 20, IF(F87&lt;=500, 30, IF(F87&lt;=1000, 35, F87*0.035)))),
0)))</f>
        <v>0</v>
      </c>
      <c r="H87" s="159">
        <f>IF(I87="مخالفات",50,Basic3456789101112131415161718192021222324252627[[#This Row],[قيمة الرسوم / العموله]]+Basic3456789101112131415161718192021222324252627[[#This Row],[قيمة الشحنه]])</f>
        <v>0</v>
      </c>
      <c r="I87" s="90"/>
      <c r="J87" s="142" t="str">
        <f t="shared" si="1"/>
        <v>6.5.2026</v>
      </c>
      <c r="L87" s="153">
        <v>76</v>
      </c>
      <c r="M87" s="92"/>
    </row>
    <row r="88" spans="1:13" ht="21.6" x14ac:dyDescent="0.65">
      <c r="A88" s="195"/>
      <c r="B88" s="140">
        <v>85</v>
      </c>
      <c r="C88" s="2"/>
      <c r="D88" s="1"/>
      <c r="E88" s="3"/>
      <c r="F88" s="1"/>
      <c r="G88" s="141">
        <f>IF(Basic3456789101112131415161718192021222324252627[[#This Row],[نوع الخدمة]]="مخالفات", 50,
IF(Basic3456789101112131415161718192021222324252627[[#This Row],[نوع الخدمة]]="كاش ان",
    IF(F88&lt;=100, 18, IF(F88&lt;=250, 23, IF(F88&lt;=500, 35, IF(F88&lt;=1000, 40, F88*0.04)))),
IF(Basic3456789101112131415161718192021222324252627[[#This Row],[نوع الخدمة]]="كاش اوت",
    IF(F88&lt;=100, 15, IF(F88&lt;=250, 20, IF(F88&lt;=500, 30, IF(F88&lt;=1000, 35, F88*0.035)))),
0)))</f>
        <v>0</v>
      </c>
      <c r="H88" s="159">
        <f>IF(I88="مخالفات",50,Basic3456789101112131415161718192021222324252627[[#This Row],[قيمة الرسوم / العموله]]+Basic3456789101112131415161718192021222324252627[[#This Row],[قيمة الشحنه]])</f>
        <v>0</v>
      </c>
      <c r="I88" s="90"/>
      <c r="J88" s="142" t="str">
        <f t="shared" si="1"/>
        <v>6.5.2026</v>
      </c>
      <c r="L88" s="153">
        <v>77</v>
      </c>
      <c r="M88" s="92"/>
    </row>
    <row r="89" spans="1:13" ht="21.6" x14ac:dyDescent="0.65">
      <c r="A89" s="195"/>
      <c r="B89" s="144">
        <v>86</v>
      </c>
      <c r="C89" s="2"/>
      <c r="D89" s="1"/>
      <c r="E89" s="3"/>
      <c r="F89" s="1"/>
      <c r="G89" s="141">
        <f>IF(Basic3456789101112131415161718192021222324252627[[#This Row],[نوع الخدمة]]="مخالفات", 50,
IF(Basic3456789101112131415161718192021222324252627[[#This Row],[نوع الخدمة]]="كاش ان",
    IF(F89&lt;=100, 18, IF(F89&lt;=250, 23, IF(F89&lt;=500, 35, IF(F89&lt;=1000, 40, F89*0.04)))),
IF(Basic3456789101112131415161718192021222324252627[[#This Row],[نوع الخدمة]]="كاش اوت",
    IF(F89&lt;=100, 15, IF(F89&lt;=250, 20, IF(F89&lt;=500, 30, IF(F89&lt;=1000, 35, F89*0.035)))),
0)))</f>
        <v>0</v>
      </c>
      <c r="H89" s="159">
        <f>IF(I89="مخالفات",50,Basic3456789101112131415161718192021222324252627[[#This Row],[قيمة الرسوم / العموله]]+Basic3456789101112131415161718192021222324252627[[#This Row],[قيمة الشحنه]])</f>
        <v>0</v>
      </c>
      <c r="I89" s="90"/>
      <c r="J89" s="142" t="str">
        <f t="shared" si="1"/>
        <v>6.5.2026</v>
      </c>
      <c r="L89" s="153">
        <v>78</v>
      </c>
      <c r="M89" s="92"/>
    </row>
    <row r="90" spans="1:13" ht="21.6" x14ac:dyDescent="0.65">
      <c r="A90" s="195"/>
      <c r="B90" s="140">
        <v>87</v>
      </c>
      <c r="C90" s="2"/>
      <c r="D90" s="1"/>
      <c r="E90" s="3"/>
      <c r="F90" s="1"/>
      <c r="G90" s="141">
        <f>IF(Basic3456789101112131415161718192021222324252627[[#This Row],[نوع الخدمة]]="مخالفات", 50,
IF(Basic3456789101112131415161718192021222324252627[[#This Row],[نوع الخدمة]]="كاش ان",
    IF(F90&lt;=100, 18, IF(F90&lt;=250, 23, IF(F90&lt;=500, 35, IF(F90&lt;=1000, 40, F90*0.04)))),
IF(Basic3456789101112131415161718192021222324252627[[#This Row],[نوع الخدمة]]="كاش اوت",
    IF(F90&lt;=100, 15, IF(F90&lt;=250, 20, IF(F90&lt;=500, 30, IF(F90&lt;=1000, 35, F90*0.035)))),
0)))</f>
        <v>0</v>
      </c>
      <c r="H90" s="159">
        <f>IF(I90="مخالفات",50,Basic3456789101112131415161718192021222324252627[[#This Row],[قيمة الرسوم / العموله]]+Basic3456789101112131415161718192021222324252627[[#This Row],[قيمة الشحنه]])</f>
        <v>0</v>
      </c>
      <c r="I90" s="90"/>
      <c r="J90" s="142" t="str">
        <f t="shared" si="1"/>
        <v>6.5.2026</v>
      </c>
      <c r="L90" s="153">
        <v>79</v>
      </c>
      <c r="M90" s="92"/>
    </row>
    <row r="91" spans="1:13" ht="21.6" x14ac:dyDescent="0.65">
      <c r="A91" s="195"/>
      <c r="B91" s="140">
        <v>88</v>
      </c>
      <c r="C91" s="2"/>
      <c r="D91" s="1"/>
      <c r="E91" s="3"/>
      <c r="F91" s="1"/>
      <c r="G91" s="141">
        <f>IF(Basic3456789101112131415161718192021222324252627[[#This Row],[نوع الخدمة]]="مخالفات", 50,
IF(Basic3456789101112131415161718192021222324252627[[#This Row],[نوع الخدمة]]="كاش ان",
    IF(F91&lt;=100, 18, IF(F91&lt;=250, 23, IF(F91&lt;=500, 35, IF(F91&lt;=1000, 40, F91*0.04)))),
IF(Basic3456789101112131415161718192021222324252627[[#This Row],[نوع الخدمة]]="كاش اوت",
    IF(F91&lt;=100, 15, IF(F91&lt;=250, 20, IF(F91&lt;=500, 30, IF(F91&lt;=1000, 35, F91*0.035)))),
0)))</f>
        <v>0</v>
      </c>
      <c r="H91" s="159">
        <f>IF(I91="مخالفات",50,Basic3456789101112131415161718192021222324252627[[#This Row],[قيمة الرسوم / العموله]]+Basic3456789101112131415161718192021222324252627[[#This Row],[قيمة الشحنه]])</f>
        <v>0</v>
      </c>
      <c r="I91" s="90"/>
      <c r="J91" s="142" t="str">
        <f t="shared" si="1"/>
        <v>6.5.2026</v>
      </c>
      <c r="L91" s="153">
        <v>80</v>
      </c>
      <c r="M91" s="92"/>
    </row>
    <row r="92" spans="1:13" ht="21.6" x14ac:dyDescent="0.65">
      <c r="A92" s="195"/>
      <c r="B92" s="140">
        <v>89</v>
      </c>
      <c r="C92" s="2"/>
      <c r="D92" s="1"/>
      <c r="E92" s="3"/>
      <c r="F92" s="1"/>
      <c r="G92" s="141">
        <f>IF(Basic3456789101112131415161718192021222324252627[[#This Row],[نوع الخدمة]]="مخالفات", 50,
IF(Basic3456789101112131415161718192021222324252627[[#This Row],[نوع الخدمة]]="كاش ان",
    IF(F92&lt;=100, 18, IF(F92&lt;=250, 23, IF(F92&lt;=500, 35, IF(F92&lt;=1000, 40, F92*0.04)))),
IF(Basic3456789101112131415161718192021222324252627[[#This Row],[نوع الخدمة]]="كاش اوت",
    IF(F92&lt;=100, 15, IF(F92&lt;=250, 20, IF(F92&lt;=500, 30, IF(F92&lt;=1000, 35, F92*0.035)))),
0)))</f>
        <v>0</v>
      </c>
      <c r="H92" s="159">
        <f>IF(I92="مخالفات",50,Basic3456789101112131415161718192021222324252627[[#This Row],[قيمة الرسوم / العموله]]+Basic3456789101112131415161718192021222324252627[[#This Row],[قيمة الشحنه]])</f>
        <v>0</v>
      </c>
      <c r="I92" s="90"/>
      <c r="J92" s="142" t="str">
        <f t="shared" si="1"/>
        <v>6.5.2026</v>
      </c>
      <c r="L92" s="153">
        <v>81</v>
      </c>
      <c r="M92" s="92"/>
    </row>
    <row r="93" spans="1:13" ht="21.6" x14ac:dyDescent="0.65">
      <c r="A93" s="195"/>
      <c r="B93" s="144">
        <v>90</v>
      </c>
      <c r="C93" s="2"/>
      <c r="D93" s="1"/>
      <c r="E93" s="3"/>
      <c r="F93" s="1"/>
      <c r="G93" s="141">
        <f>IF(Basic3456789101112131415161718192021222324252627[[#This Row],[نوع الخدمة]]="مخالفات", 50,
IF(Basic3456789101112131415161718192021222324252627[[#This Row],[نوع الخدمة]]="كاش ان",
    IF(F93&lt;=100, 18, IF(F93&lt;=250, 23, IF(F93&lt;=500, 35, IF(F93&lt;=1000, 40, F93*0.04)))),
IF(Basic3456789101112131415161718192021222324252627[[#This Row],[نوع الخدمة]]="كاش اوت",
    IF(F93&lt;=100, 15, IF(F93&lt;=250, 20, IF(F93&lt;=500, 30, IF(F93&lt;=1000, 35, F93*0.035)))),
0)))</f>
        <v>0</v>
      </c>
      <c r="H93" s="159">
        <f>IF(I93="مخالفات",50,Basic3456789101112131415161718192021222324252627[[#This Row],[قيمة الرسوم / العموله]]+Basic3456789101112131415161718192021222324252627[[#This Row],[قيمة الشحنه]])</f>
        <v>0</v>
      </c>
      <c r="I93" s="90"/>
      <c r="J93" s="142" t="str">
        <f t="shared" si="1"/>
        <v>6.5.2026</v>
      </c>
      <c r="L93" s="153">
        <v>82</v>
      </c>
      <c r="M93" s="92"/>
    </row>
    <row r="94" spans="1:13" ht="21.6" x14ac:dyDescent="0.65">
      <c r="A94" s="195"/>
      <c r="B94" s="140">
        <v>91</v>
      </c>
      <c r="C94" s="2"/>
      <c r="D94" s="1"/>
      <c r="E94" s="3"/>
      <c r="F94" s="1"/>
      <c r="G94" s="141">
        <f>IF(Basic3456789101112131415161718192021222324252627[[#This Row],[نوع الخدمة]]="مخالفات", 50,
IF(Basic3456789101112131415161718192021222324252627[[#This Row],[نوع الخدمة]]="كاش ان",
    IF(F94&lt;=100, 18, IF(F94&lt;=250, 23, IF(F94&lt;=500, 35, IF(F94&lt;=1000, 40, F94*0.04)))),
IF(Basic3456789101112131415161718192021222324252627[[#This Row],[نوع الخدمة]]="كاش اوت",
    IF(F94&lt;=100, 15, IF(F94&lt;=250, 20, IF(F94&lt;=500, 30, IF(F94&lt;=1000, 35, F94*0.035)))),
0)))</f>
        <v>0</v>
      </c>
      <c r="H94" s="159">
        <f>IF(I94="مخالفات",50,Basic3456789101112131415161718192021222324252627[[#This Row],[قيمة الرسوم / العموله]]+Basic3456789101112131415161718192021222324252627[[#This Row],[قيمة الشحنه]])</f>
        <v>0</v>
      </c>
      <c r="I94" s="90"/>
      <c r="J94" s="142" t="str">
        <f t="shared" si="1"/>
        <v>6.5.2026</v>
      </c>
      <c r="L94" s="153">
        <v>83</v>
      </c>
      <c r="M94" s="92"/>
    </row>
    <row r="95" spans="1:13" ht="21.6" x14ac:dyDescent="0.65">
      <c r="A95" s="195"/>
      <c r="B95" s="140">
        <v>92</v>
      </c>
      <c r="C95" s="2"/>
      <c r="D95" s="1"/>
      <c r="E95" s="3"/>
      <c r="F95" s="1"/>
      <c r="G95" s="141">
        <f>IF(Basic3456789101112131415161718192021222324252627[[#This Row],[نوع الخدمة]]="مخالفات", 50,
IF(Basic3456789101112131415161718192021222324252627[[#This Row],[نوع الخدمة]]="كاش ان",
    IF(F95&lt;=100, 18, IF(F95&lt;=250, 23, IF(F95&lt;=500, 35, IF(F95&lt;=1000, 40, F95*0.04)))),
IF(Basic3456789101112131415161718192021222324252627[[#This Row],[نوع الخدمة]]="كاش اوت",
    IF(F95&lt;=100, 15, IF(F95&lt;=250, 20, IF(F95&lt;=500, 30, IF(F95&lt;=1000, 35, F95*0.035)))),
0)))</f>
        <v>0</v>
      </c>
      <c r="H95" s="159">
        <f>IF(I95="مخالفات",50,Basic3456789101112131415161718192021222324252627[[#This Row],[قيمة الرسوم / العموله]]+Basic3456789101112131415161718192021222324252627[[#This Row],[قيمة الشحنه]])</f>
        <v>0</v>
      </c>
      <c r="I95" s="90"/>
      <c r="J95" s="142" t="str">
        <f t="shared" si="1"/>
        <v>6.5.2026</v>
      </c>
      <c r="L95" s="153">
        <v>84</v>
      </c>
      <c r="M95" s="92"/>
    </row>
    <row r="96" spans="1:13" ht="21.6" x14ac:dyDescent="0.65">
      <c r="A96" s="195"/>
      <c r="B96" s="140">
        <v>93</v>
      </c>
      <c r="C96" s="2"/>
      <c r="D96" s="1"/>
      <c r="E96" s="3"/>
      <c r="F96" s="1"/>
      <c r="G96" s="141">
        <f>IF(Basic3456789101112131415161718192021222324252627[[#This Row],[نوع الخدمة]]="مخالفات", 50,
IF(Basic3456789101112131415161718192021222324252627[[#This Row],[نوع الخدمة]]="كاش ان",
    IF(F96&lt;=100, 18, IF(F96&lt;=250, 23, IF(F96&lt;=500, 35, IF(F96&lt;=1000, 40, F96*0.04)))),
IF(Basic3456789101112131415161718192021222324252627[[#This Row],[نوع الخدمة]]="كاش اوت",
    IF(F96&lt;=100, 15, IF(F96&lt;=250, 20, IF(F96&lt;=500, 30, IF(F96&lt;=1000, 35, F96*0.035)))),
0)))</f>
        <v>0</v>
      </c>
      <c r="H96" s="159">
        <f>IF(I96="مخالفات",50,Basic3456789101112131415161718192021222324252627[[#This Row],[قيمة الرسوم / العموله]]+Basic3456789101112131415161718192021222324252627[[#This Row],[قيمة الشحنه]])</f>
        <v>0</v>
      </c>
      <c r="I96" s="90"/>
      <c r="J96" s="142" t="str">
        <f t="shared" si="1"/>
        <v>6.5.2026</v>
      </c>
      <c r="L96" s="153">
        <v>85</v>
      </c>
      <c r="M96" s="92"/>
    </row>
    <row r="97" spans="1:13" ht="21.6" x14ac:dyDescent="0.65">
      <c r="A97" s="195"/>
      <c r="B97" s="144">
        <v>94</v>
      </c>
      <c r="C97" s="2"/>
      <c r="D97" s="1"/>
      <c r="E97" s="3"/>
      <c r="F97" s="1"/>
      <c r="G97" s="141">
        <f>IF(Basic3456789101112131415161718192021222324252627[[#This Row],[نوع الخدمة]]="مخالفات", 50,
IF(Basic3456789101112131415161718192021222324252627[[#This Row],[نوع الخدمة]]="كاش ان",
    IF(F97&lt;=100, 18, IF(F97&lt;=250, 23, IF(F97&lt;=500, 35, IF(F97&lt;=1000, 40, F97*0.04)))),
IF(Basic3456789101112131415161718192021222324252627[[#This Row],[نوع الخدمة]]="كاش اوت",
    IF(F97&lt;=100, 15, IF(F97&lt;=250, 20, IF(F97&lt;=500, 30, IF(F97&lt;=1000, 35, F97*0.035)))),
0)))</f>
        <v>0</v>
      </c>
      <c r="H97" s="159">
        <f>IF(I97="مخالفات",50,Basic3456789101112131415161718192021222324252627[[#This Row],[قيمة الرسوم / العموله]]+Basic3456789101112131415161718192021222324252627[[#This Row],[قيمة الشحنه]])</f>
        <v>0</v>
      </c>
      <c r="I97" s="90"/>
      <c r="J97" s="142" t="str">
        <f t="shared" si="1"/>
        <v>6.5.2026</v>
      </c>
      <c r="L97" s="153">
        <v>86</v>
      </c>
      <c r="M97" s="92"/>
    </row>
    <row r="98" spans="1:13" ht="21.6" x14ac:dyDescent="0.65">
      <c r="A98" s="195"/>
      <c r="B98" s="140">
        <v>95</v>
      </c>
      <c r="C98" s="2"/>
      <c r="D98" s="1"/>
      <c r="E98" s="3"/>
      <c r="F98" s="1"/>
      <c r="G98" s="141">
        <f>IF(Basic3456789101112131415161718192021222324252627[[#This Row],[نوع الخدمة]]="مخالفات", 50,
IF(Basic3456789101112131415161718192021222324252627[[#This Row],[نوع الخدمة]]="كاش ان",
    IF(F98&lt;=100, 18, IF(F98&lt;=250, 23, IF(F98&lt;=500, 35, IF(F98&lt;=1000, 40, F98*0.04)))),
IF(Basic3456789101112131415161718192021222324252627[[#This Row],[نوع الخدمة]]="كاش اوت",
    IF(F98&lt;=100, 15, IF(F98&lt;=250, 20, IF(F98&lt;=500, 30, IF(F98&lt;=1000, 35, F98*0.035)))),
0)))</f>
        <v>0</v>
      </c>
      <c r="H98" s="159">
        <f>IF(I98="مخالفات",50,Basic3456789101112131415161718192021222324252627[[#This Row],[قيمة الرسوم / العموله]]+Basic3456789101112131415161718192021222324252627[[#This Row],[قيمة الشحنه]])</f>
        <v>0</v>
      </c>
      <c r="I98" s="90"/>
      <c r="J98" s="142" t="str">
        <f t="shared" si="1"/>
        <v>6.5.2026</v>
      </c>
      <c r="L98" s="153">
        <v>87</v>
      </c>
      <c r="M98" s="92"/>
    </row>
    <row r="99" spans="1:13" ht="21.6" x14ac:dyDescent="0.65">
      <c r="A99" s="195"/>
      <c r="B99" s="140">
        <v>96</v>
      </c>
      <c r="C99" s="2"/>
      <c r="D99" s="1"/>
      <c r="E99" s="3"/>
      <c r="F99" s="1"/>
      <c r="G99" s="141">
        <f>IF(Basic3456789101112131415161718192021222324252627[[#This Row],[نوع الخدمة]]="مخالفات", 50,
IF(Basic3456789101112131415161718192021222324252627[[#This Row],[نوع الخدمة]]="كاش ان",
    IF(F99&lt;=100, 18, IF(F99&lt;=250, 23, IF(F99&lt;=500, 35, IF(F99&lt;=1000, 40, F99*0.04)))),
IF(Basic3456789101112131415161718192021222324252627[[#This Row],[نوع الخدمة]]="كاش اوت",
    IF(F99&lt;=100, 15, IF(F99&lt;=250, 20, IF(F99&lt;=500, 30, IF(F99&lt;=1000, 35, F99*0.035)))),
0)))</f>
        <v>0</v>
      </c>
      <c r="H99" s="159">
        <f>IF(I99="مخالفات",50,Basic3456789101112131415161718192021222324252627[[#This Row],[قيمة الرسوم / العموله]]+Basic3456789101112131415161718192021222324252627[[#This Row],[قيمة الشحنه]])</f>
        <v>0</v>
      </c>
      <c r="I99" s="90"/>
      <c r="J99" s="142" t="str">
        <f t="shared" si="1"/>
        <v>6.5.2026</v>
      </c>
      <c r="L99" s="153">
        <v>88</v>
      </c>
      <c r="M99" s="92"/>
    </row>
    <row r="100" spans="1:13" ht="21.6" x14ac:dyDescent="0.65">
      <c r="A100" s="195"/>
      <c r="B100" s="140">
        <v>97</v>
      </c>
      <c r="C100" s="2"/>
      <c r="D100" s="1"/>
      <c r="E100" s="3"/>
      <c r="F100" s="1"/>
      <c r="G100" s="141">
        <f>IF(Basic3456789101112131415161718192021222324252627[[#This Row],[نوع الخدمة]]="مخالفات", 50,
IF(Basic3456789101112131415161718192021222324252627[[#This Row],[نوع الخدمة]]="كاش ان",
    IF(F100&lt;=100, 18, IF(F100&lt;=250, 23, IF(F100&lt;=500, 35, IF(F100&lt;=1000, 40, F100*0.04)))),
IF(Basic3456789101112131415161718192021222324252627[[#This Row],[نوع الخدمة]]="كاش اوت",
    IF(F100&lt;=100, 15, IF(F100&lt;=250, 20, IF(F100&lt;=500, 30, IF(F100&lt;=1000, 35, F100*0.035)))),
0)))</f>
        <v>0</v>
      </c>
      <c r="H100" s="159">
        <f>IF(I100="مخالفات",50,Basic3456789101112131415161718192021222324252627[[#This Row],[قيمة الرسوم / العموله]]+Basic3456789101112131415161718192021222324252627[[#This Row],[قيمة الشحنه]])</f>
        <v>0</v>
      </c>
      <c r="I100" s="90"/>
      <c r="J100" s="142" t="str">
        <f t="shared" si="1"/>
        <v>6.5.2026</v>
      </c>
      <c r="L100" s="153">
        <v>89</v>
      </c>
      <c r="M100" s="92"/>
    </row>
    <row r="101" spans="1:13" ht="21.6" x14ac:dyDescent="0.65">
      <c r="A101" s="195"/>
      <c r="B101" s="144">
        <v>98</v>
      </c>
      <c r="C101" s="2"/>
      <c r="D101" s="1"/>
      <c r="E101" s="3"/>
      <c r="F101" s="1"/>
      <c r="G101" s="141">
        <f>IF(Basic3456789101112131415161718192021222324252627[[#This Row],[نوع الخدمة]]="مخالفات", 50,
IF(Basic3456789101112131415161718192021222324252627[[#This Row],[نوع الخدمة]]="كاش ان",
    IF(F101&lt;=100, 18, IF(F101&lt;=250, 23, IF(F101&lt;=500, 35, IF(F101&lt;=1000, 40, F101*0.04)))),
IF(Basic3456789101112131415161718192021222324252627[[#This Row],[نوع الخدمة]]="كاش اوت",
    IF(F101&lt;=100, 15, IF(F101&lt;=250, 20, IF(F101&lt;=500, 30, IF(F101&lt;=1000, 35, F101*0.035)))),
0)))</f>
        <v>0</v>
      </c>
      <c r="H101" s="159">
        <f>IF(I101="مخالفات",50,Basic3456789101112131415161718192021222324252627[[#This Row],[قيمة الرسوم / العموله]]+Basic3456789101112131415161718192021222324252627[[#This Row],[قيمة الشحنه]])</f>
        <v>0</v>
      </c>
      <c r="I101" s="90"/>
      <c r="J101" s="142" t="str">
        <f t="shared" si="1"/>
        <v>6.5.2026</v>
      </c>
      <c r="L101" s="153">
        <v>90</v>
      </c>
      <c r="M101" s="92"/>
    </row>
    <row r="102" spans="1:13" ht="21.6" x14ac:dyDescent="0.65">
      <c r="A102" s="195"/>
      <c r="B102" s="140">
        <v>99</v>
      </c>
      <c r="C102" s="2"/>
      <c r="D102" s="1"/>
      <c r="E102" s="3"/>
      <c r="F102" s="1"/>
      <c r="G102" s="141">
        <f>IF(Basic3456789101112131415161718192021222324252627[[#This Row],[نوع الخدمة]]="مخالفات", 50,
IF(Basic3456789101112131415161718192021222324252627[[#This Row],[نوع الخدمة]]="كاش ان",
    IF(F102&lt;=100, 18, IF(F102&lt;=250, 23, IF(F102&lt;=500, 35, IF(F102&lt;=1000, 40, F102*0.04)))),
IF(Basic3456789101112131415161718192021222324252627[[#This Row],[نوع الخدمة]]="كاش اوت",
    IF(F102&lt;=100, 15, IF(F102&lt;=250, 20, IF(F102&lt;=500, 30, IF(F102&lt;=1000, 35, F102*0.035)))),
0)))</f>
        <v>0</v>
      </c>
      <c r="H102" s="159">
        <f>IF(I102="مخالفات",50,Basic3456789101112131415161718192021222324252627[[#This Row],[قيمة الرسوم / العموله]]+Basic3456789101112131415161718192021222324252627[[#This Row],[قيمة الشحنه]])</f>
        <v>0</v>
      </c>
      <c r="I102" s="90"/>
      <c r="J102" s="142" t="str">
        <f t="shared" si="1"/>
        <v>6.5.2026</v>
      </c>
      <c r="L102" s="153">
        <v>91</v>
      </c>
      <c r="M102" s="92"/>
    </row>
    <row r="103" spans="1:13" ht="21.6" x14ac:dyDescent="0.65">
      <c r="A103" s="195"/>
      <c r="B103" s="140">
        <v>100</v>
      </c>
      <c r="C103" s="2"/>
      <c r="D103" s="1"/>
      <c r="E103" s="3"/>
      <c r="F103" s="1"/>
      <c r="G103" s="141">
        <f>IF(Basic3456789101112131415161718192021222324252627[[#This Row],[نوع الخدمة]]="مخالفات", 50,
IF(Basic3456789101112131415161718192021222324252627[[#This Row],[نوع الخدمة]]="كاش ان",
    IF(F103&lt;=100, 18, IF(F103&lt;=250, 23, IF(F103&lt;=500, 35, IF(F103&lt;=1000, 40, F103*0.04)))),
IF(Basic3456789101112131415161718192021222324252627[[#This Row],[نوع الخدمة]]="كاش اوت",
    IF(F103&lt;=100, 15, IF(F103&lt;=250, 20, IF(F103&lt;=500, 30, IF(F103&lt;=1000, 35, F103*0.035)))),
0)))</f>
        <v>0</v>
      </c>
      <c r="H103" s="159">
        <f>IF(I103="مخالفات",50,Basic3456789101112131415161718192021222324252627[[#This Row],[قيمة الرسوم / العموله]]+Basic3456789101112131415161718192021222324252627[[#This Row],[قيمة الشحنه]])</f>
        <v>0</v>
      </c>
      <c r="I103" s="90"/>
      <c r="J103" s="142" t="str">
        <f t="shared" si="1"/>
        <v>6.5.2026</v>
      </c>
      <c r="L103" s="153">
        <v>92</v>
      </c>
      <c r="M103" s="92"/>
    </row>
    <row r="104" spans="1:13" ht="21.6" x14ac:dyDescent="0.65">
      <c r="A104" s="195"/>
      <c r="B104" s="140">
        <v>101</v>
      </c>
      <c r="C104" s="2"/>
      <c r="D104" s="1"/>
      <c r="E104" s="3"/>
      <c r="F104" s="1"/>
      <c r="G104" s="141">
        <f>IF(Basic3456789101112131415161718192021222324252627[[#This Row],[نوع الخدمة]]="مخالفات", 50,
IF(Basic3456789101112131415161718192021222324252627[[#This Row],[نوع الخدمة]]="كاش ان",
    IF(F104&lt;=100, 18, IF(F104&lt;=250, 23, IF(F104&lt;=500, 35, IF(F104&lt;=1000, 40, F104*0.04)))),
IF(Basic3456789101112131415161718192021222324252627[[#This Row],[نوع الخدمة]]="كاش اوت",
    IF(F104&lt;=100, 15, IF(F104&lt;=250, 20, IF(F104&lt;=500, 30, IF(F104&lt;=1000, 35, F104*0.035)))),
0)))</f>
        <v>0</v>
      </c>
      <c r="H104" s="159">
        <f>IF(I104="مخالفات",50,Basic3456789101112131415161718192021222324252627[[#This Row],[قيمة الرسوم / العموله]]+Basic3456789101112131415161718192021222324252627[[#This Row],[قيمة الشحنه]])</f>
        <v>0</v>
      </c>
      <c r="I104" s="90"/>
      <c r="J104" s="142" t="str">
        <f t="shared" si="1"/>
        <v>6.5.2026</v>
      </c>
      <c r="L104" s="153">
        <v>93</v>
      </c>
      <c r="M104" s="92"/>
    </row>
    <row r="105" spans="1:13" ht="21.6" x14ac:dyDescent="0.65">
      <c r="A105" s="195"/>
      <c r="B105" s="144">
        <v>102</v>
      </c>
      <c r="C105" s="2"/>
      <c r="D105" s="1"/>
      <c r="E105" s="3"/>
      <c r="F105" s="1"/>
      <c r="G105" s="141">
        <f>IF(Basic3456789101112131415161718192021222324252627[[#This Row],[نوع الخدمة]]="مخالفات", 50,
IF(Basic3456789101112131415161718192021222324252627[[#This Row],[نوع الخدمة]]="كاش ان",
    IF(F105&lt;=100, 18, IF(F105&lt;=250, 23, IF(F105&lt;=500, 35, IF(F105&lt;=1000, 40, F105*0.04)))),
IF(Basic3456789101112131415161718192021222324252627[[#This Row],[نوع الخدمة]]="كاش اوت",
    IF(F105&lt;=100, 15, IF(F105&lt;=250, 20, IF(F105&lt;=500, 30, IF(F105&lt;=1000, 35, F105*0.035)))),
0)))</f>
        <v>0</v>
      </c>
      <c r="H105" s="159">
        <f>IF(I105="مخالفات",50,Basic3456789101112131415161718192021222324252627[[#This Row],[قيمة الرسوم / العموله]]+Basic3456789101112131415161718192021222324252627[[#This Row],[قيمة الشحنه]])</f>
        <v>0</v>
      </c>
      <c r="I105" s="90"/>
      <c r="J105" s="142" t="str">
        <f t="shared" si="1"/>
        <v>6.5.2026</v>
      </c>
      <c r="L105" s="153">
        <v>94</v>
      </c>
      <c r="M105" s="92"/>
    </row>
    <row r="106" spans="1:13" ht="21.6" x14ac:dyDescent="0.65">
      <c r="A106" s="195"/>
      <c r="B106" s="140">
        <v>103</v>
      </c>
      <c r="C106" s="2"/>
      <c r="D106" s="1"/>
      <c r="E106" s="3"/>
      <c r="F106" s="1"/>
      <c r="G106" s="141">
        <f>IF(Basic3456789101112131415161718192021222324252627[[#This Row],[نوع الخدمة]]="مخالفات", 50,
IF(Basic3456789101112131415161718192021222324252627[[#This Row],[نوع الخدمة]]="كاش ان",
    IF(F106&lt;=100, 18, IF(F106&lt;=250, 23, IF(F106&lt;=500, 35, IF(F106&lt;=1000, 40, F106*0.04)))),
IF(Basic3456789101112131415161718192021222324252627[[#This Row],[نوع الخدمة]]="كاش اوت",
    IF(F106&lt;=100, 15, IF(F106&lt;=250, 20, IF(F106&lt;=500, 30, IF(F106&lt;=1000, 35, F106*0.035)))),
0)))</f>
        <v>0</v>
      </c>
      <c r="H106" s="159">
        <f>IF(I106="مخالفات",50,Basic3456789101112131415161718192021222324252627[[#This Row],[قيمة الرسوم / العموله]]+Basic3456789101112131415161718192021222324252627[[#This Row],[قيمة الشحنه]])</f>
        <v>0</v>
      </c>
      <c r="I106" s="90"/>
      <c r="J106" s="142" t="str">
        <f t="shared" si="1"/>
        <v>6.5.2026</v>
      </c>
      <c r="L106" s="153">
        <v>95</v>
      </c>
      <c r="M106" s="92"/>
    </row>
    <row r="107" spans="1:13" ht="21.6" x14ac:dyDescent="0.65">
      <c r="A107" s="195"/>
      <c r="B107" s="140">
        <v>104</v>
      </c>
      <c r="C107" s="2"/>
      <c r="D107" s="1"/>
      <c r="E107" s="3"/>
      <c r="F107" s="1"/>
      <c r="G107" s="141">
        <f>IF(Basic3456789101112131415161718192021222324252627[[#This Row],[نوع الخدمة]]="مخالفات", 50,
IF(Basic3456789101112131415161718192021222324252627[[#This Row],[نوع الخدمة]]="كاش ان",
    IF(F107&lt;=100, 18, IF(F107&lt;=250, 23, IF(F107&lt;=500, 35, IF(F107&lt;=1000, 40, F107*0.04)))),
IF(Basic3456789101112131415161718192021222324252627[[#This Row],[نوع الخدمة]]="كاش اوت",
    IF(F107&lt;=100, 15, IF(F107&lt;=250, 20, IF(F107&lt;=500, 30, IF(F107&lt;=1000, 35, F107*0.035)))),
0)))</f>
        <v>0</v>
      </c>
      <c r="H107" s="159">
        <f>IF(I107="مخالفات",50,Basic3456789101112131415161718192021222324252627[[#This Row],[قيمة الرسوم / العموله]]+Basic3456789101112131415161718192021222324252627[[#This Row],[قيمة الشحنه]])</f>
        <v>0</v>
      </c>
      <c r="I107" s="90"/>
      <c r="J107" s="142" t="str">
        <f t="shared" si="1"/>
        <v>6.5.2026</v>
      </c>
      <c r="L107" s="153">
        <v>96</v>
      </c>
      <c r="M107" s="92"/>
    </row>
    <row r="108" spans="1:13" ht="21.6" x14ac:dyDescent="0.65">
      <c r="A108" s="195"/>
      <c r="B108" s="140">
        <v>105</v>
      </c>
      <c r="C108" s="2"/>
      <c r="D108" s="1"/>
      <c r="E108" s="3"/>
      <c r="F108" s="1"/>
      <c r="G108" s="141">
        <f>IF(Basic3456789101112131415161718192021222324252627[[#This Row],[نوع الخدمة]]="مخالفات", 50,
IF(Basic3456789101112131415161718192021222324252627[[#This Row],[نوع الخدمة]]="كاش ان",
    IF(F108&lt;=100, 18, IF(F108&lt;=250, 23, IF(F108&lt;=500, 35, IF(F108&lt;=1000, 40, F108*0.04)))),
IF(Basic3456789101112131415161718192021222324252627[[#This Row],[نوع الخدمة]]="كاش اوت",
    IF(F108&lt;=100, 15, IF(F108&lt;=250, 20, IF(F108&lt;=500, 30, IF(F108&lt;=1000, 35, F108*0.035)))),
0)))</f>
        <v>0</v>
      </c>
      <c r="H108" s="159">
        <f>IF(I108="مخالفات",50,Basic3456789101112131415161718192021222324252627[[#This Row],[قيمة الرسوم / العموله]]+Basic3456789101112131415161718192021222324252627[[#This Row],[قيمة الشحنه]])</f>
        <v>0</v>
      </c>
      <c r="I108" s="90"/>
      <c r="J108" s="142" t="str">
        <f t="shared" si="1"/>
        <v>6.5.2026</v>
      </c>
      <c r="L108" s="153">
        <v>97</v>
      </c>
      <c r="M108" s="92"/>
    </row>
    <row r="109" spans="1:13" ht="21.6" x14ac:dyDescent="0.65">
      <c r="A109" s="195"/>
      <c r="B109" s="144">
        <v>106</v>
      </c>
      <c r="C109" s="2"/>
      <c r="D109" s="1"/>
      <c r="E109" s="3"/>
      <c r="F109" s="1"/>
      <c r="G109" s="141">
        <f>IF(Basic3456789101112131415161718192021222324252627[[#This Row],[نوع الخدمة]]="مخالفات", 50,
IF(Basic3456789101112131415161718192021222324252627[[#This Row],[نوع الخدمة]]="كاش ان",
    IF(F109&lt;=100, 18, IF(F109&lt;=250, 23, IF(F109&lt;=500, 35, IF(F109&lt;=1000, 40, F109*0.04)))),
IF(Basic3456789101112131415161718192021222324252627[[#This Row],[نوع الخدمة]]="كاش اوت",
    IF(F109&lt;=100, 15, IF(F109&lt;=250, 20, IF(F109&lt;=500, 30, IF(F109&lt;=1000, 35, F109*0.035)))),
0)))</f>
        <v>0</v>
      </c>
      <c r="H109" s="159">
        <f>IF(I109="مخالفات",50,Basic3456789101112131415161718192021222324252627[[#This Row],[قيمة الرسوم / العموله]]+Basic3456789101112131415161718192021222324252627[[#This Row],[قيمة الشحنه]])</f>
        <v>0</v>
      </c>
      <c r="I109" s="90"/>
      <c r="J109" s="142" t="str">
        <f t="shared" si="1"/>
        <v>6.5.2026</v>
      </c>
      <c r="L109" s="153">
        <v>98</v>
      </c>
      <c r="M109" s="92"/>
    </row>
    <row r="110" spans="1:13" ht="21.6" x14ac:dyDescent="0.65">
      <c r="A110" s="195"/>
      <c r="B110" s="140">
        <v>107</v>
      </c>
      <c r="C110" s="2"/>
      <c r="D110" s="1"/>
      <c r="E110" s="3"/>
      <c r="F110" s="1"/>
      <c r="G110" s="141">
        <f>IF(Basic3456789101112131415161718192021222324252627[[#This Row],[نوع الخدمة]]="مخالفات", 50,
IF(Basic3456789101112131415161718192021222324252627[[#This Row],[نوع الخدمة]]="كاش ان",
    IF(F110&lt;=100, 18, IF(F110&lt;=250, 23, IF(F110&lt;=500, 35, IF(F110&lt;=1000, 40, F110*0.04)))),
IF(Basic3456789101112131415161718192021222324252627[[#This Row],[نوع الخدمة]]="كاش اوت",
    IF(F110&lt;=100, 15, IF(F110&lt;=250, 20, IF(F110&lt;=500, 30, IF(F110&lt;=1000, 35, F110*0.035)))),
0)))</f>
        <v>0</v>
      </c>
      <c r="H110" s="159">
        <f>IF(I110="مخالفات",50,Basic3456789101112131415161718192021222324252627[[#This Row],[قيمة الرسوم / العموله]]+Basic3456789101112131415161718192021222324252627[[#This Row],[قيمة الشحنه]])</f>
        <v>0</v>
      </c>
      <c r="I110" s="90"/>
      <c r="J110" s="142" t="str">
        <f t="shared" si="1"/>
        <v>6.5.2026</v>
      </c>
      <c r="L110" s="153">
        <v>99</v>
      </c>
      <c r="M110" s="92"/>
    </row>
    <row r="111" spans="1:13" ht="21.6" x14ac:dyDescent="0.65">
      <c r="A111" s="195"/>
      <c r="B111" s="140">
        <v>108</v>
      </c>
      <c r="C111" s="2"/>
      <c r="D111" s="1"/>
      <c r="E111" s="3"/>
      <c r="F111" s="1"/>
      <c r="G111" s="141">
        <f>IF(Basic3456789101112131415161718192021222324252627[[#This Row],[نوع الخدمة]]="مخالفات", 50,
IF(Basic3456789101112131415161718192021222324252627[[#This Row],[نوع الخدمة]]="كاش ان",
    IF(F111&lt;=100, 18, IF(F111&lt;=250, 23, IF(F111&lt;=500, 35, IF(F111&lt;=1000, 40, F111*0.04)))),
IF(Basic3456789101112131415161718192021222324252627[[#This Row],[نوع الخدمة]]="كاش اوت",
    IF(F111&lt;=100, 15, IF(F111&lt;=250, 20, IF(F111&lt;=500, 30, IF(F111&lt;=1000, 35, F111*0.035)))),
0)))</f>
        <v>0</v>
      </c>
      <c r="H111" s="159">
        <f>IF(I111="مخالفات",50,Basic3456789101112131415161718192021222324252627[[#This Row],[قيمة الرسوم / العموله]]+Basic3456789101112131415161718192021222324252627[[#This Row],[قيمة الشحنه]])</f>
        <v>0</v>
      </c>
      <c r="I111" s="90"/>
      <c r="J111" s="142" t="str">
        <f t="shared" si="1"/>
        <v>6.5.2026</v>
      </c>
      <c r="L111" s="153">
        <v>100</v>
      </c>
      <c r="M111" s="92"/>
    </row>
    <row r="112" spans="1:13" ht="21.6" x14ac:dyDescent="0.65">
      <c r="A112" s="195"/>
      <c r="B112" s="140">
        <v>109</v>
      </c>
      <c r="C112" s="2"/>
      <c r="D112" s="1"/>
      <c r="E112" s="3"/>
      <c r="F112" s="1"/>
      <c r="G112" s="141">
        <f>IF(Basic3456789101112131415161718192021222324252627[[#This Row],[نوع الخدمة]]="مخالفات", 50,
IF(Basic3456789101112131415161718192021222324252627[[#This Row],[نوع الخدمة]]="كاش ان",
    IF(F112&lt;=100, 18, IF(F112&lt;=250, 23, IF(F112&lt;=500, 35, IF(F112&lt;=1000, 40, F112*0.04)))),
IF(Basic3456789101112131415161718192021222324252627[[#This Row],[نوع الخدمة]]="كاش اوت",
    IF(F112&lt;=100, 15, IF(F112&lt;=250, 20, IF(F112&lt;=500, 30, IF(F112&lt;=1000, 35, F112*0.035)))),
0)))</f>
        <v>0</v>
      </c>
      <c r="H112" s="159">
        <f>IF(I112="مخالفات",50,Basic3456789101112131415161718192021222324252627[[#This Row],[قيمة الرسوم / العموله]]+Basic3456789101112131415161718192021222324252627[[#This Row],[قيمة الشحنه]])</f>
        <v>0</v>
      </c>
      <c r="I112" s="90"/>
      <c r="J112" s="142" t="str">
        <f t="shared" si="1"/>
        <v>6.5.2026</v>
      </c>
      <c r="L112" s="153">
        <v>101</v>
      </c>
      <c r="M112" s="92"/>
    </row>
    <row r="113" spans="1:13" ht="21.6" x14ac:dyDescent="0.65">
      <c r="A113" s="195"/>
      <c r="B113" s="144">
        <v>110</v>
      </c>
      <c r="C113" s="2"/>
      <c r="D113" s="1"/>
      <c r="E113" s="3"/>
      <c r="F113" s="1"/>
      <c r="G113" s="141">
        <f>IF(Basic3456789101112131415161718192021222324252627[[#This Row],[نوع الخدمة]]="مخالفات", 50,
IF(Basic3456789101112131415161718192021222324252627[[#This Row],[نوع الخدمة]]="كاش ان",
    IF(F113&lt;=100, 18, IF(F113&lt;=250, 23, IF(F113&lt;=500, 35, IF(F113&lt;=1000, 40, F113*0.04)))),
IF(Basic3456789101112131415161718192021222324252627[[#This Row],[نوع الخدمة]]="كاش اوت",
    IF(F113&lt;=100, 15, IF(F113&lt;=250, 20, IF(F113&lt;=500, 30, IF(F113&lt;=1000, 35, F113*0.035)))),
0)))</f>
        <v>0</v>
      </c>
      <c r="H113" s="159">
        <f>IF(I113="مخالفات",50,Basic3456789101112131415161718192021222324252627[[#This Row],[قيمة الرسوم / العموله]]+Basic3456789101112131415161718192021222324252627[[#This Row],[قيمة الشحنه]])</f>
        <v>0</v>
      </c>
      <c r="I113" s="90"/>
      <c r="J113" s="142" t="str">
        <f t="shared" si="1"/>
        <v>6.5.2026</v>
      </c>
      <c r="L113" s="153">
        <v>102</v>
      </c>
      <c r="M113" s="92"/>
    </row>
    <row r="114" spans="1:13" ht="21.6" x14ac:dyDescent="0.65">
      <c r="A114" s="195"/>
      <c r="B114" s="140">
        <v>111</v>
      </c>
      <c r="C114" s="2"/>
      <c r="D114" s="1"/>
      <c r="E114" s="3"/>
      <c r="F114" s="1"/>
      <c r="G114" s="141">
        <f>IF(Basic3456789101112131415161718192021222324252627[[#This Row],[نوع الخدمة]]="مخالفات", 50,
IF(Basic3456789101112131415161718192021222324252627[[#This Row],[نوع الخدمة]]="كاش ان",
    IF(F114&lt;=100, 18, IF(F114&lt;=250, 23, IF(F114&lt;=500, 35, IF(F114&lt;=1000, 40, F114*0.04)))),
IF(Basic3456789101112131415161718192021222324252627[[#This Row],[نوع الخدمة]]="كاش اوت",
    IF(F114&lt;=100, 15, IF(F114&lt;=250, 20, IF(F114&lt;=500, 30, IF(F114&lt;=1000, 35, F114*0.035)))),
0)))</f>
        <v>0</v>
      </c>
      <c r="H114" s="159">
        <f>IF(I114="مخالفات",50,Basic3456789101112131415161718192021222324252627[[#This Row],[قيمة الرسوم / العموله]]+Basic3456789101112131415161718192021222324252627[[#This Row],[قيمة الشحنه]])</f>
        <v>0</v>
      </c>
      <c r="I114" s="90"/>
      <c r="J114" s="142" t="str">
        <f t="shared" si="1"/>
        <v>6.5.2026</v>
      </c>
      <c r="L114" s="153">
        <v>103</v>
      </c>
      <c r="M114" s="92"/>
    </row>
    <row r="115" spans="1:13" ht="21.6" x14ac:dyDescent="0.65">
      <c r="A115" s="195"/>
      <c r="B115" s="140">
        <v>112</v>
      </c>
      <c r="C115" s="2"/>
      <c r="D115" s="1"/>
      <c r="E115" s="3"/>
      <c r="F115" s="1"/>
      <c r="G115" s="141">
        <f>IF(Basic3456789101112131415161718192021222324252627[[#This Row],[نوع الخدمة]]="مخالفات", 50,
IF(Basic3456789101112131415161718192021222324252627[[#This Row],[نوع الخدمة]]="كاش ان",
    IF(F115&lt;=100, 18, IF(F115&lt;=250, 23, IF(F115&lt;=500, 35, IF(F115&lt;=1000, 40, F115*0.04)))),
IF(Basic3456789101112131415161718192021222324252627[[#This Row],[نوع الخدمة]]="كاش اوت",
    IF(F115&lt;=100, 15, IF(F115&lt;=250, 20, IF(F115&lt;=500, 30, IF(F115&lt;=1000, 35, F115*0.035)))),
0)))</f>
        <v>0</v>
      </c>
      <c r="H115" s="159">
        <f>IF(I115="مخالفات",50,Basic3456789101112131415161718192021222324252627[[#This Row],[قيمة الرسوم / العموله]]+Basic3456789101112131415161718192021222324252627[[#This Row],[قيمة الشحنه]])</f>
        <v>0</v>
      </c>
      <c r="I115" s="90"/>
      <c r="J115" s="142" t="str">
        <f t="shared" si="1"/>
        <v>6.5.2026</v>
      </c>
      <c r="L115" s="153">
        <v>104</v>
      </c>
      <c r="M115" s="92"/>
    </row>
    <row r="116" spans="1:13" ht="21.6" x14ac:dyDescent="0.65">
      <c r="A116" s="195"/>
      <c r="B116" s="140">
        <v>113</v>
      </c>
      <c r="C116" s="2"/>
      <c r="D116" s="1"/>
      <c r="E116" s="3"/>
      <c r="F116" s="1"/>
      <c r="G116" s="141">
        <f>IF(Basic3456789101112131415161718192021222324252627[[#This Row],[نوع الخدمة]]="مخالفات", 50,
IF(Basic3456789101112131415161718192021222324252627[[#This Row],[نوع الخدمة]]="كاش ان",
    IF(F116&lt;=100, 18, IF(F116&lt;=250, 23, IF(F116&lt;=500, 35, IF(F116&lt;=1000, 40, F116*0.04)))),
IF(Basic3456789101112131415161718192021222324252627[[#This Row],[نوع الخدمة]]="كاش اوت",
    IF(F116&lt;=100, 15, IF(F116&lt;=250, 20, IF(F116&lt;=500, 30, IF(F116&lt;=1000, 35, F116*0.035)))),
0)))</f>
        <v>0</v>
      </c>
      <c r="H116" s="159">
        <f>IF(I116="مخالفات",50,Basic3456789101112131415161718192021222324252627[[#This Row],[قيمة الرسوم / العموله]]+Basic3456789101112131415161718192021222324252627[[#This Row],[قيمة الشحنه]])</f>
        <v>0</v>
      </c>
      <c r="I116" s="90"/>
      <c r="J116" s="142" t="str">
        <f t="shared" si="1"/>
        <v>6.5.2026</v>
      </c>
      <c r="L116" s="153">
        <v>105</v>
      </c>
      <c r="M116" s="92"/>
    </row>
    <row r="117" spans="1:13" ht="21.6" x14ac:dyDescent="0.65">
      <c r="A117" s="195"/>
      <c r="B117" s="144">
        <v>114</v>
      </c>
      <c r="C117" s="2"/>
      <c r="D117" s="1"/>
      <c r="E117" s="3"/>
      <c r="F117" s="1"/>
      <c r="G117" s="141">
        <f>IF(Basic3456789101112131415161718192021222324252627[[#This Row],[نوع الخدمة]]="مخالفات", 50,
IF(Basic3456789101112131415161718192021222324252627[[#This Row],[نوع الخدمة]]="كاش ان",
    IF(F117&lt;=100, 18, IF(F117&lt;=250, 23, IF(F117&lt;=500, 35, IF(F117&lt;=1000, 40, F117*0.04)))),
IF(Basic3456789101112131415161718192021222324252627[[#This Row],[نوع الخدمة]]="كاش اوت",
    IF(F117&lt;=100, 15, IF(F117&lt;=250, 20, IF(F117&lt;=500, 30, IF(F117&lt;=1000, 35, F117*0.035)))),
0)))</f>
        <v>0</v>
      </c>
      <c r="H117" s="159">
        <f>IF(I117="مخالفات",50,Basic3456789101112131415161718192021222324252627[[#This Row],[قيمة الرسوم / العموله]]+Basic3456789101112131415161718192021222324252627[[#This Row],[قيمة الشحنه]])</f>
        <v>0</v>
      </c>
      <c r="I117" s="90"/>
      <c r="J117" s="142" t="str">
        <f t="shared" si="1"/>
        <v>6.5.2026</v>
      </c>
      <c r="L117" s="153">
        <v>106</v>
      </c>
      <c r="M117" s="92"/>
    </row>
    <row r="118" spans="1:13" ht="21.6" x14ac:dyDescent="0.65">
      <c r="A118" s="195"/>
      <c r="B118" s="140">
        <v>115</v>
      </c>
      <c r="C118" s="2"/>
      <c r="D118" s="1"/>
      <c r="E118" s="3"/>
      <c r="F118" s="1"/>
      <c r="G118" s="141">
        <f>IF(Basic3456789101112131415161718192021222324252627[[#This Row],[نوع الخدمة]]="مخالفات", 50,
IF(Basic3456789101112131415161718192021222324252627[[#This Row],[نوع الخدمة]]="كاش ان",
    IF(F118&lt;=100, 18, IF(F118&lt;=250, 23, IF(F118&lt;=500, 35, IF(F118&lt;=1000, 40, F118*0.04)))),
IF(Basic3456789101112131415161718192021222324252627[[#This Row],[نوع الخدمة]]="كاش اوت",
    IF(F118&lt;=100, 15, IF(F118&lt;=250, 20, IF(F118&lt;=500, 30, IF(F118&lt;=1000, 35, F118*0.035)))),
0)))</f>
        <v>0</v>
      </c>
      <c r="H118" s="159">
        <f>IF(I118="مخالفات",50,Basic3456789101112131415161718192021222324252627[[#This Row],[قيمة الرسوم / العموله]]+Basic3456789101112131415161718192021222324252627[[#This Row],[قيمة الشحنه]])</f>
        <v>0</v>
      </c>
      <c r="I118" s="90"/>
      <c r="J118" s="142" t="str">
        <f t="shared" si="1"/>
        <v>6.5.2026</v>
      </c>
      <c r="L118" s="153">
        <v>107</v>
      </c>
      <c r="M118" s="92"/>
    </row>
    <row r="119" spans="1:13" ht="21.6" x14ac:dyDescent="0.65">
      <c r="A119" s="195"/>
      <c r="B119" s="140">
        <v>116</v>
      </c>
      <c r="C119" s="2"/>
      <c r="D119" s="1"/>
      <c r="E119" s="3"/>
      <c r="F119" s="1"/>
      <c r="G119" s="141">
        <f>IF(Basic3456789101112131415161718192021222324252627[[#This Row],[نوع الخدمة]]="مخالفات", 50,
IF(Basic3456789101112131415161718192021222324252627[[#This Row],[نوع الخدمة]]="كاش ان",
    IF(F119&lt;=100, 18, IF(F119&lt;=250, 23, IF(F119&lt;=500, 35, IF(F119&lt;=1000, 40, F119*0.04)))),
IF(Basic3456789101112131415161718192021222324252627[[#This Row],[نوع الخدمة]]="كاش اوت",
    IF(F119&lt;=100, 15, IF(F119&lt;=250, 20, IF(F119&lt;=500, 30, IF(F119&lt;=1000, 35, F119*0.035)))),
0)))</f>
        <v>0</v>
      </c>
      <c r="H119" s="159">
        <f>IF(I119="مخالفات",50,Basic3456789101112131415161718192021222324252627[[#This Row],[قيمة الرسوم / العموله]]+Basic3456789101112131415161718192021222324252627[[#This Row],[قيمة الشحنه]])</f>
        <v>0</v>
      </c>
      <c r="I119" s="90"/>
      <c r="J119" s="142" t="str">
        <f t="shared" si="1"/>
        <v>6.5.2026</v>
      </c>
      <c r="L119" s="153">
        <v>108</v>
      </c>
      <c r="M119" s="92"/>
    </row>
    <row r="120" spans="1:13" ht="21.6" x14ac:dyDescent="0.65">
      <c r="A120" s="195"/>
      <c r="B120" s="140">
        <v>117</v>
      </c>
      <c r="C120" s="2"/>
      <c r="D120" s="1"/>
      <c r="E120" s="3"/>
      <c r="F120" s="1"/>
      <c r="G120" s="141">
        <f>IF(Basic3456789101112131415161718192021222324252627[[#This Row],[نوع الخدمة]]="مخالفات", 50,
IF(Basic3456789101112131415161718192021222324252627[[#This Row],[نوع الخدمة]]="كاش ان",
    IF(F120&lt;=100, 18, IF(F120&lt;=250, 23, IF(F120&lt;=500, 35, IF(F120&lt;=1000, 40, F120*0.04)))),
IF(Basic3456789101112131415161718192021222324252627[[#This Row],[نوع الخدمة]]="كاش اوت",
    IF(F120&lt;=100, 15, IF(F120&lt;=250, 20, IF(F120&lt;=500, 30, IF(F120&lt;=1000, 35, F120*0.035)))),
0)))</f>
        <v>0</v>
      </c>
      <c r="H120" s="159">
        <f>IF(I120="مخالفات",50,Basic3456789101112131415161718192021222324252627[[#This Row],[قيمة الرسوم / العموله]]+Basic3456789101112131415161718192021222324252627[[#This Row],[قيمة الشحنه]])</f>
        <v>0</v>
      </c>
      <c r="I120" s="90"/>
      <c r="J120" s="142" t="str">
        <f t="shared" si="1"/>
        <v>6.5.2026</v>
      </c>
      <c r="L120" s="153">
        <v>109</v>
      </c>
      <c r="M120" s="92"/>
    </row>
    <row r="121" spans="1:13" ht="21.6" x14ac:dyDescent="0.65">
      <c r="A121" s="195"/>
      <c r="B121" s="144">
        <v>118</v>
      </c>
      <c r="C121" s="2"/>
      <c r="D121" s="1"/>
      <c r="E121" s="3"/>
      <c r="F121" s="1"/>
      <c r="G121" s="141">
        <f>IF(Basic3456789101112131415161718192021222324252627[[#This Row],[نوع الخدمة]]="مخالفات", 50,
IF(Basic3456789101112131415161718192021222324252627[[#This Row],[نوع الخدمة]]="كاش ان",
    IF(F121&lt;=100, 18, IF(F121&lt;=250, 23, IF(F121&lt;=500, 35, IF(F121&lt;=1000, 40, F121*0.04)))),
IF(Basic3456789101112131415161718192021222324252627[[#This Row],[نوع الخدمة]]="كاش اوت",
    IF(F121&lt;=100, 15, IF(F121&lt;=250, 20, IF(F121&lt;=500, 30, IF(F121&lt;=1000, 35, F121*0.035)))),
0)))</f>
        <v>0</v>
      </c>
      <c r="H121" s="159">
        <f>IF(I121="مخالفات",50,Basic3456789101112131415161718192021222324252627[[#This Row],[قيمة الرسوم / العموله]]+Basic3456789101112131415161718192021222324252627[[#This Row],[قيمة الشحنه]])</f>
        <v>0</v>
      </c>
      <c r="I121" s="90"/>
      <c r="J121" s="142" t="str">
        <f t="shared" si="1"/>
        <v>6.5.2026</v>
      </c>
      <c r="L121" s="153">
        <v>110</v>
      </c>
      <c r="M121" s="92"/>
    </row>
    <row r="122" spans="1:13" ht="21.6" x14ac:dyDescent="0.65">
      <c r="A122" s="195"/>
      <c r="B122" s="140">
        <v>119</v>
      </c>
      <c r="C122" s="2"/>
      <c r="D122" s="1"/>
      <c r="E122" s="3"/>
      <c r="F122" s="1"/>
      <c r="G122" s="141">
        <f>IF(Basic3456789101112131415161718192021222324252627[[#This Row],[نوع الخدمة]]="مخالفات", 50,
IF(Basic3456789101112131415161718192021222324252627[[#This Row],[نوع الخدمة]]="كاش ان",
    IF(F122&lt;=100, 18, IF(F122&lt;=250, 23, IF(F122&lt;=500, 35, IF(F122&lt;=1000, 40, F122*0.04)))),
IF(Basic3456789101112131415161718192021222324252627[[#This Row],[نوع الخدمة]]="كاش اوت",
    IF(F122&lt;=100, 15, IF(F122&lt;=250, 20, IF(F122&lt;=500, 30, IF(F122&lt;=1000, 35, F122*0.035)))),
0)))</f>
        <v>0</v>
      </c>
      <c r="H122" s="159">
        <f>IF(I122="مخالفات",50,Basic3456789101112131415161718192021222324252627[[#This Row],[قيمة الرسوم / العموله]]+Basic3456789101112131415161718192021222324252627[[#This Row],[قيمة الشحنه]])</f>
        <v>0</v>
      </c>
      <c r="I122" s="90"/>
      <c r="J122" s="142" t="str">
        <f t="shared" si="1"/>
        <v>6.5.2026</v>
      </c>
      <c r="L122" s="153">
        <v>111</v>
      </c>
      <c r="M122" s="92"/>
    </row>
    <row r="123" spans="1:13" ht="21.6" x14ac:dyDescent="0.65">
      <c r="A123" s="195"/>
      <c r="B123" s="140">
        <v>120</v>
      </c>
      <c r="C123" s="2"/>
      <c r="D123" s="1"/>
      <c r="E123" s="3"/>
      <c r="F123" s="1"/>
      <c r="G123" s="141">
        <f>IF(Basic3456789101112131415161718192021222324252627[[#This Row],[نوع الخدمة]]="مخالفات", 50,
IF(Basic3456789101112131415161718192021222324252627[[#This Row],[نوع الخدمة]]="كاش ان",
    IF(F123&lt;=100, 18, IF(F123&lt;=250, 23, IF(F123&lt;=500, 35, IF(F123&lt;=1000, 40, F123*0.04)))),
IF(Basic3456789101112131415161718192021222324252627[[#This Row],[نوع الخدمة]]="كاش اوت",
    IF(F123&lt;=100, 15, IF(F123&lt;=250, 20, IF(F123&lt;=500, 30, IF(F123&lt;=1000, 35, F123*0.035)))),
0)))</f>
        <v>0</v>
      </c>
      <c r="H123" s="159">
        <f>IF(I123="مخالفات",50,Basic3456789101112131415161718192021222324252627[[#This Row],[قيمة الرسوم / العموله]]+Basic3456789101112131415161718192021222324252627[[#This Row],[قيمة الشحنه]])</f>
        <v>0</v>
      </c>
      <c r="I123" s="90"/>
      <c r="J123" s="142" t="str">
        <f t="shared" si="1"/>
        <v>6.5.2026</v>
      </c>
      <c r="L123" s="153">
        <v>112</v>
      </c>
      <c r="M123" s="92"/>
    </row>
    <row r="124" spans="1:13" ht="21.6" x14ac:dyDescent="0.65">
      <c r="A124" s="195"/>
      <c r="B124" s="140">
        <v>121</v>
      </c>
      <c r="C124" s="2"/>
      <c r="D124" s="1"/>
      <c r="E124" s="3"/>
      <c r="F124" s="1"/>
      <c r="G124" s="141">
        <f>IF(Basic3456789101112131415161718192021222324252627[[#This Row],[نوع الخدمة]]="مخالفات", 50,
IF(Basic3456789101112131415161718192021222324252627[[#This Row],[نوع الخدمة]]="كاش ان",
    IF(F124&lt;=100, 18, IF(F124&lt;=250, 23, IF(F124&lt;=500, 35, IF(F124&lt;=1000, 40, F124*0.04)))),
IF(Basic3456789101112131415161718192021222324252627[[#This Row],[نوع الخدمة]]="كاش اوت",
    IF(F124&lt;=100, 15, IF(F124&lt;=250, 20, IF(F124&lt;=500, 30, IF(F124&lt;=1000, 35, F124*0.035)))),
0)))</f>
        <v>0</v>
      </c>
      <c r="H124" s="159">
        <f>IF(I124="مخالفات",50,Basic3456789101112131415161718192021222324252627[[#This Row],[قيمة الرسوم / العموله]]+Basic3456789101112131415161718192021222324252627[[#This Row],[قيمة الشحنه]])</f>
        <v>0</v>
      </c>
      <c r="I124" s="90"/>
      <c r="J124" s="142" t="str">
        <f t="shared" si="1"/>
        <v>6.5.2026</v>
      </c>
      <c r="L124" s="153">
        <v>113</v>
      </c>
      <c r="M124" s="92"/>
    </row>
    <row r="125" spans="1:13" ht="21.6" x14ac:dyDescent="0.65">
      <c r="A125" s="195"/>
      <c r="B125" s="144">
        <v>122</v>
      </c>
      <c r="C125" s="2"/>
      <c r="D125" s="1"/>
      <c r="E125" s="3"/>
      <c r="F125" s="1"/>
      <c r="G125" s="141">
        <f>IF(Basic3456789101112131415161718192021222324252627[[#This Row],[نوع الخدمة]]="مخالفات", 50,
IF(Basic3456789101112131415161718192021222324252627[[#This Row],[نوع الخدمة]]="كاش ان",
    IF(F125&lt;=100, 18, IF(F125&lt;=250, 23, IF(F125&lt;=500, 35, IF(F125&lt;=1000, 40, F125*0.04)))),
IF(Basic3456789101112131415161718192021222324252627[[#This Row],[نوع الخدمة]]="كاش اوت",
    IF(F125&lt;=100, 15, IF(F125&lt;=250, 20, IF(F125&lt;=500, 30, IF(F125&lt;=1000, 35, F125*0.035)))),
0)))</f>
        <v>0</v>
      </c>
      <c r="H125" s="159">
        <f>IF(I125="مخالفات",50,Basic3456789101112131415161718192021222324252627[[#This Row],[قيمة الرسوم / العموله]]+Basic3456789101112131415161718192021222324252627[[#This Row],[قيمة الشحنه]])</f>
        <v>0</v>
      </c>
      <c r="I125" s="90"/>
      <c r="J125" s="142" t="str">
        <f t="shared" si="1"/>
        <v>6.5.2026</v>
      </c>
      <c r="L125" s="153">
        <v>114</v>
      </c>
      <c r="M125" s="92"/>
    </row>
    <row r="126" spans="1:13" ht="21.6" x14ac:dyDescent="0.65">
      <c r="A126" s="195"/>
      <c r="B126" s="140">
        <v>123</v>
      </c>
      <c r="C126" s="2"/>
      <c r="D126" s="1"/>
      <c r="E126" s="3"/>
      <c r="F126" s="1"/>
      <c r="G126" s="141">
        <f>IF(Basic3456789101112131415161718192021222324252627[[#This Row],[نوع الخدمة]]="مخالفات", 50,
IF(Basic3456789101112131415161718192021222324252627[[#This Row],[نوع الخدمة]]="كاش ان",
    IF(F126&lt;=100, 18, IF(F126&lt;=250, 23, IF(F126&lt;=500, 35, IF(F126&lt;=1000, 40, F126*0.04)))),
IF(Basic3456789101112131415161718192021222324252627[[#This Row],[نوع الخدمة]]="كاش اوت",
    IF(F126&lt;=100, 15, IF(F126&lt;=250, 20, IF(F126&lt;=500, 30, IF(F126&lt;=1000, 35, F126*0.035)))),
0)))</f>
        <v>0</v>
      </c>
      <c r="H126" s="159">
        <f>IF(I126="مخالفات",50,Basic3456789101112131415161718192021222324252627[[#This Row],[قيمة الرسوم / العموله]]+Basic3456789101112131415161718192021222324252627[[#This Row],[قيمة الشحنه]])</f>
        <v>0</v>
      </c>
      <c r="I126" s="90"/>
      <c r="J126" s="142" t="str">
        <f t="shared" si="1"/>
        <v>6.5.2026</v>
      </c>
      <c r="L126" s="153">
        <v>115</v>
      </c>
      <c r="M126" s="92"/>
    </row>
    <row r="127" spans="1:13" ht="21.6" x14ac:dyDescent="0.65">
      <c r="A127" s="195"/>
      <c r="B127" s="140">
        <v>124</v>
      </c>
      <c r="C127" s="2"/>
      <c r="D127" s="1"/>
      <c r="E127" s="3"/>
      <c r="F127" s="1"/>
      <c r="G127" s="141">
        <f>IF(Basic3456789101112131415161718192021222324252627[[#This Row],[نوع الخدمة]]="مخالفات", 50,
IF(Basic3456789101112131415161718192021222324252627[[#This Row],[نوع الخدمة]]="كاش ان",
    IF(F127&lt;=100, 18, IF(F127&lt;=250, 23, IF(F127&lt;=500, 35, IF(F127&lt;=1000, 40, F127*0.04)))),
IF(Basic3456789101112131415161718192021222324252627[[#This Row],[نوع الخدمة]]="كاش اوت",
    IF(F127&lt;=100, 15, IF(F127&lt;=250, 20, IF(F127&lt;=500, 30, IF(F127&lt;=1000, 35, F127*0.035)))),
0)))</f>
        <v>0</v>
      </c>
      <c r="H127" s="159">
        <f>IF(I127="مخالفات",50,Basic3456789101112131415161718192021222324252627[[#This Row],[قيمة الرسوم / العموله]]+Basic3456789101112131415161718192021222324252627[[#This Row],[قيمة الشحنه]])</f>
        <v>0</v>
      </c>
      <c r="I127" s="90"/>
      <c r="J127" s="142" t="str">
        <f t="shared" si="1"/>
        <v>6.5.2026</v>
      </c>
      <c r="L127" s="153">
        <v>116</v>
      </c>
      <c r="M127" s="92"/>
    </row>
    <row r="128" spans="1:13" ht="21.6" x14ac:dyDescent="0.65">
      <c r="A128" s="195"/>
      <c r="B128" s="140">
        <v>125</v>
      </c>
      <c r="C128" s="2"/>
      <c r="D128" s="1"/>
      <c r="E128" s="3"/>
      <c r="F128" s="1"/>
      <c r="G128" s="141">
        <f>IF(Basic3456789101112131415161718192021222324252627[[#This Row],[نوع الخدمة]]="مخالفات", 50,
IF(Basic3456789101112131415161718192021222324252627[[#This Row],[نوع الخدمة]]="كاش ان",
    IF(F128&lt;=100, 18, IF(F128&lt;=250, 23, IF(F128&lt;=500, 35, IF(F128&lt;=1000, 40, F128*0.04)))),
IF(Basic3456789101112131415161718192021222324252627[[#This Row],[نوع الخدمة]]="كاش اوت",
    IF(F128&lt;=100, 15, IF(F128&lt;=250, 20, IF(F128&lt;=500, 30, IF(F128&lt;=1000, 35, F128*0.035)))),
0)))</f>
        <v>0</v>
      </c>
      <c r="H128" s="159">
        <f>IF(I128="مخالفات",50,Basic3456789101112131415161718192021222324252627[[#This Row],[قيمة الرسوم / العموله]]+Basic3456789101112131415161718192021222324252627[[#This Row],[قيمة الشحنه]])</f>
        <v>0</v>
      </c>
      <c r="I128" s="90"/>
      <c r="J128" s="142" t="str">
        <f t="shared" si="1"/>
        <v>6.5.2026</v>
      </c>
      <c r="L128" s="153">
        <v>117</v>
      </c>
      <c r="M128" s="92"/>
    </row>
    <row r="129" spans="1:13" ht="21.6" x14ac:dyDescent="0.65">
      <c r="A129" s="195"/>
      <c r="B129" s="144">
        <v>126</v>
      </c>
      <c r="C129" s="2"/>
      <c r="D129" s="1"/>
      <c r="E129" s="3"/>
      <c r="F129" s="1"/>
      <c r="G129" s="141">
        <f>IF(Basic3456789101112131415161718192021222324252627[[#This Row],[نوع الخدمة]]="مخالفات", 50,
IF(Basic3456789101112131415161718192021222324252627[[#This Row],[نوع الخدمة]]="كاش ان",
    IF(F129&lt;=100, 18, IF(F129&lt;=250, 23, IF(F129&lt;=500, 35, IF(F129&lt;=1000, 40, F129*0.04)))),
IF(Basic3456789101112131415161718192021222324252627[[#This Row],[نوع الخدمة]]="كاش اوت",
    IF(F129&lt;=100, 15, IF(F129&lt;=250, 20, IF(F129&lt;=500, 30, IF(F129&lt;=1000, 35, F129*0.035)))),
0)))</f>
        <v>0</v>
      </c>
      <c r="H129" s="159">
        <f>IF(I129="مخالفات",50,Basic3456789101112131415161718192021222324252627[[#This Row],[قيمة الرسوم / العموله]]+Basic3456789101112131415161718192021222324252627[[#This Row],[قيمة الشحنه]])</f>
        <v>0</v>
      </c>
      <c r="I129" s="90"/>
      <c r="J129" s="142" t="str">
        <f t="shared" si="1"/>
        <v>6.5.2026</v>
      </c>
      <c r="L129" s="153">
        <v>118</v>
      </c>
      <c r="M129" s="92"/>
    </row>
    <row r="130" spans="1:13" ht="21.6" x14ac:dyDescent="0.65">
      <c r="A130" s="195"/>
      <c r="B130" s="140">
        <v>127</v>
      </c>
      <c r="C130" s="2"/>
      <c r="D130" s="1"/>
      <c r="E130" s="3"/>
      <c r="F130" s="1"/>
      <c r="G130" s="141">
        <f>IF(Basic3456789101112131415161718192021222324252627[[#This Row],[نوع الخدمة]]="مخالفات", 50,
IF(Basic3456789101112131415161718192021222324252627[[#This Row],[نوع الخدمة]]="كاش ان",
    IF(F130&lt;=100, 18, IF(F130&lt;=250, 23, IF(F130&lt;=500, 35, IF(F130&lt;=1000, 40, F130*0.04)))),
IF(Basic3456789101112131415161718192021222324252627[[#This Row],[نوع الخدمة]]="كاش اوت",
    IF(F130&lt;=100, 15, IF(F130&lt;=250, 20, IF(F130&lt;=500, 30, IF(F130&lt;=1000, 35, F130*0.035)))),
0)))</f>
        <v>0</v>
      </c>
      <c r="H130" s="159">
        <f>IF(I130="مخالفات",50,Basic3456789101112131415161718192021222324252627[[#This Row],[قيمة الرسوم / العموله]]+Basic3456789101112131415161718192021222324252627[[#This Row],[قيمة الشحنه]])</f>
        <v>0</v>
      </c>
      <c r="I130" s="90"/>
      <c r="J130" s="142" t="str">
        <f t="shared" si="1"/>
        <v>6.5.2026</v>
      </c>
      <c r="L130" s="153">
        <v>119</v>
      </c>
      <c r="M130" s="92"/>
    </row>
    <row r="131" spans="1:13" ht="21.6" x14ac:dyDescent="0.65">
      <c r="A131" s="195"/>
      <c r="B131" s="140">
        <v>128</v>
      </c>
      <c r="C131" s="2"/>
      <c r="D131" s="1"/>
      <c r="E131" s="3"/>
      <c r="F131" s="1"/>
      <c r="G131" s="141">
        <f>IF(Basic3456789101112131415161718192021222324252627[[#This Row],[نوع الخدمة]]="مخالفات", 50,
IF(Basic3456789101112131415161718192021222324252627[[#This Row],[نوع الخدمة]]="كاش ان",
    IF(F131&lt;=100, 18, IF(F131&lt;=250, 23, IF(F131&lt;=500, 35, IF(F131&lt;=1000, 40, F131*0.04)))),
IF(Basic3456789101112131415161718192021222324252627[[#This Row],[نوع الخدمة]]="كاش اوت",
    IF(F131&lt;=100, 15, IF(F131&lt;=250, 20, IF(F131&lt;=500, 30, IF(F131&lt;=1000, 35, F131*0.035)))),
0)))</f>
        <v>0</v>
      </c>
      <c r="H131" s="159">
        <f>IF(I131="مخالفات",50,Basic3456789101112131415161718192021222324252627[[#This Row],[قيمة الرسوم / العموله]]+Basic3456789101112131415161718192021222324252627[[#This Row],[قيمة الشحنه]])</f>
        <v>0</v>
      </c>
      <c r="I131" s="90"/>
      <c r="J131" s="142" t="str">
        <f t="shared" si="1"/>
        <v>6.5.2026</v>
      </c>
      <c r="L131" s="153">
        <v>120</v>
      </c>
      <c r="M131" s="92"/>
    </row>
    <row r="132" spans="1:13" ht="21.6" x14ac:dyDescent="0.65">
      <c r="A132" s="195"/>
      <c r="B132" s="140">
        <v>129</v>
      </c>
      <c r="C132" s="2"/>
      <c r="D132" s="1"/>
      <c r="E132" s="3"/>
      <c r="F132" s="1"/>
      <c r="G132" s="141">
        <f>IF(Basic3456789101112131415161718192021222324252627[[#This Row],[نوع الخدمة]]="مخالفات", 50,
IF(Basic3456789101112131415161718192021222324252627[[#This Row],[نوع الخدمة]]="كاش ان",
    IF(F132&lt;=100, 18, IF(F132&lt;=250, 23, IF(F132&lt;=500, 35, IF(F132&lt;=1000, 40, F132*0.04)))),
IF(Basic3456789101112131415161718192021222324252627[[#This Row],[نوع الخدمة]]="كاش اوت",
    IF(F132&lt;=100, 15, IF(F132&lt;=250, 20, IF(F132&lt;=500, 30, IF(F132&lt;=1000, 35, F132*0.035)))),
0)))</f>
        <v>0</v>
      </c>
      <c r="H132" s="159">
        <f>IF(I132="مخالفات",50,Basic3456789101112131415161718192021222324252627[[#This Row],[قيمة الرسوم / العموله]]+Basic3456789101112131415161718192021222324252627[[#This Row],[قيمة الشحنه]])</f>
        <v>0</v>
      </c>
      <c r="I132" s="90"/>
      <c r="J132" s="142" t="str">
        <f t="shared" ref="J132:J195" si="2">M$3</f>
        <v>6.5.2026</v>
      </c>
      <c r="L132" s="153">
        <v>121</v>
      </c>
      <c r="M132" s="92"/>
    </row>
    <row r="133" spans="1:13" ht="21.6" x14ac:dyDescent="0.65">
      <c r="A133" s="195"/>
      <c r="B133" s="144">
        <v>130</v>
      </c>
      <c r="C133" s="2"/>
      <c r="D133" s="1"/>
      <c r="E133" s="3"/>
      <c r="F133" s="1"/>
      <c r="G133" s="141">
        <f>IF(Basic3456789101112131415161718192021222324252627[[#This Row],[نوع الخدمة]]="مخالفات", 50,
IF(Basic3456789101112131415161718192021222324252627[[#This Row],[نوع الخدمة]]="كاش ان",
    IF(F133&lt;=100, 18, IF(F133&lt;=250, 23, IF(F133&lt;=500, 35, IF(F133&lt;=1000, 40, F133*0.04)))),
IF(Basic3456789101112131415161718192021222324252627[[#This Row],[نوع الخدمة]]="كاش اوت",
    IF(F133&lt;=100, 15, IF(F133&lt;=250, 20, IF(F133&lt;=500, 30, IF(F133&lt;=1000, 35, F133*0.035)))),
0)))</f>
        <v>0</v>
      </c>
      <c r="H133" s="159">
        <f>IF(I133="مخالفات",50,Basic3456789101112131415161718192021222324252627[[#This Row],[قيمة الرسوم / العموله]]+Basic3456789101112131415161718192021222324252627[[#This Row],[قيمة الشحنه]])</f>
        <v>0</v>
      </c>
      <c r="I133" s="90"/>
      <c r="J133" s="142" t="str">
        <f t="shared" si="2"/>
        <v>6.5.2026</v>
      </c>
      <c r="L133" s="153">
        <v>122</v>
      </c>
      <c r="M133" s="92"/>
    </row>
    <row r="134" spans="1:13" ht="21.6" x14ac:dyDescent="0.65">
      <c r="A134" s="195"/>
      <c r="B134" s="140">
        <v>131</v>
      </c>
      <c r="C134" s="2"/>
      <c r="D134" s="1"/>
      <c r="E134" s="3"/>
      <c r="F134" s="1"/>
      <c r="G134" s="141">
        <f>IF(Basic3456789101112131415161718192021222324252627[[#This Row],[نوع الخدمة]]="مخالفات", 50,
IF(Basic3456789101112131415161718192021222324252627[[#This Row],[نوع الخدمة]]="كاش ان",
    IF(F134&lt;=100, 18, IF(F134&lt;=250, 23, IF(F134&lt;=500, 35, IF(F134&lt;=1000, 40, F134*0.04)))),
IF(Basic3456789101112131415161718192021222324252627[[#This Row],[نوع الخدمة]]="كاش اوت",
    IF(F134&lt;=100, 15, IF(F134&lt;=250, 20, IF(F134&lt;=500, 30, IF(F134&lt;=1000, 35, F134*0.035)))),
0)))</f>
        <v>0</v>
      </c>
      <c r="H134" s="159">
        <f>IF(I134="مخالفات",50,Basic3456789101112131415161718192021222324252627[[#This Row],[قيمة الرسوم / العموله]]+Basic3456789101112131415161718192021222324252627[[#This Row],[قيمة الشحنه]])</f>
        <v>0</v>
      </c>
      <c r="I134" s="90"/>
      <c r="J134" s="142" t="str">
        <f t="shared" si="2"/>
        <v>6.5.2026</v>
      </c>
      <c r="L134" s="153">
        <v>123</v>
      </c>
      <c r="M134" s="92"/>
    </row>
    <row r="135" spans="1:13" ht="21.6" x14ac:dyDescent="0.65">
      <c r="A135" s="195"/>
      <c r="B135" s="140">
        <v>132</v>
      </c>
      <c r="C135" s="2"/>
      <c r="D135" s="1"/>
      <c r="E135" s="3"/>
      <c r="F135" s="1"/>
      <c r="G135" s="141">
        <f>IF(Basic3456789101112131415161718192021222324252627[[#This Row],[نوع الخدمة]]="مخالفات", 50,
IF(Basic3456789101112131415161718192021222324252627[[#This Row],[نوع الخدمة]]="كاش ان",
    IF(F135&lt;=100, 18, IF(F135&lt;=250, 23, IF(F135&lt;=500, 35, IF(F135&lt;=1000, 40, F135*0.04)))),
IF(Basic3456789101112131415161718192021222324252627[[#This Row],[نوع الخدمة]]="كاش اوت",
    IF(F135&lt;=100, 15, IF(F135&lt;=250, 20, IF(F135&lt;=500, 30, IF(F135&lt;=1000, 35, F135*0.035)))),
0)))</f>
        <v>0</v>
      </c>
      <c r="H135" s="159">
        <f>IF(I135="مخالفات",50,Basic3456789101112131415161718192021222324252627[[#This Row],[قيمة الرسوم / العموله]]+Basic3456789101112131415161718192021222324252627[[#This Row],[قيمة الشحنه]])</f>
        <v>0</v>
      </c>
      <c r="I135" s="90"/>
      <c r="J135" s="142" t="str">
        <f t="shared" si="2"/>
        <v>6.5.2026</v>
      </c>
      <c r="L135" s="153">
        <v>124</v>
      </c>
      <c r="M135" s="92"/>
    </row>
    <row r="136" spans="1:13" ht="21.6" x14ac:dyDescent="0.65">
      <c r="A136" s="195"/>
      <c r="B136" s="140">
        <v>133</v>
      </c>
      <c r="C136" s="2"/>
      <c r="D136" s="1"/>
      <c r="E136" s="3"/>
      <c r="F136" s="1"/>
      <c r="G136" s="141">
        <f>IF(Basic3456789101112131415161718192021222324252627[[#This Row],[نوع الخدمة]]="مخالفات", 50,
IF(Basic3456789101112131415161718192021222324252627[[#This Row],[نوع الخدمة]]="كاش ان",
    IF(F136&lt;=100, 18, IF(F136&lt;=250, 23, IF(F136&lt;=500, 35, IF(F136&lt;=1000, 40, F136*0.04)))),
IF(Basic3456789101112131415161718192021222324252627[[#This Row],[نوع الخدمة]]="كاش اوت",
    IF(F136&lt;=100, 15, IF(F136&lt;=250, 20, IF(F136&lt;=500, 30, IF(F136&lt;=1000, 35, F136*0.035)))),
0)))</f>
        <v>0</v>
      </c>
      <c r="H136" s="159">
        <f>IF(I136="مخالفات",50,Basic3456789101112131415161718192021222324252627[[#This Row],[قيمة الرسوم / العموله]]+Basic3456789101112131415161718192021222324252627[[#This Row],[قيمة الشحنه]])</f>
        <v>0</v>
      </c>
      <c r="I136" s="90"/>
      <c r="J136" s="142" t="str">
        <f t="shared" si="2"/>
        <v>6.5.2026</v>
      </c>
      <c r="L136" s="153">
        <v>125</v>
      </c>
      <c r="M136" s="92"/>
    </row>
    <row r="137" spans="1:13" ht="21.6" x14ac:dyDescent="0.65">
      <c r="A137" s="195"/>
      <c r="B137" s="144">
        <v>134</v>
      </c>
      <c r="C137" s="2"/>
      <c r="D137" s="1"/>
      <c r="E137" s="3"/>
      <c r="F137" s="1"/>
      <c r="G137" s="141">
        <f>IF(Basic3456789101112131415161718192021222324252627[[#This Row],[نوع الخدمة]]="مخالفات", 50,
IF(Basic3456789101112131415161718192021222324252627[[#This Row],[نوع الخدمة]]="كاش ان",
    IF(F137&lt;=100, 18, IF(F137&lt;=250, 23, IF(F137&lt;=500, 35, IF(F137&lt;=1000, 40, F137*0.04)))),
IF(Basic3456789101112131415161718192021222324252627[[#This Row],[نوع الخدمة]]="كاش اوت",
    IF(F137&lt;=100, 15, IF(F137&lt;=250, 20, IF(F137&lt;=500, 30, IF(F137&lt;=1000, 35, F137*0.035)))),
0)))</f>
        <v>0</v>
      </c>
      <c r="H137" s="159">
        <f>IF(I137="مخالفات",50,Basic3456789101112131415161718192021222324252627[[#This Row],[قيمة الرسوم / العموله]]+Basic3456789101112131415161718192021222324252627[[#This Row],[قيمة الشحنه]])</f>
        <v>0</v>
      </c>
      <c r="I137" s="90"/>
      <c r="J137" s="142" t="str">
        <f t="shared" si="2"/>
        <v>6.5.2026</v>
      </c>
      <c r="L137" s="153">
        <v>126</v>
      </c>
      <c r="M137" s="92"/>
    </row>
    <row r="138" spans="1:13" ht="21.6" x14ac:dyDescent="0.65">
      <c r="A138" s="195"/>
      <c r="B138" s="140">
        <v>135</v>
      </c>
      <c r="C138" s="2"/>
      <c r="D138" s="1"/>
      <c r="E138" s="3"/>
      <c r="F138" s="1"/>
      <c r="G138" s="141">
        <f>IF(Basic3456789101112131415161718192021222324252627[[#This Row],[نوع الخدمة]]="مخالفات", 50,
IF(Basic3456789101112131415161718192021222324252627[[#This Row],[نوع الخدمة]]="كاش ان",
    IF(F138&lt;=100, 18, IF(F138&lt;=250, 23, IF(F138&lt;=500, 35, IF(F138&lt;=1000, 40, F138*0.04)))),
IF(Basic3456789101112131415161718192021222324252627[[#This Row],[نوع الخدمة]]="كاش اوت",
    IF(F138&lt;=100, 15, IF(F138&lt;=250, 20, IF(F138&lt;=500, 30, IF(F138&lt;=1000, 35, F138*0.035)))),
0)))</f>
        <v>0</v>
      </c>
      <c r="H138" s="159">
        <f>IF(I138="مخالفات",50,Basic3456789101112131415161718192021222324252627[[#This Row],[قيمة الرسوم / العموله]]+Basic3456789101112131415161718192021222324252627[[#This Row],[قيمة الشحنه]])</f>
        <v>0</v>
      </c>
      <c r="I138" s="90"/>
      <c r="J138" s="142" t="str">
        <f t="shared" si="2"/>
        <v>6.5.2026</v>
      </c>
      <c r="L138" s="153">
        <v>127</v>
      </c>
      <c r="M138" s="92"/>
    </row>
    <row r="139" spans="1:13" ht="21.6" x14ac:dyDescent="0.65">
      <c r="A139" s="195"/>
      <c r="B139" s="140">
        <v>136</v>
      </c>
      <c r="C139" s="2"/>
      <c r="D139" s="1"/>
      <c r="E139" s="3"/>
      <c r="F139" s="1"/>
      <c r="G139" s="141">
        <f>IF(Basic3456789101112131415161718192021222324252627[[#This Row],[نوع الخدمة]]="مخالفات", 50,
IF(Basic3456789101112131415161718192021222324252627[[#This Row],[نوع الخدمة]]="كاش ان",
    IF(F139&lt;=100, 18, IF(F139&lt;=250, 23, IF(F139&lt;=500, 35, IF(F139&lt;=1000, 40, F139*0.04)))),
IF(Basic3456789101112131415161718192021222324252627[[#This Row],[نوع الخدمة]]="كاش اوت",
    IF(F139&lt;=100, 15, IF(F139&lt;=250, 20, IF(F139&lt;=500, 30, IF(F139&lt;=1000, 35, F139*0.035)))),
0)))</f>
        <v>0</v>
      </c>
      <c r="H139" s="159">
        <f>IF(I139="مخالفات",50,Basic3456789101112131415161718192021222324252627[[#This Row],[قيمة الرسوم / العموله]]+Basic3456789101112131415161718192021222324252627[[#This Row],[قيمة الشحنه]])</f>
        <v>0</v>
      </c>
      <c r="I139" s="90"/>
      <c r="J139" s="142" t="str">
        <f t="shared" si="2"/>
        <v>6.5.2026</v>
      </c>
      <c r="L139" s="153">
        <v>128</v>
      </c>
      <c r="M139" s="92"/>
    </row>
    <row r="140" spans="1:13" ht="21.6" x14ac:dyDescent="0.65">
      <c r="A140" s="195"/>
      <c r="B140" s="140">
        <v>137</v>
      </c>
      <c r="C140" s="2"/>
      <c r="D140" s="1"/>
      <c r="E140" s="3"/>
      <c r="F140" s="1"/>
      <c r="G140" s="141">
        <f>IF(Basic3456789101112131415161718192021222324252627[[#This Row],[نوع الخدمة]]="مخالفات", 50,
IF(Basic3456789101112131415161718192021222324252627[[#This Row],[نوع الخدمة]]="كاش ان",
    IF(F140&lt;=100, 18, IF(F140&lt;=250, 23, IF(F140&lt;=500, 35, IF(F140&lt;=1000, 40, F140*0.04)))),
IF(Basic3456789101112131415161718192021222324252627[[#This Row],[نوع الخدمة]]="كاش اوت",
    IF(F140&lt;=100, 15, IF(F140&lt;=250, 20, IF(F140&lt;=500, 30, IF(F140&lt;=1000, 35, F140*0.035)))),
0)))</f>
        <v>0</v>
      </c>
      <c r="H140" s="159">
        <f>IF(I140="مخالفات",50,Basic3456789101112131415161718192021222324252627[[#This Row],[قيمة الرسوم / العموله]]+Basic3456789101112131415161718192021222324252627[[#This Row],[قيمة الشحنه]])</f>
        <v>0</v>
      </c>
      <c r="I140" s="90"/>
      <c r="J140" s="142" t="str">
        <f t="shared" si="2"/>
        <v>6.5.2026</v>
      </c>
      <c r="L140" s="153">
        <v>129</v>
      </c>
      <c r="M140" s="92"/>
    </row>
    <row r="141" spans="1:13" ht="21.6" x14ac:dyDescent="0.65">
      <c r="A141" s="195"/>
      <c r="B141" s="144">
        <v>138</v>
      </c>
      <c r="C141" s="2"/>
      <c r="D141" s="1"/>
      <c r="E141" s="3"/>
      <c r="F141" s="1"/>
      <c r="G141" s="141">
        <f>IF(Basic3456789101112131415161718192021222324252627[[#This Row],[نوع الخدمة]]="مخالفات", 50,
IF(Basic3456789101112131415161718192021222324252627[[#This Row],[نوع الخدمة]]="كاش ان",
    IF(F141&lt;=100, 18, IF(F141&lt;=250, 23, IF(F141&lt;=500, 35, IF(F141&lt;=1000, 40, F141*0.04)))),
IF(Basic3456789101112131415161718192021222324252627[[#This Row],[نوع الخدمة]]="كاش اوت",
    IF(F141&lt;=100, 15, IF(F141&lt;=250, 20, IF(F141&lt;=500, 30, IF(F141&lt;=1000, 35, F141*0.035)))),
0)))</f>
        <v>0</v>
      </c>
      <c r="H141" s="159">
        <f>IF(I141="مخالفات",50,Basic3456789101112131415161718192021222324252627[[#This Row],[قيمة الرسوم / العموله]]+Basic3456789101112131415161718192021222324252627[[#This Row],[قيمة الشحنه]])</f>
        <v>0</v>
      </c>
      <c r="I141" s="90"/>
      <c r="J141" s="142" t="str">
        <f t="shared" si="2"/>
        <v>6.5.2026</v>
      </c>
      <c r="L141" s="153">
        <v>130</v>
      </c>
      <c r="M141" s="92"/>
    </row>
    <row r="142" spans="1:13" ht="21.6" x14ac:dyDescent="0.65">
      <c r="A142" s="195"/>
      <c r="B142" s="140">
        <v>139</v>
      </c>
      <c r="C142" s="2"/>
      <c r="D142" s="1"/>
      <c r="E142" s="3"/>
      <c r="F142" s="1"/>
      <c r="G142" s="141">
        <f>IF(Basic3456789101112131415161718192021222324252627[[#This Row],[نوع الخدمة]]="مخالفات", 50,
IF(Basic3456789101112131415161718192021222324252627[[#This Row],[نوع الخدمة]]="كاش ان",
    IF(F142&lt;=100, 18, IF(F142&lt;=250, 23, IF(F142&lt;=500, 35, IF(F142&lt;=1000, 40, F142*0.04)))),
IF(Basic3456789101112131415161718192021222324252627[[#This Row],[نوع الخدمة]]="كاش اوت",
    IF(F142&lt;=100, 15, IF(F142&lt;=250, 20, IF(F142&lt;=500, 30, IF(F142&lt;=1000, 35, F142*0.035)))),
0)))</f>
        <v>0</v>
      </c>
      <c r="H142" s="159">
        <f>IF(I142="مخالفات",50,Basic3456789101112131415161718192021222324252627[[#This Row],[قيمة الرسوم / العموله]]+Basic3456789101112131415161718192021222324252627[[#This Row],[قيمة الشحنه]])</f>
        <v>0</v>
      </c>
      <c r="I142" s="90"/>
      <c r="J142" s="142" t="str">
        <f t="shared" si="2"/>
        <v>6.5.2026</v>
      </c>
      <c r="L142" s="153">
        <v>131</v>
      </c>
      <c r="M142" s="92"/>
    </row>
    <row r="143" spans="1:13" ht="21.6" x14ac:dyDescent="0.65">
      <c r="A143" s="195"/>
      <c r="B143" s="140">
        <v>140</v>
      </c>
      <c r="C143" s="2"/>
      <c r="D143" s="1"/>
      <c r="E143" s="3"/>
      <c r="F143" s="1"/>
      <c r="G143" s="141">
        <f>IF(Basic3456789101112131415161718192021222324252627[[#This Row],[نوع الخدمة]]="مخالفات", 50,
IF(Basic3456789101112131415161718192021222324252627[[#This Row],[نوع الخدمة]]="كاش ان",
    IF(F143&lt;=100, 18, IF(F143&lt;=250, 23, IF(F143&lt;=500, 35, IF(F143&lt;=1000, 40, F143*0.04)))),
IF(Basic3456789101112131415161718192021222324252627[[#This Row],[نوع الخدمة]]="كاش اوت",
    IF(F143&lt;=100, 15, IF(F143&lt;=250, 20, IF(F143&lt;=500, 30, IF(F143&lt;=1000, 35, F143*0.035)))),
0)))</f>
        <v>0</v>
      </c>
      <c r="H143" s="159">
        <f>IF(I143="مخالفات",50,Basic3456789101112131415161718192021222324252627[[#This Row],[قيمة الرسوم / العموله]]+Basic3456789101112131415161718192021222324252627[[#This Row],[قيمة الشحنه]])</f>
        <v>0</v>
      </c>
      <c r="I143" s="90"/>
      <c r="J143" s="142" t="str">
        <f t="shared" si="2"/>
        <v>6.5.2026</v>
      </c>
      <c r="L143" s="153">
        <v>132</v>
      </c>
      <c r="M143" s="92"/>
    </row>
    <row r="144" spans="1:13" ht="21.6" x14ac:dyDescent="0.65">
      <c r="A144" s="195"/>
      <c r="B144" s="140">
        <v>141</v>
      </c>
      <c r="C144" s="2"/>
      <c r="D144" s="1"/>
      <c r="E144" s="3"/>
      <c r="F144" s="1"/>
      <c r="G144" s="141">
        <f>IF(Basic3456789101112131415161718192021222324252627[[#This Row],[نوع الخدمة]]="مخالفات", 50,
IF(Basic3456789101112131415161718192021222324252627[[#This Row],[نوع الخدمة]]="كاش ان",
    IF(F144&lt;=100, 18, IF(F144&lt;=250, 23, IF(F144&lt;=500, 35, IF(F144&lt;=1000, 40, F144*0.04)))),
IF(Basic3456789101112131415161718192021222324252627[[#This Row],[نوع الخدمة]]="كاش اوت",
    IF(F144&lt;=100, 15, IF(F144&lt;=250, 20, IF(F144&lt;=500, 30, IF(F144&lt;=1000, 35, F144*0.035)))),
0)))</f>
        <v>0</v>
      </c>
      <c r="H144" s="159">
        <f>IF(I144="مخالفات",50,Basic3456789101112131415161718192021222324252627[[#This Row],[قيمة الرسوم / العموله]]+Basic3456789101112131415161718192021222324252627[[#This Row],[قيمة الشحنه]])</f>
        <v>0</v>
      </c>
      <c r="I144" s="90"/>
      <c r="J144" s="142" t="str">
        <f t="shared" si="2"/>
        <v>6.5.2026</v>
      </c>
      <c r="L144" s="153">
        <v>133</v>
      </c>
      <c r="M144" s="92"/>
    </row>
    <row r="145" spans="1:13" ht="21.6" x14ac:dyDescent="0.65">
      <c r="A145" s="195"/>
      <c r="B145" s="144">
        <v>142</v>
      </c>
      <c r="C145" s="2"/>
      <c r="D145" s="1"/>
      <c r="E145" s="3"/>
      <c r="F145" s="1"/>
      <c r="G145" s="141">
        <f>IF(Basic3456789101112131415161718192021222324252627[[#This Row],[نوع الخدمة]]="مخالفات", 50,
IF(Basic3456789101112131415161718192021222324252627[[#This Row],[نوع الخدمة]]="كاش ان",
    IF(F145&lt;=100, 18, IF(F145&lt;=250, 23, IF(F145&lt;=500, 35, IF(F145&lt;=1000, 40, F145*0.04)))),
IF(Basic3456789101112131415161718192021222324252627[[#This Row],[نوع الخدمة]]="كاش اوت",
    IF(F145&lt;=100, 15, IF(F145&lt;=250, 20, IF(F145&lt;=500, 30, IF(F145&lt;=1000, 35, F145*0.035)))),
0)))</f>
        <v>0</v>
      </c>
      <c r="H145" s="159">
        <f>IF(I145="مخالفات",50,Basic3456789101112131415161718192021222324252627[[#This Row],[قيمة الرسوم / العموله]]+Basic3456789101112131415161718192021222324252627[[#This Row],[قيمة الشحنه]])</f>
        <v>0</v>
      </c>
      <c r="I145" s="90"/>
      <c r="J145" s="142" t="str">
        <f t="shared" si="2"/>
        <v>6.5.2026</v>
      </c>
      <c r="L145" s="153">
        <v>134</v>
      </c>
      <c r="M145" s="92"/>
    </row>
    <row r="146" spans="1:13" ht="21.6" x14ac:dyDescent="0.65">
      <c r="A146" s="195"/>
      <c r="B146" s="140">
        <v>143</v>
      </c>
      <c r="C146" s="2"/>
      <c r="D146" s="1"/>
      <c r="E146" s="3"/>
      <c r="F146" s="1"/>
      <c r="G146" s="141">
        <f>IF(Basic3456789101112131415161718192021222324252627[[#This Row],[نوع الخدمة]]="مخالفات", 50,
IF(Basic3456789101112131415161718192021222324252627[[#This Row],[نوع الخدمة]]="كاش ان",
    IF(F146&lt;=100, 18, IF(F146&lt;=250, 23, IF(F146&lt;=500, 35, IF(F146&lt;=1000, 40, F146*0.04)))),
IF(Basic3456789101112131415161718192021222324252627[[#This Row],[نوع الخدمة]]="كاش اوت",
    IF(F146&lt;=100, 15, IF(F146&lt;=250, 20, IF(F146&lt;=500, 30, IF(F146&lt;=1000, 35, F146*0.035)))),
0)))</f>
        <v>0</v>
      </c>
      <c r="H146" s="159">
        <f>IF(I146="مخالفات",50,Basic3456789101112131415161718192021222324252627[[#This Row],[قيمة الرسوم / العموله]]+Basic3456789101112131415161718192021222324252627[[#This Row],[قيمة الشحنه]])</f>
        <v>0</v>
      </c>
      <c r="I146" s="90"/>
      <c r="J146" s="142" t="str">
        <f t="shared" si="2"/>
        <v>6.5.2026</v>
      </c>
      <c r="L146" s="153">
        <v>135</v>
      </c>
      <c r="M146" s="92"/>
    </row>
    <row r="147" spans="1:13" ht="21.6" x14ac:dyDescent="0.65">
      <c r="A147" s="195"/>
      <c r="B147" s="140">
        <v>144</v>
      </c>
      <c r="C147" s="2"/>
      <c r="D147" s="1"/>
      <c r="E147" s="3"/>
      <c r="F147" s="1"/>
      <c r="G147" s="141">
        <f>IF(Basic3456789101112131415161718192021222324252627[[#This Row],[نوع الخدمة]]="مخالفات", 50,
IF(Basic3456789101112131415161718192021222324252627[[#This Row],[نوع الخدمة]]="كاش ان",
    IF(F147&lt;=100, 18, IF(F147&lt;=250, 23, IF(F147&lt;=500, 35, IF(F147&lt;=1000, 40, F147*0.04)))),
IF(Basic3456789101112131415161718192021222324252627[[#This Row],[نوع الخدمة]]="كاش اوت",
    IF(F147&lt;=100, 15, IF(F147&lt;=250, 20, IF(F147&lt;=500, 30, IF(F147&lt;=1000, 35, F147*0.035)))),
0)))</f>
        <v>0</v>
      </c>
      <c r="H147" s="159">
        <f>IF(I147="مخالفات",50,Basic3456789101112131415161718192021222324252627[[#This Row],[قيمة الرسوم / العموله]]+Basic3456789101112131415161718192021222324252627[[#This Row],[قيمة الشحنه]])</f>
        <v>0</v>
      </c>
      <c r="I147" s="90"/>
      <c r="J147" s="142" t="str">
        <f t="shared" si="2"/>
        <v>6.5.2026</v>
      </c>
      <c r="L147" s="153">
        <v>136</v>
      </c>
      <c r="M147" s="92"/>
    </row>
    <row r="148" spans="1:13" ht="21.6" x14ac:dyDescent="0.65">
      <c r="A148" s="195"/>
      <c r="B148" s="140">
        <v>145</v>
      </c>
      <c r="C148" s="2"/>
      <c r="D148" s="1"/>
      <c r="E148" s="3"/>
      <c r="F148" s="1"/>
      <c r="G148" s="141">
        <f>IF(Basic3456789101112131415161718192021222324252627[[#This Row],[نوع الخدمة]]="مخالفات", 50,
IF(Basic3456789101112131415161718192021222324252627[[#This Row],[نوع الخدمة]]="كاش ان",
    IF(F148&lt;=100, 18, IF(F148&lt;=250, 23, IF(F148&lt;=500, 35, IF(F148&lt;=1000, 40, F148*0.04)))),
IF(Basic3456789101112131415161718192021222324252627[[#This Row],[نوع الخدمة]]="كاش اوت",
    IF(F148&lt;=100, 15, IF(F148&lt;=250, 20, IF(F148&lt;=500, 30, IF(F148&lt;=1000, 35, F148*0.035)))),
0)))</f>
        <v>0</v>
      </c>
      <c r="H148" s="159">
        <f>IF(I148="مخالفات",50,Basic3456789101112131415161718192021222324252627[[#This Row],[قيمة الرسوم / العموله]]+Basic3456789101112131415161718192021222324252627[[#This Row],[قيمة الشحنه]])</f>
        <v>0</v>
      </c>
      <c r="I148" s="90"/>
      <c r="J148" s="142" t="str">
        <f t="shared" si="2"/>
        <v>6.5.2026</v>
      </c>
      <c r="L148" s="153">
        <v>137</v>
      </c>
      <c r="M148" s="92"/>
    </row>
    <row r="149" spans="1:13" ht="21.6" x14ac:dyDescent="0.65">
      <c r="A149" s="195"/>
      <c r="B149" s="144">
        <v>146</v>
      </c>
      <c r="C149" s="2"/>
      <c r="D149" s="1"/>
      <c r="E149" s="3"/>
      <c r="F149" s="1"/>
      <c r="G149" s="141">
        <f>IF(Basic3456789101112131415161718192021222324252627[[#This Row],[نوع الخدمة]]="مخالفات", 50,
IF(Basic3456789101112131415161718192021222324252627[[#This Row],[نوع الخدمة]]="كاش ان",
    IF(F149&lt;=100, 18, IF(F149&lt;=250, 23, IF(F149&lt;=500, 35, IF(F149&lt;=1000, 40, F149*0.04)))),
IF(Basic3456789101112131415161718192021222324252627[[#This Row],[نوع الخدمة]]="كاش اوت",
    IF(F149&lt;=100, 15, IF(F149&lt;=250, 20, IF(F149&lt;=500, 30, IF(F149&lt;=1000, 35, F149*0.035)))),
0)))</f>
        <v>0</v>
      </c>
      <c r="H149" s="159">
        <f>IF(I149="مخالفات",50,Basic3456789101112131415161718192021222324252627[[#This Row],[قيمة الرسوم / العموله]]+Basic3456789101112131415161718192021222324252627[[#This Row],[قيمة الشحنه]])</f>
        <v>0</v>
      </c>
      <c r="I149" s="90"/>
      <c r="J149" s="142" t="str">
        <f t="shared" si="2"/>
        <v>6.5.2026</v>
      </c>
      <c r="L149" s="153">
        <v>138</v>
      </c>
      <c r="M149" s="92"/>
    </row>
    <row r="150" spans="1:13" ht="21.6" x14ac:dyDescent="0.65">
      <c r="A150" s="195"/>
      <c r="B150" s="140">
        <v>147</v>
      </c>
      <c r="C150" s="2"/>
      <c r="D150" s="1"/>
      <c r="E150" s="3"/>
      <c r="F150" s="1"/>
      <c r="G150" s="141">
        <f>IF(Basic3456789101112131415161718192021222324252627[[#This Row],[نوع الخدمة]]="مخالفات", 50,
IF(Basic3456789101112131415161718192021222324252627[[#This Row],[نوع الخدمة]]="كاش ان",
    IF(F150&lt;=100, 18, IF(F150&lt;=250, 23, IF(F150&lt;=500, 35, IF(F150&lt;=1000, 40, F150*0.04)))),
IF(Basic3456789101112131415161718192021222324252627[[#This Row],[نوع الخدمة]]="كاش اوت",
    IF(F150&lt;=100, 15, IF(F150&lt;=250, 20, IF(F150&lt;=500, 30, IF(F150&lt;=1000, 35, F150*0.035)))),
0)))</f>
        <v>0</v>
      </c>
      <c r="H150" s="159">
        <f>IF(I150="مخالفات",50,Basic3456789101112131415161718192021222324252627[[#This Row],[قيمة الرسوم / العموله]]+Basic3456789101112131415161718192021222324252627[[#This Row],[قيمة الشحنه]])</f>
        <v>0</v>
      </c>
      <c r="I150" s="90"/>
      <c r="J150" s="142" t="str">
        <f t="shared" si="2"/>
        <v>6.5.2026</v>
      </c>
      <c r="L150" s="153">
        <v>139</v>
      </c>
      <c r="M150" s="92"/>
    </row>
    <row r="151" spans="1:13" ht="21.6" x14ac:dyDescent="0.65">
      <c r="A151" s="195"/>
      <c r="B151" s="140">
        <v>148</v>
      </c>
      <c r="C151" s="2"/>
      <c r="D151" s="1"/>
      <c r="E151" s="3"/>
      <c r="F151" s="1"/>
      <c r="G151" s="141">
        <f>IF(Basic3456789101112131415161718192021222324252627[[#This Row],[نوع الخدمة]]="مخالفات", 50,
IF(Basic3456789101112131415161718192021222324252627[[#This Row],[نوع الخدمة]]="كاش ان",
    IF(F151&lt;=100, 18, IF(F151&lt;=250, 23, IF(F151&lt;=500, 35, IF(F151&lt;=1000, 40, F151*0.04)))),
IF(Basic3456789101112131415161718192021222324252627[[#This Row],[نوع الخدمة]]="كاش اوت",
    IF(F151&lt;=100, 15, IF(F151&lt;=250, 20, IF(F151&lt;=500, 30, IF(F151&lt;=1000, 35, F151*0.035)))),
0)))</f>
        <v>0</v>
      </c>
      <c r="H151" s="159">
        <f>IF(I151="مخالفات",50,Basic3456789101112131415161718192021222324252627[[#This Row],[قيمة الرسوم / العموله]]+Basic3456789101112131415161718192021222324252627[[#This Row],[قيمة الشحنه]])</f>
        <v>0</v>
      </c>
      <c r="I151" s="90"/>
      <c r="J151" s="142" t="str">
        <f t="shared" si="2"/>
        <v>6.5.2026</v>
      </c>
      <c r="L151" s="153">
        <v>140</v>
      </c>
      <c r="M151" s="92"/>
    </row>
    <row r="152" spans="1:13" ht="21.6" x14ac:dyDescent="0.65">
      <c r="A152" s="195"/>
      <c r="B152" s="140">
        <v>149</v>
      </c>
      <c r="C152" s="2"/>
      <c r="D152" s="1"/>
      <c r="E152" s="3"/>
      <c r="F152" s="1"/>
      <c r="G152" s="141">
        <f>IF(Basic3456789101112131415161718192021222324252627[[#This Row],[نوع الخدمة]]="مخالفات", 50,
IF(Basic3456789101112131415161718192021222324252627[[#This Row],[نوع الخدمة]]="كاش ان",
    IF(F152&lt;=100, 18, IF(F152&lt;=250, 23, IF(F152&lt;=500, 35, IF(F152&lt;=1000, 40, F152*0.04)))),
IF(Basic3456789101112131415161718192021222324252627[[#This Row],[نوع الخدمة]]="كاش اوت",
    IF(F152&lt;=100, 15, IF(F152&lt;=250, 20, IF(F152&lt;=500, 30, IF(F152&lt;=1000, 35, F152*0.035)))),
0)))</f>
        <v>0</v>
      </c>
      <c r="H152" s="159">
        <f>IF(I152="مخالفات",50,Basic3456789101112131415161718192021222324252627[[#This Row],[قيمة الرسوم / العموله]]+Basic3456789101112131415161718192021222324252627[[#This Row],[قيمة الشحنه]])</f>
        <v>0</v>
      </c>
      <c r="I152" s="90"/>
      <c r="J152" s="142" t="str">
        <f t="shared" si="2"/>
        <v>6.5.2026</v>
      </c>
      <c r="L152" s="153">
        <v>141</v>
      </c>
      <c r="M152" s="92"/>
    </row>
    <row r="153" spans="1:13" ht="21.6" x14ac:dyDescent="0.65">
      <c r="A153" s="195"/>
      <c r="B153" s="144">
        <v>150</v>
      </c>
      <c r="C153" s="2"/>
      <c r="D153" s="1"/>
      <c r="E153" s="3"/>
      <c r="F153" s="1"/>
      <c r="G153" s="141">
        <f>IF(Basic3456789101112131415161718192021222324252627[[#This Row],[نوع الخدمة]]="مخالفات", 50,
IF(Basic3456789101112131415161718192021222324252627[[#This Row],[نوع الخدمة]]="كاش ان",
    IF(F153&lt;=100, 18, IF(F153&lt;=250, 23, IF(F153&lt;=500, 35, IF(F153&lt;=1000, 40, F153*0.04)))),
IF(Basic3456789101112131415161718192021222324252627[[#This Row],[نوع الخدمة]]="كاش اوت",
    IF(F153&lt;=100, 15, IF(F153&lt;=250, 20, IF(F153&lt;=500, 30, IF(F153&lt;=1000, 35, F153*0.035)))),
0)))</f>
        <v>0</v>
      </c>
      <c r="H153" s="159">
        <f>IF(I153="مخالفات",50,Basic3456789101112131415161718192021222324252627[[#This Row],[قيمة الرسوم / العموله]]+Basic3456789101112131415161718192021222324252627[[#This Row],[قيمة الشحنه]])</f>
        <v>0</v>
      </c>
      <c r="I153" s="90"/>
      <c r="J153" s="142" t="str">
        <f t="shared" si="2"/>
        <v>6.5.2026</v>
      </c>
      <c r="L153" s="153">
        <v>142</v>
      </c>
      <c r="M153" s="92"/>
    </row>
    <row r="154" spans="1:13" ht="21.6" x14ac:dyDescent="0.65">
      <c r="A154" s="195"/>
      <c r="B154" s="140">
        <v>151</v>
      </c>
      <c r="C154" s="2"/>
      <c r="D154" s="1"/>
      <c r="E154" s="3"/>
      <c r="F154" s="1"/>
      <c r="G154" s="141">
        <f>IF(Basic3456789101112131415161718192021222324252627[[#This Row],[نوع الخدمة]]="مخالفات", 50,
IF(Basic3456789101112131415161718192021222324252627[[#This Row],[نوع الخدمة]]="كاش ان",
    IF(F154&lt;=100, 18, IF(F154&lt;=250, 23, IF(F154&lt;=500, 35, IF(F154&lt;=1000, 40, F154*0.04)))),
IF(Basic3456789101112131415161718192021222324252627[[#This Row],[نوع الخدمة]]="كاش اوت",
    IF(F154&lt;=100, 15, IF(F154&lt;=250, 20, IF(F154&lt;=500, 30, IF(F154&lt;=1000, 35, F154*0.035)))),
0)))</f>
        <v>0</v>
      </c>
      <c r="H154" s="159">
        <f>IF(I154="مخالفات",50,Basic3456789101112131415161718192021222324252627[[#This Row],[قيمة الرسوم / العموله]]+Basic3456789101112131415161718192021222324252627[[#This Row],[قيمة الشحنه]])</f>
        <v>0</v>
      </c>
      <c r="I154" s="90"/>
      <c r="J154" s="142" t="str">
        <f t="shared" si="2"/>
        <v>6.5.2026</v>
      </c>
      <c r="L154" s="153">
        <v>143</v>
      </c>
      <c r="M154" s="92"/>
    </row>
    <row r="155" spans="1:13" ht="21.6" x14ac:dyDescent="0.65">
      <c r="A155" s="195"/>
      <c r="B155" s="140">
        <v>152</v>
      </c>
      <c r="C155" s="2"/>
      <c r="D155" s="1"/>
      <c r="E155" s="3"/>
      <c r="F155" s="1"/>
      <c r="G155" s="141">
        <f>IF(Basic3456789101112131415161718192021222324252627[[#This Row],[نوع الخدمة]]="مخالفات", 50,
IF(Basic3456789101112131415161718192021222324252627[[#This Row],[نوع الخدمة]]="كاش ان",
    IF(F155&lt;=100, 18, IF(F155&lt;=250, 23, IF(F155&lt;=500, 35, IF(F155&lt;=1000, 40, F155*0.04)))),
IF(Basic3456789101112131415161718192021222324252627[[#This Row],[نوع الخدمة]]="كاش اوت",
    IF(F155&lt;=100, 15, IF(F155&lt;=250, 20, IF(F155&lt;=500, 30, IF(F155&lt;=1000, 35, F155*0.035)))),
0)))</f>
        <v>0</v>
      </c>
      <c r="H155" s="159">
        <f>IF(I155="مخالفات",50,Basic3456789101112131415161718192021222324252627[[#This Row],[قيمة الرسوم / العموله]]+Basic3456789101112131415161718192021222324252627[[#This Row],[قيمة الشحنه]])</f>
        <v>0</v>
      </c>
      <c r="I155" s="90"/>
      <c r="J155" s="142" t="str">
        <f t="shared" si="2"/>
        <v>6.5.2026</v>
      </c>
      <c r="L155" s="153">
        <v>144</v>
      </c>
      <c r="M155" s="92"/>
    </row>
    <row r="156" spans="1:13" ht="21.6" x14ac:dyDescent="0.65">
      <c r="A156" s="195"/>
      <c r="B156" s="140">
        <v>153</v>
      </c>
      <c r="C156" s="2"/>
      <c r="D156" s="1"/>
      <c r="E156" s="3"/>
      <c r="F156" s="1"/>
      <c r="G156" s="141">
        <f>IF(Basic3456789101112131415161718192021222324252627[[#This Row],[نوع الخدمة]]="مخالفات", 50,
IF(Basic3456789101112131415161718192021222324252627[[#This Row],[نوع الخدمة]]="كاش ان",
    IF(F156&lt;=100, 18, IF(F156&lt;=250, 23, IF(F156&lt;=500, 35, IF(F156&lt;=1000, 40, F156*0.04)))),
IF(Basic3456789101112131415161718192021222324252627[[#This Row],[نوع الخدمة]]="كاش اوت",
    IF(F156&lt;=100, 15, IF(F156&lt;=250, 20, IF(F156&lt;=500, 30, IF(F156&lt;=1000, 35, F156*0.035)))),
0)))</f>
        <v>0</v>
      </c>
      <c r="H156" s="159">
        <f>IF(I156="مخالفات",50,Basic3456789101112131415161718192021222324252627[[#This Row],[قيمة الرسوم / العموله]]+Basic3456789101112131415161718192021222324252627[[#This Row],[قيمة الشحنه]])</f>
        <v>0</v>
      </c>
      <c r="I156" s="90"/>
      <c r="J156" s="142" t="str">
        <f t="shared" si="2"/>
        <v>6.5.2026</v>
      </c>
      <c r="L156" s="153">
        <v>145</v>
      </c>
      <c r="M156" s="92"/>
    </row>
    <row r="157" spans="1:13" ht="21.6" x14ac:dyDescent="0.65">
      <c r="A157" s="195"/>
      <c r="B157" s="144">
        <v>154</v>
      </c>
      <c r="C157" s="2"/>
      <c r="D157" s="1"/>
      <c r="E157" s="3"/>
      <c r="F157" s="1"/>
      <c r="G157" s="141">
        <f>IF(Basic3456789101112131415161718192021222324252627[[#This Row],[نوع الخدمة]]="مخالفات", 50,
IF(Basic3456789101112131415161718192021222324252627[[#This Row],[نوع الخدمة]]="كاش ان",
    IF(F157&lt;=100, 18, IF(F157&lt;=250, 23, IF(F157&lt;=500, 35, IF(F157&lt;=1000, 40, F157*0.04)))),
IF(Basic3456789101112131415161718192021222324252627[[#This Row],[نوع الخدمة]]="كاش اوت",
    IF(F157&lt;=100, 15, IF(F157&lt;=250, 20, IF(F157&lt;=500, 30, IF(F157&lt;=1000, 35, F157*0.035)))),
0)))</f>
        <v>0</v>
      </c>
      <c r="H157" s="159">
        <f>IF(I157="مخالفات",50,Basic3456789101112131415161718192021222324252627[[#This Row],[قيمة الرسوم / العموله]]+Basic3456789101112131415161718192021222324252627[[#This Row],[قيمة الشحنه]])</f>
        <v>0</v>
      </c>
      <c r="I157" s="90"/>
      <c r="J157" s="142" t="str">
        <f t="shared" si="2"/>
        <v>6.5.2026</v>
      </c>
      <c r="L157" s="153">
        <v>146</v>
      </c>
      <c r="M157" s="92"/>
    </row>
    <row r="158" spans="1:13" ht="21.6" x14ac:dyDescent="0.65">
      <c r="A158" s="195"/>
      <c r="B158" s="140">
        <v>155</v>
      </c>
      <c r="C158" s="2"/>
      <c r="D158" s="1"/>
      <c r="E158" s="3"/>
      <c r="F158" s="1"/>
      <c r="G158" s="141">
        <f>IF(Basic3456789101112131415161718192021222324252627[[#This Row],[نوع الخدمة]]="مخالفات", 50,
IF(Basic3456789101112131415161718192021222324252627[[#This Row],[نوع الخدمة]]="كاش ان",
    IF(F158&lt;=100, 18, IF(F158&lt;=250, 23, IF(F158&lt;=500, 35, IF(F158&lt;=1000, 40, F158*0.04)))),
IF(Basic3456789101112131415161718192021222324252627[[#This Row],[نوع الخدمة]]="كاش اوت",
    IF(F158&lt;=100, 15, IF(F158&lt;=250, 20, IF(F158&lt;=500, 30, IF(F158&lt;=1000, 35, F158*0.035)))),
0)))</f>
        <v>0</v>
      </c>
      <c r="H158" s="159">
        <f>IF(I158="مخالفات",50,Basic3456789101112131415161718192021222324252627[[#This Row],[قيمة الرسوم / العموله]]+Basic3456789101112131415161718192021222324252627[[#This Row],[قيمة الشحنه]])</f>
        <v>0</v>
      </c>
      <c r="I158" s="90"/>
      <c r="J158" s="142" t="str">
        <f t="shared" si="2"/>
        <v>6.5.2026</v>
      </c>
      <c r="L158" s="153">
        <v>147</v>
      </c>
      <c r="M158" s="92"/>
    </row>
    <row r="159" spans="1:13" ht="21.6" x14ac:dyDescent="0.65">
      <c r="A159" s="195"/>
      <c r="B159" s="140">
        <v>156</v>
      </c>
      <c r="C159" s="2"/>
      <c r="D159" s="1"/>
      <c r="E159" s="3"/>
      <c r="F159" s="1"/>
      <c r="G159" s="141">
        <f>IF(Basic3456789101112131415161718192021222324252627[[#This Row],[نوع الخدمة]]="مخالفات", 50,
IF(Basic3456789101112131415161718192021222324252627[[#This Row],[نوع الخدمة]]="كاش ان",
    IF(F159&lt;=100, 18, IF(F159&lt;=250, 23, IF(F159&lt;=500, 35, IF(F159&lt;=1000, 40, F159*0.04)))),
IF(Basic3456789101112131415161718192021222324252627[[#This Row],[نوع الخدمة]]="كاش اوت",
    IF(F159&lt;=100, 15, IF(F159&lt;=250, 20, IF(F159&lt;=500, 30, IF(F159&lt;=1000, 35, F159*0.035)))),
0)))</f>
        <v>0</v>
      </c>
      <c r="H159" s="159">
        <f>IF(I159="مخالفات",50,Basic3456789101112131415161718192021222324252627[[#This Row],[قيمة الرسوم / العموله]]+Basic3456789101112131415161718192021222324252627[[#This Row],[قيمة الشحنه]])</f>
        <v>0</v>
      </c>
      <c r="I159" s="90"/>
      <c r="J159" s="142" t="str">
        <f t="shared" si="2"/>
        <v>6.5.2026</v>
      </c>
      <c r="L159" s="153">
        <v>148</v>
      </c>
      <c r="M159" s="92"/>
    </row>
    <row r="160" spans="1:13" ht="21.6" x14ac:dyDescent="0.65">
      <c r="A160" s="195"/>
      <c r="B160" s="140">
        <v>157</v>
      </c>
      <c r="C160" s="2"/>
      <c r="D160" s="1"/>
      <c r="E160" s="3"/>
      <c r="F160" s="1"/>
      <c r="G160" s="141">
        <f>IF(Basic3456789101112131415161718192021222324252627[[#This Row],[نوع الخدمة]]="مخالفات", 50,
IF(Basic3456789101112131415161718192021222324252627[[#This Row],[نوع الخدمة]]="كاش ان",
    IF(F160&lt;=100, 18, IF(F160&lt;=250, 23, IF(F160&lt;=500, 35, IF(F160&lt;=1000, 40, F160*0.04)))),
IF(Basic3456789101112131415161718192021222324252627[[#This Row],[نوع الخدمة]]="كاش اوت",
    IF(F160&lt;=100, 15, IF(F160&lt;=250, 20, IF(F160&lt;=500, 30, IF(F160&lt;=1000, 35, F160*0.035)))),
0)))</f>
        <v>0</v>
      </c>
      <c r="H160" s="159">
        <f>IF(I160="مخالفات",50,Basic3456789101112131415161718192021222324252627[[#This Row],[قيمة الرسوم / العموله]]+Basic3456789101112131415161718192021222324252627[[#This Row],[قيمة الشحنه]])</f>
        <v>0</v>
      </c>
      <c r="I160" s="90"/>
      <c r="J160" s="142" t="str">
        <f t="shared" si="2"/>
        <v>6.5.2026</v>
      </c>
      <c r="L160" s="153">
        <v>149</v>
      </c>
      <c r="M160" s="92"/>
    </row>
    <row r="161" spans="1:13" ht="21.6" x14ac:dyDescent="0.65">
      <c r="A161" s="195"/>
      <c r="B161" s="144">
        <v>158</v>
      </c>
      <c r="C161" s="2"/>
      <c r="D161" s="1"/>
      <c r="E161" s="3"/>
      <c r="F161" s="1"/>
      <c r="G161" s="141">
        <f>IF(Basic3456789101112131415161718192021222324252627[[#This Row],[نوع الخدمة]]="مخالفات", 50,
IF(Basic3456789101112131415161718192021222324252627[[#This Row],[نوع الخدمة]]="كاش ان",
    IF(F161&lt;=100, 18, IF(F161&lt;=250, 23, IF(F161&lt;=500, 35, IF(F161&lt;=1000, 40, F161*0.04)))),
IF(Basic3456789101112131415161718192021222324252627[[#This Row],[نوع الخدمة]]="كاش اوت",
    IF(F161&lt;=100, 15, IF(F161&lt;=250, 20, IF(F161&lt;=500, 30, IF(F161&lt;=1000, 35, F161*0.035)))),
0)))</f>
        <v>0</v>
      </c>
      <c r="H161" s="159">
        <f>IF(I161="مخالفات",50,Basic3456789101112131415161718192021222324252627[[#This Row],[قيمة الرسوم / العموله]]+Basic3456789101112131415161718192021222324252627[[#This Row],[قيمة الشحنه]])</f>
        <v>0</v>
      </c>
      <c r="I161" s="90"/>
      <c r="J161" s="142" t="str">
        <f t="shared" si="2"/>
        <v>6.5.2026</v>
      </c>
      <c r="L161" s="153">
        <v>150</v>
      </c>
      <c r="M161" s="92"/>
    </row>
    <row r="162" spans="1:13" ht="21.6" x14ac:dyDescent="0.65">
      <c r="A162" s="195"/>
      <c r="B162" s="140">
        <v>159</v>
      </c>
      <c r="C162" s="2"/>
      <c r="D162" s="1"/>
      <c r="E162" s="3"/>
      <c r="F162" s="1"/>
      <c r="G162" s="141">
        <f>IF(Basic3456789101112131415161718192021222324252627[[#This Row],[نوع الخدمة]]="مخالفات", 50,
IF(Basic3456789101112131415161718192021222324252627[[#This Row],[نوع الخدمة]]="كاش ان",
    IF(F162&lt;=100, 18, IF(F162&lt;=250, 23, IF(F162&lt;=500, 35, IF(F162&lt;=1000, 40, F162*0.04)))),
IF(Basic3456789101112131415161718192021222324252627[[#This Row],[نوع الخدمة]]="كاش اوت",
    IF(F162&lt;=100, 15, IF(F162&lt;=250, 20, IF(F162&lt;=500, 30, IF(F162&lt;=1000, 35, F162*0.035)))),
0)))</f>
        <v>0</v>
      </c>
      <c r="H162" s="159">
        <f>IF(I162="مخالفات",50,Basic3456789101112131415161718192021222324252627[[#This Row],[قيمة الرسوم / العموله]]+Basic3456789101112131415161718192021222324252627[[#This Row],[قيمة الشحنه]])</f>
        <v>0</v>
      </c>
      <c r="I162" s="90"/>
      <c r="J162" s="142" t="str">
        <f t="shared" si="2"/>
        <v>6.5.2026</v>
      </c>
      <c r="L162" s="153">
        <v>151</v>
      </c>
      <c r="M162" s="92"/>
    </row>
    <row r="163" spans="1:13" ht="21.6" x14ac:dyDescent="0.65">
      <c r="A163" s="195"/>
      <c r="B163" s="140">
        <v>160</v>
      </c>
      <c r="C163" s="2"/>
      <c r="D163" s="1"/>
      <c r="E163" s="3"/>
      <c r="F163" s="1"/>
      <c r="G163" s="141">
        <f>IF(Basic3456789101112131415161718192021222324252627[[#This Row],[نوع الخدمة]]="مخالفات", 50,
IF(Basic3456789101112131415161718192021222324252627[[#This Row],[نوع الخدمة]]="كاش ان",
    IF(F163&lt;=100, 18, IF(F163&lt;=250, 23, IF(F163&lt;=500, 35, IF(F163&lt;=1000, 40, F163*0.04)))),
IF(Basic3456789101112131415161718192021222324252627[[#This Row],[نوع الخدمة]]="كاش اوت",
    IF(F163&lt;=100, 15, IF(F163&lt;=250, 20, IF(F163&lt;=500, 30, IF(F163&lt;=1000, 35, F163*0.035)))),
0)))</f>
        <v>0</v>
      </c>
      <c r="H163" s="159">
        <f>IF(I163="مخالفات",50,Basic3456789101112131415161718192021222324252627[[#This Row],[قيمة الرسوم / العموله]]+Basic3456789101112131415161718192021222324252627[[#This Row],[قيمة الشحنه]])</f>
        <v>0</v>
      </c>
      <c r="I163" s="90"/>
      <c r="J163" s="142" t="str">
        <f t="shared" si="2"/>
        <v>6.5.2026</v>
      </c>
      <c r="L163" s="153">
        <v>152</v>
      </c>
      <c r="M163" s="92"/>
    </row>
    <row r="164" spans="1:13" ht="21.6" x14ac:dyDescent="0.65">
      <c r="A164" s="195"/>
      <c r="B164" s="140">
        <v>161</v>
      </c>
      <c r="C164" s="2"/>
      <c r="D164" s="1"/>
      <c r="E164" s="3"/>
      <c r="F164" s="1"/>
      <c r="G164" s="141">
        <f>IF(Basic3456789101112131415161718192021222324252627[[#This Row],[نوع الخدمة]]="مخالفات", 50,
IF(Basic3456789101112131415161718192021222324252627[[#This Row],[نوع الخدمة]]="كاش ان",
    IF(F164&lt;=100, 18, IF(F164&lt;=250, 23, IF(F164&lt;=500, 35, IF(F164&lt;=1000, 40, F164*0.04)))),
IF(Basic3456789101112131415161718192021222324252627[[#This Row],[نوع الخدمة]]="كاش اوت",
    IF(F164&lt;=100, 15, IF(F164&lt;=250, 20, IF(F164&lt;=500, 30, IF(F164&lt;=1000, 35, F164*0.035)))),
0)))</f>
        <v>0</v>
      </c>
      <c r="H164" s="159">
        <f>IF(I164="مخالفات",50,Basic3456789101112131415161718192021222324252627[[#This Row],[قيمة الرسوم / العموله]]+Basic3456789101112131415161718192021222324252627[[#This Row],[قيمة الشحنه]])</f>
        <v>0</v>
      </c>
      <c r="I164" s="90"/>
      <c r="J164" s="142" t="str">
        <f t="shared" si="2"/>
        <v>6.5.2026</v>
      </c>
      <c r="L164" s="153">
        <v>153</v>
      </c>
      <c r="M164" s="92"/>
    </row>
    <row r="165" spans="1:13" ht="21.6" x14ac:dyDescent="0.65">
      <c r="A165" s="195"/>
      <c r="B165" s="144">
        <v>162</v>
      </c>
      <c r="C165" s="2"/>
      <c r="D165" s="1"/>
      <c r="E165" s="3"/>
      <c r="F165" s="1"/>
      <c r="G165" s="141">
        <f>IF(Basic3456789101112131415161718192021222324252627[[#This Row],[نوع الخدمة]]="مخالفات", 50,
IF(Basic3456789101112131415161718192021222324252627[[#This Row],[نوع الخدمة]]="كاش ان",
    IF(F165&lt;=100, 18, IF(F165&lt;=250, 23, IF(F165&lt;=500, 35, IF(F165&lt;=1000, 40, F165*0.04)))),
IF(Basic3456789101112131415161718192021222324252627[[#This Row],[نوع الخدمة]]="كاش اوت",
    IF(F165&lt;=100, 15, IF(F165&lt;=250, 20, IF(F165&lt;=500, 30, IF(F165&lt;=1000, 35, F165*0.035)))),
0)))</f>
        <v>0</v>
      </c>
      <c r="H165" s="159">
        <f>IF(I165="مخالفات",50,Basic3456789101112131415161718192021222324252627[[#This Row],[قيمة الرسوم / العموله]]+Basic3456789101112131415161718192021222324252627[[#This Row],[قيمة الشحنه]])</f>
        <v>0</v>
      </c>
      <c r="I165" s="90"/>
      <c r="J165" s="142" t="str">
        <f t="shared" si="2"/>
        <v>6.5.2026</v>
      </c>
      <c r="L165" s="153">
        <v>154</v>
      </c>
      <c r="M165" s="92"/>
    </row>
    <row r="166" spans="1:13" ht="21.6" x14ac:dyDescent="0.65">
      <c r="A166" s="195"/>
      <c r="B166" s="140">
        <v>163</v>
      </c>
      <c r="C166" s="2"/>
      <c r="D166" s="1"/>
      <c r="E166" s="3"/>
      <c r="F166" s="1"/>
      <c r="G166" s="141">
        <f>IF(Basic3456789101112131415161718192021222324252627[[#This Row],[نوع الخدمة]]="مخالفات", 50,
IF(Basic3456789101112131415161718192021222324252627[[#This Row],[نوع الخدمة]]="كاش ان",
    IF(F166&lt;=100, 18, IF(F166&lt;=250, 23, IF(F166&lt;=500, 35, IF(F166&lt;=1000, 40, F166*0.04)))),
IF(Basic3456789101112131415161718192021222324252627[[#This Row],[نوع الخدمة]]="كاش اوت",
    IF(F166&lt;=100, 15, IF(F166&lt;=250, 20, IF(F166&lt;=500, 30, IF(F166&lt;=1000, 35, F166*0.035)))),
0)))</f>
        <v>0</v>
      </c>
      <c r="H166" s="159">
        <f>IF(I166="مخالفات",50,Basic3456789101112131415161718192021222324252627[[#This Row],[قيمة الرسوم / العموله]]+Basic3456789101112131415161718192021222324252627[[#This Row],[قيمة الشحنه]])</f>
        <v>0</v>
      </c>
      <c r="I166" s="90"/>
      <c r="J166" s="142" t="str">
        <f t="shared" si="2"/>
        <v>6.5.2026</v>
      </c>
      <c r="L166" s="153">
        <v>155</v>
      </c>
      <c r="M166" s="92"/>
    </row>
    <row r="167" spans="1:13" ht="21.6" x14ac:dyDescent="0.65">
      <c r="A167" s="195"/>
      <c r="B167" s="140">
        <v>164</v>
      </c>
      <c r="C167" s="2"/>
      <c r="D167" s="1"/>
      <c r="E167" s="3"/>
      <c r="F167" s="1"/>
      <c r="G167" s="141">
        <f>IF(Basic3456789101112131415161718192021222324252627[[#This Row],[نوع الخدمة]]="مخالفات", 50,
IF(Basic3456789101112131415161718192021222324252627[[#This Row],[نوع الخدمة]]="كاش ان",
    IF(F167&lt;=100, 18, IF(F167&lt;=250, 23, IF(F167&lt;=500, 35, IF(F167&lt;=1000, 40, F167*0.04)))),
IF(Basic3456789101112131415161718192021222324252627[[#This Row],[نوع الخدمة]]="كاش اوت",
    IF(F167&lt;=100, 15, IF(F167&lt;=250, 20, IF(F167&lt;=500, 30, IF(F167&lt;=1000, 35, F167*0.035)))),
0)))</f>
        <v>0</v>
      </c>
      <c r="H167" s="159">
        <f>IF(I167="مخالفات",50,Basic3456789101112131415161718192021222324252627[[#This Row],[قيمة الرسوم / العموله]]+Basic3456789101112131415161718192021222324252627[[#This Row],[قيمة الشحنه]])</f>
        <v>0</v>
      </c>
      <c r="I167" s="90"/>
      <c r="J167" s="142" t="str">
        <f t="shared" si="2"/>
        <v>6.5.2026</v>
      </c>
      <c r="L167" s="153">
        <v>156</v>
      </c>
      <c r="M167" s="92"/>
    </row>
    <row r="168" spans="1:13" ht="21.6" x14ac:dyDescent="0.65">
      <c r="A168" s="195"/>
      <c r="B168" s="140">
        <v>165</v>
      </c>
      <c r="C168" s="2"/>
      <c r="D168" s="1"/>
      <c r="E168" s="3"/>
      <c r="F168" s="1"/>
      <c r="G168" s="141">
        <f>IF(Basic3456789101112131415161718192021222324252627[[#This Row],[نوع الخدمة]]="مخالفات", 50,
IF(Basic3456789101112131415161718192021222324252627[[#This Row],[نوع الخدمة]]="كاش ان",
    IF(F168&lt;=100, 18, IF(F168&lt;=250, 23, IF(F168&lt;=500, 35, IF(F168&lt;=1000, 40, F168*0.04)))),
IF(Basic3456789101112131415161718192021222324252627[[#This Row],[نوع الخدمة]]="كاش اوت",
    IF(F168&lt;=100, 15, IF(F168&lt;=250, 20, IF(F168&lt;=500, 30, IF(F168&lt;=1000, 35, F168*0.035)))),
0)))</f>
        <v>0</v>
      </c>
      <c r="H168" s="159">
        <f>IF(I168="مخالفات",50,Basic3456789101112131415161718192021222324252627[[#This Row],[قيمة الرسوم / العموله]]+Basic3456789101112131415161718192021222324252627[[#This Row],[قيمة الشحنه]])</f>
        <v>0</v>
      </c>
      <c r="I168" s="90"/>
      <c r="J168" s="142" t="str">
        <f t="shared" si="2"/>
        <v>6.5.2026</v>
      </c>
      <c r="L168" s="153">
        <v>157</v>
      </c>
      <c r="M168" s="92"/>
    </row>
    <row r="169" spans="1:13" ht="21.6" x14ac:dyDescent="0.65">
      <c r="A169" s="195"/>
      <c r="B169" s="144">
        <v>166</v>
      </c>
      <c r="C169" s="2"/>
      <c r="D169" s="1"/>
      <c r="E169" s="3"/>
      <c r="F169" s="1"/>
      <c r="G169" s="141">
        <f>IF(Basic3456789101112131415161718192021222324252627[[#This Row],[نوع الخدمة]]="مخالفات", 50,
IF(Basic3456789101112131415161718192021222324252627[[#This Row],[نوع الخدمة]]="كاش ان",
    IF(F169&lt;=100, 18, IF(F169&lt;=250, 23, IF(F169&lt;=500, 35, IF(F169&lt;=1000, 40, F169*0.04)))),
IF(Basic3456789101112131415161718192021222324252627[[#This Row],[نوع الخدمة]]="كاش اوت",
    IF(F169&lt;=100, 15, IF(F169&lt;=250, 20, IF(F169&lt;=500, 30, IF(F169&lt;=1000, 35, F169*0.035)))),
0)))</f>
        <v>0</v>
      </c>
      <c r="H169" s="159">
        <f>IF(I169="مخالفات",50,Basic3456789101112131415161718192021222324252627[[#This Row],[قيمة الرسوم / العموله]]+Basic3456789101112131415161718192021222324252627[[#This Row],[قيمة الشحنه]])</f>
        <v>0</v>
      </c>
      <c r="I169" s="90"/>
      <c r="J169" s="142" t="str">
        <f t="shared" si="2"/>
        <v>6.5.2026</v>
      </c>
      <c r="L169" s="153">
        <v>158</v>
      </c>
      <c r="M169" s="92"/>
    </row>
    <row r="170" spans="1:13" ht="21.6" x14ac:dyDescent="0.65">
      <c r="A170" s="195"/>
      <c r="B170" s="140">
        <v>167</v>
      </c>
      <c r="C170" s="2"/>
      <c r="D170" s="1"/>
      <c r="E170" s="3"/>
      <c r="F170" s="1"/>
      <c r="G170" s="141">
        <f>IF(Basic3456789101112131415161718192021222324252627[[#This Row],[نوع الخدمة]]="مخالفات", 50,
IF(Basic3456789101112131415161718192021222324252627[[#This Row],[نوع الخدمة]]="كاش ان",
    IF(F170&lt;=100, 18, IF(F170&lt;=250, 23, IF(F170&lt;=500, 35, IF(F170&lt;=1000, 40, F170*0.04)))),
IF(Basic3456789101112131415161718192021222324252627[[#This Row],[نوع الخدمة]]="كاش اوت",
    IF(F170&lt;=100, 15, IF(F170&lt;=250, 20, IF(F170&lt;=500, 30, IF(F170&lt;=1000, 35, F170*0.035)))),
0)))</f>
        <v>0</v>
      </c>
      <c r="H170" s="159">
        <f>IF(I170="مخالفات",50,Basic3456789101112131415161718192021222324252627[[#This Row],[قيمة الرسوم / العموله]]+Basic3456789101112131415161718192021222324252627[[#This Row],[قيمة الشحنه]])</f>
        <v>0</v>
      </c>
      <c r="I170" s="90"/>
      <c r="J170" s="142" t="str">
        <f t="shared" si="2"/>
        <v>6.5.2026</v>
      </c>
      <c r="L170" s="153">
        <v>159</v>
      </c>
      <c r="M170" s="92"/>
    </row>
    <row r="171" spans="1:13" ht="21.6" x14ac:dyDescent="0.65">
      <c r="A171" s="195"/>
      <c r="B171" s="140">
        <v>168</v>
      </c>
      <c r="C171" s="2"/>
      <c r="D171" s="1"/>
      <c r="E171" s="3"/>
      <c r="F171" s="1"/>
      <c r="G171" s="141">
        <f>IF(Basic3456789101112131415161718192021222324252627[[#This Row],[نوع الخدمة]]="مخالفات", 50,
IF(Basic3456789101112131415161718192021222324252627[[#This Row],[نوع الخدمة]]="كاش ان",
    IF(F171&lt;=100, 18, IF(F171&lt;=250, 23, IF(F171&lt;=500, 35, IF(F171&lt;=1000, 40, F171*0.04)))),
IF(Basic3456789101112131415161718192021222324252627[[#This Row],[نوع الخدمة]]="كاش اوت",
    IF(F171&lt;=100, 15, IF(F171&lt;=250, 20, IF(F171&lt;=500, 30, IF(F171&lt;=1000, 35, F171*0.035)))),
0)))</f>
        <v>0</v>
      </c>
      <c r="H171" s="159">
        <f>IF(I171="مخالفات",50,Basic3456789101112131415161718192021222324252627[[#This Row],[قيمة الرسوم / العموله]]+Basic3456789101112131415161718192021222324252627[[#This Row],[قيمة الشحنه]])</f>
        <v>0</v>
      </c>
      <c r="I171" s="90"/>
      <c r="J171" s="142" t="str">
        <f t="shared" si="2"/>
        <v>6.5.2026</v>
      </c>
      <c r="L171" s="153">
        <v>160</v>
      </c>
      <c r="M171" s="92"/>
    </row>
    <row r="172" spans="1:13" ht="21.6" x14ac:dyDescent="0.65">
      <c r="A172" s="195"/>
      <c r="B172" s="140">
        <v>169</v>
      </c>
      <c r="C172" s="2"/>
      <c r="D172" s="1"/>
      <c r="E172" s="3"/>
      <c r="F172" s="1"/>
      <c r="G172" s="141">
        <f>IF(Basic3456789101112131415161718192021222324252627[[#This Row],[نوع الخدمة]]="مخالفات", 50,
IF(Basic3456789101112131415161718192021222324252627[[#This Row],[نوع الخدمة]]="كاش ان",
    IF(F172&lt;=100, 18, IF(F172&lt;=250, 23, IF(F172&lt;=500, 35, IF(F172&lt;=1000, 40, F172*0.04)))),
IF(Basic3456789101112131415161718192021222324252627[[#This Row],[نوع الخدمة]]="كاش اوت",
    IF(F172&lt;=100, 15, IF(F172&lt;=250, 20, IF(F172&lt;=500, 30, IF(F172&lt;=1000, 35, F172*0.035)))),
0)))</f>
        <v>0</v>
      </c>
      <c r="H172" s="159">
        <f>IF(I172="مخالفات",50,Basic3456789101112131415161718192021222324252627[[#This Row],[قيمة الرسوم / العموله]]+Basic3456789101112131415161718192021222324252627[[#This Row],[قيمة الشحنه]])</f>
        <v>0</v>
      </c>
      <c r="I172" s="90"/>
      <c r="J172" s="142" t="str">
        <f t="shared" si="2"/>
        <v>6.5.2026</v>
      </c>
      <c r="L172" s="153">
        <v>161</v>
      </c>
      <c r="M172" s="92"/>
    </row>
    <row r="173" spans="1:13" ht="21.6" x14ac:dyDescent="0.65">
      <c r="A173" s="195"/>
      <c r="B173" s="144">
        <v>170</v>
      </c>
      <c r="C173" s="2"/>
      <c r="D173" s="1"/>
      <c r="E173" s="3"/>
      <c r="F173" s="1"/>
      <c r="G173" s="141">
        <f>IF(Basic3456789101112131415161718192021222324252627[[#This Row],[نوع الخدمة]]="مخالفات", 50,
IF(Basic3456789101112131415161718192021222324252627[[#This Row],[نوع الخدمة]]="كاش ان",
    IF(F173&lt;=100, 18, IF(F173&lt;=250, 23, IF(F173&lt;=500, 35, IF(F173&lt;=1000, 40, F173*0.04)))),
IF(Basic3456789101112131415161718192021222324252627[[#This Row],[نوع الخدمة]]="كاش اوت",
    IF(F173&lt;=100, 15, IF(F173&lt;=250, 20, IF(F173&lt;=500, 30, IF(F173&lt;=1000, 35, F173*0.035)))),
0)))</f>
        <v>0</v>
      </c>
      <c r="H173" s="159">
        <f>IF(I173="مخالفات",50,Basic3456789101112131415161718192021222324252627[[#This Row],[قيمة الرسوم / العموله]]+Basic3456789101112131415161718192021222324252627[[#This Row],[قيمة الشحنه]])</f>
        <v>0</v>
      </c>
      <c r="I173" s="90"/>
      <c r="J173" s="142" t="str">
        <f t="shared" si="2"/>
        <v>6.5.2026</v>
      </c>
      <c r="L173" s="153">
        <v>162</v>
      </c>
      <c r="M173" s="92"/>
    </row>
    <row r="174" spans="1:13" ht="21.6" x14ac:dyDescent="0.65">
      <c r="A174" s="195"/>
      <c r="B174" s="140">
        <v>171</v>
      </c>
      <c r="C174" s="2"/>
      <c r="D174" s="1"/>
      <c r="E174" s="3"/>
      <c r="F174" s="1"/>
      <c r="G174" s="141">
        <f>IF(Basic3456789101112131415161718192021222324252627[[#This Row],[نوع الخدمة]]="مخالفات", 50,
IF(Basic3456789101112131415161718192021222324252627[[#This Row],[نوع الخدمة]]="كاش ان",
    IF(F174&lt;=100, 18, IF(F174&lt;=250, 23, IF(F174&lt;=500, 35, IF(F174&lt;=1000, 40, F174*0.04)))),
IF(Basic3456789101112131415161718192021222324252627[[#This Row],[نوع الخدمة]]="كاش اوت",
    IF(F174&lt;=100, 15, IF(F174&lt;=250, 20, IF(F174&lt;=500, 30, IF(F174&lt;=1000, 35, F174*0.035)))),
0)))</f>
        <v>0</v>
      </c>
      <c r="H174" s="159">
        <f>IF(I174="مخالفات",50,Basic3456789101112131415161718192021222324252627[[#This Row],[قيمة الرسوم / العموله]]+Basic3456789101112131415161718192021222324252627[[#This Row],[قيمة الشحنه]])</f>
        <v>0</v>
      </c>
      <c r="I174" s="90"/>
      <c r="J174" s="142" t="str">
        <f t="shared" si="2"/>
        <v>6.5.2026</v>
      </c>
      <c r="L174" s="153">
        <v>163</v>
      </c>
      <c r="M174" s="92"/>
    </row>
    <row r="175" spans="1:13" ht="21.6" x14ac:dyDescent="0.65">
      <c r="A175" s="195"/>
      <c r="B175" s="140">
        <v>172</v>
      </c>
      <c r="C175" s="2"/>
      <c r="D175" s="1"/>
      <c r="E175" s="3"/>
      <c r="F175" s="1"/>
      <c r="G175" s="141">
        <f>IF(Basic3456789101112131415161718192021222324252627[[#This Row],[نوع الخدمة]]="مخالفات", 50,
IF(Basic3456789101112131415161718192021222324252627[[#This Row],[نوع الخدمة]]="كاش ان",
    IF(F175&lt;=100, 18, IF(F175&lt;=250, 23, IF(F175&lt;=500, 35, IF(F175&lt;=1000, 40, F175*0.04)))),
IF(Basic3456789101112131415161718192021222324252627[[#This Row],[نوع الخدمة]]="كاش اوت",
    IF(F175&lt;=100, 15, IF(F175&lt;=250, 20, IF(F175&lt;=500, 30, IF(F175&lt;=1000, 35, F175*0.035)))),
0)))</f>
        <v>0</v>
      </c>
      <c r="H175" s="159">
        <f>IF(I175="مخالفات",50,Basic3456789101112131415161718192021222324252627[[#This Row],[قيمة الرسوم / العموله]]+Basic3456789101112131415161718192021222324252627[[#This Row],[قيمة الشحنه]])</f>
        <v>0</v>
      </c>
      <c r="I175" s="90"/>
      <c r="J175" s="142" t="str">
        <f t="shared" si="2"/>
        <v>6.5.2026</v>
      </c>
      <c r="L175" s="153">
        <v>164</v>
      </c>
      <c r="M175" s="92"/>
    </row>
    <row r="176" spans="1:13" ht="21.6" x14ac:dyDescent="0.65">
      <c r="A176" s="195"/>
      <c r="B176" s="140">
        <v>173</v>
      </c>
      <c r="C176" s="2"/>
      <c r="D176" s="1"/>
      <c r="E176" s="3"/>
      <c r="F176" s="1"/>
      <c r="G176" s="141">
        <f>IF(Basic3456789101112131415161718192021222324252627[[#This Row],[نوع الخدمة]]="مخالفات", 50,
IF(Basic3456789101112131415161718192021222324252627[[#This Row],[نوع الخدمة]]="كاش ان",
    IF(F176&lt;=100, 18, IF(F176&lt;=250, 23, IF(F176&lt;=500, 35, IF(F176&lt;=1000, 40, F176*0.04)))),
IF(Basic3456789101112131415161718192021222324252627[[#This Row],[نوع الخدمة]]="كاش اوت",
    IF(F176&lt;=100, 15, IF(F176&lt;=250, 20, IF(F176&lt;=500, 30, IF(F176&lt;=1000, 35, F176*0.035)))),
0)))</f>
        <v>0</v>
      </c>
      <c r="H176" s="159">
        <f>IF(I176="مخالفات",50,Basic3456789101112131415161718192021222324252627[[#This Row],[قيمة الرسوم / العموله]]+Basic3456789101112131415161718192021222324252627[[#This Row],[قيمة الشحنه]])</f>
        <v>0</v>
      </c>
      <c r="I176" s="90"/>
      <c r="J176" s="142" t="str">
        <f t="shared" si="2"/>
        <v>6.5.2026</v>
      </c>
      <c r="L176" s="153">
        <v>165</v>
      </c>
      <c r="M176" s="92"/>
    </row>
    <row r="177" spans="1:13" ht="21.6" x14ac:dyDescent="0.65">
      <c r="A177" s="195"/>
      <c r="B177" s="144">
        <v>174</v>
      </c>
      <c r="C177" s="2"/>
      <c r="D177" s="1"/>
      <c r="E177" s="3"/>
      <c r="F177" s="1"/>
      <c r="G177" s="141">
        <f>IF(Basic3456789101112131415161718192021222324252627[[#This Row],[نوع الخدمة]]="مخالفات", 50,
IF(Basic3456789101112131415161718192021222324252627[[#This Row],[نوع الخدمة]]="كاش ان",
    IF(F177&lt;=100, 18, IF(F177&lt;=250, 23, IF(F177&lt;=500, 35, IF(F177&lt;=1000, 40, F177*0.04)))),
IF(Basic3456789101112131415161718192021222324252627[[#This Row],[نوع الخدمة]]="كاش اوت",
    IF(F177&lt;=100, 15, IF(F177&lt;=250, 20, IF(F177&lt;=500, 30, IF(F177&lt;=1000, 35, F177*0.035)))),
0)))</f>
        <v>0</v>
      </c>
      <c r="H177" s="159">
        <f>IF(I177="مخالفات",50,Basic3456789101112131415161718192021222324252627[[#This Row],[قيمة الرسوم / العموله]]+Basic3456789101112131415161718192021222324252627[[#This Row],[قيمة الشحنه]])</f>
        <v>0</v>
      </c>
      <c r="I177" s="90"/>
      <c r="J177" s="142" t="str">
        <f t="shared" si="2"/>
        <v>6.5.2026</v>
      </c>
      <c r="L177" s="153">
        <v>166</v>
      </c>
      <c r="M177" s="92"/>
    </row>
    <row r="178" spans="1:13" ht="21.6" x14ac:dyDescent="0.65">
      <c r="A178" s="195"/>
      <c r="B178" s="140">
        <v>175</v>
      </c>
      <c r="C178" s="2"/>
      <c r="D178" s="1"/>
      <c r="E178" s="3"/>
      <c r="F178" s="1"/>
      <c r="G178" s="141">
        <f>IF(Basic3456789101112131415161718192021222324252627[[#This Row],[نوع الخدمة]]="مخالفات", 50,
IF(Basic3456789101112131415161718192021222324252627[[#This Row],[نوع الخدمة]]="كاش ان",
    IF(F178&lt;=100, 18, IF(F178&lt;=250, 23, IF(F178&lt;=500, 35, IF(F178&lt;=1000, 40, F178*0.04)))),
IF(Basic3456789101112131415161718192021222324252627[[#This Row],[نوع الخدمة]]="كاش اوت",
    IF(F178&lt;=100, 15, IF(F178&lt;=250, 20, IF(F178&lt;=500, 30, IF(F178&lt;=1000, 35, F178*0.035)))),
0)))</f>
        <v>0</v>
      </c>
      <c r="H178" s="159">
        <f>IF(I178="مخالفات",50,Basic3456789101112131415161718192021222324252627[[#This Row],[قيمة الرسوم / العموله]]+Basic3456789101112131415161718192021222324252627[[#This Row],[قيمة الشحنه]])</f>
        <v>0</v>
      </c>
      <c r="I178" s="90"/>
      <c r="J178" s="142" t="str">
        <f t="shared" si="2"/>
        <v>6.5.2026</v>
      </c>
      <c r="L178" s="153">
        <v>167</v>
      </c>
      <c r="M178" s="92"/>
    </row>
    <row r="179" spans="1:13" ht="21.6" x14ac:dyDescent="0.65">
      <c r="A179" s="195"/>
      <c r="B179" s="140">
        <v>176</v>
      </c>
      <c r="C179" s="2"/>
      <c r="D179" s="1"/>
      <c r="E179" s="3"/>
      <c r="F179" s="1"/>
      <c r="G179" s="141">
        <f>IF(Basic3456789101112131415161718192021222324252627[[#This Row],[نوع الخدمة]]="مخالفات", 50,
IF(Basic3456789101112131415161718192021222324252627[[#This Row],[نوع الخدمة]]="كاش ان",
    IF(F179&lt;=100, 18, IF(F179&lt;=250, 23, IF(F179&lt;=500, 35, IF(F179&lt;=1000, 40, F179*0.04)))),
IF(Basic3456789101112131415161718192021222324252627[[#This Row],[نوع الخدمة]]="كاش اوت",
    IF(F179&lt;=100, 15, IF(F179&lt;=250, 20, IF(F179&lt;=500, 30, IF(F179&lt;=1000, 35, F179*0.035)))),
0)))</f>
        <v>0</v>
      </c>
      <c r="H179" s="159">
        <f>IF(I179="مخالفات",50,Basic3456789101112131415161718192021222324252627[[#This Row],[قيمة الرسوم / العموله]]+Basic3456789101112131415161718192021222324252627[[#This Row],[قيمة الشحنه]])</f>
        <v>0</v>
      </c>
      <c r="I179" s="90"/>
      <c r="J179" s="142" t="str">
        <f t="shared" si="2"/>
        <v>6.5.2026</v>
      </c>
      <c r="L179" s="153">
        <v>168</v>
      </c>
      <c r="M179" s="92"/>
    </row>
    <row r="180" spans="1:13" ht="21.6" x14ac:dyDescent="0.65">
      <c r="A180" s="195"/>
      <c r="B180" s="140">
        <v>177</v>
      </c>
      <c r="C180" s="2"/>
      <c r="D180" s="1"/>
      <c r="E180" s="3"/>
      <c r="F180" s="1"/>
      <c r="G180" s="141">
        <f>IF(Basic3456789101112131415161718192021222324252627[[#This Row],[نوع الخدمة]]="مخالفات", 50,
IF(Basic3456789101112131415161718192021222324252627[[#This Row],[نوع الخدمة]]="كاش ان",
    IF(F180&lt;=100, 18, IF(F180&lt;=250, 23, IF(F180&lt;=500, 35, IF(F180&lt;=1000, 40, F180*0.04)))),
IF(Basic3456789101112131415161718192021222324252627[[#This Row],[نوع الخدمة]]="كاش اوت",
    IF(F180&lt;=100, 15, IF(F180&lt;=250, 20, IF(F180&lt;=500, 30, IF(F180&lt;=1000, 35, F180*0.035)))),
0)))</f>
        <v>0</v>
      </c>
      <c r="H180" s="159">
        <f>IF(I180="مخالفات",50,Basic3456789101112131415161718192021222324252627[[#This Row],[قيمة الرسوم / العموله]]+Basic3456789101112131415161718192021222324252627[[#This Row],[قيمة الشحنه]])</f>
        <v>0</v>
      </c>
      <c r="I180" s="90"/>
      <c r="J180" s="142" t="str">
        <f t="shared" si="2"/>
        <v>6.5.2026</v>
      </c>
      <c r="L180" s="153">
        <v>169</v>
      </c>
      <c r="M180" s="92"/>
    </row>
    <row r="181" spans="1:13" ht="21.6" x14ac:dyDescent="0.65">
      <c r="A181" s="195"/>
      <c r="B181" s="144">
        <v>178</v>
      </c>
      <c r="C181" s="2"/>
      <c r="D181" s="1"/>
      <c r="E181" s="3"/>
      <c r="F181" s="1"/>
      <c r="G181" s="141">
        <f>IF(Basic3456789101112131415161718192021222324252627[[#This Row],[نوع الخدمة]]="مخالفات", 50,
IF(Basic3456789101112131415161718192021222324252627[[#This Row],[نوع الخدمة]]="كاش ان",
    IF(F181&lt;=100, 18, IF(F181&lt;=250, 23, IF(F181&lt;=500, 35, IF(F181&lt;=1000, 40, F181*0.04)))),
IF(Basic3456789101112131415161718192021222324252627[[#This Row],[نوع الخدمة]]="كاش اوت",
    IF(F181&lt;=100, 15, IF(F181&lt;=250, 20, IF(F181&lt;=500, 30, IF(F181&lt;=1000, 35, F181*0.035)))),
0)))</f>
        <v>0</v>
      </c>
      <c r="H181" s="159">
        <f>IF(I181="مخالفات",50,Basic3456789101112131415161718192021222324252627[[#This Row],[قيمة الرسوم / العموله]]+Basic3456789101112131415161718192021222324252627[[#This Row],[قيمة الشحنه]])</f>
        <v>0</v>
      </c>
      <c r="I181" s="90"/>
      <c r="J181" s="142" t="str">
        <f t="shared" si="2"/>
        <v>6.5.2026</v>
      </c>
      <c r="L181" s="153">
        <v>170</v>
      </c>
      <c r="M181" s="92"/>
    </row>
    <row r="182" spans="1:13" ht="21.6" x14ac:dyDescent="0.65">
      <c r="A182" s="195"/>
      <c r="B182" s="140">
        <v>179</v>
      </c>
      <c r="C182" s="2"/>
      <c r="D182" s="1"/>
      <c r="E182" s="3"/>
      <c r="F182" s="1"/>
      <c r="G182" s="141">
        <f>IF(Basic3456789101112131415161718192021222324252627[[#This Row],[نوع الخدمة]]="مخالفات", 50,
IF(Basic3456789101112131415161718192021222324252627[[#This Row],[نوع الخدمة]]="كاش ان",
    IF(F182&lt;=100, 18, IF(F182&lt;=250, 23, IF(F182&lt;=500, 35, IF(F182&lt;=1000, 40, F182*0.04)))),
IF(Basic3456789101112131415161718192021222324252627[[#This Row],[نوع الخدمة]]="كاش اوت",
    IF(F182&lt;=100, 15, IF(F182&lt;=250, 20, IF(F182&lt;=500, 30, IF(F182&lt;=1000, 35, F182*0.035)))),
0)))</f>
        <v>0</v>
      </c>
      <c r="H182" s="159">
        <f>IF(I182="مخالفات",50,Basic3456789101112131415161718192021222324252627[[#This Row],[قيمة الرسوم / العموله]]+Basic3456789101112131415161718192021222324252627[[#This Row],[قيمة الشحنه]])</f>
        <v>0</v>
      </c>
      <c r="I182" s="90"/>
      <c r="J182" s="142" t="str">
        <f t="shared" si="2"/>
        <v>6.5.2026</v>
      </c>
      <c r="L182" s="153">
        <v>171</v>
      </c>
      <c r="M182" s="92"/>
    </row>
    <row r="183" spans="1:13" ht="21.6" x14ac:dyDescent="0.65">
      <c r="A183" s="195"/>
      <c r="B183" s="140">
        <v>180</v>
      </c>
      <c r="C183" s="2"/>
      <c r="D183" s="1"/>
      <c r="E183" s="3"/>
      <c r="F183" s="1"/>
      <c r="G183" s="141">
        <f>IF(Basic3456789101112131415161718192021222324252627[[#This Row],[نوع الخدمة]]="مخالفات", 50,
IF(Basic3456789101112131415161718192021222324252627[[#This Row],[نوع الخدمة]]="كاش ان",
    IF(F183&lt;=100, 18, IF(F183&lt;=250, 23, IF(F183&lt;=500, 35, IF(F183&lt;=1000, 40, F183*0.04)))),
IF(Basic3456789101112131415161718192021222324252627[[#This Row],[نوع الخدمة]]="كاش اوت",
    IF(F183&lt;=100, 15, IF(F183&lt;=250, 20, IF(F183&lt;=500, 30, IF(F183&lt;=1000, 35, F183*0.035)))),
0)))</f>
        <v>0</v>
      </c>
      <c r="H183" s="159">
        <f>IF(I183="مخالفات",50,Basic3456789101112131415161718192021222324252627[[#This Row],[قيمة الرسوم / العموله]]+Basic3456789101112131415161718192021222324252627[[#This Row],[قيمة الشحنه]])</f>
        <v>0</v>
      </c>
      <c r="I183" s="90"/>
      <c r="J183" s="142" t="str">
        <f t="shared" si="2"/>
        <v>6.5.2026</v>
      </c>
      <c r="L183" s="153">
        <v>172</v>
      </c>
      <c r="M183" s="92"/>
    </row>
    <row r="184" spans="1:13" ht="21.6" x14ac:dyDescent="0.65">
      <c r="A184" s="195"/>
      <c r="B184" s="140">
        <v>181</v>
      </c>
      <c r="C184" s="2"/>
      <c r="D184" s="1"/>
      <c r="E184" s="3"/>
      <c r="F184" s="1"/>
      <c r="G184" s="141">
        <f>IF(Basic3456789101112131415161718192021222324252627[[#This Row],[نوع الخدمة]]="مخالفات", 50,
IF(Basic3456789101112131415161718192021222324252627[[#This Row],[نوع الخدمة]]="كاش ان",
    IF(F184&lt;=100, 18, IF(F184&lt;=250, 23, IF(F184&lt;=500, 35, IF(F184&lt;=1000, 40, F184*0.04)))),
IF(Basic3456789101112131415161718192021222324252627[[#This Row],[نوع الخدمة]]="كاش اوت",
    IF(F184&lt;=100, 15, IF(F184&lt;=250, 20, IF(F184&lt;=500, 30, IF(F184&lt;=1000, 35, F184*0.035)))),
0)))</f>
        <v>0</v>
      </c>
      <c r="H184" s="159">
        <f>IF(I184="مخالفات",50,Basic3456789101112131415161718192021222324252627[[#This Row],[قيمة الرسوم / العموله]]+Basic3456789101112131415161718192021222324252627[[#This Row],[قيمة الشحنه]])</f>
        <v>0</v>
      </c>
      <c r="I184" s="90"/>
      <c r="J184" s="142" t="str">
        <f t="shared" si="2"/>
        <v>6.5.2026</v>
      </c>
      <c r="L184" s="153">
        <v>173</v>
      </c>
      <c r="M184" s="92"/>
    </row>
    <row r="185" spans="1:13" ht="21.6" x14ac:dyDescent="0.65">
      <c r="A185" s="195"/>
      <c r="B185" s="144">
        <v>182</v>
      </c>
      <c r="C185" s="2"/>
      <c r="D185" s="1"/>
      <c r="E185" s="3"/>
      <c r="F185" s="1"/>
      <c r="G185" s="141">
        <f>IF(Basic3456789101112131415161718192021222324252627[[#This Row],[نوع الخدمة]]="مخالفات", 50,
IF(Basic3456789101112131415161718192021222324252627[[#This Row],[نوع الخدمة]]="كاش ان",
    IF(F185&lt;=100, 18, IF(F185&lt;=250, 23, IF(F185&lt;=500, 35, IF(F185&lt;=1000, 40, F185*0.04)))),
IF(Basic3456789101112131415161718192021222324252627[[#This Row],[نوع الخدمة]]="كاش اوت",
    IF(F185&lt;=100, 15, IF(F185&lt;=250, 20, IF(F185&lt;=500, 30, IF(F185&lt;=1000, 35, F185*0.035)))),
0)))</f>
        <v>0</v>
      </c>
      <c r="H185" s="159">
        <f>IF(I185="مخالفات",50,Basic3456789101112131415161718192021222324252627[[#This Row],[قيمة الرسوم / العموله]]+Basic3456789101112131415161718192021222324252627[[#This Row],[قيمة الشحنه]])</f>
        <v>0</v>
      </c>
      <c r="I185" s="90"/>
      <c r="J185" s="142" t="str">
        <f t="shared" si="2"/>
        <v>6.5.2026</v>
      </c>
      <c r="L185" s="153">
        <v>174</v>
      </c>
      <c r="M185" s="92"/>
    </row>
    <row r="186" spans="1:13" ht="21.6" x14ac:dyDescent="0.65">
      <c r="A186" s="195"/>
      <c r="B186" s="140">
        <v>183</v>
      </c>
      <c r="C186" s="2"/>
      <c r="D186" s="1"/>
      <c r="E186" s="3"/>
      <c r="F186" s="1"/>
      <c r="G186" s="141">
        <f>IF(Basic3456789101112131415161718192021222324252627[[#This Row],[نوع الخدمة]]="مخالفات", 50,
IF(Basic3456789101112131415161718192021222324252627[[#This Row],[نوع الخدمة]]="كاش ان",
    IF(F186&lt;=100, 18, IF(F186&lt;=250, 23, IF(F186&lt;=500, 35, IF(F186&lt;=1000, 40, F186*0.04)))),
IF(Basic3456789101112131415161718192021222324252627[[#This Row],[نوع الخدمة]]="كاش اوت",
    IF(F186&lt;=100, 15, IF(F186&lt;=250, 20, IF(F186&lt;=500, 30, IF(F186&lt;=1000, 35, F186*0.035)))),
0)))</f>
        <v>0</v>
      </c>
      <c r="H186" s="159">
        <f>IF(I186="مخالفات",50,Basic3456789101112131415161718192021222324252627[[#This Row],[قيمة الرسوم / العموله]]+Basic3456789101112131415161718192021222324252627[[#This Row],[قيمة الشحنه]])</f>
        <v>0</v>
      </c>
      <c r="I186" s="90"/>
      <c r="J186" s="142" t="str">
        <f t="shared" si="2"/>
        <v>6.5.2026</v>
      </c>
      <c r="L186" s="153">
        <v>175</v>
      </c>
      <c r="M186" s="92"/>
    </row>
    <row r="187" spans="1:13" ht="21.6" x14ac:dyDescent="0.65">
      <c r="A187" s="195"/>
      <c r="B187" s="140">
        <v>184</v>
      </c>
      <c r="C187" s="2"/>
      <c r="D187" s="1"/>
      <c r="E187" s="3"/>
      <c r="F187" s="1"/>
      <c r="G187" s="141">
        <f>IF(Basic3456789101112131415161718192021222324252627[[#This Row],[نوع الخدمة]]="مخالفات", 50,
IF(Basic3456789101112131415161718192021222324252627[[#This Row],[نوع الخدمة]]="كاش ان",
    IF(F187&lt;=100, 18, IF(F187&lt;=250, 23, IF(F187&lt;=500, 35, IF(F187&lt;=1000, 40, F187*0.04)))),
IF(Basic3456789101112131415161718192021222324252627[[#This Row],[نوع الخدمة]]="كاش اوت",
    IF(F187&lt;=100, 15, IF(F187&lt;=250, 20, IF(F187&lt;=500, 30, IF(F187&lt;=1000, 35, F187*0.035)))),
0)))</f>
        <v>0</v>
      </c>
      <c r="H187" s="159">
        <f>IF(I187="مخالفات",50,Basic3456789101112131415161718192021222324252627[[#This Row],[قيمة الرسوم / العموله]]+Basic3456789101112131415161718192021222324252627[[#This Row],[قيمة الشحنه]])</f>
        <v>0</v>
      </c>
      <c r="I187" s="90"/>
      <c r="J187" s="142" t="str">
        <f t="shared" si="2"/>
        <v>6.5.2026</v>
      </c>
      <c r="L187" s="153">
        <v>176</v>
      </c>
      <c r="M187" s="92"/>
    </row>
    <row r="188" spans="1:13" ht="21.6" x14ac:dyDescent="0.65">
      <c r="A188" s="195"/>
      <c r="B188" s="140">
        <v>185</v>
      </c>
      <c r="C188" s="2"/>
      <c r="D188" s="1"/>
      <c r="E188" s="3"/>
      <c r="F188" s="1"/>
      <c r="G188" s="141">
        <f>IF(Basic3456789101112131415161718192021222324252627[[#This Row],[نوع الخدمة]]="مخالفات", 50,
IF(Basic3456789101112131415161718192021222324252627[[#This Row],[نوع الخدمة]]="كاش ان",
    IF(F188&lt;=100, 18, IF(F188&lt;=250, 23, IF(F188&lt;=500, 35, IF(F188&lt;=1000, 40, F188*0.04)))),
IF(Basic3456789101112131415161718192021222324252627[[#This Row],[نوع الخدمة]]="كاش اوت",
    IF(F188&lt;=100, 15, IF(F188&lt;=250, 20, IF(F188&lt;=500, 30, IF(F188&lt;=1000, 35, F188*0.035)))),
0)))</f>
        <v>0</v>
      </c>
      <c r="H188" s="159">
        <f>IF(I188="مخالفات",50,Basic3456789101112131415161718192021222324252627[[#This Row],[قيمة الرسوم / العموله]]+Basic3456789101112131415161718192021222324252627[[#This Row],[قيمة الشحنه]])</f>
        <v>0</v>
      </c>
      <c r="I188" s="90"/>
      <c r="J188" s="142" t="str">
        <f t="shared" si="2"/>
        <v>6.5.2026</v>
      </c>
      <c r="L188" s="153">
        <v>177</v>
      </c>
      <c r="M188" s="92"/>
    </row>
    <row r="189" spans="1:13" ht="21.6" x14ac:dyDescent="0.65">
      <c r="A189" s="195"/>
      <c r="B189" s="144">
        <v>186</v>
      </c>
      <c r="C189" s="2"/>
      <c r="D189" s="1"/>
      <c r="E189" s="3"/>
      <c r="F189" s="1"/>
      <c r="G189" s="141">
        <f>IF(Basic3456789101112131415161718192021222324252627[[#This Row],[نوع الخدمة]]="مخالفات", 50,
IF(Basic3456789101112131415161718192021222324252627[[#This Row],[نوع الخدمة]]="كاش ان",
    IF(F189&lt;=100, 18, IF(F189&lt;=250, 23, IF(F189&lt;=500, 35, IF(F189&lt;=1000, 40, F189*0.04)))),
IF(Basic3456789101112131415161718192021222324252627[[#This Row],[نوع الخدمة]]="كاش اوت",
    IF(F189&lt;=100, 15, IF(F189&lt;=250, 20, IF(F189&lt;=500, 30, IF(F189&lt;=1000, 35, F189*0.035)))),
0)))</f>
        <v>0</v>
      </c>
      <c r="H189" s="159">
        <f>IF(I189="مخالفات",50,Basic3456789101112131415161718192021222324252627[[#This Row],[قيمة الرسوم / العموله]]+Basic3456789101112131415161718192021222324252627[[#This Row],[قيمة الشحنه]])</f>
        <v>0</v>
      </c>
      <c r="I189" s="90"/>
      <c r="J189" s="142" t="str">
        <f t="shared" si="2"/>
        <v>6.5.2026</v>
      </c>
      <c r="L189" s="153">
        <v>178</v>
      </c>
      <c r="M189" s="92"/>
    </row>
    <row r="190" spans="1:13" ht="21.6" x14ac:dyDescent="0.65">
      <c r="A190" s="195"/>
      <c r="B190" s="140">
        <v>187</v>
      </c>
      <c r="C190" s="2"/>
      <c r="D190" s="1"/>
      <c r="E190" s="3"/>
      <c r="F190" s="1"/>
      <c r="G190" s="141">
        <f>IF(Basic3456789101112131415161718192021222324252627[[#This Row],[نوع الخدمة]]="مخالفات", 50,
IF(Basic3456789101112131415161718192021222324252627[[#This Row],[نوع الخدمة]]="كاش ان",
    IF(F190&lt;=100, 18, IF(F190&lt;=250, 23, IF(F190&lt;=500, 35, IF(F190&lt;=1000, 40, F190*0.04)))),
IF(Basic3456789101112131415161718192021222324252627[[#This Row],[نوع الخدمة]]="كاش اوت",
    IF(F190&lt;=100, 15, IF(F190&lt;=250, 20, IF(F190&lt;=500, 30, IF(F190&lt;=1000, 35, F190*0.035)))),
0)))</f>
        <v>0</v>
      </c>
      <c r="H190" s="159">
        <f>IF(I190="مخالفات",50,Basic3456789101112131415161718192021222324252627[[#This Row],[قيمة الرسوم / العموله]]+Basic3456789101112131415161718192021222324252627[[#This Row],[قيمة الشحنه]])</f>
        <v>0</v>
      </c>
      <c r="I190" s="90"/>
      <c r="J190" s="142" t="str">
        <f t="shared" si="2"/>
        <v>6.5.2026</v>
      </c>
      <c r="L190" s="153">
        <v>179</v>
      </c>
      <c r="M190" s="92"/>
    </row>
    <row r="191" spans="1:13" ht="21.6" x14ac:dyDescent="0.65">
      <c r="A191" s="195"/>
      <c r="B191" s="140">
        <v>188</v>
      </c>
      <c r="C191" s="2"/>
      <c r="D191" s="1"/>
      <c r="E191" s="3"/>
      <c r="F191" s="1"/>
      <c r="G191" s="141">
        <f>IF(Basic3456789101112131415161718192021222324252627[[#This Row],[نوع الخدمة]]="مخالفات", 50,
IF(Basic3456789101112131415161718192021222324252627[[#This Row],[نوع الخدمة]]="كاش ان",
    IF(F191&lt;=100, 18, IF(F191&lt;=250, 23, IF(F191&lt;=500, 35, IF(F191&lt;=1000, 40, F191*0.04)))),
IF(Basic3456789101112131415161718192021222324252627[[#This Row],[نوع الخدمة]]="كاش اوت",
    IF(F191&lt;=100, 15, IF(F191&lt;=250, 20, IF(F191&lt;=500, 30, IF(F191&lt;=1000, 35, F191*0.035)))),
0)))</f>
        <v>0</v>
      </c>
      <c r="H191" s="159">
        <f>IF(I191="مخالفات",50,Basic3456789101112131415161718192021222324252627[[#This Row],[قيمة الرسوم / العموله]]+Basic3456789101112131415161718192021222324252627[[#This Row],[قيمة الشحنه]])</f>
        <v>0</v>
      </c>
      <c r="I191" s="90"/>
      <c r="J191" s="142" t="str">
        <f t="shared" si="2"/>
        <v>6.5.2026</v>
      </c>
      <c r="L191" s="153">
        <v>180</v>
      </c>
      <c r="M191" s="92"/>
    </row>
    <row r="192" spans="1:13" ht="21.6" x14ac:dyDescent="0.65">
      <c r="A192" s="195"/>
      <c r="B192" s="140">
        <v>189</v>
      </c>
      <c r="C192" s="2"/>
      <c r="D192" s="1"/>
      <c r="E192" s="3"/>
      <c r="F192" s="1"/>
      <c r="G192" s="141">
        <f>IF(Basic3456789101112131415161718192021222324252627[[#This Row],[نوع الخدمة]]="مخالفات", 50,
IF(Basic3456789101112131415161718192021222324252627[[#This Row],[نوع الخدمة]]="كاش ان",
    IF(F192&lt;=100, 18, IF(F192&lt;=250, 23, IF(F192&lt;=500, 35, IF(F192&lt;=1000, 40, F192*0.04)))),
IF(Basic3456789101112131415161718192021222324252627[[#This Row],[نوع الخدمة]]="كاش اوت",
    IF(F192&lt;=100, 15, IF(F192&lt;=250, 20, IF(F192&lt;=500, 30, IF(F192&lt;=1000, 35, F192*0.035)))),
0)))</f>
        <v>0</v>
      </c>
      <c r="H192" s="159">
        <f>IF(I192="مخالفات",50,Basic3456789101112131415161718192021222324252627[[#This Row],[قيمة الرسوم / العموله]]+Basic3456789101112131415161718192021222324252627[[#This Row],[قيمة الشحنه]])</f>
        <v>0</v>
      </c>
      <c r="I192" s="90"/>
      <c r="J192" s="142" t="str">
        <f t="shared" si="2"/>
        <v>6.5.2026</v>
      </c>
      <c r="L192" s="153">
        <v>181</v>
      </c>
      <c r="M192" s="92"/>
    </row>
    <row r="193" spans="1:13" ht="21.6" x14ac:dyDescent="0.65">
      <c r="A193" s="195"/>
      <c r="B193" s="144">
        <v>190</v>
      </c>
      <c r="C193" s="2"/>
      <c r="D193" s="1"/>
      <c r="E193" s="3"/>
      <c r="F193" s="1"/>
      <c r="G193" s="141">
        <f>IF(Basic3456789101112131415161718192021222324252627[[#This Row],[نوع الخدمة]]="مخالفات", 50,
IF(Basic3456789101112131415161718192021222324252627[[#This Row],[نوع الخدمة]]="كاش ان",
    IF(F193&lt;=100, 18, IF(F193&lt;=250, 23, IF(F193&lt;=500, 35, IF(F193&lt;=1000, 40, F193*0.04)))),
IF(Basic3456789101112131415161718192021222324252627[[#This Row],[نوع الخدمة]]="كاش اوت",
    IF(F193&lt;=100, 15, IF(F193&lt;=250, 20, IF(F193&lt;=500, 30, IF(F193&lt;=1000, 35, F193*0.035)))),
0)))</f>
        <v>0</v>
      </c>
      <c r="H193" s="159">
        <f>IF(I193="مخالفات",50,Basic3456789101112131415161718192021222324252627[[#This Row],[قيمة الرسوم / العموله]]+Basic3456789101112131415161718192021222324252627[[#This Row],[قيمة الشحنه]])</f>
        <v>0</v>
      </c>
      <c r="I193" s="90"/>
      <c r="J193" s="142" t="str">
        <f t="shared" si="2"/>
        <v>6.5.2026</v>
      </c>
      <c r="L193" s="153">
        <v>182</v>
      </c>
      <c r="M193" s="92"/>
    </row>
    <row r="194" spans="1:13" ht="21.6" x14ac:dyDescent="0.65">
      <c r="A194" s="195"/>
      <c r="B194" s="140">
        <v>191</v>
      </c>
      <c r="C194" s="2"/>
      <c r="D194" s="1"/>
      <c r="E194" s="3"/>
      <c r="F194" s="1"/>
      <c r="G194" s="141">
        <f>IF(Basic3456789101112131415161718192021222324252627[[#This Row],[نوع الخدمة]]="مخالفات", 50,
IF(Basic3456789101112131415161718192021222324252627[[#This Row],[نوع الخدمة]]="كاش ان",
    IF(F194&lt;=100, 18, IF(F194&lt;=250, 23, IF(F194&lt;=500, 35, IF(F194&lt;=1000, 40, F194*0.04)))),
IF(Basic3456789101112131415161718192021222324252627[[#This Row],[نوع الخدمة]]="كاش اوت",
    IF(F194&lt;=100, 15, IF(F194&lt;=250, 20, IF(F194&lt;=500, 30, IF(F194&lt;=1000, 35, F194*0.035)))),
0)))</f>
        <v>0</v>
      </c>
      <c r="H194" s="159">
        <f>IF(I194="مخالفات",50,Basic3456789101112131415161718192021222324252627[[#This Row],[قيمة الرسوم / العموله]]+Basic3456789101112131415161718192021222324252627[[#This Row],[قيمة الشحنه]])</f>
        <v>0</v>
      </c>
      <c r="I194" s="90"/>
      <c r="J194" s="142" t="str">
        <f t="shared" si="2"/>
        <v>6.5.2026</v>
      </c>
      <c r="L194" s="153">
        <v>183</v>
      </c>
      <c r="M194" s="92"/>
    </row>
    <row r="195" spans="1:13" ht="21.6" x14ac:dyDescent="0.65">
      <c r="A195" s="195"/>
      <c r="B195" s="140">
        <v>192</v>
      </c>
      <c r="C195" s="2"/>
      <c r="D195" s="1"/>
      <c r="E195" s="3"/>
      <c r="F195" s="1"/>
      <c r="G195" s="141">
        <f>IF(Basic3456789101112131415161718192021222324252627[[#This Row],[نوع الخدمة]]="مخالفات", 50,
IF(Basic3456789101112131415161718192021222324252627[[#This Row],[نوع الخدمة]]="كاش ان",
    IF(F195&lt;=100, 18, IF(F195&lt;=250, 23, IF(F195&lt;=500, 35, IF(F195&lt;=1000, 40, F195*0.04)))),
IF(Basic3456789101112131415161718192021222324252627[[#This Row],[نوع الخدمة]]="كاش اوت",
    IF(F195&lt;=100, 15, IF(F195&lt;=250, 20, IF(F195&lt;=500, 30, IF(F195&lt;=1000, 35, F195*0.035)))),
0)))</f>
        <v>0</v>
      </c>
      <c r="H195" s="159">
        <f>IF(I195="مخالفات",50,Basic3456789101112131415161718192021222324252627[[#This Row],[قيمة الرسوم / العموله]]+Basic3456789101112131415161718192021222324252627[[#This Row],[قيمة الشحنه]])</f>
        <v>0</v>
      </c>
      <c r="I195" s="90"/>
      <c r="J195" s="142" t="str">
        <f t="shared" si="2"/>
        <v>6.5.2026</v>
      </c>
      <c r="L195" s="153">
        <v>184</v>
      </c>
      <c r="M195" s="92"/>
    </row>
    <row r="196" spans="1:13" ht="21.6" x14ac:dyDescent="0.65">
      <c r="A196" s="195"/>
      <c r="B196" s="140">
        <v>193</v>
      </c>
      <c r="C196" s="2"/>
      <c r="D196" s="1"/>
      <c r="E196" s="3"/>
      <c r="F196" s="1"/>
      <c r="G196" s="141">
        <f>IF(Basic3456789101112131415161718192021222324252627[[#This Row],[نوع الخدمة]]="مخالفات", 50,
IF(Basic3456789101112131415161718192021222324252627[[#This Row],[نوع الخدمة]]="كاش ان",
    IF(F196&lt;=100, 18, IF(F196&lt;=250, 23, IF(F196&lt;=500, 35, IF(F196&lt;=1000, 40, F196*0.04)))),
IF(Basic3456789101112131415161718192021222324252627[[#This Row],[نوع الخدمة]]="كاش اوت",
    IF(F196&lt;=100, 15, IF(F196&lt;=250, 20, IF(F196&lt;=500, 30, IF(F196&lt;=1000, 35, F196*0.035)))),
0)))</f>
        <v>0</v>
      </c>
      <c r="H196" s="159">
        <f>IF(I196="مخالفات",50,Basic3456789101112131415161718192021222324252627[[#This Row],[قيمة الرسوم / العموله]]+Basic3456789101112131415161718192021222324252627[[#This Row],[قيمة الشحنه]])</f>
        <v>0</v>
      </c>
      <c r="I196" s="90"/>
      <c r="J196" s="142" t="str">
        <f t="shared" ref="J196:J226" si="3">M$3</f>
        <v>6.5.2026</v>
      </c>
      <c r="L196" s="153">
        <v>185</v>
      </c>
      <c r="M196" s="92"/>
    </row>
    <row r="197" spans="1:13" ht="21.6" x14ac:dyDescent="0.65">
      <c r="A197" s="195"/>
      <c r="B197" s="144">
        <v>194</v>
      </c>
      <c r="C197" s="2"/>
      <c r="D197" s="1"/>
      <c r="E197" s="3"/>
      <c r="F197" s="1"/>
      <c r="G197" s="141">
        <f>IF(Basic3456789101112131415161718192021222324252627[[#This Row],[نوع الخدمة]]="مخالفات", 50,
IF(Basic3456789101112131415161718192021222324252627[[#This Row],[نوع الخدمة]]="كاش ان",
    IF(F197&lt;=100, 18, IF(F197&lt;=250, 23, IF(F197&lt;=500, 35, IF(F197&lt;=1000, 40, F197*0.04)))),
IF(Basic3456789101112131415161718192021222324252627[[#This Row],[نوع الخدمة]]="كاش اوت",
    IF(F197&lt;=100, 15, IF(F197&lt;=250, 20, IF(F197&lt;=500, 30, IF(F197&lt;=1000, 35, F197*0.035)))),
0)))</f>
        <v>0</v>
      </c>
      <c r="H197" s="159">
        <f>IF(I197="مخالفات",50,Basic3456789101112131415161718192021222324252627[[#This Row],[قيمة الرسوم / العموله]]+Basic3456789101112131415161718192021222324252627[[#This Row],[قيمة الشحنه]])</f>
        <v>0</v>
      </c>
      <c r="I197" s="90"/>
      <c r="J197" s="142" t="str">
        <f t="shared" si="3"/>
        <v>6.5.2026</v>
      </c>
      <c r="L197" s="153">
        <v>186</v>
      </c>
      <c r="M197" s="92"/>
    </row>
    <row r="198" spans="1:13" ht="21.6" x14ac:dyDescent="0.65">
      <c r="A198" s="195"/>
      <c r="B198" s="140">
        <v>195</v>
      </c>
      <c r="C198" s="2"/>
      <c r="D198" s="1"/>
      <c r="E198" s="3"/>
      <c r="F198" s="1"/>
      <c r="G198" s="141">
        <f>IF(Basic3456789101112131415161718192021222324252627[[#This Row],[نوع الخدمة]]="مخالفات", 50,
IF(Basic3456789101112131415161718192021222324252627[[#This Row],[نوع الخدمة]]="كاش ان",
    IF(F198&lt;=100, 18, IF(F198&lt;=250, 23, IF(F198&lt;=500, 35, IF(F198&lt;=1000, 40, F198*0.04)))),
IF(Basic3456789101112131415161718192021222324252627[[#This Row],[نوع الخدمة]]="كاش اوت",
    IF(F198&lt;=100, 15, IF(F198&lt;=250, 20, IF(F198&lt;=500, 30, IF(F198&lt;=1000, 35, F198*0.035)))),
0)))</f>
        <v>0</v>
      </c>
      <c r="H198" s="159">
        <f>IF(I198="مخالفات",50,Basic3456789101112131415161718192021222324252627[[#This Row],[قيمة الرسوم / العموله]]+Basic3456789101112131415161718192021222324252627[[#This Row],[قيمة الشحنه]])</f>
        <v>0</v>
      </c>
      <c r="I198" s="90"/>
      <c r="J198" s="142" t="str">
        <f t="shared" si="3"/>
        <v>6.5.2026</v>
      </c>
      <c r="L198" s="153">
        <v>187</v>
      </c>
      <c r="M198" s="92"/>
    </row>
    <row r="199" spans="1:13" ht="21.6" x14ac:dyDescent="0.65">
      <c r="A199" s="195"/>
      <c r="B199" s="140">
        <v>196</v>
      </c>
      <c r="C199" s="2"/>
      <c r="D199" s="1"/>
      <c r="E199" s="3"/>
      <c r="F199" s="1"/>
      <c r="G199" s="141">
        <f>IF(Basic3456789101112131415161718192021222324252627[[#This Row],[نوع الخدمة]]="مخالفات", 50,
IF(Basic3456789101112131415161718192021222324252627[[#This Row],[نوع الخدمة]]="كاش ان",
    IF(F199&lt;=100, 18, IF(F199&lt;=250, 23, IF(F199&lt;=500, 35, IF(F199&lt;=1000, 40, F199*0.04)))),
IF(Basic3456789101112131415161718192021222324252627[[#This Row],[نوع الخدمة]]="كاش اوت",
    IF(F199&lt;=100, 15, IF(F199&lt;=250, 20, IF(F199&lt;=500, 30, IF(F199&lt;=1000, 35, F199*0.035)))),
0)))</f>
        <v>0</v>
      </c>
      <c r="H199" s="159">
        <f>IF(I199="مخالفات",50,Basic3456789101112131415161718192021222324252627[[#This Row],[قيمة الرسوم / العموله]]+Basic3456789101112131415161718192021222324252627[[#This Row],[قيمة الشحنه]])</f>
        <v>0</v>
      </c>
      <c r="I199" s="90"/>
      <c r="J199" s="142" t="str">
        <f t="shared" si="3"/>
        <v>6.5.2026</v>
      </c>
      <c r="L199" s="153">
        <v>188</v>
      </c>
      <c r="M199" s="92"/>
    </row>
    <row r="200" spans="1:13" ht="21.6" x14ac:dyDescent="0.65">
      <c r="A200" s="195"/>
      <c r="B200" s="140">
        <v>197</v>
      </c>
      <c r="C200" s="2"/>
      <c r="D200" s="1"/>
      <c r="E200" s="3"/>
      <c r="F200" s="1"/>
      <c r="G200" s="141">
        <f>IF(Basic3456789101112131415161718192021222324252627[[#This Row],[نوع الخدمة]]="مخالفات", 50,
IF(Basic3456789101112131415161718192021222324252627[[#This Row],[نوع الخدمة]]="كاش ان",
    IF(F200&lt;=100, 18, IF(F200&lt;=250, 23, IF(F200&lt;=500, 35, IF(F200&lt;=1000, 40, F200*0.04)))),
IF(Basic3456789101112131415161718192021222324252627[[#This Row],[نوع الخدمة]]="كاش اوت",
    IF(F200&lt;=100, 15, IF(F200&lt;=250, 20, IF(F200&lt;=500, 30, IF(F200&lt;=1000, 35, F200*0.035)))),
0)))</f>
        <v>0</v>
      </c>
      <c r="H200" s="159">
        <f>IF(I200="مخالفات",50,Basic3456789101112131415161718192021222324252627[[#This Row],[قيمة الرسوم / العموله]]+Basic3456789101112131415161718192021222324252627[[#This Row],[قيمة الشحنه]])</f>
        <v>0</v>
      </c>
      <c r="I200" s="90"/>
      <c r="J200" s="142" t="str">
        <f t="shared" si="3"/>
        <v>6.5.2026</v>
      </c>
      <c r="L200" s="153">
        <v>189</v>
      </c>
      <c r="M200" s="92"/>
    </row>
    <row r="201" spans="1:13" ht="21.6" x14ac:dyDescent="0.65">
      <c r="A201" s="195"/>
      <c r="B201" s="144">
        <v>198</v>
      </c>
      <c r="C201" s="2"/>
      <c r="D201" s="1"/>
      <c r="E201" s="3"/>
      <c r="F201" s="1"/>
      <c r="G201" s="141">
        <f>IF(Basic3456789101112131415161718192021222324252627[[#This Row],[نوع الخدمة]]="مخالفات", 50,
IF(Basic3456789101112131415161718192021222324252627[[#This Row],[نوع الخدمة]]="كاش ان",
    IF(F201&lt;=100, 18, IF(F201&lt;=250, 23, IF(F201&lt;=500, 35, IF(F201&lt;=1000, 40, F201*0.04)))),
IF(Basic3456789101112131415161718192021222324252627[[#This Row],[نوع الخدمة]]="كاش اوت",
    IF(F201&lt;=100, 15, IF(F201&lt;=250, 20, IF(F201&lt;=500, 30, IF(F201&lt;=1000, 35, F201*0.035)))),
0)))</f>
        <v>0</v>
      </c>
      <c r="H201" s="159">
        <f>IF(I201="مخالفات",50,Basic3456789101112131415161718192021222324252627[[#This Row],[قيمة الرسوم / العموله]]+Basic3456789101112131415161718192021222324252627[[#This Row],[قيمة الشحنه]])</f>
        <v>0</v>
      </c>
      <c r="I201" s="90"/>
      <c r="J201" s="142" t="str">
        <f t="shared" si="3"/>
        <v>6.5.2026</v>
      </c>
      <c r="L201" s="153">
        <v>190</v>
      </c>
      <c r="M201" s="92"/>
    </row>
    <row r="202" spans="1:13" ht="21.6" x14ac:dyDescent="0.65">
      <c r="A202" s="195"/>
      <c r="B202" s="140">
        <v>199</v>
      </c>
      <c r="C202" s="2"/>
      <c r="D202" s="1"/>
      <c r="E202" s="3"/>
      <c r="F202" s="1"/>
      <c r="G202" s="141">
        <f>IF(Basic3456789101112131415161718192021222324252627[[#This Row],[نوع الخدمة]]="مخالفات", 50,
IF(Basic3456789101112131415161718192021222324252627[[#This Row],[نوع الخدمة]]="كاش ان",
    IF(F202&lt;=100, 18, IF(F202&lt;=250, 23, IF(F202&lt;=500, 35, IF(F202&lt;=1000, 40, F202*0.04)))),
IF(Basic3456789101112131415161718192021222324252627[[#This Row],[نوع الخدمة]]="كاش اوت",
    IF(F202&lt;=100, 15, IF(F202&lt;=250, 20, IF(F202&lt;=500, 30, IF(F202&lt;=1000, 35, F202*0.035)))),
0)))</f>
        <v>0</v>
      </c>
      <c r="H202" s="159">
        <f>IF(I202="مخالفات",50,Basic3456789101112131415161718192021222324252627[[#This Row],[قيمة الرسوم / العموله]]+Basic3456789101112131415161718192021222324252627[[#This Row],[قيمة الشحنه]])</f>
        <v>0</v>
      </c>
      <c r="I202" s="90"/>
      <c r="J202" s="142" t="str">
        <f t="shared" si="3"/>
        <v>6.5.2026</v>
      </c>
      <c r="L202" s="153">
        <v>191</v>
      </c>
      <c r="M202" s="92"/>
    </row>
    <row r="203" spans="1:13" ht="21.6" x14ac:dyDescent="0.65">
      <c r="A203" s="195"/>
      <c r="B203" s="140">
        <v>200</v>
      </c>
      <c r="C203" s="2"/>
      <c r="D203" s="1"/>
      <c r="E203" s="3"/>
      <c r="F203" s="1"/>
      <c r="G203" s="141">
        <f>IF(Basic3456789101112131415161718192021222324252627[[#This Row],[نوع الخدمة]]="مخالفات", 50,
IF(Basic3456789101112131415161718192021222324252627[[#This Row],[نوع الخدمة]]="كاش ان",
    IF(F203&lt;=100, 18, IF(F203&lt;=250, 23, IF(F203&lt;=500, 35, IF(F203&lt;=1000, 40, F203*0.04)))),
IF(Basic3456789101112131415161718192021222324252627[[#This Row],[نوع الخدمة]]="كاش اوت",
    IF(F203&lt;=100, 15, IF(F203&lt;=250, 20, IF(F203&lt;=500, 30, IF(F203&lt;=1000, 35, F203*0.035)))),
0)))</f>
        <v>0</v>
      </c>
      <c r="H203" s="159">
        <f>IF(I203="مخالفات",50,Basic3456789101112131415161718192021222324252627[[#This Row],[قيمة الرسوم / العموله]]+Basic3456789101112131415161718192021222324252627[[#This Row],[قيمة الشحنه]])</f>
        <v>0</v>
      </c>
      <c r="I203" s="90"/>
      <c r="J203" s="142" t="str">
        <f t="shared" si="3"/>
        <v>6.5.2026</v>
      </c>
      <c r="L203" s="153">
        <v>192</v>
      </c>
      <c r="M203" s="92"/>
    </row>
    <row r="204" spans="1:13" ht="21.6" x14ac:dyDescent="0.65">
      <c r="A204" s="195"/>
      <c r="B204" s="140">
        <v>201</v>
      </c>
      <c r="C204" s="2"/>
      <c r="D204" s="1"/>
      <c r="E204" s="3"/>
      <c r="F204" s="1"/>
      <c r="G204" s="141">
        <f>IF(Basic3456789101112131415161718192021222324252627[[#This Row],[نوع الخدمة]]="مخالفات", 50,
IF(Basic3456789101112131415161718192021222324252627[[#This Row],[نوع الخدمة]]="كاش ان",
    IF(F204&lt;=100, 18, IF(F204&lt;=250, 23, IF(F204&lt;=500, 35, IF(F204&lt;=1000, 40, F204*0.04)))),
IF(Basic3456789101112131415161718192021222324252627[[#This Row],[نوع الخدمة]]="كاش اوت",
    IF(F204&lt;=100, 15, IF(F204&lt;=250, 20, IF(F204&lt;=500, 30, IF(F204&lt;=1000, 35, F204*0.035)))),
0)))</f>
        <v>0</v>
      </c>
      <c r="H204" s="159">
        <f>IF(I204="مخالفات",50,Basic3456789101112131415161718192021222324252627[[#This Row],[قيمة الرسوم / العموله]]+Basic3456789101112131415161718192021222324252627[[#This Row],[قيمة الشحنه]])</f>
        <v>0</v>
      </c>
      <c r="I204" s="90"/>
      <c r="J204" s="142" t="str">
        <f t="shared" si="3"/>
        <v>6.5.2026</v>
      </c>
      <c r="L204" s="153">
        <v>193</v>
      </c>
      <c r="M204" s="92"/>
    </row>
    <row r="205" spans="1:13" ht="21.6" x14ac:dyDescent="0.65">
      <c r="A205" s="195"/>
      <c r="B205" s="144">
        <v>202</v>
      </c>
      <c r="C205" s="2"/>
      <c r="D205" s="1"/>
      <c r="E205" s="3"/>
      <c r="F205" s="1"/>
      <c r="G205" s="141">
        <f>IF(Basic3456789101112131415161718192021222324252627[[#This Row],[نوع الخدمة]]="مخالفات", 50,
IF(Basic3456789101112131415161718192021222324252627[[#This Row],[نوع الخدمة]]="كاش ان",
    IF(F205&lt;=100, 18, IF(F205&lt;=250, 23, IF(F205&lt;=500, 35, IF(F205&lt;=1000, 40, F205*0.04)))),
IF(Basic3456789101112131415161718192021222324252627[[#This Row],[نوع الخدمة]]="كاش اوت",
    IF(F205&lt;=100, 15, IF(F205&lt;=250, 20, IF(F205&lt;=500, 30, IF(F205&lt;=1000, 35, F205*0.035)))),
0)))</f>
        <v>0</v>
      </c>
      <c r="H205" s="159">
        <f>IF(I205="مخالفات",50,Basic3456789101112131415161718192021222324252627[[#This Row],[قيمة الرسوم / العموله]]+Basic3456789101112131415161718192021222324252627[[#This Row],[قيمة الشحنه]])</f>
        <v>0</v>
      </c>
      <c r="I205" s="90"/>
      <c r="J205" s="142" t="str">
        <f t="shared" si="3"/>
        <v>6.5.2026</v>
      </c>
      <c r="L205" s="153">
        <v>194</v>
      </c>
      <c r="M205" s="92"/>
    </row>
    <row r="206" spans="1:13" ht="21.6" x14ac:dyDescent="0.65">
      <c r="A206" s="195"/>
      <c r="B206" s="140">
        <v>203</v>
      </c>
      <c r="C206" s="2"/>
      <c r="D206" s="1"/>
      <c r="E206" s="3"/>
      <c r="F206" s="1"/>
      <c r="G206" s="141">
        <f>IF(Basic3456789101112131415161718192021222324252627[[#This Row],[نوع الخدمة]]="مخالفات", 50,
IF(Basic3456789101112131415161718192021222324252627[[#This Row],[نوع الخدمة]]="كاش ان",
    IF(F206&lt;=100, 18, IF(F206&lt;=250, 23, IF(F206&lt;=500, 35, IF(F206&lt;=1000, 40, F206*0.04)))),
IF(Basic3456789101112131415161718192021222324252627[[#This Row],[نوع الخدمة]]="كاش اوت",
    IF(F206&lt;=100, 15, IF(F206&lt;=250, 20, IF(F206&lt;=500, 30, IF(F206&lt;=1000, 35, F206*0.035)))),
0)))</f>
        <v>0</v>
      </c>
      <c r="H206" s="159">
        <f>IF(I206="مخالفات",50,Basic3456789101112131415161718192021222324252627[[#This Row],[قيمة الرسوم / العموله]]+Basic3456789101112131415161718192021222324252627[[#This Row],[قيمة الشحنه]])</f>
        <v>0</v>
      </c>
      <c r="I206" s="90"/>
      <c r="J206" s="142" t="str">
        <f t="shared" si="3"/>
        <v>6.5.2026</v>
      </c>
      <c r="L206" s="153">
        <v>195</v>
      </c>
      <c r="M206" s="92"/>
    </row>
    <row r="207" spans="1:13" ht="21.6" x14ac:dyDescent="0.65">
      <c r="A207" s="195"/>
      <c r="B207" s="140">
        <v>204</v>
      </c>
      <c r="C207" s="2"/>
      <c r="D207" s="1"/>
      <c r="E207" s="3"/>
      <c r="F207" s="1"/>
      <c r="G207" s="141">
        <f>IF(Basic3456789101112131415161718192021222324252627[[#This Row],[نوع الخدمة]]="مخالفات", 50,
IF(Basic3456789101112131415161718192021222324252627[[#This Row],[نوع الخدمة]]="كاش ان",
    IF(F207&lt;=100, 18, IF(F207&lt;=250, 23, IF(F207&lt;=500, 35, IF(F207&lt;=1000, 40, F207*0.04)))),
IF(Basic3456789101112131415161718192021222324252627[[#This Row],[نوع الخدمة]]="كاش اوت",
    IF(F207&lt;=100, 15, IF(F207&lt;=250, 20, IF(F207&lt;=500, 30, IF(F207&lt;=1000, 35, F207*0.035)))),
0)))</f>
        <v>0</v>
      </c>
      <c r="H207" s="159">
        <f>IF(I207="مخالفات",50,Basic3456789101112131415161718192021222324252627[[#This Row],[قيمة الرسوم / العموله]]+Basic3456789101112131415161718192021222324252627[[#This Row],[قيمة الشحنه]])</f>
        <v>0</v>
      </c>
      <c r="I207" s="90"/>
      <c r="J207" s="142" t="str">
        <f t="shared" si="3"/>
        <v>6.5.2026</v>
      </c>
      <c r="L207" s="153">
        <v>196</v>
      </c>
      <c r="M207" s="92"/>
    </row>
    <row r="208" spans="1:13" ht="21.6" x14ac:dyDescent="0.65">
      <c r="A208" s="195"/>
      <c r="B208" s="140">
        <v>205</v>
      </c>
      <c r="C208" s="2"/>
      <c r="D208" s="1"/>
      <c r="E208" s="3"/>
      <c r="F208" s="1"/>
      <c r="G208" s="141">
        <f>IF(Basic3456789101112131415161718192021222324252627[[#This Row],[نوع الخدمة]]="مخالفات", 50,
IF(Basic3456789101112131415161718192021222324252627[[#This Row],[نوع الخدمة]]="كاش ان",
    IF(F208&lt;=100, 18, IF(F208&lt;=250, 23, IF(F208&lt;=500, 35, IF(F208&lt;=1000, 40, F208*0.04)))),
IF(Basic3456789101112131415161718192021222324252627[[#This Row],[نوع الخدمة]]="كاش اوت",
    IF(F208&lt;=100, 15, IF(F208&lt;=250, 20, IF(F208&lt;=500, 30, IF(F208&lt;=1000, 35, F208*0.035)))),
0)))</f>
        <v>0</v>
      </c>
      <c r="H208" s="159">
        <f>IF(I208="مخالفات",50,Basic3456789101112131415161718192021222324252627[[#This Row],[قيمة الرسوم / العموله]]+Basic3456789101112131415161718192021222324252627[[#This Row],[قيمة الشحنه]])</f>
        <v>0</v>
      </c>
      <c r="I208" s="90"/>
      <c r="J208" s="142" t="str">
        <f t="shared" si="3"/>
        <v>6.5.2026</v>
      </c>
      <c r="L208" s="153">
        <v>197</v>
      </c>
      <c r="M208" s="92"/>
    </row>
    <row r="209" spans="1:13" ht="21.6" x14ac:dyDescent="0.65">
      <c r="A209" s="195"/>
      <c r="B209" s="144">
        <v>206</v>
      </c>
      <c r="C209" s="2"/>
      <c r="D209" s="1"/>
      <c r="E209" s="3"/>
      <c r="F209" s="1"/>
      <c r="G209" s="141">
        <f>IF(Basic3456789101112131415161718192021222324252627[[#This Row],[نوع الخدمة]]="مخالفات", 50,
IF(Basic3456789101112131415161718192021222324252627[[#This Row],[نوع الخدمة]]="كاش ان",
    IF(F209&lt;=100, 18, IF(F209&lt;=250, 23, IF(F209&lt;=500, 35, IF(F209&lt;=1000, 40, F209*0.04)))),
IF(Basic3456789101112131415161718192021222324252627[[#This Row],[نوع الخدمة]]="كاش اوت",
    IF(F209&lt;=100, 15, IF(F209&lt;=250, 20, IF(F209&lt;=500, 30, IF(F209&lt;=1000, 35, F209*0.035)))),
0)))</f>
        <v>0</v>
      </c>
      <c r="H209" s="159">
        <f>IF(I209="مخالفات",50,Basic3456789101112131415161718192021222324252627[[#This Row],[قيمة الرسوم / العموله]]+Basic3456789101112131415161718192021222324252627[[#This Row],[قيمة الشحنه]])</f>
        <v>0</v>
      </c>
      <c r="I209" s="90"/>
      <c r="J209" s="142" t="str">
        <f t="shared" si="3"/>
        <v>6.5.2026</v>
      </c>
      <c r="L209" s="153">
        <v>198</v>
      </c>
      <c r="M209" s="92"/>
    </row>
    <row r="210" spans="1:13" ht="21.6" x14ac:dyDescent="0.65">
      <c r="A210" s="195"/>
      <c r="B210" s="140">
        <v>207</v>
      </c>
      <c r="C210" s="2"/>
      <c r="D210" s="1"/>
      <c r="E210" s="3"/>
      <c r="F210" s="1"/>
      <c r="G210" s="141">
        <f>IF(Basic3456789101112131415161718192021222324252627[[#This Row],[نوع الخدمة]]="مخالفات", 50,
IF(Basic3456789101112131415161718192021222324252627[[#This Row],[نوع الخدمة]]="كاش ان",
    IF(F210&lt;=100, 18, IF(F210&lt;=250, 23, IF(F210&lt;=500, 35, IF(F210&lt;=1000, 40, F210*0.04)))),
IF(Basic3456789101112131415161718192021222324252627[[#This Row],[نوع الخدمة]]="كاش اوت",
    IF(F210&lt;=100, 15, IF(F210&lt;=250, 20, IF(F210&lt;=500, 30, IF(F210&lt;=1000, 35, F210*0.035)))),
0)))</f>
        <v>0</v>
      </c>
      <c r="H210" s="159">
        <f>IF(I210="مخالفات",50,Basic3456789101112131415161718192021222324252627[[#This Row],[قيمة الرسوم / العموله]]+Basic3456789101112131415161718192021222324252627[[#This Row],[قيمة الشحنه]])</f>
        <v>0</v>
      </c>
      <c r="I210" s="90"/>
      <c r="J210" s="142" t="str">
        <f t="shared" si="3"/>
        <v>6.5.2026</v>
      </c>
      <c r="L210" s="153">
        <v>199</v>
      </c>
      <c r="M210" s="92"/>
    </row>
    <row r="211" spans="1:13" ht="21.6" x14ac:dyDescent="0.65">
      <c r="A211" s="195"/>
      <c r="B211" s="140">
        <v>208</v>
      </c>
      <c r="C211" s="2"/>
      <c r="D211" s="1"/>
      <c r="E211" s="3"/>
      <c r="F211" s="1"/>
      <c r="G211" s="141">
        <f>IF(Basic3456789101112131415161718192021222324252627[[#This Row],[نوع الخدمة]]="مخالفات", 50,
IF(Basic3456789101112131415161718192021222324252627[[#This Row],[نوع الخدمة]]="كاش ان",
    IF(F211&lt;=100, 18, IF(F211&lt;=250, 23, IF(F211&lt;=500, 35, IF(F211&lt;=1000, 40, F211*0.04)))),
IF(Basic3456789101112131415161718192021222324252627[[#This Row],[نوع الخدمة]]="كاش اوت",
    IF(F211&lt;=100, 15, IF(F211&lt;=250, 20, IF(F211&lt;=500, 30, IF(F211&lt;=1000, 35, F211*0.035)))),
0)))</f>
        <v>0</v>
      </c>
      <c r="H211" s="159">
        <f>IF(I211="مخالفات",50,Basic3456789101112131415161718192021222324252627[[#This Row],[قيمة الرسوم / العموله]]+Basic3456789101112131415161718192021222324252627[[#This Row],[قيمة الشحنه]])</f>
        <v>0</v>
      </c>
      <c r="I211" s="90"/>
      <c r="J211" s="142" t="str">
        <f t="shared" si="3"/>
        <v>6.5.2026</v>
      </c>
      <c r="L211" s="153">
        <v>200</v>
      </c>
      <c r="M211" s="92"/>
    </row>
    <row r="212" spans="1:13" ht="21.6" x14ac:dyDescent="0.65">
      <c r="A212" s="195"/>
      <c r="B212" s="140">
        <v>209</v>
      </c>
      <c r="C212" s="2"/>
      <c r="D212" s="1"/>
      <c r="E212" s="3"/>
      <c r="F212" s="1"/>
      <c r="G212" s="141">
        <f>IF(Basic3456789101112131415161718192021222324252627[[#This Row],[نوع الخدمة]]="مخالفات", 50,
IF(Basic3456789101112131415161718192021222324252627[[#This Row],[نوع الخدمة]]="كاش ان",
    IF(F212&lt;=100, 18, IF(F212&lt;=250, 23, IF(F212&lt;=500, 35, IF(F212&lt;=1000, 40, F212*0.04)))),
IF(Basic3456789101112131415161718192021222324252627[[#This Row],[نوع الخدمة]]="كاش اوت",
    IF(F212&lt;=100, 15, IF(F212&lt;=250, 20, IF(F212&lt;=500, 30, IF(F212&lt;=1000, 35, F212*0.035)))),
0)))</f>
        <v>0</v>
      </c>
      <c r="H212" s="159">
        <f>IF(I212="مخالفات",50,Basic3456789101112131415161718192021222324252627[[#This Row],[قيمة الرسوم / العموله]]+Basic3456789101112131415161718192021222324252627[[#This Row],[قيمة الشحنه]])</f>
        <v>0</v>
      </c>
      <c r="I212" s="90"/>
      <c r="J212" s="142" t="str">
        <f t="shared" si="3"/>
        <v>6.5.2026</v>
      </c>
      <c r="L212" s="153">
        <v>201</v>
      </c>
      <c r="M212" s="92"/>
    </row>
    <row r="213" spans="1:13" ht="21.6" x14ac:dyDescent="0.65">
      <c r="A213" s="195"/>
      <c r="B213" s="144">
        <v>210</v>
      </c>
      <c r="C213" s="2"/>
      <c r="D213" s="1"/>
      <c r="E213" s="3"/>
      <c r="F213" s="1"/>
      <c r="G213" s="141">
        <f>IF(Basic3456789101112131415161718192021222324252627[[#This Row],[نوع الخدمة]]="مخالفات", 50,
IF(Basic3456789101112131415161718192021222324252627[[#This Row],[نوع الخدمة]]="كاش ان",
    IF(F213&lt;=100, 18, IF(F213&lt;=250, 23, IF(F213&lt;=500, 35, IF(F213&lt;=1000, 40, F213*0.04)))),
IF(Basic3456789101112131415161718192021222324252627[[#This Row],[نوع الخدمة]]="كاش اوت",
    IF(F213&lt;=100, 15, IF(F213&lt;=250, 20, IF(F213&lt;=500, 30, IF(F213&lt;=1000, 35, F213*0.035)))),
0)))</f>
        <v>0</v>
      </c>
      <c r="H213" s="159">
        <f>IF(I213="مخالفات",50,Basic3456789101112131415161718192021222324252627[[#This Row],[قيمة الرسوم / العموله]]+Basic3456789101112131415161718192021222324252627[[#This Row],[قيمة الشحنه]])</f>
        <v>0</v>
      </c>
      <c r="I213" s="90"/>
      <c r="J213" s="142" t="str">
        <f t="shared" si="3"/>
        <v>6.5.2026</v>
      </c>
      <c r="L213" s="153">
        <v>202</v>
      </c>
      <c r="M213" s="92"/>
    </row>
    <row r="214" spans="1:13" ht="21.6" x14ac:dyDescent="0.65">
      <c r="A214" s="195"/>
      <c r="B214" s="140">
        <v>211</v>
      </c>
      <c r="C214" s="2"/>
      <c r="D214" s="1"/>
      <c r="E214" s="3"/>
      <c r="F214" s="1"/>
      <c r="G214" s="141">
        <f>IF(Basic3456789101112131415161718192021222324252627[[#This Row],[نوع الخدمة]]="مخالفات", 50,
IF(Basic3456789101112131415161718192021222324252627[[#This Row],[نوع الخدمة]]="كاش ان",
    IF(F214&lt;=100, 18, IF(F214&lt;=250, 23, IF(F214&lt;=500, 35, IF(F214&lt;=1000, 40, F214*0.04)))),
IF(Basic3456789101112131415161718192021222324252627[[#This Row],[نوع الخدمة]]="كاش اوت",
    IF(F214&lt;=100, 15, IF(F214&lt;=250, 20, IF(F214&lt;=500, 30, IF(F214&lt;=1000, 35, F214*0.035)))),
0)))</f>
        <v>0</v>
      </c>
      <c r="H214" s="159">
        <f>IF(I214="مخالفات",50,Basic3456789101112131415161718192021222324252627[[#This Row],[قيمة الرسوم / العموله]]+Basic3456789101112131415161718192021222324252627[[#This Row],[قيمة الشحنه]])</f>
        <v>0</v>
      </c>
      <c r="I214" s="90"/>
      <c r="J214" s="142" t="str">
        <f t="shared" si="3"/>
        <v>6.5.2026</v>
      </c>
      <c r="L214" s="153">
        <v>203</v>
      </c>
      <c r="M214" s="92"/>
    </row>
    <row r="215" spans="1:13" ht="21.6" x14ac:dyDescent="0.65">
      <c r="A215" s="195"/>
      <c r="B215" s="140">
        <v>212</v>
      </c>
      <c r="C215" s="2"/>
      <c r="D215" s="1"/>
      <c r="E215" s="3"/>
      <c r="F215" s="1"/>
      <c r="G215" s="141">
        <f>IF(Basic3456789101112131415161718192021222324252627[[#This Row],[نوع الخدمة]]="مخالفات", 50,
IF(Basic3456789101112131415161718192021222324252627[[#This Row],[نوع الخدمة]]="كاش ان",
    IF(F215&lt;=100, 18, IF(F215&lt;=250, 23, IF(F215&lt;=500, 35, IF(F215&lt;=1000, 40, F215*0.04)))),
IF(Basic3456789101112131415161718192021222324252627[[#This Row],[نوع الخدمة]]="كاش اوت",
    IF(F215&lt;=100, 15, IF(F215&lt;=250, 20, IF(F215&lt;=500, 30, IF(F215&lt;=1000, 35, F215*0.035)))),
0)))</f>
        <v>0</v>
      </c>
      <c r="H215" s="159">
        <f>IF(I215="مخالفات",50,Basic3456789101112131415161718192021222324252627[[#This Row],[قيمة الرسوم / العموله]]+Basic3456789101112131415161718192021222324252627[[#This Row],[قيمة الشحنه]])</f>
        <v>0</v>
      </c>
      <c r="I215" s="90"/>
      <c r="J215" s="142" t="str">
        <f t="shared" si="3"/>
        <v>6.5.2026</v>
      </c>
      <c r="L215" s="153">
        <v>204</v>
      </c>
      <c r="M215" s="92"/>
    </row>
    <row r="216" spans="1:13" ht="21.6" x14ac:dyDescent="0.65">
      <c r="A216" s="195"/>
      <c r="B216" s="140">
        <v>213</v>
      </c>
      <c r="C216" s="2"/>
      <c r="D216" s="1"/>
      <c r="E216" s="3"/>
      <c r="F216" s="1"/>
      <c r="G216" s="141">
        <f>IF(Basic3456789101112131415161718192021222324252627[[#This Row],[نوع الخدمة]]="مخالفات", 50,
IF(Basic3456789101112131415161718192021222324252627[[#This Row],[نوع الخدمة]]="كاش ان",
    IF(F216&lt;=100, 18, IF(F216&lt;=250, 23, IF(F216&lt;=500, 35, IF(F216&lt;=1000, 40, F216*0.04)))),
IF(Basic3456789101112131415161718192021222324252627[[#This Row],[نوع الخدمة]]="كاش اوت",
    IF(F216&lt;=100, 15, IF(F216&lt;=250, 20, IF(F216&lt;=500, 30, IF(F216&lt;=1000, 35, F216*0.035)))),
0)))</f>
        <v>0</v>
      </c>
      <c r="H216" s="159">
        <f>IF(I216="مخالفات",50,Basic3456789101112131415161718192021222324252627[[#This Row],[قيمة الرسوم / العموله]]+Basic3456789101112131415161718192021222324252627[[#This Row],[قيمة الشحنه]])</f>
        <v>0</v>
      </c>
      <c r="I216" s="90"/>
      <c r="J216" s="142" t="str">
        <f t="shared" si="3"/>
        <v>6.5.2026</v>
      </c>
      <c r="L216" s="153">
        <v>205</v>
      </c>
      <c r="M216" s="92"/>
    </row>
    <row r="217" spans="1:13" ht="21.6" x14ac:dyDescent="0.65">
      <c r="A217" s="195"/>
      <c r="B217" s="144">
        <v>214</v>
      </c>
      <c r="C217" s="2"/>
      <c r="D217" s="1"/>
      <c r="E217" s="3"/>
      <c r="F217" s="1"/>
      <c r="G217" s="141">
        <f>IF(Basic3456789101112131415161718192021222324252627[[#This Row],[نوع الخدمة]]="مخالفات", 50,
IF(Basic3456789101112131415161718192021222324252627[[#This Row],[نوع الخدمة]]="كاش ان",
    IF(F217&lt;=100, 18, IF(F217&lt;=250, 23, IF(F217&lt;=500, 35, IF(F217&lt;=1000, 40, F217*0.04)))),
IF(Basic3456789101112131415161718192021222324252627[[#This Row],[نوع الخدمة]]="كاش اوت",
    IF(F217&lt;=100, 15, IF(F217&lt;=250, 20, IF(F217&lt;=500, 30, IF(F217&lt;=1000, 35, F217*0.035)))),
0)))</f>
        <v>0</v>
      </c>
      <c r="H217" s="159">
        <f>IF(I217="مخالفات",50,Basic3456789101112131415161718192021222324252627[[#This Row],[قيمة الرسوم / العموله]]+Basic3456789101112131415161718192021222324252627[[#This Row],[قيمة الشحنه]])</f>
        <v>0</v>
      </c>
      <c r="I217" s="90"/>
      <c r="J217" s="142" t="str">
        <f t="shared" si="3"/>
        <v>6.5.2026</v>
      </c>
      <c r="L217" s="153">
        <v>206</v>
      </c>
      <c r="M217" s="92"/>
    </row>
    <row r="218" spans="1:13" ht="21.6" x14ac:dyDescent="0.65">
      <c r="A218" s="195"/>
      <c r="B218" s="140">
        <v>215</v>
      </c>
      <c r="C218" s="2"/>
      <c r="D218" s="1"/>
      <c r="E218" s="3"/>
      <c r="F218" s="1"/>
      <c r="G218" s="141">
        <f>IF(Basic3456789101112131415161718192021222324252627[[#This Row],[نوع الخدمة]]="مخالفات", 50,
IF(Basic3456789101112131415161718192021222324252627[[#This Row],[نوع الخدمة]]="كاش ان",
    IF(F218&lt;=100, 18, IF(F218&lt;=250, 23, IF(F218&lt;=500, 35, IF(F218&lt;=1000, 40, F218*0.04)))),
IF(Basic3456789101112131415161718192021222324252627[[#This Row],[نوع الخدمة]]="كاش اوت",
    IF(F218&lt;=100, 15, IF(F218&lt;=250, 20, IF(F218&lt;=500, 30, IF(F218&lt;=1000, 35, F218*0.035)))),
0)))</f>
        <v>0</v>
      </c>
      <c r="H218" s="159">
        <f>IF(I218="مخالفات",50,Basic3456789101112131415161718192021222324252627[[#This Row],[قيمة الرسوم / العموله]]+Basic3456789101112131415161718192021222324252627[[#This Row],[قيمة الشحنه]])</f>
        <v>0</v>
      </c>
      <c r="I218" s="90"/>
      <c r="J218" s="142" t="str">
        <f t="shared" si="3"/>
        <v>6.5.2026</v>
      </c>
      <c r="L218" s="153">
        <v>207</v>
      </c>
      <c r="M218" s="92"/>
    </row>
    <row r="219" spans="1:13" ht="21.6" x14ac:dyDescent="0.65">
      <c r="A219" s="195"/>
      <c r="B219" s="140">
        <v>216</v>
      </c>
      <c r="C219" s="2"/>
      <c r="D219" s="1"/>
      <c r="E219" s="3"/>
      <c r="F219" s="1"/>
      <c r="G219" s="141">
        <f>IF(Basic3456789101112131415161718192021222324252627[[#This Row],[نوع الخدمة]]="مخالفات", 50,
IF(Basic3456789101112131415161718192021222324252627[[#This Row],[نوع الخدمة]]="كاش ان",
    IF(F219&lt;=100, 18, IF(F219&lt;=250, 23, IF(F219&lt;=500, 35, IF(F219&lt;=1000, 40, F219*0.04)))),
IF(Basic3456789101112131415161718192021222324252627[[#This Row],[نوع الخدمة]]="كاش اوت",
    IF(F219&lt;=100, 15, IF(F219&lt;=250, 20, IF(F219&lt;=500, 30, IF(F219&lt;=1000, 35, F219*0.035)))),
0)))</f>
        <v>0</v>
      </c>
      <c r="H219" s="159">
        <f>IF(I219="مخالفات",50,Basic3456789101112131415161718192021222324252627[[#This Row],[قيمة الرسوم / العموله]]+Basic3456789101112131415161718192021222324252627[[#This Row],[قيمة الشحنه]])</f>
        <v>0</v>
      </c>
      <c r="I219" s="90"/>
      <c r="J219" s="142" t="str">
        <f t="shared" si="3"/>
        <v>6.5.2026</v>
      </c>
      <c r="L219" s="153">
        <v>208</v>
      </c>
      <c r="M219" s="92"/>
    </row>
    <row r="220" spans="1:13" ht="21.6" x14ac:dyDescent="0.65">
      <c r="A220" s="195"/>
      <c r="B220" s="140">
        <v>217</v>
      </c>
      <c r="C220" s="2"/>
      <c r="D220" s="1"/>
      <c r="E220" s="3"/>
      <c r="F220" s="1"/>
      <c r="G220" s="141">
        <f>IF(Basic3456789101112131415161718192021222324252627[[#This Row],[نوع الخدمة]]="مخالفات", 50,
IF(Basic3456789101112131415161718192021222324252627[[#This Row],[نوع الخدمة]]="كاش ان",
    IF(F220&lt;=100, 18, IF(F220&lt;=250, 23, IF(F220&lt;=500, 35, IF(F220&lt;=1000, 40, F220*0.04)))),
IF(Basic3456789101112131415161718192021222324252627[[#This Row],[نوع الخدمة]]="كاش اوت",
    IF(F220&lt;=100, 15, IF(F220&lt;=250, 20, IF(F220&lt;=500, 30, IF(F220&lt;=1000, 35, F220*0.035)))),
0)))</f>
        <v>0</v>
      </c>
      <c r="H220" s="159">
        <f>IF(I220="مخالفات",50,Basic3456789101112131415161718192021222324252627[[#This Row],[قيمة الرسوم / العموله]]+Basic3456789101112131415161718192021222324252627[[#This Row],[قيمة الشحنه]])</f>
        <v>0</v>
      </c>
      <c r="I220" s="90"/>
      <c r="J220" s="142" t="str">
        <f t="shared" si="3"/>
        <v>6.5.2026</v>
      </c>
      <c r="L220" s="153">
        <v>209</v>
      </c>
      <c r="M220" s="92"/>
    </row>
    <row r="221" spans="1:13" ht="21.6" x14ac:dyDescent="0.65">
      <c r="A221" s="195"/>
      <c r="B221" s="144">
        <v>218</v>
      </c>
      <c r="C221" s="2"/>
      <c r="D221" s="1"/>
      <c r="E221" s="3"/>
      <c r="F221" s="1"/>
      <c r="G221" s="141">
        <f>IF(Basic3456789101112131415161718192021222324252627[[#This Row],[نوع الخدمة]]="مخالفات", 50,
IF(Basic3456789101112131415161718192021222324252627[[#This Row],[نوع الخدمة]]="كاش ان",
    IF(F221&lt;=100, 18, IF(F221&lt;=250, 23, IF(F221&lt;=500, 35, IF(F221&lt;=1000, 40, F221*0.04)))),
IF(Basic3456789101112131415161718192021222324252627[[#This Row],[نوع الخدمة]]="كاش اوت",
    IF(F221&lt;=100, 15, IF(F221&lt;=250, 20, IF(F221&lt;=500, 30, IF(F221&lt;=1000, 35, F221*0.035)))),
0)))</f>
        <v>0</v>
      </c>
      <c r="H221" s="159">
        <f>IF(I221="مخالفات",50,Basic3456789101112131415161718192021222324252627[[#This Row],[قيمة الرسوم / العموله]]+Basic3456789101112131415161718192021222324252627[[#This Row],[قيمة الشحنه]])</f>
        <v>0</v>
      </c>
      <c r="I221" s="90"/>
      <c r="J221" s="142" t="str">
        <f t="shared" si="3"/>
        <v>6.5.2026</v>
      </c>
      <c r="L221" s="153">
        <v>210</v>
      </c>
      <c r="M221" s="92"/>
    </row>
    <row r="222" spans="1:13" ht="21.6" x14ac:dyDescent="0.65">
      <c r="A222" s="195"/>
      <c r="B222" s="140">
        <v>219</v>
      </c>
      <c r="C222" s="2"/>
      <c r="D222" s="1"/>
      <c r="E222" s="3"/>
      <c r="F222" s="1"/>
      <c r="G222" s="141">
        <f>IF(Basic3456789101112131415161718192021222324252627[[#This Row],[نوع الخدمة]]="مخالفات", 50,
IF(Basic3456789101112131415161718192021222324252627[[#This Row],[نوع الخدمة]]="كاش ان",
    IF(F222&lt;=100, 18, IF(F222&lt;=250, 23, IF(F222&lt;=500, 35, IF(F222&lt;=1000, 40, F222*0.04)))),
IF(Basic3456789101112131415161718192021222324252627[[#This Row],[نوع الخدمة]]="كاش اوت",
    IF(F222&lt;=100, 15, IF(F222&lt;=250, 20, IF(F222&lt;=500, 30, IF(F222&lt;=1000, 35, F222*0.035)))),
0)))</f>
        <v>0</v>
      </c>
      <c r="H222" s="159">
        <f>IF(I222="مخالفات",50,Basic3456789101112131415161718192021222324252627[[#This Row],[قيمة الرسوم / العموله]]+Basic3456789101112131415161718192021222324252627[[#This Row],[قيمة الشحنه]])</f>
        <v>0</v>
      </c>
      <c r="I222" s="90"/>
      <c r="J222" s="142" t="str">
        <f t="shared" si="3"/>
        <v>6.5.2026</v>
      </c>
      <c r="L222" s="153">
        <v>211</v>
      </c>
      <c r="M222" s="92"/>
    </row>
    <row r="223" spans="1:13" ht="21.6" x14ac:dyDescent="0.65">
      <c r="A223" s="195"/>
      <c r="B223" s="140">
        <v>220</v>
      </c>
      <c r="C223" s="2"/>
      <c r="D223" s="1"/>
      <c r="E223" s="3"/>
      <c r="F223" s="1"/>
      <c r="G223" s="141">
        <f>IF(Basic3456789101112131415161718192021222324252627[[#This Row],[نوع الخدمة]]="مخالفات", 50,
IF(Basic3456789101112131415161718192021222324252627[[#This Row],[نوع الخدمة]]="كاش ان",
    IF(F223&lt;=100, 18, IF(F223&lt;=250, 23, IF(F223&lt;=500, 35, IF(F223&lt;=1000, 40, F223*0.04)))),
IF(Basic3456789101112131415161718192021222324252627[[#This Row],[نوع الخدمة]]="كاش اوت",
    IF(F223&lt;=100, 15, IF(F223&lt;=250, 20, IF(F223&lt;=500, 30, IF(F223&lt;=1000, 35, F223*0.035)))),
0)))</f>
        <v>0</v>
      </c>
      <c r="H223" s="159">
        <f>IF(I223="مخالفات",50,Basic3456789101112131415161718192021222324252627[[#This Row],[قيمة الرسوم / العموله]]+Basic3456789101112131415161718192021222324252627[[#This Row],[قيمة الشحنه]])</f>
        <v>0</v>
      </c>
      <c r="I223" s="90"/>
      <c r="J223" s="142" t="str">
        <f t="shared" si="3"/>
        <v>6.5.2026</v>
      </c>
      <c r="L223" s="153">
        <v>212</v>
      </c>
      <c r="M223" s="92"/>
    </row>
    <row r="224" spans="1:13" ht="21.6" x14ac:dyDescent="0.65">
      <c r="A224" s="195"/>
      <c r="B224" s="140">
        <v>221</v>
      </c>
      <c r="C224" s="2"/>
      <c r="D224" s="1"/>
      <c r="E224" s="3"/>
      <c r="F224" s="1"/>
      <c r="G224" s="141">
        <f>IF(Basic3456789101112131415161718192021222324252627[[#This Row],[نوع الخدمة]]="مخالفات", 50,
IF(Basic3456789101112131415161718192021222324252627[[#This Row],[نوع الخدمة]]="كاش ان",
    IF(F224&lt;=100, 18, IF(F224&lt;=250, 23, IF(F224&lt;=500, 35, IF(F224&lt;=1000, 40, F224*0.04)))),
IF(Basic3456789101112131415161718192021222324252627[[#This Row],[نوع الخدمة]]="كاش اوت",
    IF(F224&lt;=100, 15, IF(F224&lt;=250, 20, IF(F224&lt;=500, 30, IF(F224&lt;=1000, 35, F224*0.035)))),
0)))</f>
        <v>0</v>
      </c>
      <c r="H224" s="159">
        <f>IF(I224="مخالفات",50,Basic3456789101112131415161718192021222324252627[[#This Row],[قيمة الرسوم / العموله]]+Basic3456789101112131415161718192021222324252627[[#This Row],[قيمة الشحنه]])</f>
        <v>0</v>
      </c>
      <c r="I224" s="90"/>
      <c r="J224" s="142" t="str">
        <f t="shared" si="3"/>
        <v>6.5.2026</v>
      </c>
      <c r="L224" s="153">
        <v>213</v>
      </c>
      <c r="M224" s="92"/>
    </row>
    <row r="225" spans="1:13" ht="21.6" x14ac:dyDescent="0.65">
      <c r="A225" s="195"/>
      <c r="B225" s="144">
        <v>222</v>
      </c>
      <c r="C225" s="2"/>
      <c r="D225" s="1"/>
      <c r="E225" s="3"/>
      <c r="F225" s="1"/>
      <c r="G225" s="141">
        <f>IF(Basic3456789101112131415161718192021222324252627[[#This Row],[نوع الخدمة]]="مخالفات", 50,
IF(Basic3456789101112131415161718192021222324252627[[#This Row],[نوع الخدمة]]="كاش ان",
    IF(F225&lt;=100, 18, IF(F225&lt;=250, 23, IF(F225&lt;=500, 35, IF(F225&lt;=1000, 40, F225*0.04)))),
IF(Basic3456789101112131415161718192021222324252627[[#This Row],[نوع الخدمة]]="كاش اوت",
    IF(F225&lt;=100, 15, IF(F225&lt;=250, 20, IF(F225&lt;=500, 30, IF(F225&lt;=1000, 35, F225*0.035)))),
0)))</f>
        <v>0</v>
      </c>
      <c r="H225" s="159">
        <f>IF(I225="مخالفات",50,Basic3456789101112131415161718192021222324252627[[#This Row],[قيمة الرسوم / العموله]]+Basic3456789101112131415161718192021222324252627[[#This Row],[قيمة الشحنه]])</f>
        <v>0</v>
      </c>
      <c r="I225" s="90"/>
      <c r="J225" s="142" t="str">
        <f t="shared" si="3"/>
        <v>6.5.2026</v>
      </c>
      <c r="L225" s="153">
        <v>214</v>
      </c>
      <c r="M225" s="92"/>
    </row>
    <row r="226" spans="1:13" ht="21.6" x14ac:dyDescent="0.65">
      <c r="A226" s="195"/>
      <c r="B226" s="140">
        <v>223</v>
      </c>
      <c r="C226" s="4"/>
      <c r="D226" s="5"/>
      <c r="E226" s="6"/>
      <c r="F226" s="5"/>
      <c r="G226" s="141">
        <f>IF(Basic3456789101112131415161718192021222324252627[[#This Row],[نوع الخدمة]]="مخالفات", 50,
IF(Basic3456789101112131415161718192021222324252627[[#This Row],[نوع الخدمة]]="كاش ان",
    IF(F226&lt;=100, 18, IF(F226&lt;=250, 23, IF(F226&lt;=500, 35, IF(F226&lt;=1000, 40, F226*0.04)))),
IF(Basic3456789101112131415161718192021222324252627[[#This Row],[نوع الخدمة]]="كاش اوت",
    IF(F226&lt;=100, 15, IF(F226&lt;=250, 20, IF(F226&lt;=500, 30, IF(F226&lt;=1000, 35, F226*0.035)))),
0)))</f>
        <v>0</v>
      </c>
      <c r="H226" s="160">
        <f>IF(I226="مخالفات",50,Basic3456789101112131415161718192021222324252627[[#This Row],[قيمة الرسوم / العموله]]+Basic3456789101112131415161718192021222324252627[[#This Row],[قيمة الشحنه]])</f>
        <v>0</v>
      </c>
      <c r="I226" s="90"/>
      <c r="J226" s="142" t="str">
        <f t="shared" si="3"/>
        <v>6.5.2026</v>
      </c>
      <c r="L226" s="156">
        <v>215</v>
      </c>
      <c r="M226" s="93"/>
    </row>
  </sheetData>
  <sheetProtection algorithmName="SHA-512" hashValue="Fld8iHgPvSy+4DND7Vo7nqVEkFKZ5o44VJoWBsynIiVkcQjFgfpAv2/47evIy8yudoystoCDF7L2XQyM79jQqA==" saltValue="/40/vg2DYkxm0L0HbwL/Fw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103" priority="12" operator="equal">
      <formula>$BH$10</formula>
    </cfRule>
    <cfRule type="cellIs" dxfId="102" priority="13" operator="equal">
      <formula>$BH$9</formula>
    </cfRule>
    <cfRule type="cellIs" dxfId="101" priority="14" operator="equal">
      <formula>$BH$8</formula>
    </cfRule>
  </conditionalFormatting>
  <conditionalFormatting sqref="P11">
    <cfRule type="cellIs" dxfId="100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{B47F8A10-0954-41EA-9B93-445B38BBB54C}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{B11D5C6A-A4E9-4FBF-BAC8-252C4A955F68}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{8E12C3A9-E07E-4164-8492-C37BBCAD9C7E}</x14:id>
        </ext>
      </extLst>
    </cfRule>
  </conditionalFormatting>
  <dataValidations count="2">
    <dataValidation type="textLength" operator="equal" allowBlank="1" showInputMessage="1" showErrorMessage="1" errorTitle="يجب إخال رقم IPN صحيح 13 رقم" sqref="C1:C1048576" xr:uid="{00000000-0002-0000-0500-000000000000}">
      <formula1>13</formula1>
    </dataValidation>
    <dataValidation type="list" allowBlank="1" showInputMessage="1" showErrorMessage="1" sqref="I4:I226" xr:uid="{00000000-0002-0000-0500-000001000000}">
      <formula1>$BH$8:$BH$10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47F8A10-0954-41EA-9B93-445B38BBB54C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B11D5C6A-A4E9-4FBF-BAC8-252C4A955F68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8E12C3A9-E07E-4164-8492-C37BBCAD9C7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H226"/>
  <sheetViews>
    <sheetView showGridLines="0" showRowColHeaders="0" rightToLeft="1" topLeftCell="E1" zoomScale="80" zoomScaleNormal="80" workbookViewId="0">
      <selection activeCell="M4" sqref="M4"/>
    </sheetView>
  </sheetViews>
  <sheetFormatPr defaultColWidth="9.109375" defaultRowHeight="14.4" x14ac:dyDescent="0.3"/>
  <cols>
    <col min="1" max="1" width="4.109375" style="124" customWidth="1"/>
    <col min="2" max="2" width="6.5546875" style="125" bestFit="1" customWidth="1"/>
    <col min="3" max="3" width="27.88671875" style="126" customWidth="1"/>
    <col min="4" max="4" width="15.6640625" style="124" customWidth="1"/>
    <col min="5" max="5" width="17.5546875" style="157" customWidth="1"/>
    <col min="6" max="6" width="12.88671875" style="124" bestFit="1" customWidth="1"/>
    <col min="7" max="7" width="19" style="124" bestFit="1" customWidth="1"/>
    <col min="8" max="8" width="19" style="124" customWidth="1"/>
    <col min="9" max="9" width="12.44140625" style="128" bestFit="1" customWidth="1"/>
    <col min="10" max="10" width="17.5546875" style="129" customWidth="1"/>
    <col min="11" max="11" width="3.5546875" style="124" customWidth="1"/>
    <col min="12" max="12" width="8.5546875" style="124" bestFit="1" customWidth="1"/>
    <col min="13" max="13" width="25.33203125" style="124" customWidth="1"/>
    <col min="14" max="14" width="3.88671875" style="124" customWidth="1"/>
    <col min="15" max="15" width="26.5546875" style="124" bestFit="1" customWidth="1"/>
    <col min="16" max="16" width="14.5546875" style="124" customWidth="1"/>
    <col min="17" max="17" width="3.5546875" style="124" customWidth="1"/>
    <col min="18" max="19" width="18.33203125" style="128" customWidth="1"/>
    <col min="20" max="20" width="11.5546875" style="128" bestFit="1" customWidth="1"/>
    <col min="21" max="21" width="10.5546875" style="128" bestFit="1" customWidth="1"/>
    <col min="22" max="22" width="10.109375" style="128" bestFit="1" customWidth="1"/>
    <col min="23" max="23" width="7" style="128" customWidth="1"/>
    <col min="24" max="24" width="12.6640625" style="124" customWidth="1"/>
    <col min="25" max="16384" width="9.109375" style="124"/>
  </cols>
  <sheetData>
    <row r="1" spans="1:60" x14ac:dyDescent="0.3">
      <c r="E1" s="127">
        <f>Total!F5</f>
        <v>69</v>
      </c>
      <c r="F1" s="192" t="str">
        <f>Total!G5</f>
        <v>العبور</v>
      </c>
      <c r="G1" s="192"/>
      <c r="H1" s="192"/>
    </row>
    <row r="3" spans="1:60" ht="15.6" x14ac:dyDescent="0.3">
      <c r="B3" s="130" t="s">
        <v>0</v>
      </c>
      <c r="C3" s="131" t="s">
        <v>1</v>
      </c>
      <c r="D3" s="132" t="s">
        <v>2</v>
      </c>
      <c r="E3" s="133" t="s">
        <v>3</v>
      </c>
      <c r="F3" s="132" t="s">
        <v>4</v>
      </c>
      <c r="G3" s="132" t="s">
        <v>5</v>
      </c>
      <c r="H3" s="132" t="s">
        <v>76</v>
      </c>
      <c r="I3" s="132" t="s">
        <v>6</v>
      </c>
      <c r="J3" s="134" t="s">
        <v>7</v>
      </c>
      <c r="L3" s="135" t="s">
        <v>7</v>
      </c>
      <c r="M3" s="136" t="s">
        <v>92</v>
      </c>
      <c r="O3" s="137" t="s">
        <v>17</v>
      </c>
      <c r="P3" s="138">
        <f>M5+M6</f>
        <v>0</v>
      </c>
      <c r="T3" s="173"/>
      <c r="U3" s="173"/>
      <c r="V3" s="173"/>
      <c r="W3" s="173"/>
      <c r="X3" s="139"/>
    </row>
    <row r="4" spans="1:60" ht="21.6" x14ac:dyDescent="0.65">
      <c r="A4" s="195"/>
      <c r="B4" s="140">
        <v>1</v>
      </c>
      <c r="C4" s="8"/>
      <c r="D4" s="9"/>
      <c r="E4" s="10"/>
      <c r="F4" s="9"/>
      <c r="G4" s="141">
        <f>IF(Basic34567891011121314151617181920212223242526[[#This Row],[نوع الخدمة]]="مخالفات", 50,
IF(Basic34567891011121314151617181920212223242526[[#This Row],[نوع الخدمة]]="كاش ان",
    IF(F4&lt;=100, 18, IF(F4&lt;=250, 23, IF(F4&lt;=500, 35, IF(F4&lt;=1000, 40, F4*0.04)))),
IF(Basic34567891011121314151617181920212223242526[[#This Row],[نوع الخدمة]]="كاش اوت",
    IF(F4&lt;=100, 15, IF(F4&lt;=250, 20, IF(F4&lt;=500, 30, IF(F4&lt;=1000, 35, F4*0.035)))),
0)))</f>
        <v>0</v>
      </c>
      <c r="H4" s="141">
        <f>IF(I4="مخالفات",50,Basic34567891011121314151617181920212223242526[[#This Row],[قيمة الرسوم / العموله]]+Basic34567891011121314151617181920212223242526[[#This Row],[قيمة الشحنه]])</f>
        <v>0</v>
      </c>
      <c r="I4" s="90"/>
      <c r="J4" s="142" t="str">
        <f t="shared" ref="J4:J67" si="0">M$3</f>
        <v>7.5.2026</v>
      </c>
      <c r="L4" s="135" t="s">
        <v>26</v>
      </c>
      <c r="M4" s="90">
        <v>0</v>
      </c>
      <c r="O4" s="137" t="s">
        <v>18</v>
      </c>
      <c r="P4" s="138">
        <f>M4</f>
        <v>0</v>
      </c>
      <c r="S4" s="143" t="s">
        <v>22</v>
      </c>
      <c r="T4" s="143" t="s">
        <v>23</v>
      </c>
      <c r="U4" s="173"/>
      <c r="V4" s="173"/>
      <c r="W4" s="173"/>
      <c r="X4" s="139"/>
    </row>
    <row r="5" spans="1:60" ht="21.6" x14ac:dyDescent="0.65">
      <c r="A5" s="195"/>
      <c r="B5" s="144">
        <v>2</v>
      </c>
      <c r="C5" s="8"/>
      <c r="D5" s="9"/>
      <c r="E5" s="10"/>
      <c r="F5" s="9"/>
      <c r="G5" s="141">
        <f>IF(Basic34567891011121314151617181920212223242526[[#This Row],[نوع الخدمة]]="مخالفات", 50,
IF(Basic34567891011121314151617181920212223242526[[#This Row],[نوع الخدمة]]="كاش ان",
    IF(F5&lt;=100, 18, IF(F5&lt;=250, 23, IF(F5&lt;=500, 35, IF(F5&lt;=1000, 40, F5*0.04)))),
IF(Basic34567891011121314151617181920212223242526[[#This Row],[نوع الخدمة]]="كاش اوت",
    IF(F5&lt;=100, 15, IF(F5&lt;=250, 20, IF(F5&lt;=500, 30, IF(F5&lt;=1000, 35, F5*0.035)))),
0)))</f>
        <v>0</v>
      </c>
      <c r="H5" s="141">
        <f>IF(I5="مخالفات",50,Basic34567891011121314151617181920212223242526[[#This Row],[قيمة الرسوم / العموله]]+Basic34567891011121314151617181920212223242526[[#This Row],[قيمة الشحنه]])</f>
        <v>0</v>
      </c>
      <c r="I5" s="90"/>
      <c r="J5" s="142" t="str">
        <f t="shared" si="0"/>
        <v>7.5.2026</v>
      </c>
      <c r="L5" s="135" t="s">
        <v>27</v>
      </c>
      <c r="M5" s="90"/>
      <c r="O5" s="137" t="s">
        <v>19</v>
      </c>
      <c r="P5" s="138">
        <f>SUMIF(Basic34567891011121314151617181920212223242526[نوع الخدمة],"كاش ان",Basic34567891011121314151617181920212223242526[قيمة الشحنه])</f>
        <v>0</v>
      </c>
      <c r="S5" s="145">
        <f>P5+P9+P12+P7</f>
        <v>0</v>
      </c>
      <c r="T5" s="145">
        <f>P3</f>
        <v>0</v>
      </c>
    </row>
    <row r="6" spans="1:60" ht="21.6" x14ac:dyDescent="0.65">
      <c r="A6" s="195"/>
      <c r="B6" s="140">
        <v>3</v>
      </c>
      <c r="C6" s="8"/>
      <c r="D6" s="9"/>
      <c r="E6" s="10"/>
      <c r="F6" s="9"/>
      <c r="G6" s="141">
        <f>IF(Basic34567891011121314151617181920212223242526[[#This Row],[نوع الخدمة]]="مخالفات", 50,
IF(Basic34567891011121314151617181920212223242526[[#This Row],[نوع الخدمة]]="كاش ان",
    IF(F6&lt;=100, 18, IF(F6&lt;=250, 23, IF(F6&lt;=500, 35, IF(F6&lt;=1000, 40, F6*0.04)))),
IF(Basic34567891011121314151617181920212223242526[[#This Row],[نوع الخدمة]]="كاش اوت",
    IF(F6&lt;=100, 15, IF(F6&lt;=250, 20, IF(F6&lt;=500, 30, IF(F6&lt;=1000, 35, F6*0.035)))),
0)))</f>
        <v>0</v>
      </c>
      <c r="H6" s="141">
        <f>IF(I6="مخالفات",50,Basic34567891011121314151617181920212223242526[[#This Row],[قيمة الرسوم / العموله]]+Basic34567891011121314151617181920212223242526[[#This Row],[قيمة الشحنه]])</f>
        <v>0</v>
      </c>
      <c r="I6" s="90"/>
      <c r="J6" s="142" t="str">
        <f t="shared" si="0"/>
        <v>7.5.2026</v>
      </c>
      <c r="L6" s="135" t="s">
        <v>28</v>
      </c>
      <c r="M6" s="90"/>
      <c r="O6" s="146" t="s">
        <v>12</v>
      </c>
      <c r="P6" s="138">
        <f>P3*150</f>
        <v>0</v>
      </c>
    </row>
    <row r="7" spans="1:60" ht="21.6" x14ac:dyDescent="0.65">
      <c r="A7" s="195"/>
      <c r="B7" s="140">
        <v>4</v>
      </c>
      <c r="C7" s="8"/>
      <c r="D7" s="9"/>
      <c r="E7" s="10"/>
      <c r="F7" s="9"/>
      <c r="G7" s="141">
        <f>IF(Basic34567891011121314151617181920212223242526[[#This Row],[نوع الخدمة]]="مخالفات", 50,
IF(Basic34567891011121314151617181920212223242526[[#This Row],[نوع الخدمة]]="كاش ان",
    IF(F7&lt;=100, 18, IF(F7&lt;=250, 23, IF(F7&lt;=500, 35, IF(F7&lt;=1000, 40, F7*0.04)))),
IF(Basic34567891011121314151617181920212223242526[[#This Row],[نوع الخدمة]]="كاش اوت",
    IF(F7&lt;=100, 15, IF(F7&lt;=250, 20, IF(F7&lt;=500, 30, IF(F7&lt;=1000, 35, F7*0.035)))),
0)))</f>
        <v>0</v>
      </c>
      <c r="H7" s="141">
        <f>IF(I7="مخالفات",50,Basic34567891011121314151617181920212223242526[[#This Row],[قيمة الرسوم / العموله]]+Basic34567891011121314151617181920212223242526[[#This Row],[قيمة الشحنه]])</f>
        <v>0</v>
      </c>
      <c r="I7" s="90"/>
      <c r="J7" s="142" t="str">
        <f t="shared" si="0"/>
        <v>7.5.2026</v>
      </c>
      <c r="L7" s="137" t="s">
        <v>11</v>
      </c>
      <c r="M7" s="165"/>
      <c r="O7" s="146" t="s">
        <v>75</v>
      </c>
      <c r="P7" s="138">
        <f>SUMIF(Basic34567891011121314151617181920212223242526[نوع الخدمة],"مخالفات",Basic34567891011121314151617181920212223242526[الاجمــــــــــالي])</f>
        <v>0</v>
      </c>
      <c r="R7" s="173"/>
      <c r="S7" s="173"/>
    </row>
    <row r="8" spans="1:60" ht="21.6" x14ac:dyDescent="0.65">
      <c r="A8" s="195"/>
      <c r="B8" s="140">
        <v>5</v>
      </c>
      <c r="C8" s="8"/>
      <c r="D8" s="9"/>
      <c r="E8" s="10"/>
      <c r="F8" s="9"/>
      <c r="G8" s="141">
        <f>IF(Basic34567891011121314151617181920212223242526[[#This Row],[نوع الخدمة]]="مخالفات", 50,
IF(Basic34567891011121314151617181920212223242526[[#This Row],[نوع الخدمة]]="كاش ان",
    IF(F8&lt;=100, 18, IF(F8&lt;=250, 23, IF(F8&lt;=500, 35, IF(F8&lt;=1000, 40, F8*0.04)))),
IF(Basic34567891011121314151617181920212223242526[[#This Row],[نوع الخدمة]]="كاش اوت",
    IF(F8&lt;=100, 15, IF(F8&lt;=250, 20, IF(F8&lt;=500, 30, IF(F8&lt;=1000, 35, F8*0.035)))),
0)))</f>
        <v>0</v>
      </c>
      <c r="H8" s="141">
        <f>IF(I8="مخالفات",50,Basic34567891011121314151617181920212223242526[[#This Row],[قيمة الرسوم / العموله]]+Basic34567891011121314151617181920212223242526[[#This Row],[قيمة الشحنه]])</f>
        <v>0</v>
      </c>
      <c r="I8" s="90"/>
      <c r="J8" s="142" t="str">
        <f t="shared" si="0"/>
        <v>7.5.2026</v>
      </c>
      <c r="L8" s="166" t="s">
        <v>79</v>
      </c>
      <c r="M8" s="167">
        <v>0</v>
      </c>
      <c r="O8" s="137" t="s">
        <v>11</v>
      </c>
      <c r="P8" s="138">
        <f>M7</f>
        <v>0</v>
      </c>
      <c r="R8" s="143" t="s">
        <v>72</v>
      </c>
      <c r="S8" s="143" t="s">
        <v>25</v>
      </c>
      <c r="T8" s="143" t="s">
        <v>24</v>
      </c>
      <c r="U8" s="143" t="s">
        <v>73</v>
      </c>
      <c r="V8" s="143" t="s">
        <v>25</v>
      </c>
      <c r="W8" s="143" t="s">
        <v>24</v>
      </c>
      <c r="BH8" s="148" t="s">
        <v>8</v>
      </c>
    </row>
    <row r="9" spans="1:60" ht="18" customHeight="1" x14ac:dyDescent="0.65">
      <c r="A9" s="195"/>
      <c r="B9" s="144">
        <v>6</v>
      </c>
      <c r="C9" s="8"/>
      <c r="D9" s="9"/>
      <c r="E9" s="10"/>
      <c r="F9" s="9"/>
      <c r="G9" s="141">
        <f>IF(Basic34567891011121314151617181920212223242526[[#This Row],[نوع الخدمة]]="مخالفات", 50,
IF(Basic34567891011121314151617181920212223242526[[#This Row],[نوع الخدمة]]="كاش ان",
    IF(F9&lt;=100, 18, IF(F9&lt;=250, 23, IF(F9&lt;=500, 35, IF(F9&lt;=1000, 40, F9*0.04)))),
IF(Basic34567891011121314151617181920212223242526[[#This Row],[نوع الخدمة]]="كاش اوت",
    IF(F9&lt;=100, 15, IF(F9&lt;=250, 20, IF(F9&lt;=500, 30, IF(F9&lt;=1000, 35, F9*0.035)))),
0)))</f>
        <v>0</v>
      </c>
      <c r="H9" s="141">
        <f>IF(I9="مخالفات",50,Basic34567891011121314151617181920212223242526[[#This Row],[قيمة الرسوم / العموله]]+Basic34567891011121314151617181920212223242526[[#This Row],[قيمة الشحنه]])</f>
        <v>0</v>
      </c>
      <c r="I9" s="90"/>
      <c r="J9" s="142" t="str">
        <f t="shared" si="0"/>
        <v>7.5.2026</v>
      </c>
      <c r="L9" s="166" t="s">
        <v>80</v>
      </c>
      <c r="M9" s="167">
        <v>0</v>
      </c>
      <c r="O9" s="137" t="s">
        <v>20</v>
      </c>
      <c r="P9" s="138">
        <f>SUMIF(Basic34567891011121314151617181920212223242526[نوع الخدمة],"كاش ان",Basic34567891011121314151617181920212223242526[قيمة الرسوم / العموله])</f>
        <v>0</v>
      </c>
      <c r="R9" s="149">
        <f>Total!H5/24</f>
        <v>29166.666666666668</v>
      </c>
      <c r="S9" s="149">
        <f>S5</f>
        <v>0</v>
      </c>
      <c r="T9" s="150">
        <f>S9/R9</f>
        <v>0</v>
      </c>
      <c r="U9" s="149">
        <f>Total!K5/24</f>
        <v>2.9166666666666665</v>
      </c>
      <c r="V9" s="149">
        <f>T5</f>
        <v>0</v>
      </c>
      <c r="W9" s="150">
        <f>V9/U9</f>
        <v>0</v>
      </c>
      <c r="BH9" s="148" t="s">
        <v>9</v>
      </c>
    </row>
    <row r="10" spans="1:60" ht="21.6" x14ac:dyDescent="0.65">
      <c r="A10" s="195"/>
      <c r="B10" s="140">
        <v>7</v>
      </c>
      <c r="C10" s="8"/>
      <c r="D10" s="9"/>
      <c r="E10" s="10"/>
      <c r="F10" s="9"/>
      <c r="G10" s="141">
        <f>IF(Basic34567891011121314151617181920212223242526[[#This Row],[نوع الخدمة]]="مخالفات", 50,
IF(Basic34567891011121314151617181920212223242526[[#This Row],[نوع الخدمة]]="كاش ان",
    IF(F10&lt;=100, 18, IF(F10&lt;=250, 23, IF(F10&lt;=500, 35, IF(F10&lt;=1000, 40, F10*0.04)))),
IF(Basic34567891011121314151617181920212223242526[[#This Row],[نوع الخدمة]]="كاش اوت",
    IF(F10&lt;=100, 15, IF(F10&lt;=250, 20, IF(F10&lt;=500, 30, IF(F10&lt;=1000, 35, F10*0.035)))),
0)))</f>
        <v>0</v>
      </c>
      <c r="H10" s="141">
        <f>IF(I10="مخالفات",50,Basic34567891011121314151617181920212223242526[[#This Row],[قيمة الرسوم / العموله]]+Basic34567891011121314151617181920212223242526[[#This Row],[قيمة الشحنه]])</f>
        <v>0</v>
      </c>
      <c r="I10" s="90"/>
      <c r="J10" s="142" t="str">
        <f t="shared" si="0"/>
        <v>7.5.2026</v>
      </c>
      <c r="O10" s="137" t="s">
        <v>16</v>
      </c>
      <c r="P10" s="138">
        <f>SUMIF(Basic34567891011121314151617181920212223242526[نوع الخدمة],"كاش اوت",Basic34567891011121314151617181920212223242526[قيمة الشحنه])</f>
        <v>0</v>
      </c>
      <c r="R10" s="191">
        <f>(W9+T9)/2</f>
        <v>0</v>
      </c>
      <c r="S10" s="191"/>
      <c r="T10" s="191"/>
      <c r="U10" s="191"/>
      <c r="V10" s="191"/>
      <c r="W10" s="191"/>
      <c r="BH10" s="148" t="s">
        <v>10</v>
      </c>
    </row>
    <row r="11" spans="1:60" ht="21.6" x14ac:dyDescent="0.65">
      <c r="A11" s="195"/>
      <c r="B11" s="140">
        <v>8</v>
      </c>
      <c r="C11" s="8"/>
      <c r="D11" s="9"/>
      <c r="E11" s="10"/>
      <c r="F11" s="9"/>
      <c r="G11" s="141">
        <f>IF(Basic34567891011121314151617181920212223242526[[#This Row],[نوع الخدمة]]="مخالفات", 50,
IF(Basic34567891011121314151617181920212223242526[[#This Row],[نوع الخدمة]]="كاش ان",
    IF(F11&lt;=100, 18, IF(F11&lt;=250, 23, IF(F11&lt;=500, 35, IF(F11&lt;=1000, 40, F11*0.04)))),
IF(Basic34567891011121314151617181920212223242526[[#This Row],[نوع الخدمة]]="كاش اوت",
    IF(F11&lt;=100, 15, IF(F11&lt;=250, 20, IF(F11&lt;=500, 30, IF(F11&lt;=1000, 35, F11*0.035)))),
0)))</f>
        <v>0</v>
      </c>
      <c r="H11" s="141">
        <f>IF(I11="مخالفات",50,Basic34567891011121314151617181920212223242526[[#This Row],[قيمة الرسوم / العموله]]+Basic34567891011121314151617181920212223242526[[#This Row],[قيمة الشحنه]])</f>
        <v>0</v>
      </c>
      <c r="I11" s="90"/>
      <c r="J11" s="142" t="str">
        <f t="shared" si="0"/>
        <v>7.5.2026</v>
      </c>
      <c r="L11" s="169" t="s">
        <v>77</v>
      </c>
      <c r="M11" s="168" t="s">
        <v>78</v>
      </c>
      <c r="O11" s="151" t="s">
        <v>21</v>
      </c>
      <c r="P11" s="152">
        <f>(P5+P6+P9+P7+P4)-P10-P8</f>
        <v>0</v>
      </c>
      <c r="T11" s="173"/>
    </row>
    <row r="12" spans="1:60" ht="21.6" x14ac:dyDescent="0.65">
      <c r="A12" s="195"/>
      <c r="B12" s="140">
        <v>9</v>
      </c>
      <c r="C12" s="8"/>
      <c r="D12" s="9"/>
      <c r="E12" s="10"/>
      <c r="F12" s="9"/>
      <c r="G12" s="141">
        <f>IF(Basic34567891011121314151617181920212223242526[[#This Row],[نوع الخدمة]]="مخالفات", 50,
IF(Basic34567891011121314151617181920212223242526[[#This Row],[نوع الخدمة]]="كاش ان",
    IF(F12&lt;=100, 18, IF(F12&lt;=250, 23, IF(F12&lt;=500, 35, IF(F12&lt;=1000, 40, F12*0.04)))),
IF(Basic34567891011121314151617181920212223242526[[#This Row],[نوع الخدمة]]="كاش اوت",
    IF(F12&lt;=100, 15, IF(F12&lt;=250, 20, IF(F12&lt;=500, 30, IF(F12&lt;=1000, 35, F12*0.035)))),
0)))</f>
        <v>0</v>
      </c>
      <c r="H12" s="141">
        <f>IF(I12="مخالفات",50,Basic34567891011121314151617181920212223242526[[#This Row],[قيمة الرسوم / العموله]]+Basic34567891011121314151617181920212223242526[[#This Row],[قيمة الشحنه]])</f>
        <v>0</v>
      </c>
      <c r="I12" s="90"/>
      <c r="J12" s="142" t="str">
        <f t="shared" si="0"/>
        <v>7.5.2026</v>
      </c>
      <c r="L12" s="153">
        <v>1</v>
      </c>
      <c r="M12" s="91"/>
      <c r="O12" s="137" t="s">
        <v>29</v>
      </c>
      <c r="P12" s="138">
        <f>SUMIF(Basic34567891011121314151617181920212223242526[نوع الخدمة],"كاش اوت",Basic34567891011121314151617181920212223242526[الاجمــــــــــالي])</f>
        <v>0</v>
      </c>
    </row>
    <row r="13" spans="1:60" ht="21.6" x14ac:dyDescent="0.65">
      <c r="A13" s="195"/>
      <c r="B13" s="144">
        <v>10</v>
      </c>
      <c r="C13" s="8"/>
      <c r="D13" s="9"/>
      <c r="E13" s="10"/>
      <c r="F13" s="9"/>
      <c r="G13" s="141">
        <f>IF(Basic34567891011121314151617181920212223242526[[#This Row],[نوع الخدمة]]="مخالفات", 50,
IF(Basic34567891011121314151617181920212223242526[[#This Row],[نوع الخدمة]]="كاش ان",
    IF(F13&lt;=100, 18, IF(F13&lt;=250, 23, IF(F13&lt;=500, 35, IF(F13&lt;=1000, 40, F13*0.04)))),
IF(Basic34567891011121314151617181920212223242526[[#This Row],[نوع الخدمة]]="كاش اوت",
    IF(F13&lt;=100, 15, IF(F13&lt;=250, 20, IF(F13&lt;=500, 30, IF(F13&lt;=1000, 35, F13*0.035)))),
0)))</f>
        <v>0</v>
      </c>
      <c r="H13" s="141">
        <f>IF(I13="مخالفات",50,Basic34567891011121314151617181920212223242526[[#This Row],[قيمة الرسوم / العموله]]+Basic34567891011121314151617181920212223242526[[#This Row],[قيمة الشحنه]])</f>
        <v>0</v>
      </c>
      <c r="I13" s="90"/>
      <c r="J13" s="142" t="str">
        <f t="shared" si="0"/>
        <v>7.5.2026</v>
      </c>
      <c r="L13" s="153">
        <v>2</v>
      </c>
      <c r="M13" s="92"/>
    </row>
    <row r="14" spans="1:60" ht="21.6" x14ac:dyDescent="0.65">
      <c r="A14" s="195"/>
      <c r="B14" s="140">
        <v>11</v>
      </c>
      <c r="C14" s="2"/>
      <c r="D14" s="1"/>
      <c r="E14" s="3"/>
      <c r="F14" s="1"/>
      <c r="G14" s="141">
        <f>IF(Basic34567891011121314151617181920212223242526[[#This Row],[نوع الخدمة]]="مخالفات", 50,
IF(Basic34567891011121314151617181920212223242526[[#This Row],[نوع الخدمة]]="كاش ان",
    IF(F14&lt;=100, 18, IF(F14&lt;=250, 23, IF(F14&lt;=500, 35, IF(F14&lt;=1000, 40, F14*0.04)))),
IF(Basic34567891011121314151617181920212223242526[[#This Row],[نوع الخدمة]]="كاش اوت",
    IF(F14&lt;=100, 15, IF(F14&lt;=250, 20, IF(F14&lt;=500, 30, IF(F14&lt;=1000, 35, F14*0.035)))),
0)))</f>
        <v>0</v>
      </c>
      <c r="H14" s="159">
        <f>IF(I14="مخالفات",50,Basic34567891011121314151617181920212223242526[[#This Row],[قيمة الرسوم / العموله]]+Basic34567891011121314151617181920212223242526[[#This Row],[قيمة الشحنه]])</f>
        <v>0</v>
      </c>
      <c r="I14" s="90"/>
      <c r="J14" s="142" t="str">
        <f t="shared" si="0"/>
        <v>7.5.2026</v>
      </c>
      <c r="L14" s="153">
        <v>3</v>
      </c>
      <c r="M14" s="92"/>
    </row>
    <row r="15" spans="1:60" ht="21.6" x14ac:dyDescent="0.65">
      <c r="A15" s="195"/>
      <c r="B15" s="140">
        <v>12</v>
      </c>
      <c r="C15" s="2"/>
      <c r="D15" s="1"/>
      <c r="E15" s="3"/>
      <c r="F15" s="1"/>
      <c r="G15" s="141">
        <f>IF(Basic34567891011121314151617181920212223242526[[#This Row],[نوع الخدمة]]="مخالفات", 50,
IF(Basic34567891011121314151617181920212223242526[[#This Row],[نوع الخدمة]]="كاش ان",
    IF(F15&lt;=100, 18, IF(F15&lt;=250, 23, IF(F15&lt;=500, 35, IF(F15&lt;=1000, 40, F15*0.04)))),
IF(Basic34567891011121314151617181920212223242526[[#This Row],[نوع الخدمة]]="كاش اوت",
    IF(F15&lt;=100, 15, IF(F15&lt;=250, 20, IF(F15&lt;=500, 30, IF(F15&lt;=1000, 35, F15*0.035)))),
0)))</f>
        <v>0</v>
      </c>
      <c r="H15" s="159">
        <f>IF(I15="مخالفات",50,Basic34567891011121314151617181920212223242526[[#This Row],[قيمة الرسوم / العموله]]+Basic34567891011121314151617181920212223242526[[#This Row],[قيمة الشحنه]])</f>
        <v>0</v>
      </c>
      <c r="I15" s="90"/>
      <c r="J15" s="142" t="str">
        <f t="shared" si="0"/>
        <v>7.5.2026</v>
      </c>
      <c r="L15" s="153">
        <v>4</v>
      </c>
      <c r="M15" s="92"/>
      <c r="O15" s="154" t="s">
        <v>10</v>
      </c>
      <c r="P15" s="155">
        <f>COUNTIF(Basic34567891011121314151617181920212223242526[نوع الخدمة],"مخالفات")</f>
        <v>0</v>
      </c>
    </row>
    <row r="16" spans="1:60" ht="21.6" x14ac:dyDescent="0.65">
      <c r="A16" s="195"/>
      <c r="B16" s="140">
        <v>13</v>
      </c>
      <c r="C16" s="2"/>
      <c r="D16" s="1"/>
      <c r="E16" s="3"/>
      <c r="F16" s="1"/>
      <c r="G16" s="141">
        <f>IF(Basic34567891011121314151617181920212223242526[[#This Row],[نوع الخدمة]]="مخالفات", 50,
IF(Basic34567891011121314151617181920212223242526[[#This Row],[نوع الخدمة]]="كاش ان",
    IF(F16&lt;=100, 18, IF(F16&lt;=250, 23, IF(F16&lt;=500, 35, IF(F16&lt;=1000, 40, F16*0.04)))),
IF(Basic34567891011121314151617181920212223242526[[#This Row],[نوع الخدمة]]="كاش اوت",
    IF(F16&lt;=100, 15, IF(F16&lt;=250, 20, IF(F16&lt;=500, 30, IF(F16&lt;=1000, 35, F16*0.035)))),
0)))</f>
        <v>0</v>
      </c>
      <c r="H16" s="159">
        <f>IF(I16="مخالفات",50,Basic34567891011121314151617181920212223242526[[#This Row],[قيمة الرسوم / العموله]]+Basic34567891011121314151617181920212223242526[[#This Row],[قيمة الشحنه]])</f>
        <v>0</v>
      </c>
      <c r="I16" s="90"/>
      <c r="J16" s="142" t="str">
        <f t="shared" si="0"/>
        <v>7.5.2026</v>
      </c>
      <c r="L16" s="153">
        <v>5</v>
      </c>
      <c r="M16" s="92"/>
      <c r="O16" s="154" t="s">
        <v>13</v>
      </c>
      <c r="P16" s="155">
        <f>COUNTIF(Basic34567891011121314151617181920212223242526[نوع الخدمة],"كاش ان")</f>
        <v>0</v>
      </c>
    </row>
    <row r="17" spans="1:21" ht="21.6" x14ac:dyDescent="0.65">
      <c r="A17" s="195"/>
      <c r="B17" s="144">
        <v>14</v>
      </c>
      <c r="C17" s="2"/>
      <c r="D17" s="1"/>
      <c r="E17" s="3"/>
      <c r="F17" s="1"/>
      <c r="G17" s="141">
        <f>IF(Basic34567891011121314151617181920212223242526[[#This Row],[نوع الخدمة]]="مخالفات", 50,
IF(Basic34567891011121314151617181920212223242526[[#This Row],[نوع الخدمة]]="كاش ان",
    IF(F17&lt;=100, 18, IF(F17&lt;=250, 23, IF(F17&lt;=500, 35, IF(F17&lt;=1000, 40, F17*0.04)))),
IF(Basic34567891011121314151617181920212223242526[[#This Row],[نوع الخدمة]]="كاش اوت",
    IF(F17&lt;=100, 15, IF(F17&lt;=250, 20, IF(F17&lt;=500, 30, IF(F17&lt;=1000, 35, F17*0.035)))),
0)))</f>
        <v>0</v>
      </c>
      <c r="H17" s="159">
        <f>IF(I17="مخالفات",50,Basic34567891011121314151617181920212223242526[[#This Row],[قيمة الرسوم / العموله]]+Basic34567891011121314151617181920212223242526[[#This Row],[قيمة الشحنه]])</f>
        <v>0</v>
      </c>
      <c r="I17" s="90"/>
      <c r="J17" s="142" t="str">
        <f t="shared" si="0"/>
        <v>7.5.2026</v>
      </c>
      <c r="L17" s="153">
        <v>6</v>
      </c>
      <c r="M17" s="92"/>
      <c r="O17" s="154" t="s">
        <v>14</v>
      </c>
      <c r="P17" s="155">
        <f>COUNTIF(Basic34567891011121314151617181920212223242526[نوع الخدمة],"كاش اوت")</f>
        <v>0</v>
      </c>
    </row>
    <row r="18" spans="1:21" ht="21.6" x14ac:dyDescent="0.65">
      <c r="A18" s="195"/>
      <c r="B18" s="140">
        <v>15</v>
      </c>
      <c r="C18" s="2"/>
      <c r="D18" s="1"/>
      <c r="E18" s="3"/>
      <c r="F18" s="1"/>
      <c r="G18" s="141">
        <f>IF(Basic34567891011121314151617181920212223242526[[#This Row],[نوع الخدمة]]="مخالفات", 50,
IF(Basic34567891011121314151617181920212223242526[[#This Row],[نوع الخدمة]]="كاش ان",
    IF(F18&lt;=100, 18, IF(F18&lt;=250, 23, IF(F18&lt;=500, 35, IF(F18&lt;=1000, 40, F18*0.04)))),
IF(Basic34567891011121314151617181920212223242526[[#This Row],[نوع الخدمة]]="كاش اوت",
    IF(F18&lt;=100, 15, IF(F18&lt;=250, 20, IF(F18&lt;=500, 30, IF(F18&lt;=1000, 35, F18*0.035)))),
0)))</f>
        <v>0</v>
      </c>
      <c r="H18" s="159">
        <f>IF(I18="مخالفات",50,Basic34567891011121314151617181920212223242526[[#This Row],[قيمة الرسوم / العموله]]+Basic34567891011121314151617181920212223242526[[#This Row],[قيمة الشحنه]])</f>
        <v>0</v>
      </c>
      <c r="I18" s="90"/>
      <c r="J18" s="142" t="str">
        <f t="shared" si="0"/>
        <v>7.5.2026</v>
      </c>
      <c r="L18" s="153">
        <v>7</v>
      </c>
      <c r="M18" s="92"/>
      <c r="O18" s="154" t="s">
        <v>15</v>
      </c>
      <c r="P18" s="155">
        <f>P16+P17</f>
        <v>0</v>
      </c>
    </row>
    <row r="19" spans="1:21" ht="21.6" x14ac:dyDescent="0.65">
      <c r="A19" s="195"/>
      <c r="B19" s="140">
        <v>16</v>
      </c>
      <c r="C19" s="2"/>
      <c r="D19" s="1"/>
      <c r="E19" s="3"/>
      <c r="F19" s="1"/>
      <c r="G19" s="141">
        <f>IF(Basic34567891011121314151617181920212223242526[[#This Row],[نوع الخدمة]]="مخالفات", 50,
IF(Basic34567891011121314151617181920212223242526[[#This Row],[نوع الخدمة]]="كاش ان",
    IF(F19&lt;=100, 18, IF(F19&lt;=250, 23, IF(F19&lt;=500, 35, IF(F19&lt;=1000, 40, F19*0.04)))),
IF(Basic34567891011121314151617181920212223242526[[#This Row],[نوع الخدمة]]="كاش اوت",
    IF(F19&lt;=100, 15, IF(F19&lt;=250, 20, IF(F19&lt;=500, 30, IF(F19&lt;=1000, 35, F19*0.035)))),
0)))</f>
        <v>0</v>
      </c>
      <c r="H19" s="159">
        <f>IF(I19="مخالفات",50,Basic34567891011121314151617181920212223242526[[#This Row],[قيمة الرسوم / العموله]]+Basic34567891011121314151617181920212223242526[[#This Row],[قيمة الشحنه]])</f>
        <v>0</v>
      </c>
      <c r="I19" s="90"/>
      <c r="J19" s="142" t="str">
        <f t="shared" si="0"/>
        <v>7.5.2026</v>
      </c>
      <c r="L19" s="153">
        <v>8</v>
      </c>
      <c r="M19" s="92"/>
    </row>
    <row r="20" spans="1:21" ht="21.6" x14ac:dyDescent="0.65">
      <c r="A20" s="195"/>
      <c r="B20" s="140">
        <v>17</v>
      </c>
      <c r="C20" s="2"/>
      <c r="D20" s="1"/>
      <c r="E20" s="3"/>
      <c r="F20" s="1"/>
      <c r="G20" s="141">
        <f>IF(Basic34567891011121314151617181920212223242526[[#This Row],[نوع الخدمة]]="مخالفات", 50,
IF(Basic34567891011121314151617181920212223242526[[#This Row],[نوع الخدمة]]="كاش ان",
    IF(F20&lt;=100, 18, IF(F20&lt;=250, 23, IF(F20&lt;=500, 35, IF(F20&lt;=1000, 40, F20*0.04)))),
IF(Basic34567891011121314151617181920212223242526[[#This Row],[نوع الخدمة]]="كاش اوت",
    IF(F20&lt;=100, 15, IF(F20&lt;=250, 20, IF(F20&lt;=500, 30, IF(F20&lt;=1000, 35, F20*0.035)))),
0)))</f>
        <v>0</v>
      </c>
      <c r="H20" s="159">
        <f>IF(I20="مخالفات",50,Basic34567891011121314151617181920212223242526[[#This Row],[قيمة الرسوم / العموله]]+Basic34567891011121314151617181920212223242526[[#This Row],[قيمة الشحنه]])</f>
        <v>0</v>
      </c>
      <c r="I20" s="90"/>
      <c r="J20" s="142" t="str">
        <f t="shared" si="0"/>
        <v>7.5.2026</v>
      </c>
      <c r="L20" s="153">
        <v>9</v>
      </c>
      <c r="M20" s="92"/>
      <c r="O20" s="193" t="s">
        <v>30</v>
      </c>
      <c r="P20" s="194"/>
    </row>
    <row r="21" spans="1:21" ht="21.6" x14ac:dyDescent="0.65">
      <c r="A21" s="195"/>
      <c r="B21" s="144">
        <v>18</v>
      </c>
      <c r="C21" s="2"/>
      <c r="D21" s="1"/>
      <c r="E21" s="3"/>
      <c r="F21" s="1"/>
      <c r="G21" s="141">
        <f>IF(Basic34567891011121314151617181920212223242526[[#This Row],[نوع الخدمة]]="مخالفات", 50,
IF(Basic34567891011121314151617181920212223242526[[#This Row],[نوع الخدمة]]="كاش ان",
    IF(F21&lt;=100, 18, IF(F21&lt;=250, 23, IF(F21&lt;=500, 35, IF(F21&lt;=1000, 40, F21*0.04)))),
IF(Basic34567891011121314151617181920212223242526[[#This Row],[نوع الخدمة]]="كاش اوت",
    IF(F21&lt;=100, 15, IF(F21&lt;=250, 20, IF(F21&lt;=500, 30, IF(F21&lt;=1000, 35, F21*0.035)))),
0)))</f>
        <v>0</v>
      </c>
      <c r="H21" s="159">
        <f>IF(I21="مخالفات",50,Basic34567891011121314151617181920212223242526[[#This Row],[قيمة الرسوم / العموله]]+Basic34567891011121314151617181920212223242526[[#This Row],[قيمة الشحنه]])</f>
        <v>0</v>
      </c>
      <c r="I21" s="90"/>
      <c r="J21" s="142" t="str">
        <f t="shared" si="0"/>
        <v>7.5.2026</v>
      </c>
      <c r="L21" s="153">
        <v>10</v>
      </c>
      <c r="M21" s="92"/>
      <c r="O21" s="196" t="s">
        <v>31</v>
      </c>
      <c r="P21" s="197"/>
    </row>
    <row r="22" spans="1:21" ht="21.6" x14ac:dyDescent="0.65">
      <c r="A22" s="195"/>
      <c r="B22" s="140">
        <v>19</v>
      </c>
      <c r="C22" s="2"/>
      <c r="D22" s="1"/>
      <c r="E22" s="3"/>
      <c r="F22" s="1"/>
      <c r="G22" s="141">
        <f>IF(Basic34567891011121314151617181920212223242526[[#This Row],[نوع الخدمة]]="مخالفات", 50,
IF(Basic34567891011121314151617181920212223242526[[#This Row],[نوع الخدمة]]="كاش ان",
    IF(F22&lt;=100, 18, IF(F22&lt;=250, 23, IF(F22&lt;=500, 35, IF(F22&lt;=1000, 40, F22*0.04)))),
IF(Basic34567891011121314151617181920212223242526[[#This Row],[نوع الخدمة]]="كاش اوت",
    IF(F22&lt;=100, 15, IF(F22&lt;=250, 20, IF(F22&lt;=500, 30, IF(F22&lt;=1000, 35, F22*0.035)))),
0)))</f>
        <v>0</v>
      </c>
      <c r="H22" s="159">
        <f>IF(I22="مخالفات",50,Basic34567891011121314151617181920212223242526[[#This Row],[قيمة الرسوم / العموله]]+Basic34567891011121314151617181920212223242526[[#This Row],[قيمة الشحنه]])</f>
        <v>0</v>
      </c>
      <c r="I22" s="90"/>
      <c r="J22" s="142" t="str">
        <f t="shared" si="0"/>
        <v>7.5.2026</v>
      </c>
      <c r="L22" s="153">
        <v>11</v>
      </c>
      <c r="M22" s="92"/>
      <c r="O22" s="147" t="s">
        <v>27</v>
      </c>
      <c r="P22" s="135">
        <f>M8+'6'!P28</f>
        <v>-4</v>
      </c>
    </row>
    <row r="23" spans="1:21" ht="21.6" x14ac:dyDescent="0.65">
      <c r="A23" s="195"/>
      <c r="B23" s="140">
        <v>20</v>
      </c>
      <c r="C23" s="2"/>
      <c r="D23" s="1"/>
      <c r="E23" s="3"/>
      <c r="F23" s="1"/>
      <c r="G23" s="141">
        <f>IF(Basic34567891011121314151617181920212223242526[[#This Row],[نوع الخدمة]]="مخالفات", 50,
IF(Basic34567891011121314151617181920212223242526[[#This Row],[نوع الخدمة]]="كاش ان",
    IF(F23&lt;=100, 18, IF(F23&lt;=250, 23, IF(F23&lt;=500, 35, IF(F23&lt;=1000, 40, F23*0.04)))),
IF(Basic34567891011121314151617181920212223242526[[#This Row],[نوع الخدمة]]="كاش اوت",
    IF(F23&lt;=100, 15, IF(F23&lt;=250, 20, IF(F23&lt;=500, 30, IF(F23&lt;=1000, 35, F23*0.035)))),
0)))</f>
        <v>0</v>
      </c>
      <c r="H23" s="159">
        <f>IF(I23="مخالفات",50,Basic34567891011121314151617181920212223242526[[#This Row],[قيمة الرسوم / العموله]]+Basic34567891011121314151617181920212223242526[[#This Row],[قيمة الشحنه]])</f>
        <v>0</v>
      </c>
      <c r="I23" s="90"/>
      <c r="J23" s="142" t="str">
        <f t="shared" si="0"/>
        <v>7.5.2026</v>
      </c>
      <c r="L23" s="153">
        <v>12</v>
      </c>
      <c r="M23" s="92"/>
      <c r="O23" s="147" t="s">
        <v>28</v>
      </c>
      <c r="P23" s="135">
        <f>M9+'6'!P29</f>
        <v>0</v>
      </c>
      <c r="T23" s="173"/>
      <c r="U23" s="173"/>
    </row>
    <row r="24" spans="1:21" ht="21.6" x14ac:dyDescent="0.65">
      <c r="A24" s="195"/>
      <c r="B24" s="140">
        <v>21</v>
      </c>
      <c r="C24" s="2"/>
      <c r="D24" s="1"/>
      <c r="E24" s="3"/>
      <c r="F24" s="1"/>
      <c r="G24" s="141">
        <f>IF(Basic34567891011121314151617181920212223242526[[#This Row],[نوع الخدمة]]="مخالفات", 50,
IF(Basic34567891011121314151617181920212223242526[[#This Row],[نوع الخدمة]]="كاش ان",
    IF(F24&lt;=100, 18, IF(F24&lt;=250, 23, IF(F24&lt;=500, 35, IF(F24&lt;=1000, 40, F24*0.04)))),
IF(Basic34567891011121314151617181920212223242526[[#This Row],[نوع الخدمة]]="كاش اوت",
    IF(F24&lt;=100, 15, IF(F24&lt;=250, 20, IF(F24&lt;=500, 30, IF(F24&lt;=1000, 35, F24*0.035)))),
0)))</f>
        <v>0</v>
      </c>
      <c r="H24" s="159">
        <f>IF(I24="مخالفات",50,Basic34567891011121314151617181920212223242526[[#This Row],[قيمة الرسوم / العموله]]+Basic34567891011121314151617181920212223242526[[#This Row],[قيمة الشحنه]])</f>
        <v>0</v>
      </c>
      <c r="I24" s="90"/>
      <c r="J24" s="142" t="str">
        <f t="shared" si="0"/>
        <v>7.5.2026</v>
      </c>
      <c r="L24" s="153">
        <v>13</v>
      </c>
      <c r="M24" s="92"/>
      <c r="O24" s="196" t="s">
        <v>32</v>
      </c>
      <c r="P24" s="197"/>
    </row>
    <row r="25" spans="1:21" ht="21.6" x14ac:dyDescent="0.65">
      <c r="A25" s="195"/>
      <c r="B25" s="144">
        <v>22</v>
      </c>
      <c r="C25" s="2"/>
      <c r="D25" s="1"/>
      <c r="E25" s="3"/>
      <c r="F25" s="1"/>
      <c r="G25" s="141">
        <f>IF(Basic34567891011121314151617181920212223242526[[#This Row],[نوع الخدمة]]="مخالفات", 50,
IF(Basic34567891011121314151617181920212223242526[[#This Row],[نوع الخدمة]]="كاش ان",
    IF(F25&lt;=100, 18, IF(F25&lt;=250, 23, IF(F25&lt;=500, 35, IF(F25&lt;=1000, 40, F25*0.04)))),
IF(Basic34567891011121314151617181920212223242526[[#This Row],[نوع الخدمة]]="كاش اوت",
    IF(F25&lt;=100, 15, IF(F25&lt;=250, 20, IF(F25&lt;=500, 30, IF(F25&lt;=1000, 35, F25*0.035)))),
0)))</f>
        <v>0</v>
      </c>
      <c r="H25" s="159">
        <f>IF(I25="مخالفات",50,Basic34567891011121314151617181920212223242526[[#This Row],[قيمة الرسوم / العموله]]+Basic34567891011121314151617181920212223242526[[#This Row],[قيمة الشحنه]])</f>
        <v>0</v>
      </c>
      <c r="I25" s="90"/>
      <c r="J25" s="142" t="str">
        <f t="shared" si="0"/>
        <v>7.5.2026</v>
      </c>
      <c r="L25" s="153">
        <v>14</v>
      </c>
      <c r="M25" s="92"/>
      <c r="O25" s="147" t="s">
        <v>27</v>
      </c>
      <c r="P25" s="135">
        <f>M5</f>
        <v>0</v>
      </c>
    </row>
    <row r="26" spans="1:21" ht="21.6" x14ac:dyDescent="0.65">
      <c r="A26" s="195"/>
      <c r="B26" s="140">
        <v>23</v>
      </c>
      <c r="C26" s="2"/>
      <c r="D26" s="1"/>
      <c r="E26" s="3"/>
      <c r="F26" s="1"/>
      <c r="G26" s="141">
        <f>IF(Basic34567891011121314151617181920212223242526[[#This Row],[نوع الخدمة]]="مخالفات", 50,
IF(Basic34567891011121314151617181920212223242526[[#This Row],[نوع الخدمة]]="كاش ان",
    IF(F26&lt;=100, 18, IF(F26&lt;=250, 23, IF(F26&lt;=500, 35, IF(F26&lt;=1000, 40, F26*0.04)))),
IF(Basic34567891011121314151617181920212223242526[[#This Row],[نوع الخدمة]]="كاش اوت",
    IF(F26&lt;=100, 15, IF(F26&lt;=250, 20, IF(F26&lt;=500, 30, IF(F26&lt;=1000, 35, F26*0.035)))),
0)))</f>
        <v>0</v>
      </c>
      <c r="H26" s="159">
        <f>IF(I26="مخالفات",50,Basic34567891011121314151617181920212223242526[[#This Row],[قيمة الرسوم / العموله]]+Basic34567891011121314151617181920212223242526[[#This Row],[قيمة الشحنه]])</f>
        <v>0</v>
      </c>
      <c r="I26" s="90"/>
      <c r="J26" s="142" t="str">
        <f t="shared" si="0"/>
        <v>7.5.2026</v>
      </c>
      <c r="L26" s="153">
        <v>15</v>
      </c>
      <c r="M26" s="92"/>
      <c r="O26" s="147" t="s">
        <v>28</v>
      </c>
      <c r="P26" s="135">
        <f>M6</f>
        <v>0</v>
      </c>
    </row>
    <row r="27" spans="1:21" ht="21.6" x14ac:dyDescent="0.65">
      <c r="A27" s="195"/>
      <c r="B27" s="140">
        <v>24</v>
      </c>
      <c r="C27" s="2"/>
      <c r="D27" s="1"/>
      <c r="E27" s="3"/>
      <c r="F27" s="1"/>
      <c r="G27" s="141">
        <f>IF(Basic34567891011121314151617181920212223242526[[#This Row],[نوع الخدمة]]="مخالفات", 50,
IF(Basic34567891011121314151617181920212223242526[[#This Row],[نوع الخدمة]]="كاش ان",
    IF(F27&lt;=100, 18, IF(F27&lt;=250, 23, IF(F27&lt;=500, 35, IF(F27&lt;=1000, 40, F27*0.04)))),
IF(Basic34567891011121314151617181920212223242526[[#This Row],[نوع الخدمة]]="كاش اوت",
    IF(F27&lt;=100, 15, IF(F27&lt;=250, 20, IF(F27&lt;=500, 30, IF(F27&lt;=1000, 35, F27*0.035)))),
0)))</f>
        <v>0</v>
      </c>
      <c r="H27" s="159">
        <f>IF(I27="مخالفات",50,Basic34567891011121314151617181920212223242526[[#This Row],[قيمة الرسوم / العموله]]+Basic34567891011121314151617181920212223242526[[#This Row],[قيمة الشحنه]])</f>
        <v>0</v>
      </c>
      <c r="I27" s="90"/>
      <c r="J27" s="142" t="str">
        <f t="shared" si="0"/>
        <v>7.5.2026</v>
      </c>
      <c r="L27" s="153">
        <v>16</v>
      </c>
      <c r="M27" s="92"/>
      <c r="O27" s="196" t="s">
        <v>33</v>
      </c>
      <c r="P27" s="197"/>
    </row>
    <row r="28" spans="1:21" ht="21.6" x14ac:dyDescent="0.65">
      <c r="A28" s="195"/>
      <c r="B28" s="140">
        <v>25</v>
      </c>
      <c r="C28" s="2"/>
      <c r="D28" s="1"/>
      <c r="E28" s="3"/>
      <c r="F28" s="1"/>
      <c r="G28" s="141">
        <f>IF(Basic34567891011121314151617181920212223242526[[#This Row],[نوع الخدمة]]="مخالفات", 50,
IF(Basic34567891011121314151617181920212223242526[[#This Row],[نوع الخدمة]]="كاش ان",
    IF(F28&lt;=100, 18, IF(F28&lt;=250, 23, IF(F28&lt;=500, 35, IF(F28&lt;=1000, 40, F28*0.04)))),
IF(Basic34567891011121314151617181920212223242526[[#This Row],[نوع الخدمة]]="كاش اوت",
    IF(F28&lt;=100, 15, IF(F28&lt;=250, 20, IF(F28&lt;=500, 30, IF(F28&lt;=1000, 35, F28*0.035)))),
0)))</f>
        <v>0</v>
      </c>
      <c r="H28" s="159">
        <f>IF(I28="مخالفات",50,Basic34567891011121314151617181920212223242526[[#This Row],[قيمة الرسوم / العموله]]+Basic34567891011121314151617181920212223242526[[#This Row],[قيمة الشحنه]])</f>
        <v>0</v>
      </c>
      <c r="I28" s="90"/>
      <c r="J28" s="142" t="str">
        <f t="shared" si="0"/>
        <v>7.5.2026</v>
      </c>
      <c r="L28" s="153">
        <v>17</v>
      </c>
      <c r="M28" s="92"/>
      <c r="O28" s="147" t="s">
        <v>27</v>
      </c>
      <c r="P28" s="135">
        <f>P22-P25</f>
        <v>-4</v>
      </c>
    </row>
    <row r="29" spans="1:21" ht="21.6" x14ac:dyDescent="0.65">
      <c r="A29" s="195"/>
      <c r="B29" s="144">
        <v>26</v>
      </c>
      <c r="C29" s="2"/>
      <c r="D29" s="1"/>
      <c r="E29" s="3"/>
      <c r="F29" s="1"/>
      <c r="G29" s="141">
        <f>IF(Basic34567891011121314151617181920212223242526[[#This Row],[نوع الخدمة]]="مخالفات", 50,
IF(Basic34567891011121314151617181920212223242526[[#This Row],[نوع الخدمة]]="كاش ان",
    IF(F29&lt;=100, 18, IF(F29&lt;=250, 23, IF(F29&lt;=500, 35, IF(F29&lt;=1000, 40, F29*0.04)))),
IF(Basic34567891011121314151617181920212223242526[[#This Row],[نوع الخدمة]]="كاش اوت",
    IF(F29&lt;=100, 15, IF(F29&lt;=250, 20, IF(F29&lt;=500, 30, IF(F29&lt;=1000, 35, F29*0.035)))),
0)))</f>
        <v>0</v>
      </c>
      <c r="H29" s="159">
        <f>IF(I29="مخالفات",50,Basic34567891011121314151617181920212223242526[[#This Row],[قيمة الرسوم / العموله]]+Basic34567891011121314151617181920212223242526[[#This Row],[قيمة الشحنه]])</f>
        <v>0</v>
      </c>
      <c r="I29" s="90"/>
      <c r="J29" s="142" t="str">
        <f t="shared" si="0"/>
        <v>7.5.2026</v>
      </c>
      <c r="L29" s="153">
        <v>18</v>
      </c>
      <c r="M29" s="92"/>
      <c r="O29" s="147" t="s">
        <v>28</v>
      </c>
      <c r="P29" s="135">
        <f>P23-P26</f>
        <v>0</v>
      </c>
    </row>
    <row r="30" spans="1:21" ht="21.6" x14ac:dyDescent="0.65">
      <c r="A30" s="195"/>
      <c r="B30" s="140">
        <v>27</v>
      </c>
      <c r="C30" s="2"/>
      <c r="D30" s="1"/>
      <c r="E30" s="3"/>
      <c r="F30" s="1"/>
      <c r="G30" s="141">
        <f>IF(Basic34567891011121314151617181920212223242526[[#This Row],[نوع الخدمة]]="مخالفات", 50,
IF(Basic34567891011121314151617181920212223242526[[#This Row],[نوع الخدمة]]="كاش ان",
    IF(F30&lt;=100, 18, IF(F30&lt;=250, 23, IF(F30&lt;=500, 35, IF(F30&lt;=1000, 40, F30*0.04)))),
IF(Basic34567891011121314151617181920212223242526[[#This Row],[نوع الخدمة]]="كاش اوت",
    IF(F30&lt;=100, 15, IF(F30&lt;=250, 20, IF(F30&lt;=500, 30, IF(F30&lt;=1000, 35, F30*0.035)))),
0)))</f>
        <v>0</v>
      </c>
      <c r="H30" s="159">
        <f>IF(I30="مخالفات",50,Basic34567891011121314151617181920212223242526[[#This Row],[قيمة الرسوم / العموله]]+Basic34567891011121314151617181920212223242526[[#This Row],[قيمة الشحنه]])</f>
        <v>0</v>
      </c>
      <c r="I30" s="90"/>
      <c r="J30" s="142" t="str">
        <f t="shared" si="0"/>
        <v>7.5.2026</v>
      </c>
      <c r="L30" s="153">
        <v>19</v>
      </c>
      <c r="M30" s="92"/>
    </row>
    <row r="31" spans="1:21" ht="21.6" x14ac:dyDescent="0.65">
      <c r="A31" s="195"/>
      <c r="B31" s="140">
        <v>28</v>
      </c>
      <c r="C31" s="2"/>
      <c r="D31" s="1"/>
      <c r="E31" s="3"/>
      <c r="F31" s="1"/>
      <c r="G31" s="141">
        <f>IF(Basic34567891011121314151617181920212223242526[[#This Row],[نوع الخدمة]]="مخالفات", 50,
IF(Basic34567891011121314151617181920212223242526[[#This Row],[نوع الخدمة]]="كاش ان",
    IF(F31&lt;=100, 18, IF(F31&lt;=250, 23, IF(F31&lt;=500, 35, IF(F31&lt;=1000, 40, F31*0.04)))),
IF(Basic34567891011121314151617181920212223242526[[#This Row],[نوع الخدمة]]="كاش اوت",
    IF(F31&lt;=100, 15, IF(F31&lt;=250, 20, IF(F31&lt;=500, 30, IF(F31&lt;=1000, 35, F31*0.035)))),
0)))</f>
        <v>0</v>
      </c>
      <c r="H31" s="159">
        <f>IF(I31="مخالفات",50,Basic34567891011121314151617181920212223242526[[#This Row],[قيمة الرسوم / العموله]]+Basic34567891011121314151617181920212223242526[[#This Row],[قيمة الشحنه]])</f>
        <v>0</v>
      </c>
      <c r="I31" s="90"/>
      <c r="J31" s="142" t="str">
        <f t="shared" si="0"/>
        <v>7.5.2026</v>
      </c>
      <c r="L31" s="153">
        <v>20</v>
      </c>
      <c r="M31" s="92"/>
    </row>
    <row r="32" spans="1:21" ht="21.6" x14ac:dyDescent="0.65">
      <c r="A32" s="195"/>
      <c r="B32" s="140">
        <v>29</v>
      </c>
      <c r="C32" s="2"/>
      <c r="D32" s="1"/>
      <c r="E32" s="3"/>
      <c r="F32" s="1"/>
      <c r="G32" s="141">
        <f>IF(Basic34567891011121314151617181920212223242526[[#This Row],[نوع الخدمة]]="مخالفات", 50,
IF(Basic34567891011121314151617181920212223242526[[#This Row],[نوع الخدمة]]="كاش ان",
    IF(F32&lt;=100, 18, IF(F32&lt;=250, 23, IF(F32&lt;=500, 35, IF(F32&lt;=1000, 40, F32*0.04)))),
IF(Basic34567891011121314151617181920212223242526[[#This Row],[نوع الخدمة]]="كاش اوت",
    IF(F32&lt;=100, 15, IF(F32&lt;=250, 20, IF(F32&lt;=500, 30, IF(F32&lt;=1000, 35, F32*0.035)))),
0)))</f>
        <v>0</v>
      </c>
      <c r="H32" s="159">
        <f>IF(I32="مخالفات",50,Basic34567891011121314151617181920212223242526[[#This Row],[قيمة الرسوم / العموله]]+Basic34567891011121314151617181920212223242526[[#This Row],[قيمة الشحنه]])</f>
        <v>0</v>
      </c>
      <c r="I32" s="90"/>
      <c r="J32" s="142" t="str">
        <f t="shared" si="0"/>
        <v>7.5.2026</v>
      </c>
      <c r="L32" s="153">
        <v>21</v>
      </c>
      <c r="M32" s="92"/>
    </row>
    <row r="33" spans="1:13" ht="21.6" x14ac:dyDescent="0.65">
      <c r="A33" s="195"/>
      <c r="B33" s="144">
        <v>30</v>
      </c>
      <c r="C33" s="2"/>
      <c r="D33" s="1"/>
      <c r="E33" s="3"/>
      <c r="F33" s="1"/>
      <c r="G33" s="141">
        <f>IF(Basic34567891011121314151617181920212223242526[[#This Row],[نوع الخدمة]]="مخالفات", 50,
IF(Basic34567891011121314151617181920212223242526[[#This Row],[نوع الخدمة]]="كاش ان",
    IF(F33&lt;=100, 18, IF(F33&lt;=250, 23, IF(F33&lt;=500, 35, IF(F33&lt;=1000, 40, F33*0.04)))),
IF(Basic34567891011121314151617181920212223242526[[#This Row],[نوع الخدمة]]="كاش اوت",
    IF(F33&lt;=100, 15, IF(F33&lt;=250, 20, IF(F33&lt;=500, 30, IF(F33&lt;=1000, 35, F33*0.035)))),
0)))</f>
        <v>0</v>
      </c>
      <c r="H33" s="159">
        <f>IF(I33="مخالفات",50,Basic34567891011121314151617181920212223242526[[#This Row],[قيمة الرسوم / العموله]]+Basic34567891011121314151617181920212223242526[[#This Row],[قيمة الشحنه]])</f>
        <v>0</v>
      </c>
      <c r="I33" s="90"/>
      <c r="J33" s="142" t="str">
        <f t="shared" si="0"/>
        <v>7.5.2026</v>
      </c>
      <c r="L33" s="153">
        <v>22</v>
      </c>
      <c r="M33" s="92"/>
    </row>
    <row r="34" spans="1:13" ht="21.6" x14ac:dyDescent="0.65">
      <c r="A34" s="195"/>
      <c r="B34" s="140">
        <v>31</v>
      </c>
      <c r="C34" s="2"/>
      <c r="D34" s="1"/>
      <c r="E34" s="3"/>
      <c r="F34" s="1"/>
      <c r="G34" s="141">
        <f>IF(Basic34567891011121314151617181920212223242526[[#This Row],[نوع الخدمة]]="مخالفات", 50,
IF(Basic34567891011121314151617181920212223242526[[#This Row],[نوع الخدمة]]="كاش ان",
    IF(F34&lt;=100, 18, IF(F34&lt;=250, 23, IF(F34&lt;=500, 35, IF(F34&lt;=1000, 40, F34*0.04)))),
IF(Basic34567891011121314151617181920212223242526[[#This Row],[نوع الخدمة]]="كاش اوت",
    IF(F34&lt;=100, 15, IF(F34&lt;=250, 20, IF(F34&lt;=500, 30, IF(F34&lt;=1000, 35, F34*0.035)))),
0)))</f>
        <v>0</v>
      </c>
      <c r="H34" s="159">
        <f>IF(I34="مخالفات",50,Basic34567891011121314151617181920212223242526[[#This Row],[قيمة الرسوم / العموله]]+Basic34567891011121314151617181920212223242526[[#This Row],[قيمة الشحنه]])</f>
        <v>0</v>
      </c>
      <c r="I34" s="90"/>
      <c r="J34" s="142" t="str">
        <f t="shared" si="0"/>
        <v>7.5.2026</v>
      </c>
      <c r="L34" s="153">
        <v>23</v>
      </c>
      <c r="M34" s="92"/>
    </row>
    <row r="35" spans="1:13" ht="21.6" x14ac:dyDescent="0.65">
      <c r="A35" s="195"/>
      <c r="B35" s="140">
        <v>32</v>
      </c>
      <c r="C35" s="2"/>
      <c r="D35" s="1"/>
      <c r="E35" s="3"/>
      <c r="F35" s="1"/>
      <c r="G35" s="141">
        <f>IF(Basic34567891011121314151617181920212223242526[[#This Row],[نوع الخدمة]]="مخالفات", 50,
IF(Basic34567891011121314151617181920212223242526[[#This Row],[نوع الخدمة]]="كاش ان",
    IF(F35&lt;=100, 18, IF(F35&lt;=250, 23, IF(F35&lt;=500, 35, IF(F35&lt;=1000, 40, F35*0.04)))),
IF(Basic34567891011121314151617181920212223242526[[#This Row],[نوع الخدمة]]="كاش اوت",
    IF(F35&lt;=100, 15, IF(F35&lt;=250, 20, IF(F35&lt;=500, 30, IF(F35&lt;=1000, 35, F35*0.035)))),
0)))</f>
        <v>0</v>
      </c>
      <c r="H35" s="159">
        <f>IF(I35="مخالفات",50,Basic34567891011121314151617181920212223242526[[#This Row],[قيمة الرسوم / العموله]]+Basic34567891011121314151617181920212223242526[[#This Row],[قيمة الشحنه]])</f>
        <v>0</v>
      </c>
      <c r="I35" s="90"/>
      <c r="J35" s="142" t="str">
        <f t="shared" si="0"/>
        <v>7.5.2026</v>
      </c>
      <c r="L35" s="153">
        <v>24</v>
      </c>
      <c r="M35" s="92"/>
    </row>
    <row r="36" spans="1:13" ht="21.6" x14ac:dyDescent="0.65">
      <c r="A36" s="195"/>
      <c r="B36" s="140">
        <v>33</v>
      </c>
      <c r="C36" s="2"/>
      <c r="D36" s="1"/>
      <c r="E36" s="3"/>
      <c r="F36" s="1"/>
      <c r="G36" s="141">
        <f>IF(Basic34567891011121314151617181920212223242526[[#This Row],[نوع الخدمة]]="مخالفات", 50,
IF(Basic34567891011121314151617181920212223242526[[#This Row],[نوع الخدمة]]="كاش ان",
    IF(F36&lt;=100, 18, IF(F36&lt;=250, 23, IF(F36&lt;=500, 35, IF(F36&lt;=1000, 40, F36*0.04)))),
IF(Basic34567891011121314151617181920212223242526[[#This Row],[نوع الخدمة]]="كاش اوت",
    IF(F36&lt;=100, 15, IF(F36&lt;=250, 20, IF(F36&lt;=500, 30, IF(F36&lt;=1000, 35, F36*0.035)))),
0)))</f>
        <v>0</v>
      </c>
      <c r="H36" s="159">
        <f>IF(I36="مخالفات",50,Basic34567891011121314151617181920212223242526[[#This Row],[قيمة الرسوم / العموله]]+Basic34567891011121314151617181920212223242526[[#This Row],[قيمة الشحنه]])</f>
        <v>0</v>
      </c>
      <c r="I36" s="90"/>
      <c r="J36" s="142" t="str">
        <f t="shared" si="0"/>
        <v>7.5.2026</v>
      </c>
      <c r="L36" s="153">
        <v>25</v>
      </c>
      <c r="M36" s="92"/>
    </row>
    <row r="37" spans="1:13" ht="21.6" x14ac:dyDescent="0.65">
      <c r="A37" s="195"/>
      <c r="B37" s="144">
        <v>34</v>
      </c>
      <c r="C37" s="2"/>
      <c r="D37" s="1"/>
      <c r="E37" s="3"/>
      <c r="F37" s="1"/>
      <c r="G37" s="141">
        <f>IF(Basic34567891011121314151617181920212223242526[[#This Row],[نوع الخدمة]]="مخالفات", 50,
IF(Basic34567891011121314151617181920212223242526[[#This Row],[نوع الخدمة]]="كاش ان",
    IF(F37&lt;=100, 18, IF(F37&lt;=250, 23, IF(F37&lt;=500, 35, IF(F37&lt;=1000, 40, F37*0.04)))),
IF(Basic34567891011121314151617181920212223242526[[#This Row],[نوع الخدمة]]="كاش اوت",
    IF(F37&lt;=100, 15, IF(F37&lt;=250, 20, IF(F37&lt;=500, 30, IF(F37&lt;=1000, 35, F37*0.035)))),
0)))</f>
        <v>0</v>
      </c>
      <c r="H37" s="159">
        <f>IF(I37="مخالفات",50,Basic34567891011121314151617181920212223242526[[#This Row],[قيمة الرسوم / العموله]]+Basic34567891011121314151617181920212223242526[[#This Row],[قيمة الشحنه]])</f>
        <v>0</v>
      </c>
      <c r="I37" s="90"/>
      <c r="J37" s="142" t="str">
        <f t="shared" si="0"/>
        <v>7.5.2026</v>
      </c>
      <c r="L37" s="153">
        <v>26</v>
      </c>
      <c r="M37" s="92"/>
    </row>
    <row r="38" spans="1:13" ht="21.6" x14ac:dyDescent="0.65">
      <c r="A38" s="195"/>
      <c r="B38" s="140">
        <v>35</v>
      </c>
      <c r="C38" s="2"/>
      <c r="D38" s="1"/>
      <c r="E38" s="3"/>
      <c r="F38" s="1"/>
      <c r="G38" s="141">
        <f>IF(Basic34567891011121314151617181920212223242526[[#This Row],[نوع الخدمة]]="مخالفات", 50,
IF(Basic34567891011121314151617181920212223242526[[#This Row],[نوع الخدمة]]="كاش ان",
    IF(F38&lt;=100, 18, IF(F38&lt;=250, 23, IF(F38&lt;=500, 35, IF(F38&lt;=1000, 40, F38*0.04)))),
IF(Basic34567891011121314151617181920212223242526[[#This Row],[نوع الخدمة]]="كاش اوت",
    IF(F38&lt;=100, 15, IF(F38&lt;=250, 20, IF(F38&lt;=500, 30, IF(F38&lt;=1000, 35, F38*0.035)))),
0)))</f>
        <v>0</v>
      </c>
      <c r="H38" s="159">
        <f>IF(I38="مخالفات",50,Basic34567891011121314151617181920212223242526[[#This Row],[قيمة الرسوم / العموله]]+Basic34567891011121314151617181920212223242526[[#This Row],[قيمة الشحنه]])</f>
        <v>0</v>
      </c>
      <c r="I38" s="90"/>
      <c r="J38" s="142" t="str">
        <f t="shared" si="0"/>
        <v>7.5.2026</v>
      </c>
      <c r="L38" s="153">
        <v>27</v>
      </c>
      <c r="M38" s="92"/>
    </row>
    <row r="39" spans="1:13" ht="21.6" x14ac:dyDescent="0.65">
      <c r="A39" s="195"/>
      <c r="B39" s="140">
        <v>36</v>
      </c>
      <c r="C39" s="2"/>
      <c r="D39" s="1"/>
      <c r="E39" s="3"/>
      <c r="F39" s="1"/>
      <c r="G39" s="141">
        <f>IF(Basic34567891011121314151617181920212223242526[[#This Row],[نوع الخدمة]]="مخالفات", 50,
IF(Basic34567891011121314151617181920212223242526[[#This Row],[نوع الخدمة]]="كاش ان",
    IF(F39&lt;=100, 18, IF(F39&lt;=250, 23, IF(F39&lt;=500, 35, IF(F39&lt;=1000, 40, F39*0.04)))),
IF(Basic34567891011121314151617181920212223242526[[#This Row],[نوع الخدمة]]="كاش اوت",
    IF(F39&lt;=100, 15, IF(F39&lt;=250, 20, IF(F39&lt;=500, 30, IF(F39&lt;=1000, 35, F39*0.035)))),
0)))</f>
        <v>0</v>
      </c>
      <c r="H39" s="159">
        <f>IF(I39="مخالفات",50,Basic34567891011121314151617181920212223242526[[#This Row],[قيمة الرسوم / العموله]]+Basic34567891011121314151617181920212223242526[[#This Row],[قيمة الشحنه]])</f>
        <v>0</v>
      </c>
      <c r="I39" s="90"/>
      <c r="J39" s="142" t="str">
        <f t="shared" si="0"/>
        <v>7.5.2026</v>
      </c>
      <c r="L39" s="153">
        <v>28</v>
      </c>
      <c r="M39" s="92"/>
    </row>
    <row r="40" spans="1:13" ht="21.6" x14ac:dyDescent="0.65">
      <c r="A40" s="195"/>
      <c r="B40" s="140">
        <v>37</v>
      </c>
      <c r="C40" s="2"/>
      <c r="D40" s="1"/>
      <c r="E40" s="3"/>
      <c r="F40" s="1"/>
      <c r="G40" s="141">
        <f>IF(Basic34567891011121314151617181920212223242526[[#This Row],[نوع الخدمة]]="مخالفات", 50,
IF(Basic34567891011121314151617181920212223242526[[#This Row],[نوع الخدمة]]="كاش ان",
    IF(F40&lt;=100, 18, IF(F40&lt;=250, 23, IF(F40&lt;=500, 35, IF(F40&lt;=1000, 40, F40*0.04)))),
IF(Basic34567891011121314151617181920212223242526[[#This Row],[نوع الخدمة]]="كاش اوت",
    IF(F40&lt;=100, 15, IF(F40&lt;=250, 20, IF(F40&lt;=500, 30, IF(F40&lt;=1000, 35, F40*0.035)))),
0)))</f>
        <v>0</v>
      </c>
      <c r="H40" s="159">
        <f>IF(I40="مخالفات",50,Basic34567891011121314151617181920212223242526[[#This Row],[قيمة الرسوم / العموله]]+Basic34567891011121314151617181920212223242526[[#This Row],[قيمة الشحنه]])</f>
        <v>0</v>
      </c>
      <c r="I40" s="90"/>
      <c r="J40" s="142" t="str">
        <f t="shared" si="0"/>
        <v>7.5.2026</v>
      </c>
      <c r="L40" s="153">
        <v>29</v>
      </c>
      <c r="M40" s="92"/>
    </row>
    <row r="41" spans="1:13" ht="21.6" x14ac:dyDescent="0.65">
      <c r="A41" s="195"/>
      <c r="B41" s="144">
        <v>38</v>
      </c>
      <c r="C41" s="2"/>
      <c r="D41" s="1"/>
      <c r="E41" s="3"/>
      <c r="F41" s="1"/>
      <c r="G41" s="141">
        <f>IF(Basic34567891011121314151617181920212223242526[[#This Row],[نوع الخدمة]]="مخالفات", 50,
IF(Basic34567891011121314151617181920212223242526[[#This Row],[نوع الخدمة]]="كاش ان",
    IF(F41&lt;=100, 18, IF(F41&lt;=250, 23, IF(F41&lt;=500, 35, IF(F41&lt;=1000, 40, F41*0.04)))),
IF(Basic34567891011121314151617181920212223242526[[#This Row],[نوع الخدمة]]="كاش اوت",
    IF(F41&lt;=100, 15, IF(F41&lt;=250, 20, IF(F41&lt;=500, 30, IF(F41&lt;=1000, 35, F41*0.035)))),
0)))</f>
        <v>0</v>
      </c>
      <c r="H41" s="159">
        <f>IF(I41="مخالفات",50,Basic34567891011121314151617181920212223242526[[#This Row],[قيمة الرسوم / العموله]]+Basic34567891011121314151617181920212223242526[[#This Row],[قيمة الشحنه]])</f>
        <v>0</v>
      </c>
      <c r="I41" s="90"/>
      <c r="J41" s="142" t="str">
        <f t="shared" si="0"/>
        <v>7.5.2026</v>
      </c>
      <c r="L41" s="153">
        <v>30</v>
      </c>
      <c r="M41" s="92"/>
    </row>
    <row r="42" spans="1:13" ht="21.6" x14ac:dyDescent="0.65">
      <c r="A42" s="195"/>
      <c r="B42" s="140">
        <v>39</v>
      </c>
      <c r="C42" s="2"/>
      <c r="D42" s="1"/>
      <c r="E42" s="3"/>
      <c r="F42" s="1"/>
      <c r="G42" s="141">
        <f>IF(Basic34567891011121314151617181920212223242526[[#This Row],[نوع الخدمة]]="مخالفات", 50,
IF(Basic34567891011121314151617181920212223242526[[#This Row],[نوع الخدمة]]="كاش ان",
    IF(F42&lt;=100, 18, IF(F42&lt;=250, 23, IF(F42&lt;=500, 35, IF(F42&lt;=1000, 40, F42*0.04)))),
IF(Basic34567891011121314151617181920212223242526[[#This Row],[نوع الخدمة]]="كاش اوت",
    IF(F42&lt;=100, 15, IF(F42&lt;=250, 20, IF(F42&lt;=500, 30, IF(F42&lt;=1000, 35, F42*0.035)))),
0)))</f>
        <v>0</v>
      </c>
      <c r="H42" s="159">
        <f>IF(I42="مخالفات",50,Basic34567891011121314151617181920212223242526[[#This Row],[قيمة الرسوم / العموله]]+Basic34567891011121314151617181920212223242526[[#This Row],[قيمة الشحنه]])</f>
        <v>0</v>
      </c>
      <c r="I42" s="90"/>
      <c r="J42" s="142" t="str">
        <f t="shared" si="0"/>
        <v>7.5.2026</v>
      </c>
      <c r="L42" s="153">
        <v>31</v>
      </c>
      <c r="M42" s="92"/>
    </row>
    <row r="43" spans="1:13" ht="21.6" x14ac:dyDescent="0.65">
      <c r="A43" s="195"/>
      <c r="B43" s="140">
        <v>40</v>
      </c>
      <c r="C43" s="2"/>
      <c r="D43" s="1"/>
      <c r="E43" s="3"/>
      <c r="F43" s="1"/>
      <c r="G43" s="141">
        <f>IF(Basic34567891011121314151617181920212223242526[[#This Row],[نوع الخدمة]]="مخالفات", 50,
IF(Basic34567891011121314151617181920212223242526[[#This Row],[نوع الخدمة]]="كاش ان",
    IF(F43&lt;=100, 18, IF(F43&lt;=250, 23, IF(F43&lt;=500, 35, IF(F43&lt;=1000, 40, F43*0.04)))),
IF(Basic34567891011121314151617181920212223242526[[#This Row],[نوع الخدمة]]="كاش اوت",
    IF(F43&lt;=100, 15, IF(F43&lt;=250, 20, IF(F43&lt;=500, 30, IF(F43&lt;=1000, 35, F43*0.035)))),
0)))</f>
        <v>0</v>
      </c>
      <c r="H43" s="159">
        <f>IF(I43="مخالفات",50,Basic34567891011121314151617181920212223242526[[#This Row],[قيمة الرسوم / العموله]]+Basic34567891011121314151617181920212223242526[[#This Row],[قيمة الشحنه]])</f>
        <v>0</v>
      </c>
      <c r="I43" s="90"/>
      <c r="J43" s="142" t="str">
        <f t="shared" si="0"/>
        <v>7.5.2026</v>
      </c>
      <c r="L43" s="153">
        <v>32</v>
      </c>
      <c r="M43" s="92"/>
    </row>
    <row r="44" spans="1:13" ht="21.6" x14ac:dyDescent="0.65">
      <c r="A44" s="195"/>
      <c r="B44" s="140">
        <v>41</v>
      </c>
      <c r="C44" s="2"/>
      <c r="D44" s="1"/>
      <c r="E44" s="3"/>
      <c r="F44" s="1"/>
      <c r="G44" s="141">
        <f>IF(Basic34567891011121314151617181920212223242526[[#This Row],[نوع الخدمة]]="مخالفات", 50,
IF(Basic34567891011121314151617181920212223242526[[#This Row],[نوع الخدمة]]="كاش ان",
    IF(F44&lt;=100, 18, IF(F44&lt;=250, 23, IF(F44&lt;=500, 35, IF(F44&lt;=1000, 40, F44*0.04)))),
IF(Basic34567891011121314151617181920212223242526[[#This Row],[نوع الخدمة]]="كاش اوت",
    IF(F44&lt;=100, 15, IF(F44&lt;=250, 20, IF(F44&lt;=500, 30, IF(F44&lt;=1000, 35, F44*0.035)))),
0)))</f>
        <v>0</v>
      </c>
      <c r="H44" s="159">
        <f>IF(I44="مخالفات",50,Basic34567891011121314151617181920212223242526[[#This Row],[قيمة الرسوم / العموله]]+Basic34567891011121314151617181920212223242526[[#This Row],[قيمة الشحنه]])</f>
        <v>0</v>
      </c>
      <c r="I44" s="90"/>
      <c r="J44" s="142" t="str">
        <f t="shared" si="0"/>
        <v>7.5.2026</v>
      </c>
      <c r="L44" s="153">
        <v>33</v>
      </c>
      <c r="M44" s="92"/>
    </row>
    <row r="45" spans="1:13" ht="21.6" x14ac:dyDescent="0.65">
      <c r="A45" s="195"/>
      <c r="B45" s="144">
        <v>42</v>
      </c>
      <c r="C45" s="2"/>
      <c r="D45" s="1"/>
      <c r="E45" s="3"/>
      <c r="F45" s="1"/>
      <c r="G45" s="141">
        <f>IF(Basic34567891011121314151617181920212223242526[[#This Row],[نوع الخدمة]]="مخالفات", 50,
IF(Basic34567891011121314151617181920212223242526[[#This Row],[نوع الخدمة]]="كاش ان",
    IF(F45&lt;=100, 18, IF(F45&lt;=250, 23, IF(F45&lt;=500, 35, IF(F45&lt;=1000, 40, F45*0.04)))),
IF(Basic34567891011121314151617181920212223242526[[#This Row],[نوع الخدمة]]="كاش اوت",
    IF(F45&lt;=100, 15, IF(F45&lt;=250, 20, IF(F45&lt;=500, 30, IF(F45&lt;=1000, 35, F45*0.035)))),
0)))</f>
        <v>0</v>
      </c>
      <c r="H45" s="159">
        <f>IF(I45="مخالفات",50,Basic34567891011121314151617181920212223242526[[#This Row],[قيمة الرسوم / العموله]]+Basic34567891011121314151617181920212223242526[[#This Row],[قيمة الشحنه]])</f>
        <v>0</v>
      </c>
      <c r="I45" s="90"/>
      <c r="J45" s="142" t="str">
        <f t="shared" si="0"/>
        <v>7.5.2026</v>
      </c>
      <c r="L45" s="153">
        <v>34</v>
      </c>
      <c r="M45" s="92"/>
    </row>
    <row r="46" spans="1:13" ht="21.6" x14ac:dyDescent="0.65">
      <c r="A46" s="195"/>
      <c r="B46" s="140">
        <v>43</v>
      </c>
      <c r="C46" s="2"/>
      <c r="D46" s="1"/>
      <c r="E46" s="3"/>
      <c r="F46" s="1"/>
      <c r="G46" s="141">
        <f>IF(Basic34567891011121314151617181920212223242526[[#This Row],[نوع الخدمة]]="مخالفات", 50,
IF(Basic34567891011121314151617181920212223242526[[#This Row],[نوع الخدمة]]="كاش ان",
    IF(F46&lt;=100, 18, IF(F46&lt;=250, 23, IF(F46&lt;=500, 35, IF(F46&lt;=1000, 40, F46*0.04)))),
IF(Basic34567891011121314151617181920212223242526[[#This Row],[نوع الخدمة]]="كاش اوت",
    IF(F46&lt;=100, 15, IF(F46&lt;=250, 20, IF(F46&lt;=500, 30, IF(F46&lt;=1000, 35, F46*0.035)))),
0)))</f>
        <v>0</v>
      </c>
      <c r="H46" s="159">
        <f>IF(I46="مخالفات",50,Basic34567891011121314151617181920212223242526[[#This Row],[قيمة الرسوم / العموله]]+Basic34567891011121314151617181920212223242526[[#This Row],[قيمة الشحنه]])</f>
        <v>0</v>
      </c>
      <c r="I46" s="90"/>
      <c r="J46" s="142" t="str">
        <f t="shared" si="0"/>
        <v>7.5.2026</v>
      </c>
      <c r="L46" s="153">
        <v>35</v>
      </c>
      <c r="M46" s="92"/>
    </row>
    <row r="47" spans="1:13" ht="21.6" x14ac:dyDescent="0.65">
      <c r="A47" s="195"/>
      <c r="B47" s="140">
        <v>44</v>
      </c>
      <c r="C47" s="2"/>
      <c r="D47" s="1"/>
      <c r="E47" s="3"/>
      <c r="F47" s="1"/>
      <c r="G47" s="141">
        <f>IF(Basic34567891011121314151617181920212223242526[[#This Row],[نوع الخدمة]]="مخالفات", 50,
IF(Basic34567891011121314151617181920212223242526[[#This Row],[نوع الخدمة]]="كاش ان",
    IF(F47&lt;=100, 18, IF(F47&lt;=250, 23, IF(F47&lt;=500, 35, IF(F47&lt;=1000, 40, F47*0.04)))),
IF(Basic34567891011121314151617181920212223242526[[#This Row],[نوع الخدمة]]="كاش اوت",
    IF(F47&lt;=100, 15, IF(F47&lt;=250, 20, IF(F47&lt;=500, 30, IF(F47&lt;=1000, 35, F47*0.035)))),
0)))</f>
        <v>0</v>
      </c>
      <c r="H47" s="159">
        <f>IF(I47="مخالفات",50,Basic34567891011121314151617181920212223242526[[#This Row],[قيمة الرسوم / العموله]]+Basic34567891011121314151617181920212223242526[[#This Row],[قيمة الشحنه]])</f>
        <v>0</v>
      </c>
      <c r="I47" s="90"/>
      <c r="J47" s="142" t="str">
        <f t="shared" si="0"/>
        <v>7.5.2026</v>
      </c>
      <c r="L47" s="153">
        <v>36</v>
      </c>
      <c r="M47" s="92"/>
    </row>
    <row r="48" spans="1:13" ht="21.6" x14ac:dyDescent="0.65">
      <c r="A48" s="195"/>
      <c r="B48" s="140">
        <v>45</v>
      </c>
      <c r="C48" s="2"/>
      <c r="D48" s="1"/>
      <c r="E48" s="3"/>
      <c r="F48" s="1"/>
      <c r="G48" s="141">
        <f>IF(Basic34567891011121314151617181920212223242526[[#This Row],[نوع الخدمة]]="مخالفات", 50,
IF(Basic34567891011121314151617181920212223242526[[#This Row],[نوع الخدمة]]="كاش ان",
    IF(F48&lt;=100, 18, IF(F48&lt;=250, 23, IF(F48&lt;=500, 35, IF(F48&lt;=1000, 40, F48*0.04)))),
IF(Basic34567891011121314151617181920212223242526[[#This Row],[نوع الخدمة]]="كاش اوت",
    IF(F48&lt;=100, 15, IF(F48&lt;=250, 20, IF(F48&lt;=500, 30, IF(F48&lt;=1000, 35, F48*0.035)))),
0)))</f>
        <v>0</v>
      </c>
      <c r="H48" s="159">
        <f>IF(I48="مخالفات",50,Basic34567891011121314151617181920212223242526[[#This Row],[قيمة الرسوم / العموله]]+Basic34567891011121314151617181920212223242526[[#This Row],[قيمة الشحنه]])</f>
        <v>0</v>
      </c>
      <c r="I48" s="90"/>
      <c r="J48" s="142" t="str">
        <f t="shared" si="0"/>
        <v>7.5.2026</v>
      </c>
      <c r="L48" s="153">
        <v>37</v>
      </c>
      <c r="M48" s="92"/>
    </row>
    <row r="49" spans="1:13" ht="21.6" x14ac:dyDescent="0.65">
      <c r="A49" s="195"/>
      <c r="B49" s="144">
        <v>46</v>
      </c>
      <c r="C49" s="2"/>
      <c r="D49" s="1"/>
      <c r="E49" s="3"/>
      <c r="F49" s="1"/>
      <c r="G49" s="141">
        <f>IF(Basic34567891011121314151617181920212223242526[[#This Row],[نوع الخدمة]]="مخالفات", 50,
IF(Basic34567891011121314151617181920212223242526[[#This Row],[نوع الخدمة]]="كاش ان",
    IF(F49&lt;=100, 18, IF(F49&lt;=250, 23, IF(F49&lt;=500, 35, IF(F49&lt;=1000, 40, F49*0.04)))),
IF(Basic34567891011121314151617181920212223242526[[#This Row],[نوع الخدمة]]="كاش اوت",
    IF(F49&lt;=100, 15, IF(F49&lt;=250, 20, IF(F49&lt;=500, 30, IF(F49&lt;=1000, 35, F49*0.035)))),
0)))</f>
        <v>0</v>
      </c>
      <c r="H49" s="159">
        <f>IF(I49="مخالفات",50,Basic34567891011121314151617181920212223242526[[#This Row],[قيمة الرسوم / العموله]]+Basic34567891011121314151617181920212223242526[[#This Row],[قيمة الشحنه]])</f>
        <v>0</v>
      </c>
      <c r="I49" s="90"/>
      <c r="J49" s="142" t="str">
        <f t="shared" si="0"/>
        <v>7.5.2026</v>
      </c>
      <c r="L49" s="153">
        <v>38</v>
      </c>
      <c r="M49" s="92"/>
    </row>
    <row r="50" spans="1:13" ht="21.6" x14ac:dyDescent="0.65">
      <c r="A50" s="195"/>
      <c r="B50" s="140">
        <v>47</v>
      </c>
      <c r="C50" s="2"/>
      <c r="D50" s="1"/>
      <c r="E50" s="3"/>
      <c r="F50" s="1"/>
      <c r="G50" s="141">
        <f>IF(Basic34567891011121314151617181920212223242526[[#This Row],[نوع الخدمة]]="مخالفات", 50,
IF(Basic34567891011121314151617181920212223242526[[#This Row],[نوع الخدمة]]="كاش ان",
    IF(F50&lt;=100, 18, IF(F50&lt;=250, 23, IF(F50&lt;=500, 35, IF(F50&lt;=1000, 40, F50*0.04)))),
IF(Basic34567891011121314151617181920212223242526[[#This Row],[نوع الخدمة]]="كاش اوت",
    IF(F50&lt;=100, 15, IF(F50&lt;=250, 20, IF(F50&lt;=500, 30, IF(F50&lt;=1000, 35, F50*0.035)))),
0)))</f>
        <v>0</v>
      </c>
      <c r="H50" s="159">
        <f>IF(I50="مخالفات",50,Basic34567891011121314151617181920212223242526[[#This Row],[قيمة الرسوم / العموله]]+Basic34567891011121314151617181920212223242526[[#This Row],[قيمة الشحنه]])</f>
        <v>0</v>
      </c>
      <c r="I50" s="90"/>
      <c r="J50" s="142" t="str">
        <f t="shared" si="0"/>
        <v>7.5.2026</v>
      </c>
      <c r="L50" s="153">
        <v>39</v>
      </c>
      <c r="M50" s="92"/>
    </row>
    <row r="51" spans="1:13" ht="21.6" x14ac:dyDescent="0.65">
      <c r="A51" s="195"/>
      <c r="B51" s="140">
        <v>48</v>
      </c>
      <c r="C51" s="2"/>
      <c r="D51" s="1"/>
      <c r="E51" s="3"/>
      <c r="F51" s="1"/>
      <c r="G51" s="141">
        <f>IF(Basic34567891011121314151617181920212223242526[[#This Row],[نوع الخدمة]]="مخالفات", 50,
IF(Basic34567891011121314151617181920212223242526[[#This Row],[نوع الخدمة]]="كاش ان",
    IF(F51&lt;=100, 18, IF(F51&lt;=250, 23, IF(F51&lt;=500, 35, IF(F51&lt;=1000, 40, F51*0.04)))),
IF(Basic34567891011121314151617181920212223242526[[#This Row],[نوع الخدمة]]="كاش اوت",
    IF(F51&lt;=100, 15, IF(F51&lt;=250, 20, IF(F51&lt;=500, 30, IF(F51&lt;=1000, 35, F51*0.035)))),
0)))</f>
        <v>0</v>
      </c>
      <c r="H51" s="159">
        <f>IF(I51="مخالفات",50,Basic34567891011121314151617181920212223242526[[#This Row],[قيمة الرسوم / العموله]]+Basic34567891011121314151617181920212223242526[[#This Row],[قيمة الشحنه]])</f>
        <v>0</v>
      </c>
      <c r="I51" s="90"/>
      <c r="J51" s="142" t="str">
        <f t="shared" si="0"/>
        <v>7.5.2026</v>
      </c>
      <c r="L51" s="153">
        <v>40</v>
      </c>
      <c r="M51" s="92"/>
    </row>
    <row r="52" spans="1:13" ht="21.6" x14ac:dyDescent="0.65">
      <c r="A52" s="195"/>
      <c r="B52" s="140">
        <v>49</v>
      </c>
      <c r="C52" s="2"/>
      <c r="D52" s="1"/>
      <c r="E52" s="3"/>
      <c r="F52" s="1"/>
      <c r="G52" s="141">
        <f>IF(Basic34567891011121314151617181920212223242526[[#This Row],[نوع الخدمة]]="مخالفات", 50,
IF(Basic34567891011121314151617181920212223242526[[#This Row],[نوع الخدمة]]="كاش ان",
    IF(F52&lt;=100, 18, IF(F52&lt;=250, 23, IF(F52&lt;=500, 35, IF(F52&lt;=1000, 40, F52*0.04)))),
IF(Basic34567891011121314151617181920212223242526[[#This Row],[نوع الخدمة]]="كاش اوت",
    IF(F52&lt;=100, 15, IF(F52&lt;=250, 20, IF(F52&lt;=500, 30, IF(F52&lt;=1000, 35, F52*0.035)))),
0)))</f>
        <v>0</v>
      </c>
      <c r="H52" s="159">
        <f>IF(I52="مخالفات",50,Basic34567891011121314151617181920212223242526[[#This Row],[قيمة الرسوم / العموله]]+Basic34567891011121314151617181920212223242526[[#This Row],[قيمة الشحنه]])</f>
        <v>0</v>
      </c>
      <c r="I52" s="90"/>
      <c r="J52" s="142" t="str">
        <f t="shared" si="0"/>
        <v>7.5.2026</v>
      </c>
      <c r="L52" s="153">
        <v>41</v>
      </c>
      <c r="M52" s="92"/>
    </row>
    <row r="53" spans="1:13" ht="21.6" x14ac:dyDescent="0.65">
      <c r="A53" s="195"/>
      <c r="B53" s="144">
        <v>50</v>
      </c>
      <c r="C53" s="2"/>
      <c r="D53" s="1"/>
      <c r="E53" s="3"/>
      <c r="F53" s="1"/>
      <c r="G53" s="141">
        <f>IF(Basic34567891011121314151617181920212223242526[[#This Row],[نوع الخدمة]]="مخالفات", 50,
IF(Basic34567891011121314151617181920212223242526[[#This Row],[نوع الخدمة]]="كاش ان",
    IF(F53&lt;=100, 18, IF(F53&lt;=250, 23, IF(F53&lt;=500, 35, IF(F53&lt;=1000, 40, F53*0.04)))),
IF(Basic34567891011121314151617181920212223242526[[#This Row],[نوع الخدمة]]="كاش اوت",
    IF(F53&lt;=100, 15, IF(F53&lt;=250, 20, IF(F53&lt;=500, 30, IF(F53&lt;=1000, 35, F53*0.035)))),
0)))</f>
        <v>0</v>
      </c>
      <c r="H53" s="159">
        <f>IF(I53="مخالفات",50,Basic34567891011121314151617181920212223242526[[#This Row],[قيمة الرسوم / العموله]]+Basic34567891011121314151617181920212223242526[[#This Row],[قيمة الشحنه]])</f>
        <v>0</v>
      </c>
      <c r="I53" s="90"/>
      <c r="J53" s="142" t="str">
        <f t="shared" si="0"/>
        <v>7.5.2026</v>
      </c>
      <c r="L53" s="153">
        <v>42</v>
      </c>
      <c r="M53" s="92"/>
    </row>
    <row r="54" spans="1:13" ht="21.6" x14ac:dyDescent="0.65">
      <c r="A54" s="195"/>
      <c r="B54" s="140">
        <v>51</v>
      </c>
      <c r="C54" s="2"/>
      <c r="D54" s="1"/>
      <c r="E54" s="3"/>
      <c r="F54" s="1"/>
      <c r="G54" s="141">
        <f>IF(Basic34567891011121314151617181920212223242526[[#This Row],[نوع الخدمة]]="مخالفات", 50,
IF(Basic34567891011121314151617181920212223242526[[#This Row],[نوع الخدمة]]="كاش ان",
    IF(F54&lt;=100, 18, IF(F54&lt;=250, 23, IF(F54&lt;=500, 35, IF(F54&lt;=1000, 40, F54*0.04)))),
IF(Basic34567891011121314151617181920212223242526[[#This Row],[نوع الخدمة]]="كاش اوت",
    IF(F54&lt;=100, 15, IF(F54&lt;=250, 20, IF(F54&lt;=500, 30, IF(F54&lt;=1000, 35, F54*0.035)))),
0)))</f>
        <v>0</v>
      </c>
      <c r="H54" s="159">
        <f>IF(I54="مخالفات",50,Basic34567891011121314151617181920212223242526[[#This Row],[قيمة الرسوم / العموله]]+Basic34567891011121314151617181920212223242526[[#This Row],[قيمة الشحنه]])</f>
        <v>0</v>
      </c>
      <c r="I54" s="90"/>
      <c r="J54" s="142" t="str">
        <f t="shared" si="0"/>
        <v>7.5.2026</v>
      </c>
      <c r="L54" s="153">
        <v>43</v>
      </c>
      <c r="M54" s="92"/>
    </row>
    <row r="55" spans="1:13" ht="21.6" x14ac:dyDescent="0.65">
      <c r="A55" s="195"/>
      <c r="B55" s="140">
        <v>52</v>
      </c>
      <c r="C55" s="2"/>
      <c r="D55" s="1"/>
      <c r="E55" s="3"/>
      <c r="F55" s="1"/>
      <c r="G55" s="141">
        <f>IF(Basic34567891011121314151617181920212223242526[[#This Row],[نوع الخدمة]]="مخالفات", 50,
IF(Basic34567891011121314151617181920212223242526[[#This Row],[نوع الخدمة]]="كاش ان",
    IF(F55&lt;=100, 18, IF(F55&lt;=250, 23, IF(F55&lt;=500, 35, IF(F55&lt;=1000, 40, F55*0.04)))),
IF(Basic34567891011121314151617181920212223242526[[#This Row],[نوع الخدمة]]="كاش اوت",
    IF(F55&lt;=100, 15, IF(F55&lt;=250, 20, IF(F55&lt;=500, 30, IF(F55&lt;=1000, 35, F55*0.035)))),
0)))</f>
        <v>0</v>
      </c>
      <c r="H55" s="159">
        <f>IF(I55="مخالفات",50,Basic34567891011121314151617181920212223242526[[#This Row],[قيمة الرسوم / العموله]]+Basic34567891011121314151617181920212223242526[[#This Row],[قيمة الشحنه]])</f>
        <v>0</v>
      </c>
      <c r="I55" s="90"/>
      <c r="J55" s="142" t="str">
        <f t="shared" si="0"/>
        <v>7.5.2026</v>
      </c>
      <c r="L55" s="153">
        <v>44</v>
      </c>
      <c r="M55" s="92"/>
    </row>
    <row r="56" spans="1:13" ht="21.6" x14ac:dyDescent="0.65">
      <c r="A56" s="195"/>
      <c r="B56" s="140">
        <v>53</v>
      </c>
      <c r="C56" s="2"/>
      <c r="D56" s="1"/>
      <c r="E56" s="3"/>
      <c r="F56" s="1"/>
      <c r="G56" s="141">
        <f>IF(Basic34567891011121314151617181920212223242526[[#This Row],[نوع الخدمة]]="مخالفات", 50,
IF(Basic34567891011121314151617181920212223242526[[#This Row],[نوع الخدمة]]="كاش ان",
    IF(F56&lt;=100, 18, IF(F56&lt;=250, 23, IF(F56&lt;=500, 35, IF(F56&lt;=1000, 40, F56*0.04)))),
IF(Basic34567891011121314151617181920212223242526[[#This Row],[نوع الخدمة]]="كاش اوت",
    IF(F56&lt;=100, 15, IF(F56&lt;=250, 20, IF(F56&lt;=500, 30, IF(F56&lt;=1000, 35, F56*0.035)))),
0)))</f>
        <v>0</v>
      </c>
      <c r="H56" s="159">
        <f>IF(I56="مخالفات",50,Basic34567891011121314151617181920212223242526[[#This Row],[قيمة الرسوم / العموله]]+Basic34567891011121314151617181920212223242526[[#This Row],[قيمة الشحنه]])</f>
        <v>0</v>
      </c>
      <c r="I56" s="90"/>
      <c r="J56" s="142" t="str">
        <f t="shared" si="0"/>
        <v>7.5.2026</v>
      </c>
      <c r="L56" s="153">
        <v>45</v>
      </c>
      <c r="M56" s="92"/>
    </row>
    <row r="57" spans="1:13" ht="21.6" x14ac:dyDescent="0.65">
      <c r="A57" s="195"/>
      <c r="B57" s="144">
        <v>54</v>
      </c>
      <c r="C57" s="2"/>
      <c r="D57" s="1"/>
      <c r="E57" s="3"/>
      <c r="F57" s="1"/>
      <c r="G57" s="141">
        <f>IF(Basic34567891011121314151617181920212223242526[[#This Row],[نوع الخدمة]]="مخالفات", 50,
IF(Basic34567891011121314151617181920212223242526[[#This Row],[نوع الخدمة]]="كاش ان",
    IF(F57&lt;=100, 18, IF(F57&lt;=250, 23, IF(F57&lt;=500, 35, IF(F57&lt;=1000, 40, F57*0.04)))),
IF(Basic34567891011121314151617181920212223242526[[#This Row],[نوع الخدمة]]="كاش اوت",
    IF(F57&lt;=100, 15, IF(F57&lt;=250, 20, IF(F57&lt;=500, 30, IF(F57&lt;=1000, 35, F57*0.035)))),
0)))</f>
        <v>0</v>
      </c>
      <c r="H57" s="159">
        <f>IF(I57="مخالفات",50,Basic34567891011121314151617181920212223242526[[#This Row],[قيمة الرسوم / العموله]]+Basic34567891011121314151617181920212223242526[[#This Row],[قيمة الشحنه]])</f>
        <v>0</v>
      </c>
      <c r="I57" s="90"/>
      <c r="J57" s="142" t="str">
        <f t="shared" si="0"/>
        <v>7.5.2026</v>
      </c>
      <c r="L57" s="153">
        <v>46</v>
      </c>
      <c r="M57" s="92"/>
    </row>
    <row r="58" spans="1:13" ht="21.6" x14ac:dyDescent="0.65">
      <c r="A58" s="195"/>
      <c r="B58" s="140">
        <v>55</v>
      </c>
      <c r="C58" s="2"/>
      <c r="D58" s="1"/>
      <c r="E58" s="3"/>
      <c r="F58" s="1"/>
      <c r="G58" s="141">
        <f>IF(Basic34567891011121314151617181920212223242526[[#This Row],[نوع الخدمة]]="مخالفات", 50,
IF(Basic34567891011121314151617181920212223242526[[#This Row],[نوع الخدمة]]="كاش ان",
    IF(F58&lt;=100, 18, IF(F58&lt;=250, 23, IF(F58&lt;=500, 35, IF(F58&lt;=1000, 40, F58*0.04)))),
IF(Basic34567891011121314151617181920212223242526[[#This Row],[نوع الخدمة]]="كاش اوت",
    IF(F58&lt;=100, 15, IF(F58&lt;=250, 20, IF(F58&lt;=500, 30, IF(F58&lt;=1000, 35, F58*0.035)))),
0)))</f>
        <v>0</v>
      </c>
      <c r="H58" s="159">
        <f>IF(I58="مخالفات",50,Basic34567891011121314151617181920212223242526[[#This Row],[قيمة الرسوم / العموله]]+Basic34567891011121314151617181920212223242526[[#This Row],[قيمة الشحنه]])</f>
        <v>0</v>
      </c>
      <c r="I58" s="90"/>
      <c r="J58" s="142" t="str">
        <f t="shared" si="0"/>
        <v>7.5.2026</v>
      </c>
      <c r="L58" s="153">
        <v>47</v>
      </c>
      <c r="M58" s="92"/>
    </row>
    <row r="59" spans="1:13" ht="21.6" x14ac:dyDescent="0.65">
      <c r="A59" s="195"/>
      <c r="B59" s="140">
        <v>56</v>
      </c>
      <c r="C59" s="2"/>
      <c r="D59" s="1"/>
      <c r="E59" s="3"/>
      <c r="F59" s="1"/>
      <c r="G59" s="141">
        <f>IF(Basic34567891011121314151617181920212223242526[[#This Row],[نوع الخدمة]]="مخالفات", 50,
IF(Basic34567891011121314151617181920212223242526[[#This Row],[نوع الخدمة]]="كاش ان",
    IF(F59&lt;=100, 18, IF(F59&lt;=250, 23, IF(F59&lt;=500, 35, IF(F59&lt;=1000, 40, F59*0.04)))),
IF(Basic34567891011121314151617181920212223242526[[#This Row],[نوع الخدمة]]="كاش اوت",
    IF(F59&lt;=100, 15, IF(F59&lt;=250, 20, IF(F59&lt;=500, 30, IF(F59&lt;=1000, 35, F59*0.035)))),
0)))</f>
        <v>0</v>
      </c>
      <c r="H59" s="159">
        <f>IF(I59="مخالفات",50,Basic34567891011121314151617181920212223242526[[#This Row],[قيمة الرسوم / العموله]]+Basic34567891011121314151617181920212223242526[[#This Row],[قيمة الشحنه]])</f>
        <v>0</v>
      </c>
      <c r="I59" s="90"/>
      <c r="J59" s="142" t="str">
        <f t="shared" si="0"/>
        <v>7.5.2026</v>
      </c>
      <c r="L59" s="153">
        <v>48</v>
      </c>
      <c r="M59" s="92"/>
    </row>
    <row r="60" spans="1:13" ht="21.6" x14ac:dyDescent="0.65">
      <c r="A60" s="195"/>
      <c r="B60" s="140">
        <v>57</v>
      </c>
      <c r="C60" s="2"/>
      <c r="D60" s="1"/>
      <c r="E60" s="3"/>
      <c r="F60" s="1"/>
      <c r="G60" s="141">
        <f>IF(Basic34567891011121314151617181920212223242526[[#This Row],[نوع الخدمة]]="مخالفات", 50,
IF(Basic34567891011121314151617181920212223242526[[#This Row],[نوع الخدمة]]="كاش ان",
    IF(F60&lt;=100, 18, IF(F60&lt;=250, 23, IF(F60&lt;=500, 35, IF(F60&lt;=1000, 40, F60*0.04)))),
IF(Basic34567891011121314151617181920212223242526[[#This Row],[نوع الخدمة]]="كاش اوت",
    IF(F60&lt;=100, 15, IF(F60&lt;=250, 20, IF(F60&lt;=500, 30, IF(F60&lt;=1000, 35, F60*0.035)))),
0)))</f>
        <v>0</v>
      </c>
      <c r="H60" s="159">
        <f>IF(I60="مخالفات",50,Basic34567891011121314151617181920212223242526[[#This Row],[قيمة الرسوم / العموله]]+Basic34567891011121314151617181920212223242526[[#This Row],[قيمة الشحنه]])</f>
        <v>0</v>
      </c>
      <c r="I60" s="90"/>
      <c r="J60" s="142" t="str">
        <f t="shared" si="0"/>
        <v>7.5.2026</v>
      </c>
      <c r="L60" s="153">
        <v>49</v>
      </c>
      <c r="M60" s="92"/>
    </row>
    <row r="61" spans="1:13" ht="21.6" x14ac:dyDescent="0.65">
      <c r="A61" s="195"/>
      <c r="B61" s="144">
        <v>58</v>
      </c>
      <c r="C61" s="2"/>
      <c r="D61" s="1"/>
      <c r="E61" s="3"/>
      <c r="F61" s="1"/>
      <c r="G61" s="141">
        <f>IF(Basic34567891011121314151617181920212223242526[[#This Row],[نوع الخدمة]]="مخالفات", 50,
IF(Basic34567891011121314151617181920212223242526[[#This Row],[نوع الخدمة]]="كاش ان",
    IF(F61&lt;=100, 18, IF(F61&lt;=250, 23, IF(F61&lt;=500, 35, IF(F61&lt;=1000, 40, F61*0.04)))),
IF(Basic34567891011121314151617181920212223242526[[#This Row],[نوع الخدمة]]="كاش اوت",
    IF(F61&lt;=100, 15, IF(F61&lt;=250, 20, IF(F61&lt;=500, 30, IF(F61&lt;=1000, 35, F61*0.035)))),
0)))</f>
        <v>0</v>
      </c>
      <c r="H61" s="159">
        <f>IF(I61="مخالفات",50,Basic34567891011121314151617181920212223242526[[#This Row],[قيمة الرسوم / العموله]]+Basic34567891011121314151617181920212223242526[[#This Row],[قيمة الشحنه]])</f>
        <v>0</v>
      </c>
      <c r="I61" s="90"/>
      <c r="J61" s="142" t="str">
        <f t="shared" si="0"/>
        <v>7.5.2026</v>
      </c>
      <c r="L61" s="153">
        <v>50</v>
      </c>
      <c r="M61" s="92"/>
    </row>
    <row r="62" spans="1:13" ht="21.6" x14ac:dyDescent="0.65">
      <c r="A62" s="195"/>
      <c r="B62" s="140">
        <v>59</v>
      </c>
      <c r="C62" s="2"/>
      <c r="D62" s="1"/>
      <c r="E62" s="3"/>
      <c r="F62" s="1"/>
      <c r="G62" s="141">
        <f>IF(Basic34567891011121314151617181920212223242526[[#This Row],[نوع الخدمة]]="مخالفات", 50,
IF(Basic34567891011121314151617181920212223242526[[#This Row],[نوع الخدمة]]="كاش ان",
    IF(F62&lt;=100, 18, IF(F62&lt;=250, 23, IF(F62&lt;=500, 35, IF(F62&lt;=1000, 40, F62*0.04)))),
IF(Basic34567891011121314151617181920212223242526[[#This Row],[نوع الخدمة]]="كاش اوت",
    IF(F62&lt;=100, 15, IF(F62&lt;=250, 20, IF(F62&lt;=500, 30, IF(F62&lt;=1000, 35, F62*0.035)))),
0)))</f>
        <v>0</v>
      </c>
      <c r="H62" s="159">
        <f>IF(I62="مخالفات",50,Basic34567891011121314151617181920212223242526[[#This Row],[قيمة الرسوم / العموله]]+Basic34567891011121314151617181920212223242526[[#This Row],[قيمة الشحنه]])</f>
        <v>0</v>
      </c>
      <c r="I62" s="90"/>
      <c r="J62" s="142" t="str">
        <f t="shared" si="0"/>
        <v>7.5.2026</v>
      </c>
      <c r="L62" s="153">
        <v>51</v>
      </c>
      <c r="M62" s="92"/>
    </row>
    <row r="63" spans="1:13" ht="21.6" x14ac:dyDescent="0.65">
      <c r="A63" s="195"/>
      <c r="B63" s="140">
        <v>60</v>
      </c>
      <c r="C63" s="2"/>
      <c r="D63" s="1"/>
      <c r="E63" s="3"/>
      <c r="F63" s="1"/>
      <c r="G63" s="141">
        <f>IF(Basic34567891011121314151617181920212223242526[[#This Row],[نوع الخدمة]]="مخالفات", 50,
IF(Basic34567891011121314151617181920212223242526[[#This Row],[نوع الخدمة]]="كاش ان",
    IF(F63&lt;=100, 18, IF(F63&lt;=250, 23, IF(F63&lt;=500, 35, IF(F63&lt;=1000, 40, F63*0.04)))),
IF(Basic34567891011121314151617181920212223242526[[#This Row],[نوع الخدمة]]="كاش اوت",
    IF(F63&lt;=100, 15, IF(F63&lt;=250, 20, IF(F63&lt;=500, 30, IF(F63&lt;=1000, 35, F63*0.035)))),
0)))</f>
        <v>0</v>
      </c>
      <c r="H63" s="159">
        <f>IF(I63="مخالفات",50,Basic34567891011121314151617181920212223242526[[#This Row],[قيمة الرسوم / العموله]]+Basic34567891011121314151617181920212223242526[[#This Row],[قيمة الشحنه]])</f>
        <v>0</v>
      </c>
      <c r="I63" s="90"/>
      <c r="J63" s="142" t="str">
        <f t="shared" si="0"/>
        <v>7.5.2026</v>
      </c>
      <c r="L63" s="153">
        <v>52</v>
      </c>
      <c r="M63" s="92"/>
    </row>
    <row r="64" spans="1:13" ht="21.6" x14ac:dyDescent="0.65">
      <c r="A64" s="195"/>
      <c r="B64" s="140">
        <v>61</v>
      </c>
      <c r="C64" s="2"/>
      <c r="D64" s="1"/>
      <c r="E64" s="3"/>
      <c r="F64" s="1"/>
      <c r="G64" s="141">
        <f>IF(Basic34567891011121314151617181920212223242526[[#This Row],[نوع الخدمة]]="مخالفات", 50,
IF(Basic34567891011121314151617181920212223242526[[#This Row],[نوع الخدمة]]="كاش ان",
    IF(F64&lt;=100, 18, IF(F64&lt;=250, 23, IF(F64&lt;=500, 35, IF(F64&lt;=1000, 40, F64*0.04)))),
IF(Basic34567891011121314151617181920212223242526[[#This Row],[نوع الخدمة]]="كاش اوت",
    IF(F64&lt;=100, 15, IF(F64&lt;=250, 20, IF(F64&lt;=500, 30, IF(F64&lt;=1000, 35, F64*0.035)))),
0)))</f>
        <v>0</v>
      </c>
      <c r="H64" s="159">
        <f>IF(I64="مخالفات",50,Basic34567891011121314151617181920212223242526[[#This Row],[قيمة الرسوم / العموله]]+Basic34567891011121314151617181920212223242526[[#This Row],[قيمة الشحنه]])</f>
        <v>0</v>
      </c>
      <c r="I64" s="90"/>
      <c r="J64" s="142" t="str">
        <f t="shared" si="0"/>
        <v>7.5.2026</v>
      </c>
      <c r="L64" s="153">
        <v>53</v>
      </c>
      <c r="M64" s="92"/>
    </row>
    <row r="65" spans="1:13" ht="21.6" x14ac:dyDescent="0.65">
      <c r="A65" s="195"/>
      <c r="B65" s="144">
        <v>62</v>
      </c>
      <c r="C65" s="2"/>
      <c r="D65" s="1"/>
      <c r="E65" s="3"/>
      <c r="F65" s="1"/>
      <c r="G65" s="141">
        <f>IF(Basic34567891011121314151617181920212223242526[[#This Row],[نوع الخدمة]]="مخالفات", 50,
IF(Basic34567891011121314151617181920212223242526[[#This Row],[نوع الخدمة]]="كاش ان",
    IF(F65&lt;=100, 18, IF(F65&lt;=250, 23, IF(F65&lt;=500, 35, IF(F65&lt;=1000, 40, F65*0.04)))),
IF(Basic34567891011121314151617181920212223242526[[#This Row],[نوع الخدمة]]="كاش اوت",
    IF(F65&lt;=100, 15, IF(F65&lt;=250, 20, IF(F65&lt;=500, 30, IF(F65&lt;=1000, 35, F65*0.035)))),
0)))</f>
        <v>0</v>
      </c>
      <c r="H65" s="159">
        <f>IF(I65="مخالفات",50,Basic34567891011121314151617181920212223242526[[#This Row],[قيمة الرسوم / العموله]]+Basic34567891011121314151617181920212223242526[[#This Row],[قيمة الشحنه]])</f>
        <v>0</v>
      </c>
      <c r="I65" s="90"/>
      <c r="J65" s="142" t="str">
        <f t="shared" si="0"/>
        <v>7.5.2026</v>
      </c>
      <c r="L65" s="153">
        <v>54</v>
      </c>
      <c r="M65" s="92"/>
    </row>
    <row r="66" spans="1:13" ht="21.6" x14ac:dyDescent="0.65">
      <c r="A66" s="195"/>
      <c r="B66" s="140">
        <v>63</v>
      </c>
      <c r="C66" s="2"/>
      <c r="D66" s="1"/>
      <c r="E66" s="3"/>
      <c r="F66" s="1"/>
      <c r="G66" s="141">
        <f>IF(Basic34567891011121314151617181920212223242526[[#This Row],[نوع الخدمة]]="مخالفات", 50,
IF(Basic34567891011121314151617181920212223242526[[#This Row],[نوع الخدمة]]="كاش ان",
    IF(F66&lt;=100, 18, IF(F66&lt;=250, 23, IF(F66&lt;=500, 35, IF(F66&lt;=1000, 40, F66*0.04)))),
IF(Basic34567891011121314151617181920212223242526[[#This Row],[نوع الخدمة]]="كاش اوت",
    IF(F66&lt;=100, 15, IF(F66&lt;=250, 20, IF(F66&lt;=500, 30, IF(F66&lt;=1000, 35, F66*0.035)))),
0)))</f>
        <v>0</v>
      </c>
      <c r="H66" s="159">
        <f>IF(I66="مخالفات",50,Basic34567891011121314151617181920212223242526[[#This Row],[قيمة الرسوم / العموله]]+Basic34567891011121314151617181920212223242526[[#This Row],[قيمة الشحنه]])</f>
        <v>0</v>
      </c>
      <c r="I66" s="90"/>
      <c r="J66" s="142" t="str">
        <f t="shared" si="0"/>
        <v>7.5.2026</v>
      </c>
      <c r="L66" s="153">
        <v>55</v>
      </c>
      <c r="M66" s="92"/>
    </row>
    <row r="67" spans="1:13" ht="21.6" x14ac:dyDescent="0.65">
      <c r="A67" s="195"/>
      <c r="B67" s="140">
        <v>64</v>
      </c>
      <c r="C67" s="2"/>
      <c r="D67" s="1"/>
      <c r="E67" s="3"/>
      <c r="F67" s="1"/>
      <c r="G67" s="141">
        <f>IF(Basic34567891011121314151617181920212223242526[[#This Row],[نوع الخدمة]]="مخالفات", 50,
IF(Basic34567891011121314151617181920212223242526[[#This Row],[نوع الخدمة]]="كاش ان",
    IF(F67&lt;=100, 18, IF(F67&lt;=250, 23, IF(F67&lt;=500, 35, IF(F67&lt;=1000, 40, F67*0.04)))),
IF(Basic34567891011121314151617181920212223242526[[#This Row],[نوع الخدمة]]="كاش اوت",
    IF(F67&lt;=100, 15, IF(F67&lt;=250, 20, IF(F67&lt;=500, 30, IF(F67&lt;=1000, 35, F67*0.035)))),
0)))</f>
        <v>0</v>
      </c>
      <c r="H67" s="159">
        <f>IF(I67="مخالفات",50,Basic34567891011121314151617181920212223242526[[#This Row],[قيمة الرسوم / العموله]]+Basic34567891011121314151617181920212223242526[[#This Row],[قيمة الشحنه]])</f>
        <v>0</v>
      </c>
      <c r="I67" s="90"/>
      <c r="J67" s="142" t="str">
        <f t="shared" si="0"/>
        <v>7.5.2026</v>
      </c>
      <c r="L67" s="153">
        <v>56</v>
      </c>
      <c r="M67" s="92"/>
    </row>
    <row r="68" spans="1:13" ht="21.6" x14ac:dyDescent="0.65">
      <c r="A68" s="195"/>
      <c r="B68" s="140">
        <v>65</v>
      </c>
      <c r="C68" s="2"/>
      <c r="D68" s="1"/>
      <c r="E68" s="3"/>
      <c r="F68" s="1"/>
      <c r="G68" s="141">
        <f>IF(Basic34567891011121314151617181920212223242526[[#This Row],[نوع الخدمة]]="مخالفات", 50,
IF(Basic34567891011121314151617181920212223242526[[#This Row],[نوع الخدمة]]="كاش ان",
    IF(F68&lt;=100, 18, IF(F68&lt;=250, 23, IF(F68&lt;=500, 35, IF(F68&lt;=1000, 40, F68*0.04)))),
IF(Basic34567891011121314151617181920212223242526[[#This Row],[نوع الخدمة]]="كاش اوت",
    IF(F68&lt;=100, 15, IF(F68&lt;=250, 20, IF(F68&lt;=500, 30, IF(F68&lt;=1000, 35, F68*0.035)))),
0)))</f>
        <v>0</v>
      </c>
      <c r="H68" s="159">
        <f>IF(I68="مخالفات",50,Basic34567891011121314151617181920212223242526[[#This Row],[قيمة الرسوم / العموله]]+Basic34567891011121314151617181920212223242526[[#This Row],[قيمة الشحنه]])</f>
        <v>0</v>
      </c>
      <c r="I68" s="90"/>
      <c r="J68" s="142" t="str">
        <f t="shared" ref="J68:J131" si="1">M$3</f>
        <v>7.5.2026</v>
      </c>
      <c r="L68" s="153">
        <v>57</v>
      </c>
      <c r="M68" s="92"/>
    </row>
    <row r="69" spans="1:13" ht="21.6" x14ac:dyDescent="0.65">
      <c r="A69" s="195"/>
      <c r="B69" s="144">
        <v>66</v>
      </c>
      <c r="C69" s="2"/>
      <c r="D69" s="1"/>
      <c r="E69" s="3"/>
      <c r="F69" s="1"/>
      <c r="G69" s="141">
        <f>IF(Basic34567891011121314151617181920212223242526[[#This Row],[نوع الخدمة]]="مخالفات", 50,
IF(Basic34567891011121314151617181920212223242526[[#This Row],[نوع الخدمة]]="كاش ان",
    IF(F69&lt;=100, 18, IF(F69&lt;=250, 23, IF(F69&lt;=500, 35, IF(F69&lt;=1000, 40, F69*0.04)))),
IF(Basic34567891011121314151617181920212223242526[[#This Row],[نوع الخدمة]]="كاش اوت",
    IF(F69&lt;=100, 15, IF(F69&lt;=250, 20, IF(F69&lt;=500, 30, IF(F69&lt;=1000, 35, F69*0.035)))),
0)))</f>
        <v>0</v>
      </c>
      <c r="H69" s="159">
        <f>IF(I69="مخالفات",50,Basic34567891011121314151617181920212223242526[[#This Row],[قيمة الرسوم / العموله]]+Basic34567891011121314151617181920212223242526[[#This Row],[قيمة الشحنه]])</f>
        <v>0</v>
      </c>
      <c r="I69" s="90"/>
      <c r="J69" s="142" t="str">
        <f t="shared" si="1"/>
        <v>7.5.2026</v>
      </c>
      <c r="L69" s="153">
        <v>58</v>
      </c>
      <c r="M69" s="92"/>
    </row>
    <row r="70" spans="1:13" ht="21.6" x14ac:dyDescent="0.65">
      <c r="A70" s="195"/>
      <c r="B70" s="140">
        <v>67</v>
      </c>
      <c r="C70" s="2"/>
      <c r="D70" s="1"/>
      <c r="E70" s="3"/>
      <c r="F70" s="1"/>
      <c r="G70" s="141">
        <f>IF(Basic34567891011121314151617181920212223242526[[#This Row],[نوع الخدمة]]="مخالفات", 50,
IF(Basic34567891011121314151617181920212223242526[[#This Row],[نوع الخدمة]]="كاش ان",
    IF(F70&lt;=100, 18, IF(F70&lt;=250, 23, IF(F70&lt;=500, 35, IF(F70&lt;=1000, 40, F70*0.04)))),
IF(Basic34567891011121314151617181920212223242526[[#This Row],[نوع الخدمة]]="كاش اوت",
    IF(F70&lt;=100, 15, IF(F70&lt;=250, 20, IF(F70&lt;=500, 30, IF(F70&lt;=1000, 35, F70*0.035)))),
0)))</f>
        <v>0</v>
      </c>
      <c r="H70" s="159">
        <f>IF(I70="مخالفات",50,Basic34567891011121314151617181920212223242526[[#This Row],[قيمة الرسوم / العموله]]+Basic34567891011121314151617181920212223242526[[#This Row],[قيمة الشحنه]])</f>
        <v>0</v>
      </c>
      <c r="I70" s="90"/>
      <c r="J70" s="142" t="str">
        <f t="shared" si="1"/>
        <v>7.5.2026</v>
      </c>
      <c r="L70" s="153">
        <v>59</v>
      </c>
      <c r="M70" s="92"/>
    </row>
    <row r="71" spans="1:13" ht="21.6" x14ac:dyDescent="0.65">
      <c r="A71" s="195"/>
      <c r="B71" s="140">
        <v>68</v>
      </c>
      <c r="C71" s="2"/>
      <c r="D71" s="1"/>
      <c r="E71" s="3"/>
      <c r="F71" s="1"/>
      <c r="G71" s="141">
        <f>IF(Basic34567891011121314151617181920212223242526[[#This Row],[نوع الخدمة]]="مخالفات", 50,
IF(Basic34567891011121314151617181920212223242526[[#This Row],[نوع الخدمة]]="كاش ان",
    IF(F71&lt;=100, 18, IF(F71&lt;=250, 23, IF(F71&lt;=500, 35, IF(F71&lt;=1000, 40, F71*0.04)))),
IF(Basic34567891011121314151617181920212223242526[[#This Row],[نوع الخدمة]]="كاش اوت",
    IF(F71&lt;=100, 15, IF(F71&lt;=250, 20, IF(F71&lt;=500, 30, IF(F71&lt;=1000, 35, F71*0.035)))),
0)))</f>
        <v>0</v>
      </c>
      <c r="H71" s="159">
        <f>IF(I71="مخالفات",50,Basic34567891011121314151617181920212223242526[[#This Row],[قيمة الرسوم / العموله]]+Basic34567891011121314151617181920212223242526[[#This Row],[قيمة الشحنه]])</f>
        <v>0</v>
      </c>
      <c r="I71" s="90"/>
      <c r="J71" s="142" t="str">
        <f t="shared" si="1"/>
        <v>7.5.2026</v>
      </c>
      <c r="L71" s="153">
        <v>60</v>
      </c>
      <c r="M71" s="92"/>
    </row>
    <row r="72" spans="1:13" ht="21.6" x14ac:dyDescent="0.65">
      <c r="A72" s="195"/>
      <c r="B72" s="140">
        <v>69</v>
      </c>
      <c r="C72" s="2"/>
      <c r="D72" s="1"/>
      <c r="E72" s="3"/>
      <c r="F72" s="1"/>
      <c r="G72" s="141">
        <f>IF(Basic34567891011121314151617181920212223242526[[#This Row],[نوع الخدمة]]="مخالفات", 50,
IF(Basic34567891011121314151617181920212223242526[[#This Row],[نوع الخدمة]]="كاش ان",
    IF(F72&lt;=100, 18, IF(F72&lt;=250, 23, IF(F72&lt;=500, 35, IF(F72&lt;=1000, 40, F72*0.04)))),
IF(Basic34567891011121314151617181920212223242526[[#This Row],[نوع الخدمة]]="كاش اوت",
    IF(F72&lt;=100, 15, IF(F72&lt;=250, 20, IF(F72&lt;=500, 30, IF(F72&lt;=1000, 35, F72*0.035)))),
0)))</f>
        <v>0</v>
      </c>
      <c r="H72" s="159">
        <f>IF(I72="مخالفات",50,Basic34567891011121314151617181920212223242526[[#This Row],[قيمة الرسوم / العموله]]+Basic34567891011121314151617181920212223242526[[#This Row],[قيمة الشحنه]])</f>
        <v>0</v>
      </c>
      <c r="I72" s="90"/>
      <c r="J72" s="142" t="str">
        <f t="shared" si="1"/>
        <v>7.5.2026</v>
      </c>
      <c r="L72" s="153">
        <v>61</v>
      </c>
      <c r="M72" s="92"/>
    </row>
    <row r="73" spans="1:13" ht="21.6" x14ac:dyDescent="0.65">
      <c r="A73" s="195"/>
      <c r="B73" s="144">
        <v>70</v>
      </c>
      <c r="C73" s="2"/>
      <c r="D73" s="1"/>
      <c r="E73" s="3"/>
      <c r="F73" s="1"/>
      <c r="G73" s="141">
        <f>IF(Basic34567891011121314151617181920212223242526[[#This Row],[نوع الخدمة]]="مخالفات", 50,
IF(Basic34567891011121314151617181920212223242526[[#This Row],[نوع الخدمة]]="كاش ان",
    IF(F73&lt;=100, 18, IF(F73&lt;=250, 23, IF(F73&lt;=500, 35, IF(F73&lt;=1000, 40, F73*0.04)))),
IF(Basic34567891011121314151617181920212223242526[[#This Row],[نوع الخدمة]]="كاش اوت",
    IF(F73&lt;=100, 15, IF(F73&lt;=250, 20, IF(F73&lt;=500, 30, IF(F73&lt;=1000, 35, F73*0.035)))),
0)))</f>
        <v>0</v>
      </c>
      <c r="H73" s="159">
        <f>IF(I73="مخالفات",50,Basic34567891011121314151617181920212223242526[[#This Row],[قيمة الرسوم / العموله]]+Basic34567891011121314151617181920212223242526[[#This Row],[قيمة الشحنه]])</f>
        <v>0</v>
      </c>
      <c r="I73" s="90"/>
      <c r="J73" s="142" t="str">
        <f t="shared" si="1"/>
        <v>7.5.2026</v>
      </c>
      <c r="L73" s="153">
        <v>62</v>
      </c>
      <c r="M73" s="92"/>
    </row>
    <row r="74" spans="1:13" ht="21.6" x14ac:dyDescent="0.65">
      <c r="A74" s="195"/>
      <c r="B74" s="140">
        <v>71</v>
      </c>
      <c r="C74" s="2"/>
      <c r="D74" s="1"/>
      <c r="E74" s="3"/>
      <c r="F74" s="1"/>
      <c r="G74" s="141">
        <f>IF(Basic34567891011121314151617181920212223242526[[#This Row],[نوع الخدمة]]="مخالفات", 50,
IF(Basic34567891011121314151617181920212223242526[[#This Row],[نوع الخدمة]]="كاش ان",
    IF(F74&lt;=100, 18, IF(F74&lt;=250, 23, IF(F74&lt;=500, 35, IF(F74&lt;=1000, 40, F74*0.04)))),
IF(Basic34567891011121314151617181920212223242526[[#This Row],[نوع الخدمة]]="كاش اوت",
    IF(F74&lt;=100, 15, IF(F74&lt;=250, 20, IF(F74&lt;=500, 30, IF(F74&lt;=1000, 35, F74*0.035)))),
0)))</f>
        <v>0</v>
      </c>
      <c r="H74" s="159">
        <f>IF(I74="مخالفات",50,Basic34567891011121314151617181920212223242526[[#This Row],[قيمة الرسوم / العموله]]+Basic34567891011121314151617181920212223242526[[#This Row],[قيمة الشحنه]])</f>
        <v>0</v>
      </c>
      <c r="I74" s="90"/>
      <c r="J74" s="142" t="str">
        <f t="shared" si="1"/>
        <v>7.5.2026</v>
      </c>
      <c r="L74" s="153">
        <v>63</v>
      </c>
      <c r="M74" s="92"/>
    </row>
    <row r="75" spans="1:13" ht="21.6" x14ac:dyDescent="0.65">
      <c r="A75" s="195"/>
      <c r="B75" s="140">
        <v>72</v>
      </c>
      <c r="C75" s="2"/>
      <c r="D75" s="1"/>
      <c r="E75" s="3"/>
      <c r="F75" s="1"/>
      <c r="G75" s="141">
        <f>IF(Basic34567891011121314151617181920212223242526[[#This Row],[نوع الخدمة]]="مخالفات", 50,
IF(Basic34567891011121314151617181920212223242526[[#This Row],[نوع الخدمة]]="كاش ان",
    IF(F75&lt;=100, 18, IF(F75&lt;=250, 23, IF(F75&lt;=500, 35, IF(F75&lt;=1000, 40, F75*0.04)))),
IF(Basic34567891011121314151617181920212223242526[[#This Row],[نوع الخدمة]]="كاش اوت",
    IF(F75&lt;=100, 15, IF(F75&lt;=250, 20, IF(F75&lt;=500, 30, IF(F75&lt;=1000, 35, F75*0.035)))),
0)))</f>
        <v>0</v>
      </c>
      <c r="H75" s="159">
        <f>IF(I75="مخالفات",50,Basic34567891011121314151617181920212223242526[[#This Row],[قيمة الرسوم / العموله]]+Basic34567891011121314151617181920212223242526[[#This Row],[قيمة الشحنه]])</f>
        <v>0</v>
      </c>
      <c r="I75" s="90"/>
      <c r="J75" s="142" t="str">
        <f t="shared" si="1"/>
        <v>7.5.2026</v>
      </c>
      <c r="L75" s="153">
        <v>64</v>
      </c>
      <c r="M75" s="92"/>
    </row>
    <row r="76" spans="1:13" ht="21.6" x14ac:dyDescent="0.65">
      <c r="A76" s="195"/>
      <c r="B76" s="140">
        <v>73</v>
      </c>
      <c r="C76" s="2"/>
      <c r="D76" s="1"/>
      <c r="E76" s="3"/>
      <c r="F76" s="1"/>
      <c r="G76" s="141">
        <f>IF(Basic34567891011121314151617181920212223242526[[#This Row],[نوع الخدمة]]="مخالفات", 50,
IF(Basic34567891011121314151617181920212223242526[[#This Row],[نوع الخدمة]]="كاش ان",
    IF(F76&lt;=100, 18, IF(F76&lt;=250, 23, IF(F76&lt;=500, 35, IF(F76&lt;=1000, 40, F76*0.04)))),
IF(Basic34567891011121314151617181920212223242526[[#This Row],[نوع الخدمة]]="كاش اوت",
    IF(F76&lt;=100, 15, IF(F76&lt;=250, 20, IF(F76&lt;=500, 30, IF(F76&lt;=1000, 35, F76*0.035)))),
0)))</f>
        <v>0</v>
      </c>
      <c r="H76" s="159">
        <f>IF(I76="مخالفات",50,Basic34567891011121314151617181920212223242526[[#This Row],[قيمة الرسوم / العموله]]+Basic34567891011121314151617181920212223242526[[#This Row],[قيمة الشحنه]])</f>
        <v>0</v>
      </c>
      <c r="I76" s="90"/>
      <c r="J76" s="142" t="str">
        <f t="shared" si="1"/>
        <v>7.5.2026</v>
      </c>
      <c r="L76" s="153">
        <v>65</v>
      </c>
      <c r="M76" s="92"/>
    </row>
    <row r="77" spans="1:13" ht="21.6" x14ac:dyDescent="0.65">
      <c r="A77" s="195"/>
      <c r="B77" s="144">
        <v>74</v>
      </c>
      <c r="C77" s="2"/>
      <c r="D77" s="1"/>
      <c r="E77" s="3"/>
      <c r="F77" s="1"/>
      <c r="G77" s="141">
        <f>IF(Basic34567891011121314151617181920212223242526[[#This Row],[نوع الخدمة]]="مخالفات", 50,
IF(Basic34567891011121314151617181920212223242526[[#This Row],[نوع الخدمة]]="كاش ان",
    IF(F77&lt;=100, 18, IF(F77&lt;=250, 23, IF(F77&lt;=500, 35, IF(F77&lt;=1000, 40, F77*0.04)))),
IF(Basic34567891011121314151617181920212223242526[[#This Row],[نوع الخدمة]]="كاش اوت",
    IF(F77&lt;=100, 15, IF(F77&lt;=250, 20, IF(F77&lt;=500, 30, IF(F77&lt;=1000, 35, F77*0.035)))),
0)))</f>
        <v>0</v>
      </c>
      <c r="H77" s="159">
        <f>IF(I77="مخالفات",50,Basic34567891011121314151617181920212223242526[[#This Row],[قيمة الرسوم / العموله]]+Basic34567891011121314151617181920212223242526[[#This Row],[قيمة الشحنه]])</f>
        <v>0</v>
      </c>
      <c r="I77" s="90"/>
      <c r="J77" s="142" t="str">
        <f t="shared" si="1"/>
        <v>7.5.2026</v>
      </c>
      <c r="L77" s="153">
        <v>66</v>
      </c>
      <c r="M77" s="92"/>
    </row>
    <row r="78" spans="1:13" ht="21.6" x14ac:dyDescent="0.65">
      <c r="A78" s="195"/>
      <c r="B78" s="140">
        <v>75</v>
      </c>
      <c r="C78" s="2"/>
      <c r="D78" s="1"/>
      <c r="E78" s="3"/>
      <c r="F78" s="1"/>
      <c r="G78" s="141">
        <f>IF(Basic34567891011121314151617181920212223242526[[#This Row],[نوع الخدمة]]="مخالفات", 50,
IF(Basic34567891011121314151617181920212223242526[[#This Row],[نوع الخدمة]]="كاش ان",
    IF(F78&lt;=100, 18, IF(F78&lt;=250, 23, IF(F78&lt;=500, 35, IF(F78&lt;=1000, 40, F78*0.04)))),
IF(Basic34567891011121314151617181920212223242526[[#This Row],[نوع الخدمة]]="كاش اوت",
    IF(F78&lt;=100, 15, IF(F78&lt;=250, 20, IF(F78&lt;=500, 30, IF(F78&lt;=1000, 35, F78*0.035)))),
0)))</f>
        <v>0</v>
      </c>
      <c r="H78" s="159">
        <f>IF(I78="مخالفات",50,Basic34567891011121314151617181920212223242526[[#This Row],[قيمة الرسوم / العموله]]+Basic34567891011121314151617181920212223242526[[#This Row],[قيمة الشحنه]])</f>
        <v>0</v>
      </c>
      <c r="I78" s="90"/>
      <c r="J78" s="142" t="str">
        <f t="shared" si="1"/>
        <v>7.5.2026</v>
      </c>
      <c r="L78" s="153">
        <v>67</v>
      </c>
      <c r="M78" s="92"/>
    </row>
    <row r="79" spans="1:13" ht="21.6" x14ac:dyDescent="0.65">
      <c r="A79" s="195"/>
      <c r="B79" s="140">
        <v>76</v>
      </c>
      <c r="C79" s="2"/>
      <c r="D79" s="1"/>
      <c r="E79" s="3"/>
      <c r="F79" s="1"/>
      <c r="G79" s="141">
        <f>IF(Basic34567891011121314151617181920212223242526[[#This Row],[نوع الخدمة]]="مخالفات", 50,
IF(Basic34567891011121314151617181920212223242526[[#This Row],[نوع الخدمة]]="كاش ان",
    IF(F79&lt;=100, 18, IF(F79&lt;=250, 23, IF(F79&lt;=500, 35, IF(F79&lt;=1000, 40, F79*0.04)))),
IF(Basic34567891011121314151617181920212223242526[[#This Row],[نوع الخدمة]]="كاش اوت",
    IF(F79&lt;=100, 15, IF(F79&lt;=250, 20, IF(F79&lt;=500, 30, IF(F79&lt;=1000, 35, F79*0.035)))),
0)))</f>
        <v>0</v>
      </c>
      <c r="H79" s="159">
        <f>IF(I79="مخالفات",50,Basic34567891011121314151617181920212223242526[[#This Row],[قيمة الرسوم / العموله]]+Basic34567891011121314151617181920212223242526[[#This Row],[قيمة الشحنه]])</f>
        <v>0</v>
      </c>
      <c r="I79" s="90"/>
      <c r="J79" s="142" t="str">
        <f t="shared" si="1"/>
        <v>7.5.2026</v>
      </c>
      <c r="L79" s="153">
        <v>68</v>
      </c>
      <c r="M79" s="92"/>
    </row>
    <row r="80" spans="1:13" ht="21.6" x14ac:dyDescent="0.65">
      <c r="A80" s="195"/>
      <c r="B80" s="140">
        <v>77</v>
      </c>
      <c r="C80" s="2"/>
      <c r="D80" s="1"/>
      <c r="E80" s="3"/>
      <c r="F80" s="1"/>
      <c r="G80" s="141">
        <f>IF(Basic34567891011121314151617181920212223242526[[#This Row],[نوع الخدمة]]="مخالفات", 50,
IF(Basic34567891011121314151617181920212223242526[[#This Row],[نوع الخدمة]]="كاش ان",
    IF(F80&lt;=100, 18, IF(F80&lt;=250, 23, IF(F80&lt;=500, 35, IF(F80&lt;=1000, 40, F80*0.04)))),
IF(Basic34567891011121314151617181920212223242526[[#This Row],[نوع الخدمة]]="كاش اوت",
    IF(F80&lt;=100, 15, IF(F80&lt;=250, 20, IF(F80&lt;=500, 30, IF(F80&lt;=1000, 35, F80*0.035)))),
0)))</f>
        <v>0</v>
      </c>
      <c r="H80" s="159">
        <f>IF(I80="مخالفات",50,Basic34567891011121314151617181920212223242526[[#This Row],[قيمة الرسوم / العموله]]+Basic34567891011121314151617181920212223242526[[#This Row],[قيمة الشحنه]])</f>
        <v>0</v>
      </c>
      <c r="I80" s="90"/>
      <c r="J80" s="142" t="str">
        <f t="shared" si="1"/>
        <v>7.5.2026</v>
      </c>
      <c r="L80" s="153">
        <v>69</v>
      </c>
      <c r="M80" s="92"/>
    </row>
    <row r="81" spans="1:13" ht="21.6" x14ac:dyDescent="0.65">
      <c r="A81" s="195"/>
      <c r="B81" s="144">
        <v>78</v>
      </c>
      <c r="C81" s="2"/>
      <c r="D81" s="1"/>
      <c r="E81" s="3"/>
      <c r="F81" s="1"/>
      <c r="G81" s="141">
        <f>IF(Basic34567891011121314151617181920212223242526[[#This Row],[نوع الخدمة]]="مخالفات", 50,
IF(Basic34567891011121314151617181920212223242526[[#This Row],[نوع الخدمة]]="كاش ان",
    IF(F81&lt;=100, 18, IF(F81&lt;=250, 23, IF(F81&lt;=500, 35, IF(F81&lt;=1000, 40, F81*0.04)))),
IF(Basic34567891011121314151617181920212223242526[[#This Row],[نوع الخدمة]]="كاش اوت",
    IF(F81&lt;=100, 15, IF(F81&lt;=250, 20, IF(F81&lt;=500, 30, IF(F81&lt;=1000, 35, F81*0.035)))),
0)))</f>
        <v>0</v>
      </c>
      <c r="H81" s="159">
        <f>IF(I81="مخالفات",50,Basic34567891011121314151617181920212223242526[[#This Row],[قيمة الرسوم / العموله]]+Basic34567891011121314151617181920212223242526[[#This Row],[قيمة الشحنه]])</f>
        <v>0</v>
      </c>
      <c r="I81" s="90"/>
      <c r="J81" s="142" t="str">
        <f t="shared" si="1"/>
        <v>7.5.2026</v>
      </c>
      <c r="L81" s="153">
        <v>70</v>
      </c>
      <c r="M81" s="92"/>
    </row>
    <row r="82" spans="1:13" ht="21.6" x14ac:dyDescent="0.65">
      <c r="A82" s="195"/>
      <c r="B82" s="140">
        <v>79</v>
      </c>
      <c r="C82" s="2"/>
      <c r="D82" s="1"/>
      <c r="E82" s="3"/>
      <c r="F82" s="1"/>
      <c r="G82" s="141">
        <f>IF(Basic34567891011121314151617181920212223242526[[#This Row],[نوع الخدمة]]="مخالفات", 50,
IF(Basic34567891011121314151617181920212223242526[[#This Row],[نوع الخدمة]]="كاش ان",
    IF(F82&lt;=100, 18, IF(F82&lt;=250, 23, IF(F82&lt;=500, 35, IF(F82&lt;=1000, 40, F82*0.04)))),
IF(Basic34567891011121314151617181920212223242526[[#This Row],[نوع الخدمة]]="كاش اوت",
    IF(F82&lt;=100, 15, IF(F82&lt;=250, 20, IF(F82&lt;=500, 30, IF(F82&lt;=1000, 35, F82*0.035)))),
0)))</f>
        <v>0</v>
      </c>
      <c r="H82" s="159">
        <f>IF(I82="مخالفات",50,Basic34567891011121314151617181920212223242526[[#This Row],[قيمة الرسوم / العموله]]+Basic34567891011121314151617181920212223242526[[#This Row],[قيمة الشحنه]])</f>
        <v>0</v>
      </c>
      <c r="I82" s="90"/>
      <c r="J82" s="142" t="str">
        <f t="shared" si="1"/>
        <v>7.5.2026</v>
      </c>
      <c r="L82" s="153">
        <v>71</v>
      </c>
      <c r="M82" s="92"/>
    </row>
    <row r="83" spans="1:13" ht="21.6" x14ac:dyDescent="0.65">
      <c r="A83" s="195"/>
      <c r="B83" s="140">
        <v>80</v>
      </c>
      <c r="C83" s="2"/>
      <c r="D83" s="1"/>
      <c r="E83" s="3"/>
      <c r="F83" s="1"/>
      <c r="G83" s="141">
        <f>IF(Basic34567891011121314151617181920212223242526[[#This Row],[نوع الخدمة]]="مخالفات", 50,
IF(Basic34567891011121314151617181920212223242526[[#This Row],[نوع الخدمة]]="كاش ان",
    IF(F83&lt;=100, 18, IF(F83&lt;=250, 23, IF(F83&lt;=500, 35, IF(F83&lt;=1000, 40, F83*0.04)))),
IF(Basic34567891011121314151617181920212223242526[[#This Row],[نوع الخدمة]]="كاش اوت",
    IF(F83&lt;=100, 15, IF(F83&lt;=250, 20, IF(F83&lt;=500, 30, IF(F83&lt;=1000, 35, F83*0.035)))),
0)))</f>
        <v>0</v>
      </c>
      <c r="H83" s="159">
        <f>IF(I83="مخالفات",50,Basic34567891011121314151617181920212223242526[[#This Row],[قيمة الرسوم / العموله]]+Basic34567891011121314151617181920212223242526[[#This Row],[قيمة الشحنه]])</f>
        <v>0</v>
      </c>
      <c r="I83" s="90"/>
      <c r="J83" s="142" t="str">
        <f t="shared" si="1"/>
        <v>7.5.2026</v>
      </c>
      <c r="L83" s="153">
        <v>72</v>
      </c>
      <c r="M83" s="92"/>
    </row>
    <row r="84" spans="1:13" ht="21.6" x14ac:dyDescent="0.65">
      <c r="A84" s="195"/>
      <c r="B84" s="140">
        <v>81</v>
      </c>
      <c r="C84" s="2"/>
      <c r="D84" s="1"/>
      <c r="E84" s="3"/>
      <c r="F84" s="1"/>
      <c r="G84" s="141">
        <f>IF(Basic34567891011121314151617181920212223242526[[#This Row],[نوع الخدمة]]="مخالفات", 50,
IF(Basic34567891011121314151617181920212223242526[[#This Row],[نوع الخدمة]]="كاش ان",
    IF(F84&lt;=100, 18, IF(F84&lt;=250, 23, IF(F84&lt;=500, 35, IF(F84&lt;=1000, 40, F84*0.04)))),
IF(Basic34567891011121314151617181920212223242526[[#This Row],[نوع الخدمة]]="كاش اوت",
    IF(F84&lt;=100, 15, IF(F84&lt;=250, 20, IF(F84&lt;=500, 30, IF(F84&lt;=1000, 35, F84*0.035)))),
0)))</f>
        <v>0</v>
      </c>
      <c r="H84" s="159">
        <f>IF(I84="مخالفات",50,Basic34567891011121314151617181920212223242526[[#This Row],[قيمة الرسوم / العموله]]+Basic34567891011121314151617181920212223242526[[#This Row],[قيمة الشحنه]])</f>
        <v>0</v>
      </c>
      <c r="I84" s="90"/>
      <c r="J84" s="142" t="str">
        <f t="shared" si="1"/>
        <v>7.5.2026</v>
      </c>
      <c r="L84" s="153">
        <v>73</v>
      </c>
      <c r="M84" s="92"/>
    </row>
    <row r="85" spans="1:13" ht="21.6" x14ac:dyDescent="0.65">
      <c r="A85" s="195"/>
      <c r="B85" s="144">
        <v>82</v>
      </c>
      <c r="C85" s="2"/>
      <c r="D85" s="1"/>
      <c r="E85" s="3"/>
      <c r="F85" s="1"/>
      <c r="G85" s="141">
        <f>IF(Basic34567891011121314151617181920212223242526[[#This Row],[نوع الخدمة]]="مخالفات", 50,
IF(Basic34567891011121314151617181920212223242526[[#This Row],[نوع الخدمة]]="كاش ان",
    IF(F85&lt;=100, 18, IF(F85&lt;=250, 23, IF(F85&lt;=500, 35, IF(F85&lt;=1000, 40, F85*0.04)))),
IF(Basic34567891011121314151617181920212223242526[[#This Row],[نوع الخدمة]]="كاش اوت",
    IF(F85&lt;=100, 15, IF(F85&lt;=250, 20, IF(F85&lt;=500, 30, IF(F85&lt;=1000, 35, F85*0.035)))),
0)))</f>
        <v>0</v>
      </c>
      <c r="H85" s="159">
        <f>IF(I85="مخالفات",50,Basic34567891011121314151617181920212223242526[[#This Row],[قيمة الرسوم / العموله]]+Basic34567891011121314151617181920212223242526[[#This Row],[قيمة الشحنه]])</f>
        <v>0</v>
      </c>
      <c r="I85" s="90"/>
      <c r="J85" s="142" t="str">
        <f t="shared" si="1"/>
        <v>7.5.2026</v>
      </c>
      <c r="L85" s="153">
        <v>74</v>
      </c>
      <c r="M85" s="92"/>
    </row>
    <row r="86" spans="1:13" ht="21.6" x14ac:dyDescent="0.65">
      <c r="A86" s="195"/>
      <c r="B86" s="140">
        <v>83</v>
      </c>
      <c r="C86" s="2"/>
      <c r="D86" s="1"/>
      <c r="E86" s="3"/>
      <c r="F86" s="1"/>
      <c r="G86" s="141">
        <f>IF(Basic34567891011121314151617181920212223242526[[#This Row],[نوع الخدمة]]="مخالفات", 50,
IF(Basic34567891011121314151617181920212223242526[[#This Row],[نوع الخدمة]]="كاش ان",
    IF(F86&lt;=100, 18, IF(F86&lt;=250, 23, IF(F86&lt;=500, 35, IF(F86&lt;=1000, 40, F86*0.04)))),
IF(Basic34567891011121314151617181920212223242526[[#This Row],[نوع الخدمة]]="كاش اوت",
    IF(F86&lt;=100, 15, IF(F86&lt;=250, 20, IF(F86&lt;=500, 30, IF(F86&lt;=1000, 35, F86*0.035)))),
0)))</f>
        <v>0</v>
      </c>
      <c r="H86" s="159">
        <f>IF(I86="مخالفات",50,Basic34567891011121314151617181920212223242526[[#This Row],[قيمة الرسوم / العموله]]+Basic34567891011121314151617181920212223242526[[#This Row],[قيمة الشحنه]])</f>
        <v>0</v>
      </c>
      <c r="I86" s="90"/>
      <c r="J86" s="142" t="str">
        <f t="shared" si="1"/>
        <v>7.5.2026</v>
      </c>
      <c r="L86" s="153">
        <v>75</v>
      </c>
      <c r="M86" s="92"/>
    </row>
    <row r="87" spans="1:13" ht="21.6" x14ac:dyDescent="0.65">
      <c r="A87" s="195"/>
      <c r="B87" s="140">
        <v>84</v>
      </c>
      <c r="C87" s="2"/>
      <c r="D87" s="1"/>
      <c r="E87" s="3"/>
      <c r="F87" s="1"/>
      <c r="G87" s="141">
        <f>IF(Basic34567891011121314151617181920212223242526[[#This Row],[نوع الخدمة]]="مخالفات", 50,
IF(Basic34567891011121314151617181920212223242526[[#This Row],[نوع الخدمة]]="كاش ان",
    IF(F87&lt;=100, 18, IF(F87&lt;=250, 23, IF(F87&lt;=500, 35, IF(F87&lt;=1000, 40, F87*0.04)))),
IF(Basic34567891011121314151617181920212223242526[[#This Row],[نوع الخدمة]]="كاش اوت",
    IF(F87&lt;=100, 15, IF(F87&lt;=250, 20, IF(F87&lt;=500, 30, IF(F87&lt;=1000, 35, F87*0.035)))),
0)))</f>
        <v>0</v>
      </c>
      <c r="H87" s="159">
        <f>IF(I87="مخالفات",50,Basic34567891011121314151617181920212223242526[[#This Row],[قيمة الرسوم / العموله]]+Basic34567891011121314151617181920212223242526[[#This Row],[قيمة الشحنه]])</f>
        <v>0</v>
      </c>
      <c r="I87" s="90"/>
      <c r="J87" s="142" t="str">
        <f t="shared" si="1"/>
        <v>7.5.2026</v>
      </c>
      <c r="L87" s="153">
        <v>76</v>
      </c>
      <c r="M87" s="92"/>
    </row>
    <row r="88" spans="1:13" ht="21.6" x14ac:dyDescent="0.65">
      <c r="A88" s="195"/>
      <c r="B88" s="140">
        <v>85</v>
      </c>
      <c r="C88" s="2"/>
      <c r="D88" s="1"/>
      <c r="E88" s="3"/>
      <c r="F88" s="1"/>
      <c r="G88" s="141">
        <f>IF(Basic34567891011121314151617181920212223242526[[#This Row],[نوع الخدمة]]="مخالفات", 50,
IF(Basic34567891011121314151617181920212223242526[[#This Row],[نوع الخدمة]]="كاش ان",
    IF(F88&lt;=100, 18, IF(F88&lt;=250, 23, IF(F88&lt;=500, 35, IF(F88&lt;=1000, 40, F88*0.04)))),
IF(Basic34567891011121314151617181920212223242526[[#This Row],[نوع الخدمة]]="كاش اوت",
    IF(F88&lt;=100, 15, IF(F88&lt;=250, 20, IF(F88&lt;=500, 30, IF(F88&lt;=1000, 35, F88*0.035)))),
0)))</f>
        <v>0</v>
      </c>
      <c r="H88" s="159">
        <f>IF(I88="مخالفات",50,Basic34567891011121314151617181920212223242526[[#This Row],[قيمة الرسوم / العموله]]+Basic34567891011121314151617181920212223242526[[#This Row],[قيمة الشحنه]])</f>
        <v>0</v>
      </c>
      <c r="I88" s="90"/>
      <c r="J88" s="142" t="str">
        <f t="shared" si="1"/>
        <v>7.5.2026</v>
      </c>
      <c r="L88" s="153">
        <v>77</v>
      </c>
      <c r="M88" s="92"/>
    </row>
    <row r="89" spans="1:13" ht="21.6" x14ac:dyDescent="0.65">
      <c r="A89" s="195"/>
      <c r="B89" s="144">
        <v>86</v>
      </c>
      <c r="C89" s="2"/>
      <c r="D89" s="1"/>
      <c r="E89" s="3"/>
      <c r="F89" s="1"/>
      <c r="G89" s="141">
        <f>IF(Basic34567891011121314151617181920212223242526[[#This Row],[نوع الخدمة]]="مخالفات", 50,
IF(Basic34567891011121314151617181920212223242526[[#This Row],[نوع الخدمة]]="كاش ان",
    IF(F89&lt;=100, 18, IF(F89&lt;=250, 23, IF(F89&lt;=500, 35, IF(F89&lt;=1000, 40, F89*0.04)))),
IF(Basic34567891011121314151617181920212223242526[[#This Row],[نوع الخدمة]]="كاش اوت",
    IF(F89&lt;=100, 15, IF(F89&lt;=250, 20, IF(F89&lt;=500, 30, IF(F89&lt;=1000, 35, F89*0.035)))),
0)))</f>
        <v>0</v>
      </c>
      <c r="H89" s="159">
        <f>IF(I89="مخالفات",50,Basic34567891011121314151617181920212223242526[[#This Row],[قيمة الرسوم / العموله]]+Basic34567891011121314151617181920212223242526[[#This Row],[قيمة الشحنه]])</f>
        <v>0</v>
      </c>
      <c r="I89" s="90"/>
      <c r="J89" s="142" t="str">
        <f t="shared" si="1"/>
        <v>7.5.2026</v>
      </c>
      <c r="L89" s="153">
        <v>78</v>
      </c>
      <c r="M89" s="92"/>
    </row>
    <row r="90" spans="1:13" ht="21.6" x14ac:dyDescent="0.65">
      <c r="A90" s="195"/>
      <c r="B90" s="140">
        <v>87</v>
      </c>
      <c r="C90" s="2"/>
      <c r="D90" s="1"/>
      <c r="E90" s="3"/>
      <c r="F90" s="1"/>
      <c r="G90" s="141">
        <f>IF(Basic34567891011121314151617181920212223242526[[#This Row],[نوع الخدمة]]="مخالفات", 50,
IF(Basic34567891011121314151617181920212223242526[[#This Row],[نوع الخدمة]]="كاش ان",
    IF(F90&lt;=100, 18, IF(F90&lt;=250, 23, IF(F90&lt;=500, 35, IF(F90&lt;=1000, 40, F90*0.04)))),
IF(Basic34567891011121314151617181920212223242526[[#This Row],[نوع الخدمة]]="كاش اوت",
    IF(F90&lt;=100, 15, IF(F90&lt;=250, 20, IF(F90&lt;=500, 30, IF(F90&lt;=1000, 35, F90*0.035)))),
0)))</f>
        <v>0</v>
      </c>
      <c r="H90" s="159">
        <f>IF(I90="مخالفات",50,Basic34567891011121314151617181920212223242526[[#This Row],[قيمة الرسوم / العموله]]+Basic34567891011121314151617181920212223242526[[#This Row],[قيمة الشحنه]])</f>
        <v>0</v>
      </c>
      <c r="I90" s="90"/>
      <c r="J90" s="142" t="str">
        <f t="shared" si="1"/>
        <v>7.5.2026</v>
      </c>
      <c r="L90" s="153">
        <v>79</v>
      </c>
      <c r="M90" s="92"/>
    </row>
    <row r="91" spans="1:13" ht="21.6" x14ac:dyDescent="0.65">
      <c r="A91" s="195"/>
      <c r="B91" s="140">
        <v>88</v>
      </c>
      <c r="C91" s="2"/>
      <c r="D91" s="1"/>
      <c r="E91" s="3"/>
      <c r="F91" s="1"/>
      <c r="G91" s="141">
        <f>IF(Basic34567891011121314151617181920212223242526[[#This Row],[نوع الخدمة]]="مخالفات", 50,
IF(Basic34567891011121314151617181920212223242526[[#This Row],[نوع الخدمة]]="كاش ان",
    IF(F91&lt;=100, 18, IF(F91&lt;=250, 23, IF(F91&lt;=500, 35, IF(F91&lt;=1000, 40, F91*0.04)))),
IF(Basic34567891011121314151617181920212223242526[[#This Row],[نوع الخدمة]]="كاش اوت",
    IF(F91&lt;=100, 15, IF(F91&lt;=250, 20, IF(F91&lt;=500, 30, IF(F91&lt;=1000, 35, F91*0.035)))),
0)))</f>
        <v>0</v>
      </c>
      <c r="H91" s="159">
        <f>IF(I91="مخالفات",50,Basic34567891011121314151617181920212223242526[[#This Row],[قيمة الرسوم / العموله]]+Basic34567891011121314151617181920212223242526[[#This Row],[قيمة الشحنه]])</f>
        <v>0</v>
      </c>
      <c r="I91" s="90"/>
      <c r="J91" s="142" t="str">
        <f t="shared" si="1"/>
        <v>7.5.2026</v>
      </c>
      <c r="L91" s="153">
        <v>80</v>
      </c>
      <c r="M91" s="92"/>
    </row>
    <row r="92" spans="1:13" ht="21.6" x14ac:dyDescent="0.65">
      <c r="A92" s="195"/>
      <c r="B92" s="140">
        <v>89</v>
      </c>
      <c r="C92" s="2"/>
      <c r="D92" s="1"/>
      <c r="E92" s="3"/>
      <c r="F92" s="1"/>
      <c r="G92" s="141">
        <f>IF(Basic34567891011121314151617181920212223242526[[#This Row],[نوع الخدمة]]="مخالفات", 50,
IF(Basic34567891011121314151617181920212223242526[[#This Row],[نوع الخدمة]]="كاش ان",
    IF(F92&lt;=100, 18, IF(F92&lt;=250, 23, IF(F92&lt;=500, 35, IF(F92&lt;=1000, 40, F92*0.04)))),
IF(Basic34567891011121314151617181920212223242526[[#This Row],[نوع الخدمة]]="كاش اوت",
    IF(F92&lt;=100, 15, IF(F92&lt;=250, 20, IF(F92&lt;=500, 30, IF(F92&lt;=1000, 35, F92*0.035)))),
0)))</f>
        <v>0</v>
      </c>
      <c r="H92" s="159">
        <f>IF(I92="مخالفات",50,Basic34567891011121314151617181920212223242526[[#This Row],[قيمة الرسوم / العموله]]+Basic34567891011121314151617181920212223242526[[#This Row],[قيمة الشحنه]])</f>
        <v>0</v>
      </c>
      <c r="I92" s="90"/>
      <c r="J92" s="142" t="str">
        <f t="shared" si="1"/>
        <v>7.5.2026</v>
      </c>
      <c r="L92" s="153">
        <v>81</v>
      </c>
      <c r="M92" s="92"/>
    </row>
    <row r="93" spans="1:13" ht="21.6" x14ac:dyDescent="0.65">
      <c r="A93" s="195"/>
      <c r="B93" s="144">
        <v>90</v>
      </c>
      <c r="C93" s="2"/>
      <c r="D93" s="1"/>
      <c r="E93" s="3"/>
      <c r="F93" s="1"/>
      <c r="G93" s="141">
        <f>IF(Basic34567891011121314151617181920212223242526[[#This Row],[نوع الخدمة]]="مخالفات", 50,
IF(Basic34567891011121314151617181920212223242526[[#This Row],[نوع الخدمة]]="كاش ان",
    IF(F93&lt;=100, 18, IF(F93&lt;=250, 23, IF(F93&lt;=500, 35, IF(F93&lt;=1000, 40, F93*0.04)))),
IF(Basic34567891011121314151617181920212223242526[[#This Row],[نوع الخدمة]]="كاش اوت",
    IF(F93&lt;=100, 15, IF(F93&lt;=250, 20, IF(F93&lt;=500, 30, IF(F93&lt;=1000, 35, F93*0.035)))),
0)))</f>
        <v>0</v>
      </c>
      <c r="H93" s="159">
        <f>IF(I93="مخالفات",50,Basic34567891011121314151617181920212223242526[[#This Row],[قيمة الرسوم / العموله]]+Basic34567891011121314151617181920212223242526[[#This Row],[قيمة الشحنه]])</f>
        <v>0</v>
      </c>
      <c r="I93" s="90"/>
      <c r="J93" s="142" t="str">
        <f t="shared" si="1"/>
        <v>7.5.2026</v>
      </c>
      <c r="L93" s="153">
        <v>82</v>
      </c>
      <c r="M93" s="92"/>
    </row>
    <row r="94" spans="1:13" ht="21.6" x14ac:dyDescent="0.65">
      <c r="A94" s="195"/>
      <c r="B94" s="140">
        <v>91</v>
      </c>
      <c r="C94" s="2"/>
      <c r="D94" s="1"/>
      <c r="E94" s="3"/>
      <c r="F94" s="1"/>
      <c r="G94" s="141">
        <f>IF(Basic34567891011121314151617181920212223242526[[#This Row],[نوع الخدمة]]="مخالفات", 50,
IF(Basic34567891011121314151617181920212223242526[[#This Row],[نوع الخدمة]]="كاش ان",
    IF(F94&lt;=100, 18, IF(F94&lt;=250, 23, IF(F94&lt;=500, 35, IF(F94&lt;=1000, 40, F94*0.04)))),
IF(Basic34567891011121314151617181920212223242526[[#This Row],[نوع الخدمة]]="كاش اوت",
    IF(F94&lt;=100, 15, IF(F94&lt;=250, 20, IF(F94&lt;=500, 30, IF(F94&lt;=1000, 35, F94*0.035)))),
0)))</f>
        <v>0</v>
      </c>
      <c r="H94" s="159">
        <f>IF(I94="مخالفات",50,Basic34567891011121314151617181920212223242526[[#This Row],[قيمة الرسوم / العموله]]+Basic34567891011121314151617181920212223242526[[#This Row],[قيمة الشحنه]])</f>
        <v>0</v>
      </c>
      <c r="I94" s="90"/>
      <c r="J94" s="142" t="str">
        <f t="shared" si="1"/>
        <v>7.5.2026</v>
      </c>
      <c r="L94" s="153">
        <v>83</v>
      </c>
      <c r="M94" s="92"/>
    </row>
    <row r="95" spans="1:13" ht="21.6" x14ac:dyDescent="0.65">
      <c r="A95" s="195"/>
      <c r="B95" s="140">
        <v>92</v>
      </c>
      <c r="C95" s="2"/>
      <c r="D95" s="1"/>
      <c r="E95" s="3"/>
      <c r="F95" s="1"/>
      <c r="G95" s="141">
        <f>IF(Basic34567891011121314151617181920212223242526[[#This Row],[نوع الخدمة]]="مخالفات", 50,
IF(Basic34567891011121314151617181920212223242526[[#This Row],[نوع الخدمة]]="كاش ان",
    IF(F95&lt;=100, 18, IF(F95&lt;=250, 23, IF(F95&lt;=500, 35, IF(F95&lt;=1000, 40, F95*0.04)))),
IF(Basic34567891011121314151617181920212223242526[[#This Row],[نوع الخدمة]]="كاش اوت",
    IF(F95&lt;=100, 15, IF(F95&lt;=250, 20, IF(F95&lt;=500, 30, IF(F95&lt;=1000, 35, F95*0.035)))),
0)))</f>
        <v>0</v>
      </c>
      <c r="H95" s="159">
        <f>IF(I95="مخالفات",50,Basic34567891011121314151617181920212223242526[[#This Row],[قيمة الرسوم / العموله]]+Basic34567891011121314151617181920212223242526[[#This Row],[قيمة الشحنه]])</f>
        <v>0</v>
      </c>
      <c r="I95" s="90"/>
      <c r="J95" s="142" t="str">
        <f t="shared" si="1"/>
        <v>7.5.2026</v>
      </c>
      <c r="L95" s="153">
        <v>84</v>
      </c>
      <c r="M95" s="92"/>
    </row>
    <row r="96" spans="1:13" ht="21.6" x14ac:dyDescent="0.65">
      <c r="A96" s="195"/>
      <c r="B96" s="140">
        <v>93</v>
      </c>
      <c r="C96" s="2"/>
      <c r="D96" s="1"/>
      <c r="E96" s="3"/>
      <c r="F96" s="1"/>
      <c r="G96" s="141">
        <f>IF(Basic34567891011121314151617181920212223242526[[#This Row],[نوع الخدمة]]="مخالفات", 50,
IF(Basic34567891011121314151617181920212223242526[[#This Row],[نوع الخدمة]]="كاش ان",
    IF(F96&lt;=100, 18, IF(F96&lt;=250, 23, IF(F96&lt;=500, 35, IF(F96&lt;=1000, 40, F96*0.04)))),
IF(Basic34567891011121314151617181920212223242526[[#This Row],[نوع الخدمة]]="كاش اوت",
    IF(F96&lt;=100, 15, IF(F96&lt;=250, 20, IF(F96&lt;=500, 30, IF(F96&lt;=1000, 35, F96*0.035)))),
0)))</f>
        <v>0</v>
      </c>
      <c r="H96" s="159">
        <f>IF(I96="مخالفات",50,Basic34567891011121314151617181920212223242526[[#This Row],[قيمة الرسوم / العموله]]+Basic34567891011121314151617181920212223242526[[#This Row],[قيمة الشحنه]])</f>
        <v>0</v>
      </c>
      <c r="I96" s="90"/>
      <c r="J96" s="142" t="str">
        <f t="shared" si="1"/>
        <v>7.5.2026</v>
      </c>
      <c r="L96" s="153">
        <v>85</v>
      </c>
      <c r="M96" s="92"/>
    </row>
    <row r="97" spans="1:13" ht="21.6" x14ac:dyDescent="0.65">
      <c r="A97" s="195"/>
      <c r="B97" s="144">
        <v>94</v>
      </c>
      <c r="C97" s="2"/>
      <c r="D97" s="1"/>
      <c r="E97" s="3"/>
      <c r="F97" s="1"/>
      <c r="G97" s="141">
        <f>IF(Basic34567891011121314151617181920212223242526[[#This Row],[نوع الخدمة]]="مخالفات", 50,
IF(Basic34567891011121314151617181920212223242526[[#This Row],[نوع الخدمة]]="كاش ان",
    IF(F97&lt;=100, 18, IF(F97&lt;=250, 23, IF(F97&lt;=500, 35, IF(F97&lt;=1000, 40, F97*0.04)))),
IF(Basic34567891011121314151617181920212223242526[[#This Row],[نوع الخدمة]]="كاش اوت",
    IF(F97&lt;=100, 15, IF(F97&lt;=250, 20, IF(F97&lt;=500, 30, IF(F97&lt;=1000, 35, F97*0.035)))),
0)))</f>
        <v>0</v>
      </c>
      <c r="H97" s="159">
        <f>IF(I97="مخالفات",50,Basic34567891011121314151617181920212223242526[[#This Row],[قيمة الرسوم / العموله]]+Basic34567891011121314151617181920212223242526[[#This Row],[قيمة الشحنه]])</f>
        <v>0</v>
      </c>
      <c r="I97" s="90"/>
      <c r="J97" s="142" t="str">
        <f t="shared" si="1"/>
        <v>7.5.2026</v>
      </c>
      <c r="L97" s="153">
        <v>86</v>
      </c>
      <c r="M97" s="92"/>
    </row>
    <row r="98" spans="1:13" ht="21.6" x14ac:dyDescent="0.65">
      <c r="A98" s="195"/>
      <c r="B98" s="140">
        <v>95</v>
      </c>
      <c r="C98" s="2"/>
      <c r="D98" s="1"/>
      <c r="E98" s="3"/>
      <c r="F98" s="1"/>
      <c r="G98" s="141">
        <f>IF(Basic34567891011121314151617181920212223242526[[#This Row],[نوع الخدمة]]="مخالفات", 50,
IF(Basic34567891011121314151617181920212223242526[[#This Row],[نوع الخدمة]]="كاش ان",
    IF(F98&lt;=100, 18, IF(F98&lt;=250, 23, IF(F98&lt;=500, 35, IF(F98&lt;=1000, 40, F98*0.04)))),
IF(Basic34567891011121314151617181920212223242526[[#This Row],[نوع الخدمة]]="كاش اوت",
    IF(F98&lt;=100, 15, IF(F98&lt;=250, 20, IF(F98&lt;=500, 30, IF(F98&lt;=1000, 35, F98*0.035)))),
0)))</f>
        <v>0</v>
      </c>
      <c r="H98" s="159">
        <f>IF(I98="مخالفات",50,Basic34567891011121314151617181920212223242526[[#This Row],[قيمة الرسوم / العموله]]+Basic34567891011121314151617181920212223242526[[#This Row],[قيمة الشحنه]])</f>
        <v>0</v>
      </c>
      <c r="I98" s="90"/>
      <c r="J98" s="142" t="str">
        <f t="shared" si="1"/>
        <v>7.5.2026</v>
      </c>
      <c r="L98" s="153">
        <v>87</v>
      </c>
      <c r="M98" s="92"/>
    </row>
    <row r="99" spans="1:13" ht="21.6" x14ac:dyDescent="0.65">
      <c r="A99" s="195"/>
      <c r="B99" s="140">
        <v>96</v>
      </c>
      <c r="C99" s="2"/>
      <c r="D99" s="1"/>
      <c r="E99" s="3"/>
      <c r="F99" s="1"/>
      <c r="G99" s="141">
        <f>IF(Basic34567891011121314151617181920212223242526[[#This Row],[نوع الخدمة]]="مخالفات", 50,
IF(Basic34567891011121314151617181920212223242526[[#This Row],[نوع الخدمة]]="كاش ان",
    IF(F99&lt;=100, 18, IF(F99&lt;=250, 23, IF(F99&lt;=500, 35, IF(F99&lt;=1000, 40, F99*0.04)))),
IF(Basic34567891011121314151617181920212223242526[[#This Row],[نوع الخدمة]]="كاش اوت",
    IF(F99&lt;=100, 15, IF(F99&lt;=250, 20, IF(F99&lt;=500, 30, IF(F99&lt;=1000, 35, F99*0.035)))),
0)))</f>
        <v>0</v>
      </c>
      <c r="H99" s="159">
        <f>IF(I99="مخالفات",50,Basic34567891011121314151617181920212223242526[[#This Row],[قيمة الرسوم / العموله]]+Basic34567891011121314151617181920212223242526[[#This Row],[قيمة الشحنه]])</f>
        <v>0</v>
      </c>
      <c r="I99" s="90"/>
      <c r="J99" s="142" t="str">
        <f t="shared" si="1"/>
        <v>7.5.2026</v>
      </c>
      <c r="L99" s="153">
        <v>88</v>
      </c>
      <c r="M99" s="92"/>
    </row>
    <row r="100" spans="1:13" ht="21.6" x14ac:dyDescent="0.65">
      <c r="A100" s="195"/>
      <c r="B100" s="140">
        <v>97</v>
      </c>
      <c r="C100" s="2"/>
      <c r="D100" s="1"/>
      <c r="E100" s="3"/>
      <c r="F100" s="1"/>
      <c r="G100" s="141">
        <f>IF(Basic34567891011121314151617181920212223242526[[#This Row],[نوع الخدمة]]="مخالفات", 50,
IF(Basic34567891011121314151617181920212223242526[[#This Row],[نوع الخدمة]]="كاش ان",
    IF(F100&lt;=100, 18, IF(F100&lt;=250, 23, IF(F100&lt;=500, 35, IF(F100&lt;=1000, 40, F100*0.04)))),
IF(Basic34567891011121314151617181920212223242526[[#This Row],[نوع الخدمة]]="كاش اوت",
    IF(F100&lt;=100, 15, IF(F100&lt;=250, 20, IF(F100&lt;=500, 30, IF(F100&lt;=1000, 35, F100*0.035)))),
0)))</f>
        <v>0</v>
      </c>
      <c r="H100" s="159">
        <f>IF(I100="مخالفات",50,Basic34567891011121314151617181920212223242526[[#This Row],[قيمة الرسوم / العموله]]+Basic34567891011121314151617181920212223242526[[#This Row],[قيمة الشحنه]])</f>
        <v>0</v>
      </c>
      <c r="I100" s="90"/>
      <c r="J100" s="142" t="str">
        <f t="shared" si="1"/>
        <v>7.5.2026</v>
      </c>
      <c r="L100" s="153">
        <v>89</v>
      </c>
      <c r="M100" s="92"/>
    </row>
    <row r="101" spans="1:13" ht="21.6" x14ac:dyDescent="0.65">
      <c r="A101" s="195"/>
      <c r="B101" s="144">
        <v>98</v>
      </c>
      <c r="C101" s="2"/>
      <c r="D101" s="1"/>
      <c r="E101" s="3"/>
      <c r="F101" s="1"/>
      <c r="G101" s="141">
        <f>IF(Basic34567891011121314151617181920212223242526[[#This Row],[نوع الخدمة]]="مخالفات", 50,
IF(Basic34567891011121314151617181920212223242526[[#This Row],[نوع الخدمة]]="كاش ان",
    IF(F101&lt;=100, 18, IF(F101&lt;=250, 23, IF(F101&lt;=500, 35, IF(F101&lt;=1000, 40, F101*0.04)))),
IF(Basic34567891011121314151617181920212223242526[[#This Row],[نوع الخدمة]]="كاش اوت",
    IF(F101&lt;=100, 15, IF(F101&lt;=250, 20, IF(F101&lt;=500, 30, IF(F101&lt;=1000, 35, F101*0.035)))),
0)))</f>
        <v>0</v>
      </c>
      <c r="H101" s="159">
        <f>IF(I101="مخالفات",50,Basic34567891011121314151617181920212223242526[[#This Row],[قيمة الرسوم / العموله]]+Basic34567891011121314151617181920212223242526[[#This Row],[قيمة الشحنه]])</f>
        <v>0</v>
      </c>
      <c r="I101" s="90"/>
      <c r="J101" s="142" t="str">
        <f t="shared" si="1"/>
        <v>7.5.2026</v>
      </c>
      <c r="L101" s="153">
        <v>90</v>
      </c>
      <c r="M101" s="92"/>
    </row>
    <row r="102" spans="1:13" ht="21.6" x14ac:dyDescent="0.65">
      <c r="A102" s="195"/>
      <c r="B102" s="140">
        <v>99</v>
      </c>
      <c r="C102" s="2"/>
      <c r="D102" s="1"/>
      <c r="E102" s="3"/>
      <c r="F102" s="1"/>
      <c r="G102" s="141">
        <f>IF(Basic34567891011121314151617181920212223242526[[#This Row],[نوع الخدمة]]="مخالفات", 50,
IF(Basic34567891011121314151617181920212223242526[[#This Row],[نوع الخدمة]]="كاش ان",
    IF(F102&lt;=100, 18, IF(F102&lt;=250, 23, IF(F102&lt;=500, 35, IF(F102&lt;=1000, 40, F102*0.04)))),
IF(Basic34567891011121314151617181920212223242526[[#This Row],[نوع الخدمة]]="كاش اوت",
    IF(F102&lt;=100, 15, IF(F102&lt;=250, 20, IF(F102&lt;=500, 30, IF(F102&lt;=1000, 35, F102*0.035)))),
0)))</f>
        <v>0</v>
      </c>
      <c r="H102" s="159">
        <f>IF(I102="مخالفات",50,Basic34567891011121314151617181920212223242526[[#This Row],[قيمة الرسوم / العموله]]+Basic34567891011121314151617181920212223242526[[#This Row],[قيمة الشحنه]])</f>
        <v>0</v>
      </c>
      <c r="I102" s="90"/>
      <c r="J102" s="142" t="str">
        <f t="shared" si="1"/>
        <v>7.5.2026</v>
      </c>
      <c r="L102" s="153">
        <v>91</v>
      </c>
      <c r="M102" s="92"/>
    </row>
    <row r="103" spans="1:13" ht="21.6" x14ac:dyDescent="0.65">
      <c r="A103" s="195"/>
      <c r="B103" s="140">
        <v>100</v>
      </c>
      <c r="C103" s="2"/>
      <c r="D103" s="1"/>
      <c r="E103" s="3"/>
      <c r="F103" s="1"/>
      <c r="G103" s="141">
        <f>IF(Basic34567891011121314151617181920212223242526[[#This Row],[نوع الخدمة]]="مخالفات", 50,
IF(Basic34567891011121314151617181920212223242526[[#This Row],[نوع الخدمة]]="كاش ان",
    IF(F103&lt;=100, 18, IF(F103&lt;=250, 23, IF(F103&lt;=500, 35, IF(F103&lt;=1000, 40, F103*0.04)))),
IF(Basic34567891011121314151617181920212223242526[[#This Row],[نوع الخدمة]]="كاش اوت",
    IF(F103&lt;=100, 15, IF(F103&lt;=250, 20, IF(F103&lt;=500, 30, IF(F103&lt;=1000, 35, F103*0.035)))),
0)))</f>
        <v>0</v>
      </c>
      <c r="H103" s="159">
        <f>IF(I103="مخالفات",50,Basic34567891011121314151617181920212223242526[[#This Row],[قيمة الرسوم / العموله]]+Basic34567891011121314151617181920212223242526[[#This Row],[قيمة الشحنه]])</f>
        <v>0</v>
      </c>
      <c r="I103" s="90"/>
      <c r="J103" s="142" t="str">
        <f t="shared" si="1"/>
        <v>7.5.2026</v>
      </c>
      <c r="L103" s="153">
        <v>92</v>
      </c>
      <c r="M103" s="92"/>
    </row>
    <row r="104" spans="1:13" ht="21.6" x14ac:dyDescent="0.65">
      <c r="A104" s="195"/>
      <c r="B104" s="140">
        <v>101</v>
      </c>
      <c r="C104" s="2"/>
      <c r="D104" s="1"/>
      <c r="E104" s="3"/>
      <c r="F104" s="1"/>
      <c r="G104" s="141">
        <f>IF(Basic34567891011121314151617181920212223242526[[#This Row],[نوع الخدمة]]="مخالفات", 50,
IF(Basic34567891011121314151617181920212223242526[[#This Row],[نوع الخدمة]]="كاش ان",
    IF(F104&lt;=100, 18, IF(F104&lt;=250, 23, IF(F104&lt;=500, 35, IF(F104&lt;=1000, 40, F104*0.04)))),
IF(Basic34567891011121314151617181920212223242526[[#This Row],[نوع الخدمة]]="كاش اوت",
    IF(F104&lt;=100, 15, IF(F104&lt;=250, 20, IF(F104&lt;=500, 30, IF(F104&lt;=1000, 35, F104*0.035)))),
0)))</f>
        <v>0</v>
      </c>
      <c r="H104" s="159">
        <f>IF(I104="مخالفات",50,Basic34567891011121314151617181920212223242526[[#This Row],[قيمة الرسوم / العموله]]+Basic34567891011121314151617181920212223242526[[#This Row],[قيمة الشحنه]])</f>
        <v>0</v>
      </c>
      <c r="I104" s="90"/>
      <c r="J104" s="142" t="str">
        <f t="shared" si="1"/>
        <v>7.5.2026</v>
      </c>
      <c r="L104" s="153">
        <v>93</v>
      </c>
      <c r="M104" s="92"/>
    </row>
    <row r="105" spans="1:13" ht="21.6" x14ac:dyDescent="0.65">
      <c r="A105" s="195"/>
      <c r="B105" s="144">
        <v>102</v>
      </c>
      <c r="C105" s="2"/>
      <c r="D105" s="1"/>
      <c r="E105" s="3"/>
      <c r="F105" s="1"/>
      <c r="G105" s="141">
        <f>IF(Basic34567891011121314151617181920212223242526[[#This Row],[نوع الخدمة]]="مخالفات", 50,
IF(Basic34567891011121314151617181920212223242526[[#This Row],[نوع الخدمة]]="كاش ان",
    IF(F105&lt;=100, 18, IF(F105&lt;=250, 23, IF(F105&lt;=500, 35, IF(F105&lt;=1000, 40, F105*0.04)))),
IF(Basic34567891011121314151617181920212223242526[[#This Row],[نوع الخدمة]]="كاش اوت",
    IF(F105&lt;=100, 15, IF(F105&lt;=250, 20, IF(F105&lt;=500, 30, IF(F105&lt;=1000, 35, F105*0.035)))),
0)))</f>
        <v>0</v>
      </c>
      <c r="H105" s="159">
        <f>IF(I105="مخالفات",50,Basic34567891011121314151617181920212223242526[[#This Row],[قيمة الرسوم / العموله]]+Basic34567891011121314151617181920212223242526[[#This Row],[قيمة الشحنه]])</f>
        <v>0</v>
      </c>
      <c r="I105" s="90"/>
      <c r="J105" s="142" t="str">
        <f t="shared" si="1"/>
        <v>7.5.2026</v>
      </c>
      <c r="L105" s="153">
        <v>94</v>
      </c>
      <c r="M105" s="92"/>
    </row>
    <row r="106" spans="1:13" ht="21.6" x14ac:dyDescent="0.65">
      <c r="A106" s="195"/>
      <c r="B106" s="140">
        <v>103</v>
      </c>
      <c r="C106" s="2"/>
      <c r="D106" s="1"/>
      <c r="E106" s="3"/>
      <c r="F106" s="1"/>
      <c r="G106" s="141">
        <f>IF(Basic34567891011121314151617181920212223242526[[#This Row],[نوع الخدمة]]="مخالفات", 50,
IF(Basic34567891011121314151617181920212223242526[[#This Row],[نوع الخدمة]]="كاش ان",
    IF(F106&lt;=100, 18, IF(F106&lt;=250, 23, IF(F106&lt;=500, 35, IF(F106&lt;=1000, 40, F106*0.04)))),
IF(Basic34567891011121314151617181920212223242526[[#This Row],[نوع الخدمة]]="كاش اوت",
    IF(F106&lt;=100, 15, IF(F106&lt;=250, 20, IF(F106&lt;=500, 30, IF(F106&lt;=1000, 35, F106*0.035)))),
0)))</f>
        <v>0</v>
      </c>
      <c r="H106" s="159">
        <f>IF(I106="مخالفات",50,Basic34567891011121314151617181920212223242526[[#This Row],[قيمة الرسوم / العموله]]+Basic34567891011121314151617181920212223242526[[#This Row],[قيمة الشحنه]])</f>
        <v>0</v>
      </c>
      <c r="I106" s="90"/>
      <c r="J106" s="142" t="str">
        <f t="shared" si="1"/>
        <v>7.5.2026</v>
      </c>
      <c r="L106" s="153">
        <v>95</v>
      </c>
      <c r="M106" s="92"/>
    </row>
    <row r="107" spans="1:13" ht="21.6" x14ac:dyDescent="0.65">
      <c r="A107" s="195"/>
      <c r="B107" s="140">
        <v>104</v>
      </c>
      <c r="C107" s="2"/>
      <c r="D107" s="1"/>
      <c r="E107" s="3"/>
      <c r="F107" s="1"/>
      <c r="G107" s="141">
        <f>IF(Basic34567891011121314151617181920212223242526[[#This Row],[نوع الخدمة]]="مخالفات", 50,
IF(Basic34567891011121314151617181920212223242526[[#This Row],[نوع الخدمة]]="كاش ان",
    IF(F107&lt;=100, 18, IF(F107&lt;=250, 23, IF(F107&lt;=500, 35, IF(F107&lt;=1000, 40, F107*0.04)))),
IF(Basic34567891011121314151617181920212223242526[[#This Row],[نوع الخدمة]]="كاش اوت",
    IF(F107&lt;=100, 15, IF(F107&lt;=250, 20, IF(F107&lt;=500, 30, IF(F107&lt;=1000, 35, F107*0.035)))),
0)))</f>
        <v>0</v>
      </c>
      <c r="H107" s="159">
        <f>IF(I107="مخالفات",50,Basic34567891011121314151617181920212223242526[[#This Row],[قيمة الرسوم / العموله]]+Basic34567891011121314151617181920212223242526[[#This Row],[قيمة الشحنه]])</f>
        <v>0</v>
      </c>
      <c r="I107" s="90"/>
      <c r="J107" s="142" t="str">
        <f t="shared" si="1"/>
        <v>7.5.2026</v>
      </c>
      <c r="L107" s="153">
        <v>96</v>
      </c>
      <c r="M107" s="92"/>
    </row>
    <row r="108" spans="1:13" ht="21.6" x14ac:dyDescent="0.65">
      <c r="A108" s="195"/>
      <c r="B108" s="140">
        <v>105</v>
      </c>
      <c r="C108" s="2"/>
      <c r="D108" s="1"/>
      <c r="E108" s="3"/>
      <c r="F108" s="1"/>
      <c r="G108" s="141">
        <f>IF(Basic34567891011121314151617181920212223242526[[#This Row],[نوع الخدمة]]="مخالفات", 50,
IF(Basic34567891011121314151617181920212223242526[[#This Row],[نوع الخدمة]]="كاش ان",
    IF(F108&lt;=100, 18, IF(F108&lt;=250, 23, IF(F108&lt;=500, 35, IF(F108&lt;=1000, 40, F108*0.04)))),
IF(Basic34567891011121314151617181920212223242526[[#This Row],[نوع الخدمة]]="كاش اوت",
    IF(F108&lt;=100, 15, IF(F108&lt;=250, 20, IF(F108&lt;=500, 30, IF(F108&lt;=1000, 35, F108*0.035)))),
0)))</f>
        <v>0</v>
      </c>
      <c r="H108" s="159">
        <f>IF(I108="مخالفات",50,Basic34567891011121314151617181920212223242526[[#This Row],[قيمة الرسوم / العموله]]+Basic34567891011121314151617181920212223242526[[#This Row],[قيمة الشحنه]])</f>
        <v>0</v>
      </c>
      <c r="I108" s="90"/>
      <c r="J108" s="142" t="str">
        <f t="shared" si="1"/>
        <v>7.5.2026</v>
      </c>
      <c r="L108" s="153">
        <v>97</v>
      </c>
      <c r="M108" s="92"/>
    </row>
    <row r="109" spans="1:13" ht="21.6" x14ac:dyDescent="0.65">
      <c r="A109" s="195"/>
      <c r="B109" s="144">
        <v>106</v>
      </c>
      <c r="C109" s="2"/>
      <c r="D109" s="1"/>
      <c r="E109" s="3"/>
      <c r="F109" s="1"/>
      <c r="G109" s="141">
        <f>IF(Basic34567891011121314151617181920212223242526[[#This Row],[نوع الخدمة]]="مخالفات", 50,
IF(Basic34567891011121314151617181920212223242526[[#This Row],[نوع الخدمة]]="كاش ان",
    IF(F109&lt;=100, 18, IF(F109&lt;=250, 23, IF(F109&lt;=500, 35, IF(F109&lt;=1000, 40, F109*0.04)))),
IF(Basic34567891011121314151617181920212223242526[[#This Row],[نوع الخدمة]]="كاش اوت",
    IF(F109&lt;=100, 15, IF(F109&lt;=250, 20, IF(F109&lt;=500, 30, IF(F109&lt;=1000, 35, F109*0.035)))),
0)))</f>
        <v>0</v>
      </c>
      <c r="H109" s="159">
        <f>IF(I109="مخالفات",50,Basic34567891011121314151617181920212223242526[[#This Row],[قيمة الرسوم / العموله]]+Basic34567891011121314151617181920212223242526[[#This Row],[قيمة الشحنه]])</f>
        <v>0</v>
      </c>
      <c r="I109" s="90"/>
      <c r="J109" s="142" t="str">
        <f t="shared" si="1"/>
        <v>7.5.2026</v>
      </c>
      <c r="L109" s="153">
        <v>98</v>
      </c>
      <c r="M109" s="92"/>
    </row>
    <row r="110" spans="1:13" ht="21.6" x14ac:dyDescent="0.65">
      <c r="A110" s="195"/>
      <c r="B110" s="140">
        <v>107</v>
      </c>
      <c r="C110" s="2"/>
      <c r="D110" s="1"/>
      <c r="E110" s="3"/>
      <c r="F110" s="1"/>
      <c r="G110" s="141">
        <f>IF(Basic34567891011121314151617181920212223242526[[#This Row],[نوع الخدمة]]="مخالفات", 50,
IF(Basic34567891011121314151617181920212223242526[[#This Row],[نوع الخدمة]]="كاش ان",
    IF(F110&lt;=100, 18, IF(F110&lt;=250, 23, IF(F110&lt;=500, 35, IF(F110&lt;=1000, 40, F110*0.04)))),
IF(Basic34567891011121314151617181920212223242526[[#This Row],[نوع الخدمة]]="كاش اوت",
    IF(F110&lt;=100, 15, IF(F110&lt;=250, 20, IF(F110&lt;=500, 30, IF(F110&lt;=1000, 35, F110*0.035)))),
0)))</f>
        <v>0</v>
      </c>
      <c r="H110" s="159">
        <f>IF(I110="مخالفات",50,Basic34567891011121314151617181920212223242526[[#This Row],[قيمة الرسوم / العموله]]+Basic34567891011121314151617181920212223242526[[#This Row],[قيمة الشحنه]])</f>
        <v>0</v>
      </c>
      <c r="I110" s="90"/>
      <c r="J110" s="142" t="str">
        <f t="shared" si="1"/>
        <v>7.5.2026</v>
      </c>
      <c r="L110" s="153">
        <v>99</v>
      </c>
      <c r="M110" s="92"/>
    </row>
    <row r="111" spans="1:13" ht="21.6" x14ac:dyDescent="0.65">
      <c r="A111" s="195"/>
      <c r="B111" s="140">
        <v>108</v>
      </c>
      <c r="C111" s="2"/>
      <c r="D111" s="1"/>
      <c r="E111" s="3"/>
      <c r="F111" s="1"/>
      <c r="G111" s="141">
        <f>IF(Basic34567891011121314151617181920212223242526[[#This Row],[نوع الخدمة]]="مخالفات", 50,
IF(Basic34567891011121314151617181920212223242526[[#This Row],[نوع الخدمة]]="كاش ان",
    IF(F111&lt;=100, 18, IF(F111&lt;=250, 23, IF(F111&lt;=500, 35, IF(F111&lt;=1000, 40, F111*0.04)))),
IF(Basic34567891011121314151617181920212223242526[[#This Row],[نوع الخدمة]]="كاش اوت",
    IF(F111&lt;=100, 15, IF(F111&lt;=250, 20, IF(F111&lt;=500, 30, IF(F111&lt;=1000, 35, F111*0.035)))),
0)))</f>
        <v>0</v>
      </c>
      <c r="H111" s="159">
        <f>IF(I111="مخالفات",50,Basic34567891011121314151617181920212223242526[[#This Row],[قيمة الرسوم / العموله]]+Basic34567891011121314151617181920212223242526[[#This Row],[قيمة الشحنه]])</f>
        <v>0</v>
      </c>
      <c r="I111" s="90"/>
      <c r="J111" s="142" t="str">
        <f t="shared" si="1"/>
        <v>7.5.2026</v>
      </c>
      <c r="L111" s="153">
        <v>100</v>
      </c>
      <c r="M111" s="92"/>
    </row>
    <row r="112" spans="1:13" ht="21.6" x14ac:dyDescent="0.65">
      <c r="A112" s="195"/>
      <c r="B112" s="140">
        <v>109</v>
      </c>
      <c r="C112" s="2"/>
      <c r="D112" s="1"/>
      <c r="E112" s="3"/>
      <c r="F112" s="1"/>
      <c r="G112" s="141">
        <f>IF(Basic34567891011121314151617181920212223242526[[#This Row],[نوع الخدمة]]="مخالفات", 50,
IF(Basic34567891011121314151617181920212223242526[[#This Row],[نوع الخدمة]]="كاش ان",
    IF(F112&lt;=100, 18, IF(F112&lt;=250, 23, IF(F112&lt;=500, 35, IF(F112&lt;=1000, 40, F112*0.04)))),
IF(Basic34567891011121314151617181920212223242526[[#This Row],[نوع الخدمة]]="كاش اوت",
    IF(F112&lt;=100, 15, IF(F112&lt;=250, 20, IF(F112&lt;=500, 30, IF(F112&lt;=1000, 35, F112*0.035)))),
0)))</f>
        <v>0</v>
      </c>
      <c r="H112" s="159">
        <f>IF(I112="مخالفات",50,Basic34567891011121314151617181920212223242526[[#This Row],[قيمة الرسوم / العموله]]+Basic34567891011121314151617181920212223242526[[#This Row],[قيمة الشحنه]])</f>
        <v>0</v>
      </c>
      <c r="I112" s="90"/>
      <c r="J112" s="142" t="str">
        <f t="shared" si="1"/>
        <v>7.5.2026</v>
      </c>
      <c r="L112" s="153">
        <v>101</v>
      </c>
      <c r="M112" s="92"/>
    </row>
    <row r="113" spans="1:13" ht="21.6" x14ac:dyDescent="0.65">
      <c r="A113" s="195"/>
      <c r="B113" s="144">
        <v>110</v>
      </c>
      <c r="C113" s="2"/>
      <c r="D113" s="1"/>
      <c r="E113" s="3"/>
      <c r="F113" s="1"/>
      <c r="G113" s="141">
        <f>IF(Basic34567891011121314151617181920212223242526[[#This Row],[نوع الخدمة]]="مخالفات", 50,
IF(Basic34567891011121314151617181920212223242526[[#This Row],[نوع الخدمة]]="كاش ان",
    IF(F113&lt;=100, 18, IF(F113&lt;=250, 23, IF(F113&lt;=500, 35, IF(F113&lt;=1000, 40, F113*0.04)))),
IF(Basic34567891011121314151617181920212223242526[[#This Row],[نوع الخدمة]]="كاش اوت",
    IF(F113&lt;=100, 15, IF(F113&lt;=250, 20, IF(F113&lt;=500, 30, IF(F113&lt;=1000, 35, F113*0.035)))),
0)))</f>
        <v>0</v>
      </c>
      <c r="H113" s="159">
        <f>IF(I113="مخالفات",50,Basic34567891011121314151617181920212223242526[[#This Row],[قيمة الرسوم / العموله]]+Basic34567891011121314151617181920212223242526[[#This Row],[قيمة الشحنه]])</f>
        <v>0</v>
      </c>
      <c r="I113" s="90"/>
      <c r="J113" s="142" t="str">
        <f t="shared" si="1"/>
        <v>7.5.2026</v>
      </c>
      <c r="L113" s="153">
        <v>102</v>
      </c>
      <c r="M113" s="92"/>
    </row>
    <row r="114" spans="1:13" ht="21.6" x14ac:dyDescent="0.65">
      <c r="A114" s="195"/>
      <c r="B114" s="140">
        <v>111</v>
      </c>
      <c r="C114" s="2"/>
      <c r="D114" s="1"/>
      <c r="E114" s="3"/>
      <c r="F114" s="1"/>
      <c r="G114" s="141">
        <f>IF(Basic34567891011121314151617181920212223242526[[#This Row],[نوع الخدمة]]="مخالفات", 50,
IF(Basic34567891011121314151617181920212223242526[[#This Row],[نوع الخدمة]]="كاش ان",
    IF(F114&lt;=100, 18, IF(F114&lt;=250, 23, IF(F114&lt;=500, 35, IF(F114&lt;=1000, 40, F114*0.04)))),
IF(Basic34567891011121314151617181920212223242526[[#This Row],[نوع الخدمة]]="كاش اوت",
    IF(F114&lt;=100, 15, IF(F114&lt;=250, 20, IF(F114&lt;=500, 30, IF(F114&lt;=1000, 35, F114*0.035)))),
0)))</f>
        <v>0</v>
      </c>
      <c r="H114" s="159">
        <f>IF(I114="مخالفات",50,Basic34567891011121314151617181920212223242526[[#This Row],[قيمة الرسوم / العموله]]+Basic34567891011121314151617181920212223242526[[#This Row],[قيمة الشحنه]])</f>
        <v>0</v>
      </c>
      <c r="I114" s="90"/>
      <c r="J114" s="142" t="str">
        <f t="shared" si="1"/>
        <v>7.5.2026</v>
      </c>
      <c r="L114" s="153">
        <v>103</v>
      </c>
      <c r="M114" s="92"/>
    </row>
    <row r="115" spans="1:13" ht="21.6" x14ac:dyDescent="0.65">
      <c r="A115" s="195"/>
      <c r="B115" s="140">
        <v>112</v>
      </c>
      <c r="C115" s="2"/>
      <c r="D115" s="1"/>
      <c r="E115" s="3"/>
      <c r="F115" s="1"/>
      <c r="G115" s="141">
        <f>IF(Basic34567891011121314151617181920212223242526[[#This Row],[نوع الخدمة]]="مخالفات", 50,
IF(Basic34567891011121314151617181920212223242526[[#This Row],[نوع الخدمة]]="كاش ان",
    IF(F115&lt;=100, 18, IF(F115&lt;=250, 23, IF(F115&lt;=500, 35, IF(F115&lt;=1000, 40, F115*0.04)))),
IF(Basic34567891011121314151617181920212223242526[[#This Row],[نوع الخدمة]]="كاش اوت",
    IF(F115&lt;=100, 15, IF(F115&lt;=250, 20, IF(F115&lt;=500, 30, IF(F115&lt;=1000, 35, F115*0.035)))),
0)))</f>
        <v>0</v>
      </c>
      <c r="H115" s="159">
        <f>IF(I115="مخالفات",50,Basic34567891011121314151617181920212223242526[[#This Row],[قيمة الرسوم / العموله]]+Basic34567891011121314151617181920212223242526[[#This Row],[قيمة الشحنه]])</f>
        <v>0</v>
      </c>
      <c r="I115" s="90"/>
      <c r="J115" s="142" t="str">
        <f t="shared" si="1"/>
        <v>7.5.2026</v>
      </c>
      <c r="L115" s="153">
        <v>104</v>
      </c>
      <c r="M115" s="92"/>
    </row>
    <row r="116" spans="1:13" ht="21.6" x14ac:dyDescent="0.65">
      <c r="A116" s="195"/>
      <c r="B116" s="140">
        <v>113</v>
      </c>
      <c r="C116" s="2"/>
      <c r="D116" s="1"/>
      <c r="E116" s="3"/>
      <c r="F116" s="1"/>
      <c r="G116" s="141">
        <f>IF(Basic34567891011121314151617181920212223242526[[#This Row],[نوع الخدمة]]="مخالفات", 50,
IF(Basic34567891011121314151617181920212223242526[[#This Row],[نوع الخدمة]]="كاش ان",
    IF(F116&lt;=100, 18, IF(F116&lt;=250, 23, IF(F116&lt;=500, 35, IF(F116&lt;=1000, 40, F116*0.04)))),
IF(Basic34567891011121314151617181920212223242526[[#This Row],[نوع الخدمة]]="كاش اوت",
    IF(F116&lt;=100, 15, IF(F116&lt;=250, 20, IF(F116&lt;=500, 30, IF(F116&lt;=1000, 35, F116*0.035)))),
0)))</f>
        <v>0</v>
      </c>
      <c r="H116" s="159">
        <f>IF(I116="مخالفات",50,Basic34567891011121314151617181920212223242526[[#This Row],[قيمة الرسوم / العموله]]+Basic34567891011121314151617181920212223242526[[#This Row],[قيمة الشحنه]])</f>
        <v>0</v>
      </c>
      <c r="I116" s="90"/>
      <c r="J116" s="142" t="str">
        <f t="shared" si="1"/>
        <v>7.5.2026</v>
      </c>
      <c r="L116" s="153">
        <v>105</v>
      </c>
      <c r="M116" s="92"/>
    </row>
    <row r="117" spans="1:13" ht="21.6" x14ac:dyDescent="0.65">
      <c r="A117" s="195"/>
      <c r="B117" s="144">
        <v>114</v>
      </c>
      <c r="C117" s="2"/>
      <c r="D117" s="1"/>
      <c r="E117" s="3"/>
      <c r="F117" s="1"/>
      <c r="G117" s="141">
        <f>IF(Basic34567891011121314151617181920212223242526[[#This Row],[نوع الخدمة]]="مخالفات", 50,
IF(Basic34567891011121314151617181920212223242526[[#This Row],[نوع الخدمة]]="كاش ان",
    IF(F117&lt;=100, 18, IF(F117&lt;=250, 23, IF(F117&lt;=500, 35, IF(F117&lt;=1000, 40, F117*0.04)))),
IF(Basic34567891011121314151617181920212223242526[[#This Row],[نوع الخدمة]]="كاش اوت",
    IF(F117&lt;=100, 15, IF(F117&lt;=250, 20, IF(F117&lt;=500, 30, IF(F117&lt;=1000, 35, F117*0.035)))),
0)))</f>
        <v>0</v>
      </c>
      <c r="H117" s="159">
        <f>IF(I117="مخالفات",50,Basic34567891011121314151617181920212223242526[[#This Row],[قيمة الرسوم / العموله]]+Basic34567891011121314151617181920212223242526[[#This Row],[قيمة الشحنه]])</f>
        <v>0</v>
      </c>
      <c r="I117" s="90"/>
      <c r="J117" s="142" t="str">
        <f t="shared" si="1"/>
        <v>7.5.2026</v>
      </c>
      <c r="L117" s="153">
        <v>106</v>
      </c>
      <c r="M117" s="92"/>
    </row>
    <row r="118" spans="1:13" ht="21.6" x14ac:dyDescent="0.65">
      <c r="A118" s="195"/>
      <c r="B118" s="140">
        <v>115</v>
      </c>
      <c r="C118" s="2"/>
      <c r="D118" s="1"/>
      <c r="E118" s="3"/>
      <c r="F118" s="1"/>
      <c r="G118" s="141">
        <f>IF(Basic34567891011121314151617181920212223242526[[#This Row],[نوع الخدمة]]="مخالفات", 50,
IF(Basic34567891011121314151617181920212223242526[[#This Row],[نوع الخدمة]]="كاش ان",
    IF(F118&lt;=100, 18, IF(F118&lt;=250, 23, IF(F118&lt;=500, 35, IF(F118&lt;=1000, 40, F118*0.04)))),
IF(Basic34567891011121314151617181920212223242526[[#This Row],[نوع الخدمة]]="كاش اوت",
    IF(F118&lt;=100, 15, IF(F118&lt;=250, 20, IF(F118&lt;=500, 30, IF(F118&lt;=1000, 35, F118*0.035)))),
0)))</f>
        <v>0</v>
      </c>
      <c r="H118" s="159">
        <f>IF(I118="مخالفات",50,Basic34567891011121314151617181920212223242526[[#This Row],[قيمة الرسوم / العموله]]+Basic34567891011121314151617181920212223242526[[#This Row],[قيمة الشحنه]])</f>
        <v>0</v>
      </c>
      <c r="I118" s="90"/>
      <c r="J118" s="142" t="str">
        <f t="shared" si="1"/>
        <v>7.5.2026</v>
      </c>
      <c r="L118" s="153">
        <v>107</v>
      </c>
      <c r="M118" s="92"/>
    </row>
    <row r="119" spans="1:13" ht="21.6" x14ac:dyDescent="0.65">
      <c r="A119" s="195"/>
      <c r="B119" s="140">
        <v>116</v>
      </c>
      <c r="C119" s="2"/>
      <c r="D119" s="1"/>
      <c r="E119" s="3"/>
      <c r="F119" s="1"/>
      <c r="G119" s="141">
        <f>IF(Basic34567891011121314151617181920212223242526[[#This Row],[نوع الخدمة]]="مخالفات", 50,
IF(Basic34567891011121314151617181920212223242526[[#This Row],[نوع الخدمة]]="كاش ان",
    IF(F119&lt;=100, 18, IF(F119&lt;=250, 23, IF(F119&lt;=500, 35, IF(F119&lt;=1000, 40, F119*0.04)))),
IF(Basic34567891011121314151617181920212223242526[[#This Row],[نوع الخدمة]]="كاش اوت",
    IF(F119&lt;=100, 15, IF(F119&lt;=250, 20, IF(F119&lt;=500, 30, IF(F119&lt;=1000, 35, F119*0.035)))),
0)))</f>
        <v>0</v>
      </c>
      <c r="H119" s="159">
        <f>IF(I119="مخالفات",50,Basic34567891011121314151617181920212223242526[[#This Row],[قيمة الرسوم / العموله]]+Basic34567891011121314151617181920212223242526[[#This Row],[قيمة الشحنه]])</f>
        <v>0</v>
      </c>
      <c r="I119" s="90"/>
      <c r="J119" s="142" t="str">
        <f t="shared" si="1"/>
        <v>7.5.2026</v>
      </c>
      <c r="L119" s="153">
        <v>108</v>
      </c>
      <c r="M119" s="92"/>
    </row>
    <row r="120" spans="1:13" ht="21.6" x14ac:dyDescent="0.65">
      <c r="A120" s="195"/>
      <c r="B120" s="140">
        <v>117</v>
      </c>
      <c r="C120" s="2"/>
      <c r="D120" s="1"/>
      <c r="E120" s="3"/>
      <c r="F120" s="1"/>
      <c r="G120" s="141">
        <f>IF(Basic34567891011121314151617181920212223242526[[#This Row],[نوع الخدمة]]="مخالفات", 50,
IF(Basic34567891011121314151617181920212223242526[[#This Row],[نوع الخدمة]]="كاش ان",
    IF(F120&lt;=100, 18, IF(F120&lt;=250, 23, IF(F120&lt;=500, 35, IF(F120&lt;=1000, 40, F120*0.04)))),
IF(Basic34567891011121314151617181920212223242526[[#This Row],[نوع الخدمة]]="كاش اوت",
    IF(F120&lt;=100, 15, IF(F120&lt;=250, 20, IF(F120&lt;=500, 30, IF(F120&lt;=1000, 35, F120*0.035)))),
0)))</f>
        <v>0</v>
      </c>
      <c r="H120" s="159">
        <f>IF(I120="مخالفات",50,Basic34567891011121314151617181920212223242526[[#This Row],[قيمة الرسوم / العموله]]+Basic34567891011121314151617181920212223242526[[#This Row],[قيمة الشحنه]])</f>
        <v>0</v>
      </c>
      <c r="I120" s="90"/>
      <c r="J120" s="142" t="str">
        <f t="shared" si="1"/>
        <v>7.5.2026</v>
      </c>
      <c r="L120" s="153">
        <v>109</v>
      </c>
      <c r="M120" s="92"/>
    </row>
    <row r="121" spans="1:13" ht="21.6" x14ac:dyDescent="0.65">
      <c r="A121" s="195"/>
      <c r="B121" s="144">
        <v>118</v>
      </c>
      <c r="C121" s="2"/>
      <c r="D121" s="1"/>
      <c r="E121" s="3"/>
      <c r="F121" s="1"/>
      <c r="G121" s="141">
        <f>IF(Basic34567891011121314151617181920212223242526[[#This Row],[نوع الخدمة]]="مخالفات", 50,
IF(Basic34567891011121314151617181920212223242526[[#This Row],[نوع الخدمة]]="كاش ان",
    IF(F121&lt;=100, 18, IF(F121&lt;=250, 23, IF(F121&lt;=500, 35, IF(F121&lt;=1000, 40, F121*0.04)))),
IF(Basic34567891011121314151617181920212223242526[[#This Row],[نوع الخدمة]]="كاش اوت",
    IF(F121&lt;=100, 15, IF(F121&lt;=250, 20, IF(F121&lt;=500, 30, IF(F121&lt;=1000, 35, F121*0.035)))),
0)))</f>
        <v>0</v>
      </c>
      <c r="H121" s="159">
        <f>IF(I121="مخالفات",50,Basic34567891011121314151617181920212223242526[[#This Row],[قيمة الرسوم / العموله]]+Basic34567891011121314151617181920212223242526[[#This Row],[قيمة الشحنه]])</f>
        <v>0</v>
      </c>
      <c r="I121" s="90"/>
      <c r="J121" s="142" t="str">
        <f t="shared" si="1"/>
        <v>7.5.2026</v>
      </c>
      <c r="L121" s="153">
        <v>110</v>
      </c>
      <c r="M121" s="92"/>
    </row>
    <row r="122" spans="1:13" ht="21.6" x14ac:dyDescent="0.65">
      <c r="A122" s="195"/>
      <c r="B122" s="140">
        <v>119</v>
      </c>
      <c r="C122" s="2"/>
      <c r="D122" s="1"/>
      <c r="E122" s="3"/>
      <c r="F122" s="1"/>
      <c r="G122" s="141">
        <f>IF(Basic34567891011121314151617181920212223242526[[#This Row],[نوع الخدمة]]="مخالفات", 50,
IF(Basic34567891011121314151617181920212223242526[[#This Row],[نوع الخدمة]]="كاش ان",
    IF(F122&lt;=100, 18, IF(F122&lt;=250, 23, IF(F122&lt;=500, 35, IF(F122&lt;=1000, 40, F122*0.04)))),
IF(Basic34567891011121314151617181920212223242526[[#This Row],[نوع الخدمة]]="كاش اوت",
    IF(F122&lt;=100, 15, IF(F122&lt;=250, 20, IF(F122&lt;=500, 30, IF(F122&lt;=1000, 35, F122*0.035)))),
0)))</f>
        <v>0</v>
      </c>
      <c r="H122" s="159">
        <f>IF(I122="مخالفات",50,Basic34567891011121314151617181920212223242526[[#This Row],[قيمة الرسوم / العموله]]+Basic34567891011121314151617181920212223242526[[#This Row],[قيمة الشحنه]])</f>
        <v>0</v>
      </c>
      <c r="I122" s="90"/>
      <c r="J122" s="142" t="str">
        <f t="shared" si="1"/>
        <v>7.5.2026</v>
      </c>
      <c r="L122" s="153">
        <v>111</v>
      </c>
      <c r="M122" s="92"/>
    </row>
    <row r="123" spans="1:13" ht="21.6" x14ac:dyDescent="0.65">
      <c r="A123" s="195"/>
      <c r="B123" s="140">
        <v>120</v>
      </c>
      <c r="C123" s="2"/>
      <c r="D123" s="1"/>
      <c r="E123" s="3"/>
      <c r="F123" s="1"/>
      <c r="G123" s="141">
        <f>IF(Basic34567891011121314151617181920212223242526[[#This Row],[نوع الخدمة]]="مخالفات", 50,
IF(Basic34567891011121314151617181920212223242526[[#This Row],[نوع الخدمة]]="كاش ان",
    IF(F123&lt;=100, 18, IF(F123&lt;=250, 23, IF(F123&lt;=500, 35, IF(F123&lt;=1000, 40, F123*0.04)))),
IF(Basic34567891011121314151617181920212223242526[[#This Row],[نوع الخدمة]]="كاش اوت",
    IF(F123&lt;=100, 15, IF(F123&lt;=250, 20, IF(F123&lt;=500, 30, IF(F123&lt;=1000, 35, F123*0.035)))),
0)))</f>
        <v>0</v>
      </c>
      <c r="H123" s="159">
        <f>IF(I123="مخالفات",50,Basic34567891011121314151617181920212223242526[[#This Row],[قيمة الرسوم / العموله]]+Basic34567891011121314151617181920212223242526[[#This Row],[قيمة الشحنه]])</f>
        <v>0</v>
      </c>
      <c r="I123" s="90"/>
      <c r="J123" s="142" t="str">
        <f t="shared" si="1"/>
        <v>7.5.2026</v>
      </c>
      <c r="L123" s="153">
        <v>112</v>
      </c>
      <c r="M123" s="92"/>
    </row>
    <row r="124" spans="1:13" ht="21.6" x14ac:dyDescent="0.65">
      <c r="A124" s="195"/>
      <c r="B124" s="140">
        <v>121</v>
      </c>
      <c r="C124" s="2"/>
      <c r="D124" s="1"/>
      <c r="E124" s="3"/>
      <c r="F124" s="1"/>
      <c r="G124" s="141">
        <f>IF(Basic34567891011121314151617181920212223242526[[#This Row],[نوع الخدمة]]="مخالفات", 50,
IF(Basic34567891011121314151617181920212223242526[[#This Row],[نوع الخدمة]]="كاش ان",
    IF(F124&lt;=100, 18, IF(F124&lt;=250, 23, IF(F124&lt;=500, 35, IF(F124&lt;=1000, 40, F124*0.04)))),
IF(Basic34567891011121314151617181920212223242526[[#This Row],[نوع الخدمة]]="كاش اوت",
    IF(F124&lt;=100, 15, IF(F124&lt;=250, 20, IF(F124&lt;=500, 30, IF(F124&lt;=1000, 35, F124*0.035)))),
0)))</f>
        <v>0</v>
      </c>
      <c r="H124" s="159">
        <f>IF(I124="مخالفات",50,Basic34567891011121314151617181920212223242526[[#This Row],[قيمة الرسوم / العموله]]+Basic34567891011121314151617181920212223242526[[#This Row],[قيمة الشحنه]])</f>
        <v>0</v>
      </c>
      <c r="I124" s="90"/>
      <c r="J124" s="142" t="str">
        <f t="shared" si="1"/>
        <v>7.5.2026</v>
      </c>
      <c r="L124" s="153">
        <v>113</v>
      </c>
      <c r="M124" s="92"/>
    </row>
    <row r="125" spans="1:13" ht="21.6" x14ac:dyDescent="0.65">
      <c r="A125" s="195"/>
      <c r="B125" s="144">
        <v>122</v>
      </c>
      <c r="C125" s="2"/>
      <c r="D125" s="1"/>
      <c r="E125" s="3"/>
      <c r="F125" s="1"/>
      <c r="G125" s="141">
        <f>IF(Basic34567891011121314151617181920212223242526[[#This Row],[نوع الخدمة]]="مخالفات", 50,
IF(Basic34567891011121314151617181920212223242526[[#This Row],[نوع الخدمة]]="كاش ان",
    IF(F125&lt;=100, 18, IF(F125&lt;=250, 23, IF(F125&lt;=500, 35, IF(F125&lt;=1000, 40, F125*0.04)))),
IF(Basic34567891011121314151617181920212223242526[[#This Row],[نوع الخدمة]]="كاش اوت",
    IF(F125&lt;=100, 15, IF(F125&lt;=250, 20, IF(F125&lt;=500, 30, IF(F125&lt;=1000, 35, F125*0.035)))),
0)))</f>
        <v>0</v>
      </c>
      <c r="H125" s="159">
        <f>IF(I125="مخالفات",50,Basic34567891011121314151617181920212223242526[[#This Row],[قيمة الرسوم / العموله]]+Basic34567891011121314151617181920212223242526[[#This Row],[قيمة الشحنه]])</f>
        <v>0</v>
      </c>
      <c r="I125" s="90"/>
      <c r="J125" s="142" t="str">
        <f t="shared" si="1"/>
        <v>7.5.2026</v>
      </c>
      <c r="L125" s="153">
        <v>114</v>
      </c>
      <c r="M125" s="92"/>
    </row>
    <row r="126" spans="1:13" ht="21.6" x14ac:dyDescent="0.65">
      <c r="A126" s="195"/>
      <c r="B126" s="140">
        <v>123</v>
      </c>
      <c r="C126" s="2"/>
      <c r="D126" s="1"/>
      <c r="E126" s="3"/>
      <c r="F126" s="1"/>
      <c r="G126" s="141">
        <f>IF(Basic34567891011121314151617181920212223242526[[#This Row],[نوع الخدمة]]="مخالفات", 50,
IF(Basic34567891011121314151617181920212223242526[[#This Row],[نوع الخدمة]]="كاش ان",
    IF(F126&lt;=100, 18, IF(F126&lt;=250, 23, IF(F126&lt;=500, 35, IF(F126&lt;=1000, 40, F126*0.04)))),
IF(Basic34567891011121314151617181920212223242526[[#This Row],[نوع الخدمة]]="كاش اوت",
    IF(F126&lt;=100, 15, IF(F126&lt;=250, 20, IF(F126&lt;=500, 30, IF(F126&lt;=1000, 35, F126*0.035)))),
0)))</f>
        <v>0</v>
      </c>
      <c r="H126" s="159">
        <f>IF(I126="مخالفات",50,Basic34567891011121314151617181920212223242526[[#This Row],[قيمة الرسوم / العموله]]+Basic34567891011121314151617181920212223242526[[#This Row],[قيمة الشحنه]])</f>
        <v>0</v>
      </c>
      <c r="I126" s="90"/>
      <c r="J126" s="142" t="str">
        <f t="shared" si="1"/>
        <v>7.5.2026</v>
      </c>
      <c r="L126" s="153">
        <v>115</v>
      </c>
      <c r="M126" s="92"/>
    </row>
    <row r="127" spans="1:13" ht="21.6" x14ac:dyDescent="0.65">
      <c r="A127" s="195"/>
      <c r="B127" s="140">
        <v>124</v>
      </c>
      <c r="C127" s="2"/>
      <c r="D127" s="1"/>
      <c r="E127" s="3"/>
      <c r="F127" s="1"/>
      <c r="G127" s="141">
        <f>IF(Basic34567891011121314151617181920212223242526[[#This Row],[نوع الخدمة]]="مخالفات", 50,
IF(Basic34567891011121314151617181920212223242526[[#This Row],[نوع الخدمة]]="كاش ان",
    IF(F127&lt;=100, 18, IF(F127&lt;=250, 23, IF(F127&lt;=500, 35, IF(F127&lt;=1000, 40, F127*0.04)))),
IF(Basic34567891011121314151617181920212223242526[[#This Row],[نوع الخدمة]]="كاش اوت",
    IF(F127&lt;=100, 15, IF(F127&lt;=250, 20, IF(F127&lt;=500, 30, IF(F127&lt;=1000, 35, F127*0.035)))),
0)))</f>
        <v>0</v>
      </c>
      <c r="H127" s="159">
        <f>IF(I127="مخالفات",50,Basic34567891011121314151617181920212223242526[[#This Row],[قيمة الرسوم / العموله]]+Basic34567891011121314151617181920212223242526[[#This Row],[قيمة الشحنه]])</f>
        <v>0</v>
      </c>
      <c r="I127" s="90"/>
      <c r="J127" s="142" t="str">
        <f t="shared" si="1"/>
        <v>7.5.2026</v>
      </c>
      <c r="L127" s="153">
        <v>116</v>
      </c>
      <c r="M127" s="92"/>
    </row>
    <row r="128" spans="1:13" ht="21.6" x14ac:dyDescent="0.65">
      <c r="A128" s="195"/>
      <c r="B128" s="140">
        <v>125</v>
      </c>
      <c r="C128" s="2"/>
      <c r="D128" s="1"/>
      <c r="E128" s="3"/>
      <c r="F128" s="1"/>
      <c r="G128" s="141">
        <f>IF(Basic34567891011121314151617181920212223242526[[#This Row],[نوع الخدمة]]="مخالفات", 50,
IF(Basic34567891011121314151617181920212223242526[[#This Row],[نوع الخدمة]]="كاش ان",
    IF(F128&lt;=100, 18, IF(F128&lt;=250, 23, IF(F128&lt;=500, 35, IF(F128&lt;=1000, 40, F128*0.04)))),
IF(Basic34567891011121314151617181920212223242526[[#This Row],[نوع الخدمة]]="كاش اوت",
    IF(F128&lt;=100, 15, IF(F128&lt;=250, 20, IF(F128&lt;=500, 30, IF(F128&lt;=1000, 35, F128*0.035)))),
0)))</f>
        <v>0</v>
      </c>
      <c r="H128" s="159">
        <f>IF(I128="مخالفات",50,Basic34567891011121314151617181920212223242526[[#This Row],[قيمة الرسوم / العموله]]+Basic34567891011121314151617181920212223242526[[#This Row],[قيمة الشحنه]])</f>
        <v>0</v>
      </c>
      <c r="I128" s="90"/>
      <c r="J128" s="142" t="str">
        <f t="shared" si="1"/>
        <v>7.5.2026</v>
      </c>
      <c r="L128" s="153">
        <v>117</v>
      </c>
      <c r="M128" s="92"/>
    </row>
    <row r="129" spans="1:13" ht="21.6" x14ac:dyDescent="0.65">
      <c r="A129" s="195"/>
      <c r="B129" s="144">
        <v>126</v>
      </c>
      <c r="C129" s="2"/>
      <c r="D129" s="1"/>
      <c r="E129" s="3"/>
      <c r="F129" s="1"/>
      <c r="G129" s="141">
        <f>IF(Basic34567891011121314151617181920212223242526[[#This Row],[نوع الخدمة]]="مخالفات", 50,
IF(Basic34567891011121314151617181920212223242526[[#This Row],[نوع الخدمة]]="كاش ان",
    IF(F129&lt;=100, 18, IF(F129&lt;=250, 23, IF(F129&lt;=500, 35, IF(F129&lt;=1000, 40, F129*0.04)))),
IF(Basic34567891011121314151617181920212223242526[[#This Row],[نوع الخدمة]]="كاش اوت",
    IF(F129&lt;=100, 15, IF(F129&lt;=250, 20, IF(F129&lt;=500, 30, IF(F129&lt;=1000, 35, F129*0.035)))),
0)))</f>
        <v>0</v>
      </c>
      <c r="H129" s="159">
        <f>IF(I129="مخالفات",50,Basic34567891011121314151617181920212223242526[[#This Row],[قيمة الرسوم / العموله]]+Basic34567891011121314151617181920212223242526[[#This Row],[قيمة الشحنه]])</f>
        <v>0</v>
      </c>
      <c r="I129" s="90"/>
      <c r="J129" s="142" t="str">
        <f t="shared" si="1"/>
        <v>7.5.2026</v>
      </c>
      <c r="L129" s="153">
        <v>118</v>
      </c>
      <c r="M129" s="92"/>
    </row>
    <row r="130" spans="1:13" ht="21.6" x14ac:dyDescent="0.65">
      <c r="A130" s="195"/>
      <c r="B130" s="140">
        <v>127</v>
      </c>
      <c r="C130" s="2"/>
      <c r="D130" s="1"/>
      <c r="E130" s="3"/>
      <c r="F130" s="1"/>
      <c r="G130" s="141">
        <f>IF(Basic34567891011121314151617181920212223242526[[#This Row],[نوع الخدمة]]="مخالفات", 50,
IF(Basic34567891011121314151617181920212223242526[[#This Row],[نوع الخدمة]]="كاش ان",
    IF(F130&lt;=100, 18, IF(F130&lt;=250, 23, IF(F130&lt;=500, 35, IF(F130&lt;=1000, 40, F130*0.04)))),
IF(Basic34567891011121314151617181920212223242526[[#This Row],[نوع الخدمة]]="كاش اوت",
    IF(F130&lt;=100, 15, IF(F130&lt;=250, 20, IF(F130&lt;=500, 30, IF(F130&lt;=1000, 35, F130*0.035)))),
0)))</f>
        <v>0</v>
      </c>
      <c r="H130" s="159">
        <f>IF(I130="مخالفات",50,Basic34567891011121314151617181920212223242526[[#This Row],[قيمة الرسوم / العموله]]+Basic34567891011121314151617181920212223242526[[#This Row],[قيمة الشحنه]])</f>
        <v>0</v>
      </c>
      <c r="I130" s="90"/>
      <c r="J130" s="142" t="str">
        <f t="shared" si="1"/>
        <v>7.5.2026</v>
      </c>
      <c r="L130" s="153">
        <v>119</v>
      </c>
      <c r="M130" s="92"/>
    </row>
    <row r="131" spans="1:13" ht="21.6" x14ac:dyDescent="0.65">
      <c r="A131" s="195"/>
      <c r="B131" s="140">
        <v>128</v>
      </c>
      <c r="C131" s="2"/>
      <c r="D131" s="1"/>
      <c r="E131" s="3"/>
      <c r="F131" s="1"/>
      <c r="G131" s="141">
        <f>IF(Basic34567891011121314151617181920212223242526[[#This Row],[نوع الخدمة]]="مخالفات", 50,
IF(Basic34567891011121314151617181920212223242526[[#This Row],[نوع الخدمة]]="كاش ان",
    IF(F131&lt;=100, 18, IF(F131&lt;=250, 23, IF(F131&lt;=500, 35, IF(F131&lt;=1000, 40, F131*0.04)))),
IF(Basic34567891011121314151617181920212223242526[[#This Row],[نوع الخدمة]]="كاش اوت",
    IF(F131&lt;=100, 15, IF(F131&lt;=250, 20, IF(F131&lt;=500, 30, IF(F131&lt;=1000, 35, F131*0.035)))),
0)))</f>
        <v>0</v>
      </c>
      <c r="H131" s="159">
        <f>IF(I131="مخالفات",50,Basic34567891011121314151617181920212223242526[[#This Row],[قيمة الرسوم / العموله]]+Basic34567891011121314151617181920212223242526[[#This Row],[قيمة الشحنه]])</f>
        <v>0</v>
      </c>
      <c r="I131" s="90"/>
      <c r="J131" s="142" t="str">
        <f t="shared" si="1"/>
        <v>7.5.2026</v>
      </c>
      <c r="L131" s="153">
        <v>120</v>
      </c>
      <c r="M131" s="92"/>
    </row>
    <row r="132" spans="1:13" ht="21.6" x14ac:dyDescent="0.65">
      <c r="A132" s="195"/>
      <c r="B132" s="140">
        <v>129</v>
      </c>
      <c r="C132" s="2"/>
      <c r="D132" s="1"/>
      <c r="E132" s="3"/>
      <c r="F132" s="1"/>
      <c r="G132" s="141">
        <f>IF(Basic34567891011121314151617181920212223242526[[#This Row],[نوع الخدمة]]="مخالفات", 50,
IF(Basic34567891011121314151617181920212223242526[[#This Row],[نوع الخدمة]]="كاش ان",
    IF(F132&lt;=100, 18, IF(F132&lt;=250, 23, IF(F132&lt;=500, 35, IF(F132&lt;=1000, 40, F132*0.04)))),
IF(Basic34567891011121314151617181920212223242526[[#This Row],[نوع الخدمة]]="كاش اوت",
    IF(F132&lt;=100, 15, IF(F132&lt;=250, 20, IF(F132&lt;=500, 30, IF(F132&lt;=1000, 35, F132*0.035)))),
0)))</f>
        <v>0</v>
      </c>
      <c r="H132" s="159">
        <f>IF(I132="مخالفات",50,Basic34567891011121314151617181920212223242526[[#This Row],[قيمة الرسوم / العموله]]+Basic34567891011121314151617181920212223242526[[#This Row],[قيمة الشحنه]])</f>
        <v>0</v>
      </c>
      <c r="I132" s="90"/>
      <c r="J132" s="142" t="str">
        <f t="shared" ref="J132:J195" si="2">M$3</f>
        <v>7.5.2026</v>
      </c>
      <c r="L132" s="153">
        <v>121</v>
      </c>
      <c r="M132" s="92"/>
    </row>
    <row r="133" spans="1:13" ht="21.6" x14ac:dyDescent="0.65">
      <c r="A133" s="195"/>
      <c r="B133" s="144">
        <v>130</v>
      </c>
      <c r="C133" s="2"/>
      <c r="D133" s="1"/>
      <c r="E133" s="3"/>
      <c r="F133" s="1"/>
      <c r="G133" s="141">
        <f>IF(Basic34567891011121314151617181920212223242526[[#This Row],[نوع الخدمة]]="مخالفات", 50,
IF(Basic34567891011121314151617181920212223242526[[#This Row],[نوع الخدمة]]="كاش ان",
    IF(F133&lt;=100, 18, IF(F133&lt;=250, 23, IF(F133&lt;=500, 35, IF(F133&lt;=1000, 40, F133*0.04)))),
IF(Basic34567891011121314151617181920212223242526[[#This Row],[نوع الخدمة]]="كاش اوت",
    IF(F133&lt;=100, 15, IF(F133&lt;=250, 20, IF(F133&lt;=500, 30, IF(F133&lt;=1000, 35, F133*0.035)))),
0)))</f>
        <v>0</v>
      </c>
      <c r="H133" s="159">
        <f>IF(I133="مخالفات",50,Basic34567891011121314151617181920212223242526[[#This Row],[قيمة الرسوم / العموله]]+Basic34567891011121314151617181920212223242526[[#This Row],[قيمة الشحنه]])</f>
        <v>0</v>
      </c>
      <c r="I133" s="90"/>
      <c r="J133" s="142" t="str">
        <f t="shared" si="2"/>
        <v>7.5.2026</v>
      </c>
      <c r="L133" s="153">
        <v>122</v>
      </c>
      <c r="M133" s="92"/>
    </row>
    <row r="134" spans="1:13" ht="21.6" x14ac:dyDescent="0.65">
      <c r="A134" s="195"/>
      <c r="B134" s="140">
        <v>131</v>
      </c>
      <c r="C134" s="2"/>
      <c r="D134" s="1"/>
      <c r="E134" s="3"/>
      <c r="F134" s="1"/>
      <c r="G134" s="141">
        <f>IF(Basic34567891011121314151617181920212223242526[[#This Row],[نوع الخدمة]]="مخالفات", 50,
IF(Basic34567891011121314151617181920212223242526[[#This Row],[نوع الخدمة]]="كاش ان",
    IF(F134&lt;=100, 18, IF(F134&lt;=250, 23, IF(F134&lt;=500, 35, IF(F134&lt;=1000, 40, F134*0.04)))),
IF(Basic34567891011121314151617181920212223242526[[#This Row],[نوع الخدمة]]="كاش اوت",
    IF(F134&lt;=100, 15, IF(F134&lt;=250, 20, IF(F134&lt;=500, 30, IF(F134&lt;=1000, 35, F134*0.035)))),
0)))</f>
        <v>0</v>
      </c>
      <c r="H134" s="159">
        <f>IF(I134="مخالفات",50,Basic34567891011121314151617181920212223242526[[#This Row],[قيمة الرسوم / العموله]]+Basic34567891011121314151617181920212223242526[[#This Row],[قيمة الشحنه]])</f>
        <v>0</v>
      </c>
      <c r="I134" s="90"/>
      <c r="J134" s="142" t="str">
        <f t="shared" si="2"/>
        <v>7.5.2026</v>
      </c>
      <c r="L134" s="153">
        <v>123</v>
      </c>
      <c r="M134" s="92"/>
    </row>
    <row r="135" spans="1:13" ht="21.6" x14ac:dyDescent="0.65">
      <c r="A135" s="195"/>
      <c r="B135" s="140">
        <v>132</v>
      </c>
      <c r="C135" s="2"/>
      <c r="D135" s="1"/>
      <c r="E135" s="3"/>
      <c r="F135" s="1"/>
      <c r="G135" s="141">
        <f>IF(Basic34567891011121314151617181920212223242526[[#This Row],[نوع الخدمة]]="مخالفات", 50,
IF(Basic34567891011121314151617181920212223242526[[#This Row],[نوع الخدمة]]="كاش ان",
    IF(F135&lt;=100, 18, IF(F135&lt;=250, 23, IF(F135&lt;=500, 35, IF(F135&lt;=1000, 40, F135*0.04)))),
IF(Basic34567891011121314151617181920212223242526[[#This Row],[نوع الخدمة]]="كاش اوت",
    IF(F135&lt;=100, 15, IF(F135&lt;=250, 20, IF(F135&lt;=500, 30, IF(F135&lt;=1000, 35, F135*0.035)))),
0)))</f>
        <v>0</v>
      </c>
      <c r="H135" s="159">
        <f>IF(I135="مخالفات",50,Basic34567891011121314151617181920212223242526[[#This Row],[قيمة الرسوم / العموله]]+Basic34567891011121314151617181920212223242526[[#This Row],[قيمة الشحنه]])</f>
        <v>0</v>
      </c>
      <c r="I135" s="90"/>
      <c r="J135" s="142" t="str">
        <f t="shared" si="2"/>
        <v>7.5.2026</v>
      </c>
      <c r="L135" s="153">
        <v>124</v>
      </c>
      <c r="M135" s="92"/>
    </row>
    <row r="136" spans="1:13" ht="21.6" x14ac:dyDescent="0.65">
      <c r="A136" s="195"/>
      <c r="B136" s="140">
        <v>133</v>
      </c>
      <c r="C136" s="2"/>
      <c r="D136" s="1"/>
      <c r="E136" s="3"/>
      <c r="F136" s="1"/>
      <c r="G136" s="141">
        <f>IF(Basic34567891011121314151617181920212223242526[[#This Row],[نوع الخدمة]]="مخالفات", 50,
IF(Basic34567891011121314151617181920212223242526[[#This Row],[نوع الخدمة]]="كاش ان",
    IF(F136&lt;=100, 18, IF(F136&lt;=250, 23, IF(F136&lt;=500, 35, IF(F136&lt;=1000, 40, F136*0.04)))),
IF(Basic34567891011121314151617181920212223242526[[#This Row],[نوع الخدمة]]="كاش اوت",
    IF(F136&lt;=100, 15, IF(F136&lt;=250, 20, IF(F136&lt;=500, 30, IF(F136&lt;=1000, 35, F136*0.035)))),
0)))</f>
        <v>0</v>
      </c>
      <c r="H136" s="159">
        <f>IF(I136="مخالفات",50,Basic34567891011121314151617181920212223242526[[#This Row],[قيمة الرسوم / العموله]]+Basic34567891011121314151617181920212223242526[[#This Row],[قيمة الشحنه]])</f>
        <v>0</v>
      </c>
      <c r="I136" s="90"/>
      <c r="J136" s="142" t="str">
        <f t="shared" si="2"/>
        <v>7.5.2026</v>
      </c>
      <c r="L136" s="153">
        <v>125</v>
      </c>
      <c r="M136" s="92"/>
    </row>
    <row r="137" spans="1:13" ht="21.6" x14ac:dyDescent="0.65">
      <c r="A137" s="195"/>
      <c r="B137" s="144">
        <v>134</v>
      </c>
      <c r="C137" s="2"/>
      <c r="D137" s="1"/>
      <c r="E137" s="3"/>
      <c r="F137" s="1"/>
      <c r="G137" s="141">
        <f>IF(Basic34567891011121314151617181920212223242526[[#This Row],[نوع الخدمة]]="مخالفات", 50,
IF(Basic34567891011121314151617181920212223242526[[#This Row],[نوع الخدمة]]="كاش ان",
    IF(F137&lt;=100, 18, IF(F137&lt;=250, 23, IF(F137&lt;=500, 35, IF(F137&lt;=1000, 40, F137*0.04)))),
IF(Basic34567891011121314151617181920212223242526[[#This Row],[نوع الخدمة]]="كاش اوت",
    IF(F137&lt;=100, 15, IF(F137&lt;=250, 20, IF(F137&lt;=500, 30, IF(F137&lt;=1000, 35, F137*0.035)))),
0)))</f>
        <v>0</v>
      </c>
      <c r="H137" s="159">
        <f>IF(I137="مخالفات",50,Basic34567891011121314151617181920212223242526[[#This Row],[قيمة الرسوم / العموله]]+Basic34567891011121314151617181920212223242526[[#This Row],[قيمة الشحنه]])</f>
        <v>0</v>
      </c>
      <c r="I137" s="90"/>
      <c r="J137" s="142" t="str">
        <f t="shared" si="2"/>
        <v>7.5.2026</v>
      </c>
      <c r="L137" s="153">
        <v>126</v>
      </c>
      <c r="M137" s="92"/>
    </row>
    <row r="138" spans="1:13" ht="21.6" x14ac:dyDescent="0.65">
      <c r="A138" s="195"/>
      <c r="B138" s="140">
        <v>135</v>
      </c>
      <c r="C138" s="2"/>
      <c r="D138" s="1"/>
      <c r="E138" s="3"/>
      <c r="F138" s="1"/>
      <c r="G138" s="141">
        <f>IF(Basic34567891011121314151617181920212223242526[[#This Row],[نوع الخدمة]]="مخالفات", 50,
IF(Basic34567891011121314151617181920212223242526[[#This Row],[نوع الخدمة]]="كاش ان",
    IF(F138&lt;=100, 18, IF(F138&lt;=250, 23, IF(F138&lt;=500, 35, IF(F138&lt;=1000, 40, F138*0.04)))),
IF(Basic34567891011121314151617181920212223242526[[#This Row],[نوع الخدمة]]="كاش اوت",
    IF(F138&lt;=100, 15, IF(F138&lt;=250, 20, IF(F138&lt;=500, 30, IF(F138&lt;=1000, 35, F138*0.035)))),
0)))</f>
        <v>0</v>
      </c>
      <c r="H138" s="159">
        <f>IF(I138="مخالفات",50,Basic34567891011121314151617181920212223242526[[#This Row],[قيمة الرسوم / العموله]]+Basic34567891011121314151617181920212223242526[[#This Row],[قيمة الشحنه]])</f>
        <v>0</v>
      </c>
      <c r="I138" s="90"/>
      <c r="J138" s="142" t="str">
        <f t="shared" si="2"/>
        <v>7.5.2026</v>
      </c>
      <c r="L138" s="153">
        <v>127</v>
      </c>
      <c r="M138" s="92"/>
    </row>
    <row r="139" spans="1:13" ht="21.6" x14ac:dyDescent="0.65">
      <c r="A139" s="195"/>
      <c r="B139" s="140">
        <v>136</v>
      </c>
      <c r="C139" s="2"/>
      <c r="D139" s="1"/>
      <c r="E139" s="3"/>
      <c r="F139" s="1"/>
      <c r="G139" s="141">
        <f>IF(Basic34567891011121314151617181920212223242526[[#This Row],[نوع الخدمة]]="مخالفات", 50,
IF(Basic34567891011121314151617181920212223242526[[#This Row],[نوع الخدمة]]="كاش ان",
    IF(F139&lt;=100, 18, IF(F139&lt;=250, 23, IF(F139&lt;=500, 35, IF(F139&lt;=1000, 40, F139*0.04)))),
IF(Basic34567891011121314151617181920212223242526[[#This Row],[نوع الخدمة]]="كاش اوت",
    IF(F139&lt;=100, 15, IF(F139&lt;=250, 20, IF(F139&lt;=500, 30, IF(F139&lt;=1000, 35, F139*0.035)))),
0)))</f>
        <v>0</v>
      </c>
      <c r="H139" s="159">
        <f>IF(I139="مخالفات",50,Basic34567891011121314151617181920212223242526[[#This Row],[قيمة الرسوم / العموله]]+Basic34567891011121314151617181920212223242526[[#This Row],[قيمة الشحنه]])</f>
        <v>0</v>
      </c>
      <c r="I139" s="90"/>
      <c r="J139" s="142" t="str">
        <f t="shared" si="2"/>
        <v>7.5.2026</v>
      </c>
      <c r="L139" s="153">
        <v>128</v>
      </c>
      <c r="M139" s="92"/>
    </row>
    <row r="140" spans="1:13" ht="21.6" x14ac:dyDescent="0.65">
      <c r="A140" s="195"/>
      <c r="B140" s="140">
        <v>137</v>
      </c>
      <c r="C140" s="2"/>
      <c r="D140" s="1"/>
      <c r="E140" s="3"/>
      <c r="F140" s="1"/>
      <c r="G140" s="141">
        <f>IF(Basic34567891011121314151617181920212223242526[[#This Row],[نوع الخدمة]]="مخالفات", 50,
IF(Basic34567891011121314151617181920212223242526[[#This Row],[نوع الخدمة]]="كاش ان",
    IF(F140&lt;=100, 18, IF(F140&lt;=250, 23, IF(F140&lt;=500, 35, IF(F140&lt;=1000, 40, F140*0.04)))),
IF(Basic34567891011121314151617181920212223242526[[#This Row],[نوع الخدمة]]="كاش اوت",
    IF(F140&lt;=100, 15, IF(F140&lt;=250, 20, IF(F140&lt;=500, 30, IF(F140&lt;=1000, 35, F140*0.035)))),
0)))</f>
        <v>0</v>
      </c>
      <c r="H140" s="159">
        <f>IF(I140="مخالفات",50,Basic34567891011121314151617181920212223242526[[#This Row],[قيمة الرسوم / العموله]]+Basic34567891011121314151617181920212223242526[[#This Row],[قيمة الشحنه]])</f>
        <v>0</v>
      </c>
      <c r="I140" s="90"/>
      <c r="J140" s="142" t="str">
        <f t="shared" si="2"/>
        <v>7.5.2026</v>
      </c>
      <c r="L140" s="153">
        <v>129</v>
      </c>
      <c r="M140" s="92"/>
    </row>
    <row r="141" spans="1:13" ht="21.6" x14ac:dyDescent="0.65">
      <c r="A141" s="195"/>
      <c r="B141" s="144">
        <v>138</v>
      </c>
      <c r="C141" s="2"/>
      <c r="D141" s="1"/>
      <c r="E141" s="3"/>
      <c r="F141" s="1"/>
      <c r="G141" s="141">
        <f>IF(Basic34567891011121314151617181920212223242526[[#This Row],[نوع الخدمة]]="مخالفات", 50,
IF(Basic34567891011121314151617181920212223242526[[#This Row],[نوع الخدمة]]="كاش ان",
    IF(F141&lt;=100, 18, IF(F141&lt;=250, 23, IF(F141&lt;=500, 35, IF(F141&lt;=1000, 40, F141*0.04)))),
IF(Basic34567891011121314151617181920212223242526[[#This Row],[نوع الخدمة]]="كاش اوت",
    IF(F141&lt;=100, 15, IF(F141&lt;=250, 20, IF(F141&lt;=500, 30, IF(F141&lt;=1000, 35, F141*0.035)))),
0)))</f>
        <v>0</v>
      </c>
      <c r="H141" s="159">
        <f>IF(I141="مخالفات",50,Basic34567891011121314151617181920212223242526[[#This Row],[قيمة الرسوم / العموله]]+Basic34567891011121314151617181920212223242526[[#This Row],[قيمة الشحنه]])</f>
        <v>0</v>
      </c>
      <c r="I141" s="90"/>
      <c r="J141" s="142" t="str">
        <f t="shared" si="2"/>
        <v>7.5.2026</v>
      </c>
      <c r="L141" s="153">
        <v>130</v>
      </c>
      <c r="M141" s="92"/>
    </row>
    <row r="142" spans="1:13" ht="21.6" x14ac:dyDescent="0.65">
      <c r="A142" s="195"/>
      <c r="B142" s="140">
        <v>139</v>
      </c>
      <c r="C142" s="2"/>
      <c r="D142" s="1"/>
      <c r="E142" s="3"/>
      <c r="F142" s="1"/>
      <c r="G142" s="141">
        <f>IF(Basic34567891011121314151617181920212223242526[[#This Row],[نوع الخدمة]]="مخالفات", 50,
IF(Basic34567891011121314151617181920212223242526[[#This Row],[نوع الخدمة]]="كاش ان",
    IF(F142&lt;=100, 18, IF(F142&lt;=250, 23, IF(F142&lt;=500, 35, IF(F142&lt;=1000, 40, F142*0.04)))),
IF(Basic34567891011121314151617181920212223242526[[#This Row],[نوع الخدمة]]="كاش اوت",
    IF(F142&lt;=100, 15, IF(F142&lt;=250, 20, IF(F142&lt;=500, 30, IF(F142&lt;=1000, 35, F142*0.035)))),
0)))</f>
        <v>0</v>
      </c>
      <c r="H142" s="159">
        <f>IF(I142="مخالفات",50,Basic34567891011121314151617181920212223242526[[#This Row],[قيمة الرسوم / العموله]]+Basic34567891011121314151617181920212223242526[[#This Row],[قيمة الشحنه]])</f>
        <v>0</v>
      </c>
      <c r="I142" s="90"/>
      <c r="J142" s="142" t="str">
        <f t="shared" si="2"/>
        <v>7.5.2026</v>
      </c>
      <c r="L142" s="153">
        <v>131</v>
      </c>
      <c r="M142" s="92"/>
    </row>
    <row r="143" spans="1:13" ht="21.6" x14ac:dyDescent="0.65">
      <c r="A143" s="195"/>
      <c r="B143" s="140">
        <v>140</v>
      </c>
      <c r="C143" s="2"/>
      <c r="D143" s="1"/>
      <c r="E143" s="3"/>
      <c r="F143" s="1"/>
      <c r="G143" s="141">
        <f>IF(Basic34567891011121314151617181920212223242526[[#This Row],[نوع الخدمة]]="مخالفات", 50,
IF(Basic34567891011121314151617181920212223242526[[#This Row],[نوع الخدمة]]="كاش ان",
    IF(F143&lt;=100, 18, IF(F143&lt;=250, 23, IF(F143&lt;=500, 35, IF(F143&lt;=1000, 40, F143*0.04)))),
IF(Basic34567891011121314151617181920212223242526[[#This Row],[نوع الخدمة]]="كاش اوت",
    IF(F143&lt;=100, 15, IF(F143&lt;=250, 20, IF(F143&lt;=500, 30, IF(F143&lt;=1000, 35, F143*0.035)))),
0)))</f>
        <v>0</v>
      </c>
      <c r="H143" s="159">
        <f>IF(I143="مخالفات",50,Basic34567891011121314151617181920212223242526[[#This Row],[قيمة الرسوم / العموله]]+Basic34567891011121314151617181920212223242526[[#This Row],[قيمة الشحنه]])</f>
        <v>0</v>
      </c>
      <c r="I143" s="90"/>
      <c r="J143" s="142" t="str">
        <f t="shared" si="2"/>
        <v>7.5.2026</v>
      </c>
      <c r="L143" s="153">
        <v>132</v>
      </c>
      <c r="M143" s="92"/>
    </row>
    <row r="144" spans="1:13" ht="21.6" x14ac:dyDescent="0.65">
      <c r="A144" s="195"/>
      <c r="B144" s="140">
        <v>141</v>
      </c>
      <c r="C144" s="2"/>
      <c r="D144" s="1"/>
      <c r="E144" s="3"/>
      <c r="F144" s="1"/>
      <c r="G144" s="141">
        <f>IF(Basic34567891011121314151617181920212223242526[[#This Row],[نوع الخدمة]]="مخالفات", 50,
IF(Basic34567891011121314151617181920212223242526[[#This Row],[نوع الخدمة]]="كاش ان",
    IF(F144&lt;=100, 18, IF(F144&lt;=250, 23, IF(F144&lt;=500, 35, IF(F144&lt;=1000, 40, F144*0.04)))),
IF(Basic34567891011121314151617181920212223242526[[#This Row],[نوع الخدمة]]="كاش اوت",
    IF(F144&lt;=100, 15, IF(F144&lt;=250, 20, IF(F144&lt;=500, 30, IF(F144&lt;=1000, 35, F144*0.035)))),
0)))</f>
        <v>0</v>
      </c>
      <c r="H144" s="159">
        <f>IF(I144="مخالفات",50,Basic34567891011121314151617181920212223242526[[#This Row],[قيمة الرسوم / العموله]]+Basic34567891011121314151617181920212223242526[[#This Row],[قيمة الشحنه]])</f>
        <v>0</v>
      </c>
      <c r="I144" s="90"/>
      <c r="J144" s="142" t="str">
        <f t="shared" si="2"/>
        <v>7.5.2026</v>
      </c>
      <c r="L144" s="153">
        <v>133</v>
      </c>
      <c r="M144" s="92"/>
    </row>
    <row r="145" spans="1:13" ht="21.6" x14ac:dyDescent="0.65">
      <c r="A145" s="195"/>
      <c r="B145" s="144">
        <v>142</v>
      </c>
      <c r="C145" s="2"/>
      <c r="D145" s="1"/>
      <c r="E145" s="3"/>
      <c r="F145" s="1"/>
      <c r="G145" s="141">
        <f>IF(Basic34567891011121314151617181920212223242526[[#This Row],[نوع الخدمة]]="مخالفات", 50,
IF(Basic34567891011121314151617181920212223242526[[#This Row],[نوع الخدمة]]="كاش ان",
    IF(F145&lt;=100, 18, IF(F145&lt;=250, 23, IF(F145&lt;=500, 35, IF(F145&lt;=1000, 40, F145*0.04)))),
IF(Basic34567891011121314151617181920212223242526[[#This Row],[نوع الخدمة]]="كاش اوت",
    IF(F145&lt;=100, 15, IF(F145&lt;=250, 20, IF(F145&lt;=500, 30, IF(F145&lt;=1000, 35, F145*0.035)))),
0)))</f>
        <v>0</v>
      </c>
      <c r="H145" s="159">
        <f>IF(I145="مخالفات",50,Basic34567891011121314151617181920212223242526[[#This Row],[قيمة الرسوم / العموله]]+Basic34567891011121314151617181920212223242526[[#This Row],[قيمة الشحنه]])</f>
        <v>0</v>
      </c>
      <c r="I145" s="90"/>
      <c r="J145" s="142" t="str">
        <f t="shared" si="2"/>
        <v>7.5.2026</v>
      </c>
      <c r="L145" s="153">
        <v>134</v>
      </c>
      <c r="M145" s="92"/>
    </row>
    <row r="146" spans="1:13" ht="21.6" x14ac:dyDescent="0.65">
      <c r="A146" s="195"/>
      <c r="B146" s="140">
        <v>143</v>
      </c>
      <c r="C146" s="2"/>
      <c r="D146" s="1"/>
      <c r="E146" s="3"/>
      <c r="F146" s="1"/>
      <c r="G146" s="141">
        <f>IF(Basic34567891011121314151617181920212223242526[[#This Row],[نوع الخدمة]]="مخالفات", 50,
IF(Basic34567891011121314151617181920212223242526[[#This Row],[نوع الخدمة]]="كاش ان",
    IF(F146&lt;=100, 18, IF(F146&lt;=250, 23, IF(F146&lt;=500, 35, IF(F146&lt;=1000, 40, F146*0.04)))),
IF(Basic34567891011121314151617181920212223242526[[#This Row],[نوع الخدمة]]="كاش اوت",
    IF(F146&lt;=100, 15, IF(F146&lt;=250, 20, IF(F146&lt;=500, 30, IF(F146&lt;=1000, 35, F146*0.035)))),
0)))</f>
        <v>0</v>
      </c>
      <c r="H146" s="159">
        <f>IF(I146="مخالفات",50,Basic34567891011121314151617181920212223242526[[#This Row],[قيمة الرسوم / العموله]]+Basic34567891011121314151617181920212223242526[[#This Row],[قيمة الشحنه]])</f>
        <v>0</v>
      </c>
      <c r="I146" s="90"/>
      <c r="J146" s="142" t="str">
        <f t="shared" si="2"/>
        <v>7.5.2026</v>
      </c>
      <c r="L146" s="153">
        <v>135</v>
      </c>
      <c r="M146" s="92"/>
    </row>
    <row r="147" spans="1:13" ht="21.6" x14ac:dyDescent="0.65">
      <c r="A147" s="195"/>
      <c r="B147" s="140">
        <v>144</v>
      </c>
      <c r="C147" s="2"/>
      <c r="D147" s="1"/>
      <c r="E147" s="3"/>
      <c r="F147" s="1"/>
      <c r="G147" s="141">
        <f>IF(Basic34567891011121314151617181920212223242526[[#This Row],[نوع الخدمة]]="مخالفات", 50,
IF(Basic34567891011121314151617181920212223242526[[#This Row],[نوع الخدمة]]="كاش ان",
    IF(F147&lt;=100, 18, IF(F147&lt;=250, 23, IF(F147&lt;=500, 35, IF(F147&lt;=1000, 40, F147*0.04)))),
IF(Basic34567891011121314151617181920212223242526[[#This Row],[نوع الخدمة]]="كاش اوت",
    IF(F147&lt;=100, 15, IF(F147&lt;=250, 20, IF(F147&lt;=500, 30, IF(F147&lt;=1000, 35, F147*0.035)))),
0)))</f>
        <v>0</v>
      </c>
      <c r="H147" s="159">
        <f>IF(I147="مخالفات",50,Basic34567891011121314151617181920212223242526[[#This Row],[قيمة الرسوم / العموله]]+Basic34567891011121314151617181920212223242526[[#This Row],[قيمة الشحنه]])</f>
        <v>0</v>
      </c>
      <c r="I147" s="90"/>
      <c r="J147" s="142" t="str">
        <f t="shared" si="2"/>
        <v>7.5.2026</v>
      </c>
      <c r="L147" s="153">
        <v>136</v>
      </c>
      <c r="M147" s="92"/>
    </row>
    <row r="148" spans="1:13" ht="21.6" x14ac:dyDescent="0.65">
      <c r="A148" s="195"/>
      <c r="B148" s="140">
        <v>145</v>
      </c>
      <c r="C148" s="2"/>
      <c r="D148" s="1"/>
      <c r="E148" s="3"/>
      <c r="F148" s="1"/>
      <c r="G148" s="141">
        <f>IF(Basic34567891011121314151617181920212223242526[[#This Row],[نوع الخدمة]]="مخالفات", 50,
IF(Basic34567891011121314151617181920212223242526[[#This Row],[نوع الخدمة]]="كاش ان",
    IF(F148&lt;=100, 18, IF(F148&lt;=250, 23, IF(F148&lt;=500, 35, IF(F148&lt;=1000, 40, F148*0.04)))),
IF(Basic34567891011121314151617181920212223242526[[#This Row],[نوع الخدمة]]="كاش اوت",
    IF(F148&lt;=100, 15, IF(F148&lt;=250, 20, IF(F148&lt;=500, 30, IF(F148&lt;=1000, 35, F148*0.035)))),
0)))</f>
        <v>0</v>
      </c>
      <c r="H148" s="159">
        <f>IF(I148="مخالفات",50,Basic34567891011121314151617181920212223242526[[#This Row],[قيمة الرسوم / العموله]]+Basic34567891011121314151617181920212223242526[[#This Row],[قيمة الشحنه]])</f>
        <v>0</v>
      </c>
      <c r="I148" s="90"/>
      <c r="J148" s="142" t="str">
        <f t="shared" si="2"/>
        <v>7.5.2026</v>
      </c>
      <c r="L148" s="153">
        <v>137</v>
      </c>
      <c r="M148" s="92"/>
    </row>
    <row r="149" spans="1:13" ht="21.6" x14ac:dyDescent="0.65">
      <c r="A149" s="195"/>
      <c r="B149" s="144">
        <v>146</v>
      </c>
      <c r="C149" s="2"/>
      <c r="D149" s="1"/>
      <c r="E149" s="3"/>
      <c r="F149" s="1"/>
      <c r="G149" s="141">
        <f>IF(Basic34567891011121314151617181920212223242526[[#This Row],[نوع الخدمة]]="مخالفات", 50,
IF(Basic34567891011121314151617181920212223242526[[#This Row],[نوع الخدمة]]="كاش ان",
    IF(F149&lt;=100, 18, IF(F149&lt;=250, 23, IF(F149&lt;=500, 35, IF(F149&lt;=1000, 40, F149*0.04)))),
IF(Basic34567891011121314151617181920212223242526[[#This Row],[نوع الخدمة]]="كاش اوت",
    IF(F149&lt;=100, 15, IF(F149&lt;=250, 20, IF(F149&lt;=500, 30, IF(F149&lt;=1000, 35, F149*0.035)))),
0)))</f>
        <v>0</v>
      </c>
      <c r="H149" s="159">
        <f>IF(I149="مخالفات",50,Basic34567891011121314151617181920212223242526[[#This Row],[قيمة الرسوم / العموله]]+Basic34567891011121314151617181920212223242526[[#This Row],[قيمة الشحنه]])</f>
        <v>0</v>
      </c>
      <c r="I149" s="90"/>
      <c r="J149" s="142" t="str">
        <f t="shared" si="2"/>
        <v>7.5.2026</v>
      </c>
      <c r="L149" s="153">
        <v>138</v>
      </c>
      <c r="M149" s="92"/>
    </row>
    <row r="150" spans="1:13" ht="21.6" x14ac:dyDescent="0.65">
      <c r="A150" s="195"/>
      <c r="B150" s="140">
        <v>147</v>
      </c>
      <c r="C150" s="2"/>
      <c r="D150" s="1"/>
      <c r="E150" s="3"/>
      <c r="F150" s="1"/>
      <c r="G150" s="141">
        <f>IF(Basic34567891011121314151617181920212223242526[[#This Row],[نوع الخدمة]]="مخالفات", 50,
IF(Basic34567891011121314151617181920212223242526[[#This Row],[نوع الخدمة]]="كاش ان",
    IF(F150&lt;=100, 18, IF(F150&lt;=250, 23, IF(F150&lt;=500, 35, IF(F150&lt;=1000, 40, F150*0.04)))),
IF(Basic34567891011121314151617181920212223242526[[#This Row],[نوع الخدمة]]="كاش اوت",
    IF(F150&lt;=100, 15, IF(F150&lt;=250, 20, IF(F150&lt;=500, 30, IF(F150&lt;=1000, 35, F150*0.035)))),
0)))</f>
        <v>0</v>
      </c>
      <c r="H150" s="159">
        <f>IF(I150="مخالفات",50,Basic34567891011121314151617181920212223242526[[#This Row],[قيمة الرسوم / العموله]]+Basic34567891011121314151617181920212223242526[[#This Row],[قيمة الشحنه]])</f>
        <v>0</v>
      </c>
      <c r="I150" s="90"/>
      <c r="J150" s="142" t="str">
        <f t="shared" si="2"/>
        <v>7.5.2026</v>
      </c>
      <c r="L150" s="153">
        <v>139</v>
      </c>
      <c r="M150" s="92"/>
    </row>
    <row r="151" spans="1:13" ht="21.6" x14ac:dyDescent="0.65">
      <c r="A151" s="195"/>
      <c r="B151" s="140">
        <v>148</v>
      </c>
      <c r="C151" s="2"/>
      <c r="D151" s="1"/>
      <c r="E151" s="3"/>
      <c r="F151" s="1"/>
      <c r="G151" s="141">
        <f>IF(Basic34567891011121314151617181920212223242526[[#This Row],[نوع الخدمة]]="مخالفات", 50,
IF(Basic34567891011121314151617181920212223242526[[#This Row],[نوع الخدمة]]="كاش ان",
    IF(F151&lt;=100, 18, IF(F151&lt;=250, 23, IF(F151&lt;=500, 35, IF(F151&lt;=1000, 40, F151*0.04)))),
IF(Basic34567891011121314151617181920212223242526[[#This Row],[نوع الخدمة]]="كاش اوت",
    IF(F151&lt;=100, 15, IF(F151&lt;=250, 20, IF(F151&lt;=500, 30, IF(F151&lt;=1000, 35, F151*0.035)))),
0)))</f>
        <v>0</v>
      </c>
      <c r="H151" s="159">
        <f>IF(I151="مخالفات",50,Basic34567891011121314151617181920212223242526[[#This Row],[قيمة الرسوم / العموله]]+Basic34567891011121314151617181920212223242526[[#This Row],[قيمة الشحنه]])</f>
        <v>0</v>
      </c>
      <c r="I151" s="90"/>
      <c r="J151" s="142" t="str">
        <f t="shared" si="2"/>
        <v>7.5.2026</v>
      </c>
      <c r="L151" s="153">
        <v>140</v>
      </c>
      <c r="M151" s="92"/>
    </row>
    <row r="152" spans="1:13" ht="21.6" x14ac:dyDescent="0.65">
      <c r="A152" s="195"/>
      <c r="B152" s="140">
        <v>149</v>
      </c>
      <c r="C152" s="2"/>
      <c r="D152" s="1"/>
      <c r="E152" s="3"/>
      <c r="F152" s="1"/>
      <c r="G152" s="141">
        <f>IF(Basic34567891011121314151617181920212223242526[[#This Row],[نوع الخدمة]]="مخالفات", 50,
IF(Basic34567891011121314151617181920212223242526[[#This Row],[نوع الخدمة]]="كاش ان",
    IF(F152&lt;=100, 18, IF(F152&lt;=250, 23, IF(F152&lt;=500, 35, IF(F152&lt;=1000, 40, F152*0.04)))),
IF(Basic34567891011121314151617181920212223242526[[#This Row],[نوع الخدمة]]="كاش اوت",
    IF(F152&lt;=100, 15, IF(F152&lt;=250, 20, IF(F152&lt;=500, 30, IF(F152&lt;=1000, 35, F152*0.035)))),
0)))</f>
        <v>0</v>
      </c>
      <c r="H152" s="159">
        <f>IF(I152="مخالفات",50,Basic34567891011121314151617181920212223242526[[#This Row],[قيمة الرسوم / العموله]]+Basic34567891011121314151617181920212223242526[[#This Row],[قيمة الشحنه]])</f>
        <v>0</v>
      </c>
      <c r="I152" s="90"/>
      <c r="J152" s="142" t="str">
        <f t="shared" si="2"/>
        <v>7.5.2026</v>
      </c>
      <c r="L152" s="153">
        <v>141</v>
      </c>
      <c r="M152" s="92"/>
    </row>
    <row r="153" spans="1:13" ht="21.6" x14ac:dyDescent="0.65">
      <c r="A153" s="195"/>
      <c r="B153" s="144">
        <v>150</v>
      </c>
      <c r="C153" s="2"/>
      <c r="D153" s="1"/>
      <c r="E153" s="3"/>
      <c r="F153" s="1"/>
      <c r="G153" s="141">
        <f>IF(Basic34567891011121314151617181920212223242526[[#This Row],[نوع الخدمة]]="مخالفات", 50,
IF(Basic34567891011121314151617181920212223242526[[#This Row],[نوع الخدمة]]="كاش ان",
    IF(F153&lt;=100, 18, IF(F153&lt;=250, 23, IF(F153&lt;=500, 35, IF(F153&lt;=1000, 40, F153*0.04)))),
IF(Basic34567891011121314151617181920212223242526[[#This Row],[نوع الخدمة]]="كاش اوت",
    IF(F153&lt;=100, 15, IF(F153&lt;=250, 20, IF(F153&lt;=500, 30, IF(F153&lt;=1000, 35, F153*0.035)))),
0)))</f>
        <v>0</v>
      </c>
      <c r="H153" s="159">
        <f>IF(I153="مخالفات",50,Basic34567891011121314151617181920212223242526[[#This Row],[قيمة الرسوم / العموله]]+Basic34567891011121314151617181920212223242526[[#This Row],[قيمة الشحنه]])</f>
        <v>0</v>
      </c>
      <c r="I153" s="90"/>
      <c r="J153" s="142" t="str">
        <f t="shared" si="2"/>
        <v>7.5.2026</v>
      </c>
      <c r="L153" s="153">
        <v>142</v>
      </c>
      <c r="M153" s="92"/>
    </row>
    <row r="154" spans="1:13" ht="21.6" x14ac:dyDescent="0.65">
      <c r="A154" s="195"/>
      <c r="B154" s="140">
        <v>151</v>
      </c>
      <c r="C154" s="2"/>
      <c r="D154" s="1"/>
      <c r="E154" s="3"/>
      <c r="F154" s="1"/>
      <c r="G154" s="141">
        <f>IF(Basic34567891011121314151617181920212223242526[[#This Row],[نوع الخدمة]]="مخالفات", 50,
IF(Basic34567891011121314151617181920212223242526[[#This Row],[نوع الخدمة]]="كاش ان",
    IF(F154&lt;=100, 18, IF(F154&lt;=250, 23, IF(F154&lt;=500, 35, IF(F154&lt;=1000, 40, F154*0.04)))),
IF(Basic34567891011121314151617181920212223242526[[#This Row],[نوع الخدمة]]="كاش اوت",
    IF(F154&lt;=100, 15, IF(F154&lt;=250, 20, IF(F154&lt;=500, 30, IF(F154&lt;=1000, 35, F154*0.035)))),
0)))</f>
        <v>0</v>
      </c>
      <c r="H154" s="159">
        <f>IF(I154="مخالفات",50,Basic34567891011121314151617181920212223242526[[#This Row],[قيمة الرسوم / العموله]]+Basic34567891011121314151617181920212223242526[[#This Row],[قيمة الشحنه]])</f>
        <v>0</v>
      </c>
      <c r="I154" s="90"/>
      <c r="J154" s="142" t="str">
        <f t="shared" si="2"/>
        <v>7.5.2026</v>
      </c>
      <c r="L154" s="153">
        <v>143</v>
      </c>
      <c r="M154" s="92"/>
    </row>
    <row r="155" spans="1:13" ht="21.6" x14ac:dyDescent="0.65">
      <c r="A155" s="195"/>
      <c r="B155" s="140">
        <v>152</v>
      </c>
      <c r="C155" s="2"/>
      <c r="D155" s="1"/>
      <c r="E155" s="3"/>
      <c r="F155" s="1"/>
      <c r="G155" s="141">
        <f>IF(Basic34567891011121314151617181920212223242526[[#This Row],[نوع الخدمة]]="مخالفات", 50,
IF(Basic34567891011121314151617181920212223242526[[#This Row],[نوع الخدمة]]="كاش ان",
    IF(F155&lt;=100, 18, IF(F155&lt;=250, 23, IF(F155&lt;=500, 35, IF(F155&lt;=1000, 40, F155*0.04)))),
IF(Basic34567891011121314151617181920212223242526[[#This Row],[نوع الخدمة]]="كاش اوت",
    IF(F155&lt;=100, 15, IF(F155&lt;=250, 20, IF(F155&lt;=500, 30, IF(F155&lt;=1000, 35, F155*0.035)))),
0)))</f>
        <v>0</v>
      </c>
      <c r="H155" s="159">
        <f>IF(I155="مخالفات",50,Basic34567891011121314151617181920212223242526[[#This Row],[قيمة الرسوم / العموله]]+Basic34567891011121314151617181920212223242526[[#This Row],[قيمة الشحنه]])</f>
        <v>0</v>
      </c>
      <c r="I155" s="90"/>
      <c r="J155" s="142" t="str">
        <f t="shared" si="2"/>
        <v>7.5.2026</v>
      </c>
      <c r="L155" s="153">
        <v>144</v>
      </c>
      <c r="M155" s="92"/>
    </row>
    <row r="156" spans="1:13" ht="21.6" x14ac:dyDescent="0.65">
      <c r="A156" s="195"/>
      <c r="B156" s="140">
        <v>153</v>
      </c>
      <c r="C156" s="2"/>
      <c r="D156" s="1"/>
      <c r="E156" s="3"/>
      <c r="F156" s="1"/>
      <c r="G156" s="141">
        <f>IF(Basic34567891011121314151617181920212223242526[[#This Row],[نوع الخدمة]]="مخالفات", 50,
IF(Basic34567891011121314151617181920212223242526[[#This Row],[نوع الخدمة]]="كاش ان",
    IF(F156&lt;=100, 18, IF(F156&lt;=250, 23, IF(F156&lt;=500, 35, IF(F156&lt;=1000, 40, F156*0.04)))),
IF(Basic34567891011121314151617181920212223242526[[#This Row],[نوع الخدمة]]="كاش اوت",
    IF(F156&lt;=100, 15, IF(F156&lt;=250, 20, IF(F156&lt;=500, 30, IF(F156&lt;=1000, 35, F156*0.035)))),
0)))</f>
        <v>0</v>
      </c>
      <c r="H156" s="159">
        <f>IF(I156="مخالفات",50,Basic34567891011121314151617181920212223242526[[#This Row],[قيمة الرسوم / العموله]]+Basic34567891011121314151617181920212223242526[[#This Row],[قيمة الشحنه]])</f>
        <v>0</v>
      </c>
      <c r="I156" s="90"/>
      <c r="J156" s="142" t="str">
        <f t="shared" si="2"/>
        <v>7.5.2026</v>
      </c>
      <c r="L156" s="153">
        <v>145</v>
      </c>
      <c r="M156" s="92"/>
    </row>
    <row r="157" spans="1:13" ht="21.6" x14ac:dyDescent="0.65">
      <c r="A157" s="195"/>
      <c r="B157" s="144">
        <v>154</v>
      </c>
      <c r="C157" s="2"/>
      <c r="D157" s="1"/>
      <c r="E157" s="3"/>
      <c r="F157" s="1"/>
      <c r="G157" s="141">
        <f>IF(Basic34567891011121314151617181920212223242526[[#This Row],[نوع الخدمة]]="مخالفات", 50,
IF(Basic34567891011121314151617181920212223242526[[#This Row],[نوع الخدمة]]="كاش ان",
    IF(F157&lt;=100, 18, IF(F157&lt;=250, 23, IF(F157&lt;=500, 35, IF(F157&lt;=1000, 40, F157*0.04)))),
IF(Basic34567891011121314151617181920212223242526[[#This Row],[نوع الخدمة]]="كاش اوت",
    IF(F157&lt;=100, 15, IF(F157&lt;=250, 20, IF(F157&lt;=500, 30, IF(F157&lt;=1000, 35, F157*0.035)))),
0)))</f>
        <v>0</v>
      </c>
      <c r="H157" s="159">
        <f>IF(I157="مخالفات",50,Basic34567891011121314151617181920212223242526[[#This Row],[قيمة الرسوم / العموله]]+Basic34567891011121314151617181920212223242526[[#This Row],[قيمة الشحنه]])</f>
        <v>0</v>
      </c>
      <c r="I157" s="90"/>
      <c r="J157" s="142" t="str">
        <f t="shared" si="2"/>
        <v>7.5.2026</v>
      </c>
      <c r="L157" s="153">
        <v>146</v>
      </c>
      <c r="M157" s="92"/>
    </row>
    <row r="158" spans="1:13" ht="21.6" x14ac:dyDescent="0.65">
      <c r="A158" s="195"/>
      <c r="B158" s="140">
        <v>155</v>
      </c>
      <c r="C158" s="2"/>
      <c r="D158" s="1"/>
      <c r="E158" s="3"/>
      <c r="F158" s="1"/>
      <c r="G158" s="141">
        <f>IF(Basic34567891011121314151617181920212223242526[[#This Row],[نوع الخدمة]]="مخالفات", 50,
IF(Basic34567891011121314151617181920212223242526[[#This Row],[نوع الخدمة]]="كاش ان",
    IF(F158&lt;=100, 18, IF(F158&lt;=250, 23, IF(F158&lt;=500, 35, IF(F158&lt;=1000, 40, F158*0.04)))),
IF(Basic34567891011121314151617181920212223242526[[#This Row],[نوع الخدمة]]="كاش اوت",
    IF(F158&lt;=100, 15, IF(F158&lt;=250, 20, IF(F158&lt;=500, 30, IF(F158&lt;=1000, 35, F158*0.035)))),
0)))</f>
        <v>0</v>
      </c>
      <c r="H158" s="159">
        <f>IF(I158="مخالفات",50,Basic34567891011121314151617181920212223242526[[#This Row],[قيمة الرسوم / العموله]]+Basic34567891011121314151617181920212223242526[[#This Row],[قيمة الشحنه]])</f>
        <v>0</v>
      </c>
      <c r="I158" s="90"/>
      <c r="J158" s="142" t="str">
        <f t="shared" si="2"/>
        <v>7.5.2026</v>
      </c>
      <c r="L158" s="153">
        <v>147</v>
      </c>
      <c r="M158" s="92"/>
    </row>
    <row r="159" spans="1:13" ht="21.6" x14ac:dyDescent="0.65">
      <c r="A159" s="195"/>
      <c r="B159" s="140">
        <v>156</v>
      </c>
      <c r="C159" s="2"/>
      <c r="D159" s="1"/>
      <c r="E159" s="3"/>
      <c r="F159" s="1"/>
      <c r="G159" s="141">
        <f>IF(Basic34567891011121314151617181920212223242526[[#This Row],[نوع الخدمة]]="مخالفات", 50,
IF(Basic34567891011121314151617181920212223242526[[#This Row],[نوع الخدمة]]="كاش ان",
    IF(F159&lt;=100, 18, IF(F159&lt;=250, 23, IF(F159&lt;=500, 35, IF(F159&lt;=1000, 40, F159*0.04)))),
IF(Basic34567891011121314151617181920212223242526[[#This Row],[نوع الخدمة]]="كاش اوت",
    IF(F159&lt;=100, 15, IF(F159&lt;=250, 20, IF(F159&lt;=500, 30, IF(F159&lt;=1000, 35, F159*0.035)))),
0)))</f>
        <v>0</v>
      </c>
      <c r="H159" s="159">
        <f>IF(I159="مخالفات",50,Basic34567891011121314151617181920212223242526[[#This Row],[قيمة الرسوم / العموله]]+Basic34567891011121314151617181920212223242526[[#This Row],[قيمة الشحنه]])</f>
        <v>0</v>
      </c>
      <c r="I159" s="90"/>
      <c r="J159" s="142" t="str">
        <f t="shared" si="2"/>
        <v>7.5.2026</v>
      </c>
      <c r="L159" s="153">
        <v>148</v>
      </c>
      <c r="M159" s="92"/>
    </row>
    <row r="160" spans="1:13" ht="21.6" x14ac:dyDescent="0.65">
      <c r="A160" s="195"/>
      <c r="B160" s="140">
        <v>157</v>
      </c>
      <c r="C160" s="2"/>
      <c r="D160" s="1"/>
      <c r="E160" s="3"/>
      <c r="F160" s="1"/>
      <c r="G160" s="141">
        <f>IF(Basic34567891011121314151617181920212223242526[[#This Row],[نوع الخدمة]]="مخالفات", 50,
IF(Basic34567891011121314151617181920212223242526[[#This Row],[نوع الخدمة]]="كاش ان",
    IF(F160&lt;=100, 18, IF(F160&lt;=250, 23, IF(F160&lt;=500, 35, IF(F160&lt;=1000, 40, F160*0.04)))),
IF(Basic34567891011121314151617181920212223242526[[#This Row],[نوع الخدمة]]="كاش اوت",
    IF(F160&lt;=100, 15, IF(F160&lt;=250, 20, IF(F160&lt;=500, 30, IF(F160&lt;=1000, 35, F160*0.035)))),
0)))</f>
        <v>0</v>
      </c>
      <c r="H160" s="159">
        <f>IF(I160="مخالفات",50,Basic34567891011121314151617181920212223242526[[#This Row],[قيمة الرسوم / العموله]]+Basic34567891011121314151617181920212223242526[[#This Row],[قيمة الشحنه]])</f>
        <v>0</v>
      </c>
      <c r="I160" s="90"/>
      <c r="J160" s="142" t="str">
        <f t="shared" si="2"/>
        <v>7.5.2026</v>
      </c>
      <c r="L160" s="153">
        <v>149</v>
      </c>
      <c r="M160" s="92"/>
    </row>
    <row r="161" spans="1:13" ht="21.6" x14ac:dyDescent="0.65">
      <c r="A161" s="195"/>
      <c r="B161" s="144">
        <v>158</v>
      </c>
      <c r="C161" s="2"/>
      <c r="D161" s="1"/>
      <c r="E161" s="3"/>
      <c r="F161" s="1"/>
      <c r="G161" s="141">
        <f>IF(Basic34567891011121314151617181920212223242526[[#This Row],[نوع الخدمة]]="مخالفات", 50,
IF(Basic34567891011121314151617181920212223242526[[#This Row],[نوع الخدمة]]="كاش ان",
    IF(F161&lt;=100, 18, IF(F161&lt;=250, 23, IF(F161&lt;=500, 35, IF(F161&lt;=1000, 40, F161*0.04)))),
IF(Basic34567891011121314151617181920212223242526[[#This Row],[نوع الخدمة]]="كاش اوت",
    IF(F161&lt;=100, 15, IF(F161&lt;=250, 20, IF(F161&lt;=500, 30, IF(F161&lt;=1000, 35, F161*0.035)))),
0)))</f>
        <v>0</v>
      </c>
      <c r="H161" s="159">
        <f>IF(I161="مخالفات",50,Basic34567891011121314151617181920212223242526[[#This Row],[قيمة الرسوم / العموله]]+Basic34567891011121314151617181920212223242526[[#This Row],[قيمة الشحنه]])</f>
        <v>0</v>
      </c>
      <c r="I161" s="90"/>
      <c r="J161" s="142" t="str">
        <f t="shared" si="2"/>
        <v>7.5.2026</v>
      </c>
      <c r="L161" s="153">
        <v>150</v>
      </c>
      <c r="M161" s="92"/>
    </row>
    <row r="162" spans="1:13" ht="21.6" x14ac:dyDescent="0.65">
      <c r="A162" s="195"/>
      <c r="B162" s="140">
        <v>159</v>
      </c>
      <c r="C162" s="2"/>
      <c r="D162" s="1"/>
      <c r="E162" s="3"/>
      <c r="F162" s="1"/>
      <c r="G162" s="141">
        <f>IF(Basic34567891011121314151617181920212223242526[[#This Row],[نوع الخدمة]]="مخالفات", 50,
IF(Basic34567891011121314151617181920212223242526[[#This Row],[نوع الخدمة]]="كاش ان",
    IF(F162&lt;=100, 18, IF(F162&lt;=250, 23, IF(F162&lt;=500, 35, IF(F162&lt;=1000, 40, F162*0.04)))),
IF(Basic34567891011121314151617181920212223242526[[#This Row],[نوع الخدمة]]="كاش اوت",
    IF(F162&lt;=100, 15, IF(F162&lt;=250, 20, IF(F162&lt;=500, 30, IF(F162&lt;=1000, 35, F162*0.035)))),
0)))</f>
        <v>0</v>
      </c>
      <c r="H162" s="159">
        <f>IF(I162="مخالفات",50,Basic34567891011121314151617181920212223242526[[#This Row],[قيمة الرسوم / العموله]]+Basic34567891011121314151617181920212223242526[[#This Row],[قيمة الشحنه]])</f>
        <v>0</v>
      </c>
      <c r="I162" s="90"/>
      <c r="J162" s="142" t="str">
        <f t="shared" si="2"/>
        <v>7.5.2026</v>
      </c>
      <c r="L162" s="153">
        <v>151</v>
      </c>
      <c r="M162" s="92"/>
    </row>
    <row r="163" spans="1:13" ht="21.6" x14ac:dyDescent="0.65">
      <c r="A163" s="195"/>
      <c r="B163" s="140">
        <v>160</v>
      </c>
      <c r="C163" s="2"/>
      <c r="D163" s="1"/>
      <c r="E163" s="3"/>
      <c r="F163" s="1"/>
      <c r="G163" s="141">
        <f>IF(Basic34567891011121314151617181920212223242526[[#This Row],[نوع الخدمة]]="مخالفات", 50,
IF(Basic34567891011121314151617181920212223242526[[#This Row],[نوع الخدمة]]="كاش ان",
    IF(F163&lt;=100, 18, IF(F163&lt;=250, 23, IF(F163&lt;=500, 35, IF(F163&lt;=1000, 40, F163*0.04)))),
IF(Basic34567891011121314151617181920212223242526[[#This Row],[نوع الخدمة]]="كاش اوت",
    IF(F163&lt;=100, 15, IF(F163&lt;=250, 20, IF(F163&lt;=500, 30, IF(F163&lt;=1000, 35, F163*0.035)))),
0)))</f>
        <v>0</v>
      </c>
      <c r="H163" s="159">
        <f>IF(I163="مخالفات",50,Basic34567891011121314151617181920212223242526[[#This Row],[قيمة الرسوم / العموله]]+Basic34567891011121314151617181920212223242526[[#This Row],[قيمة الشحنه]])</f>
        <v>0</v>
      </c>
      <c r="I163" s="90"/>
      <c r="J163" s="142" t="str">
        <f t="shared" si="2"/>
        <v>7.5.2026</v>
      </c>
      <c r="L163" s="153">
        <v>152</v>
      </c>
      <c r="M163" s="92"/>
    </row>
    <row r="164" spans="1:13" ht="21.6" x14ac:dyDescent="0.65">
      <c r="A164" s="195"/>
      <c r="B164" s="140">
        <v>161</v>
      </c>
      <c r="C164" s="2"/>
      <c r="D164" s="1"/>
      <c r="E164" s="3"/>
      <c r="F164" s="1"/>
      <c r="G164" s="141">
        <f>IF(Basic34567891011121314151617181920212223242526[[#This Row],[نوع الخدمة]]="مخالفات", 50,
IF(Basic34567891011121314151617181920212223242526[[#This Row],[نوع الخدمة]]="كاش ان",
    IF(F164&lt;=100, 18, IF(F164&lt;=250, 23, IF(F164&lt;=500, 35, IF(F164&lt;=1000, 40, F164*0.04)))),
IF(Basic34567891011121314151617181920212223242526[[#This Row],[نوع الخدمة]]="كاش اوت",
    IF(F164&lt;=100, 15, IF(F164&lt;=250, 20, IF(F164&lt;=500, 30, IF(F164&lt;=1000, 35, F164*0.035)))),
0)))</f>
        <v>0</v>
      </c>
      <c r="H164" s="159">
        <f>IF(I164="مخالفات",50,Basic34567891011121314151617181920212223242526[[#This Row],[قيمة الرسوم / العموله]]+Basic34567891011121314151617181920212223242526[[#This Row],[قيمة الشحنه]])</f>
        <v>0</v>
      </c>
      <c r="I164" s="90"/>
      <c r="J164" s="142" t="str">
        <f t="shared" si="2"/>
        <v>7.5.2026</v>
      </c>
      <c r="L164" s="153">
        <v>153</v>
      </c>
      <c r="M164" s="92"/>
    </row>
    <row r="165" spans="1:13" ht="21.6" x14ac:dyDescent="0.65">
      <c r="A165" s="195"/>
      <c r="B165" s="144">
        <v>162</v>
      </c>
      <c r="C165" s="2"/>
      <c r="D165" s="1"/>
      <c r="E165" s="3"/>
      <c r="F165" s="1"/>
      <c r="G165" s="141">
        <f>IF(Basic34567891011121314151617181920212223242526[[#This Row],[نوع الخدمة]]="مخالفات", 50,
IF(Basic34567891011121314151617181920212223242526[[#This Row],[نوع الخدمة]]="كاش ان",
    IF(F165&lt;=100, 18, IF(F165&lt;=250, 23, IF(F165&lt;=500, 35, IF(F165&lt;=1000, 40, F165*0.04)))),
IF(Basic34567891011121314151617181920212223242526[[#This Row],[نوع الخدمة]]="كاش اوت",
    IF(F165&lt;=100, 15, IF(F165&lt;=250, 20, IF(F165&lt;=500, 30, IF(F165&lt;=1000, 35, F165*0.035)))),
0)))</f>
        <v>0</v>
      </c>
      <c r="H165" s="159">
        <f>IF(I165="مخالفات",50,Basic34567891011121314151617181920212223242526[[#This Row],[قيمة الرسوم / العموله]]+Basic34567891011121314151617181920212223242526[[#This Row],[قيمة الشحنه]])</f>
        <v>0</v>
      </c>
      <c r="I165" s="90"/>
      <c r="J165" s="142" t="str">
        <f t="shared" si="2"/>
        <v>7.5.2026</v>
      </c>
      <c r="L165" s="153">
        <v>154</v>
      </c>
      <c r="M165" s="92"/>
    </row>
    <row r="166" spans="1:13" ht="21.6" x14ac:dyDescent="0.65">
      <c r="A166" s="195"/>
      <c r="B166" s="140">
        <v>163</v>
      </c>
      <c r="C166" s="2"/>
      <c r="D166" s="1"/>
      <c r="E166" s="3"/>
      <c r="F166" s="1"/>
      <c r="G166" s="141">
        <f>IF(Basic34567891011121314151617181920212223242526[[#This Row],[نوع الخدمة]]="مخالفات", 50,
IF(Basic34567891011121314151617181920212223242526[[#This Row],[نوع الخدمة]]="كاش ان",
    IF(F166&lt;=100, 18, IF(F166&lt;=250, 23, IF(F166&lt;=500, 35, IF(F166&lt;=1000, 40, F166*0.04)))),
IF(Basic34567891011121314151617181920212223242526[[#This Row],[نوع الخدمة]]="كاش اوت",
    IF(F166&lt;=100, 15, IF(F166&lt;=250, 20, IF(F166&lt;=500, 30, IF(F166&lt;=1000, 35, F166*0.035)))),
0)))</f>
        <v>0</v>
      </c>
      <c r="H166" s="159">
        <f>IF(I166="مخالفات",50,Basic34567891011121314151617181920212223242526[[#This Row],[قيمة الرسوم / العموله]]+Basic34567891011121314151617181920212223242526[[#This Row],[قيمة الشحنه]])</f>
        <v>0</v>
      </c>
      <c r="I166" s="90"/>
      <c r="J166" s="142" t="str">
        <f t="shared" si="2"/>
        <v>7.5.2026</v>
      </c>
      <c r="L166" s="153">
        <v>155</v>
      </c>
      <c r="M166" s="92"/>
    </row>
    <row r="167" spans="1:13" ht="21.6" x14ac:dyDescent="0.65">
      <c r="A167" s="195"/>
      <c r="B167" s="140">
        <v>164</v>
      </c>
      <c r="C167" s="2"/>
      <c r="D167" s="1"/>
      <c r="E167" s="3"/>
      <c r="F167" s="1"/>
      <c r="G167" s="141">
        <f>IF(Basic34567891011121314151617181920212223242526[[#This Row],[نوع الخدمة]]="مخالفات", 50,
IF(Basic34567891011121314151617181920212223242526[[#This Row],[نوع الخدمة]]="كاش ان",
    IF(F167&lt;=100, 18, IF(F167&lt;=250, 23, IF(F167&lt;=500, 35, IF(F167&lt;=1000, 40, F167*0.04)))),
IF(Basic34567891011121314151617181920212223242526[[#This Row],[نوع الخدمة]]="كاش اوت",
    IF(F167&lt;=100, 15, IF(F167&lt;=250, 20, IF(F167&lt;=500, 30, IF(F167&lt;=1000, 35, F167*0.035)))),
0)))</f>
        <v>0</v>
      </c>
      <c r="H167" s="159">
        <f>IF(I167="مخالفات",50,Basic34567891011121314151617181920212223242526[[#This Row],[قيمة الرسوم / العموله]]+Basic34567891011121314151617181920212223242526[[#This Row],[قيمة الشحنه]])</f>
        <v>0</v>
      </c>
      <c r="I167" s="90"/>
      <c r="J167" s="142" t="str">
        <f t="shared" si="2"/>
        <v>7.5.2026</v>
      </c>
      <c r="L167" s="153">
        <v>156</v>
      </c>
      <c r="M167" s="92"/>
    </row>
    <row r="168" spans="1:13" ht="21.6" x14ac:dyDescent="0.65">
      <c r="A168" s="195"/>
      <c r="B168" s="140">
        <v>165</v>
      </c>
      <c r="C168" s="2"/>
      <c r="D168" s="1"/>
      <c r="E168" s="3"/>
      <c r="F168" s="1"/>
      <c r="G168" s="141">
        <f>IF(Basic34567891011121314151617181920212223242526[[#This Row],[نوع الخدمة]]="مخالفات", 50,
IF(Basic34567891011121314151617181920212223242526[[#This Row],[نوع الخدمة]]="كاش ان",
    IF(F168&lt;=100, 18, IF(F168&lt;=250, 23, IF(F168&lt;=500, 35, IF(F168&lt;=1000, 40, F168*0.04)))),
IF(Basic34567891011121314151617181920212223242526[[#This Row],[نوع الخدمة]]="كاش اوت",
    IF(F168&lt;=100, 15, IF(F168&lt;=250, 20, IF(F168&lt;=500, 30, IF(F168&lt;=1000, 35, F168*0.035)))),
0)))</f>
        <v>0</v>
      </c>
      <c r="H168" s="159">
        <f>IF(I168="مخالفات",50,Basic34567891011121314151617181920212223242526[[#This Row],[قيمة الرسوم / العموله]]+Basic34567891011121314151617181920212223242526[[#This Row],[قيمة الشحنه]])</f>
        <v>0</v>
      </c>
      <c r="I168" s="90"/>
      <c r="J168" s="142" t="str">
        <f t="shared" si="2"/>
        <v>7.5.2026</v>
      </c>
      <c r="L168" s="153">
        <v>157</v>
      </c>
      <c r="M168" s="92"/>
    </row>
    <row r="169" spans="1:13" ht="21.6" x14ac:dyDescent="0.65">
      <c r="A169" s="195"/>
      <c r="B169" s="144">
        <v>166</v>
      </c>
      <c r="C169" s="2"/>
      <c r="D169" s="1"/>
      <c r="E169" s="3"/>
      <c r="F169" s="1"/>
      <c r="G169" s="141">
        <f>IF(Basic34567891011121314151617181920212223242526[[#This Row],[نوع الخدمة]]="مخالفات", 50,
IF(Basic34567891011121314151617181920212223242526[[#This Row],[نوع الخدمة]]="كاش ان",
    IF(F169&lt;=100, 18, IF(F169&lt;=250, 23, IF(F169&lt;=500, 35, IF(F169&lt;=1000, 40, F169*0.04)))),
IF(Basic34567891011121314151617181920212223242526[[#This Row],[نوع الخدمة]]="كاش اوت",
    IF(F169&lt;=100, 15, IF(F169&lt;=250, 20, IF(F169&lt;=500, 30, IF(F169&lt;=1000, 35, F169*0.035)))),
0)))</f>
        <v>0</v>
      </c>
      <c r="H169" s="159">
        <f>IF(I169="مخالفات",50,Basic34567891011121314151617181920212223242526[[#This Row],[قيمة الرسوم / العموله]]+Basic34567891011121314151617181920212223242526[[#This Row],[قيمة الشحنه]])</f>
        <v>0</v>
      </c>
      <c r="I169" s="90"/>
      <c r="J169" s="142" t="str">
        <f t="shared" si="2"/>
        <v>7.5.2026</v>
      </c>
      <c r="L169" s="153">
        <v>158</v>
      </c>
      <c r="M169" s="92"/>
    </row>
    <row r="170" spans="1:13" ht="21.6" x14ac:dyDescent="0.65">
      <c r="A170" s="195"/>
      <c r="B170" s="140">
        <v>167</v>
      </c>
      <c r="C170" s="2"/>
      <c r="D170" s="1"/>
      <c r="E170" s="3"/>
      <c r="F170" s="1"/>
      <c r="G170" s="141">
        <f>IF(Basic34567891011121314151617181920212223242526[[#This Row],[نوع الخدمة]]="مخالفات", 50,
IF(Basic34567891011121314151617181920212223242526[[#This Row],[نوع الخدمة]]="كاش ان",
    IF(F170&lt;=100, 18, IF(F170&lt;=250, 23, IF(F170&lt;=500, 35, IF(F170&lt;=1000, 40, F170*0.04)))),
IF(Basic34567891011121314151617181920212223242526[[#This Row],[نوع الخدمة]]="كاش اوت",
    IF(F170&lt;=100, 15, IF(F170&lt;=250, 20, IF(F170&lt;=500, 30, IF(F170&lt;=1000, 35, F170*0.035)))),
0)))</f>
        <v>0</v>
      </c>
      <c r="H170" s="159">
        <f>IF(I170="مخالفات",50,Basic34567891011121314151617181920212223242526[[#This Row],[قيمة الرسوم / العموله]]+Basic34567891011121314151617181920212223242526[[#This Row],[قيمة الشحنه]])</f>
        <v>0</v>
      </c>
      <c r="I170" s="90"/>
      <c r="J170" s="142" t="str">
        <f t="shared" si="2"/>
        <v>7.5.2026</v>
      </c>
      <c r="L170" s="153">
        <v>159</v>
      </c>
      <c r="M170" s="92"/>
    </row>
    <row r="171" spans="1:13" ht="21.6" x14ac:dyDescent="0.65">
      <c r="A171" s="195"/>
      <c r="B171" s="140">
        <v>168</v>
      </c>
      <c r="C171" s="2"/>
      <c r="D171" s="1"/>
      <c r="E171" s="3"/>
      <c r="F171" s="1"/>
      <c r="G171" s="141">
        <f>IF(Basic34567891011121314151617181920212223242526[[#This Row],[نوع الخدمة]]="مخالفات", 50,
IF(Basic34567891011121314151617181920212223242526[[#This Row],[نوع الخدمة]]="كاش ان",
    IF(F171&lt;=100, 18, IF(F171&lt;=250, 23, IF(F171&lt;=500, 35, IF(F171&lt;=1000, 40, F171*0.04)))),
IF(Basic34567891011121314151617181920212223242526[[#This Row],[نوع الخدمة]]="كاش اوت",
    IF(F171&lt;=100, 15, IF(F171&lt;=250, 20, IF(F171&lt;=500, 30, IF(F171&lt;=1000, 35, F171*0.035)))),
0)))</f>
        <v>0</v>
      </c>
      <c r="H171" s="159">
        <f>IF(I171="مخالفات",50,Basic34567891011121314151617181920212223242526[[#This Row],[قيمة الرسوم / العموله]]+Basic34567891011121314151617181920212223242526[[#This Row],[قيمة الشحنه]])</f>
        <v>0</v>
      </c>
      <c r="I171" s="90"/>
      <c r="J171" s="142" t="str">
        <f t="shared" si="2"/>
        <v>7.5.2026</v>
      </c>
      <c r="L171" s="153">
        <v>160</v>
      </c>
      <c r="M171" s="92"/>
    </row>
    <row r="172" spans="1:13" ht="21.6" x14ac:dyDescent="0.65">
      <c r="A172" s="195"/>
      <c r="B172" s="140">
        <v>169</v>
      </c>
      <c r="C172" s="2"/>
      <c r="D172" s="1"/>
      <c r="E172" s="3"/>
      <c r="F172" s="1"/>
      <c r="G172" s="141">
        <f>IF(Basic34567891011121314151617181920212223242526[[#This Row],[نوع الخدمة]]="مخالفات", 50,
IF(Basic34567891011121314151617181920212223242526[[#This Row],[نوع الخدمة]]="كاش ان",
    IF(F172&lt;=100, 18, IF(F172&lt;=250, 23, IF(F172&lt;=500, 35, IF(F172&lt;=1000, 40, F172*0.04)))),
IF(Basic34567891011121314151617181920212223242526[[#This Row],[نوع الخدمة]]="كاش اوت",
    IF(F172&lt;=100, 15, IF(F172&lt;=250, 20, IF(F172&lt;=500, 30, IF(F172&lt;=1000, 35, F172*0.035)))),
0)))</f>
        <v>0</v>
      </c>
      <c r="H172" s="159">
        <f>IF(I172="مخالفات",50,Basic34567891011121314151617181920212223242526[[#This Row],[قيمة الرسوم / العموله]]+Basic34567891011121314151617181920212223242526[[#This Row],[قيمة الشحنه]])</f>
        <v>0</v>
      </c>
      <c r="I172" s="90"/>
      <c r="J172" s="142" t="str">
        <f t="shared" si="2"/>
        <v>7.5.2026</v>
      </c>
      <c r="L172" s="153">
        <v>161</v>
      </c>
      <c r="M172" s="92"/>
    </row>
    <row r="173" spans="1:13" ht="21.6" x14ac:dyDescent="0.65">
      <c r="A173" s="195"/>
      <c r="B173" s="144">
        <v>170</v>
      </c>
      <c r="C173" s="2"/>
      <c r="D173" s="1"/>
      <c r="E173" s="3"/>
      <c r="F173" s="1"/>
      <c r="G173" s="141">
        <f>IF(Basic34567891011121314151617181920212223242526[[#This Row],[نوع الخدمة]]="مخالفات", 50,
IF(Basic34567891011121314151617181920212223242526[[#This Row],[نوع الخدمة]]="كاش ان",
    IF(F173&lt;=100, 18, IF(F173&lt;=250, 23, IF(F173&lt;=500, 35, IF(F173&lt;=1000, 40, F173*0.04)))),
IF(Basic34567891011121314151617181920212223242526[[#This Row],[نوع الخدمة]]="كاش اوت",
    IF(F173&lt;=100, 15, IF(F173&lt;=250, 20, IF(F173&lt;=500, 30, IF(F173&lt;=1000, 35, F173*0.035)))),
0)))</f>
        <v>0</v>
      </c>
      <c r="H173" s="159">
        <f>IF(I173="مخالفات",50,Basic34567891011121314151617181920212223242526[[#This Row],[قيمة الرسوم / العموله]]+Basic34567891011121314151617181920212223242526[[#This Row],[قيمة الشحنه]])</f>
        <v>0</v>
      </c>
      <c r="I173" s="90"/>
      <c r="J173" s="142" t="str">
        <f t="shared" si="2"/>
        <v>7.5.2026</v>
      </c>
      <c r="L173" s="153">
        <v>162</v>
      </c>
      <c r="M173" s="92"/>
    </row>
    <row r="174" spans="1:13" ht="21.6" x14ac:dyDescent="0.65">
      <c r="A174" s="195"/>
      <c r="B174" s="140">
        <v>171</v>
      </c>
      <c r="C174" s="2"/>
      <c r="D174" s="1"/>
      <c r="E174" s="3"/>
      <c r="F174" s="1"/>
      <c r="G174" s="141">
        <f>IF(Basic34567891011121314151617181920212223242526[[#This Row],[نوع الخدمة]]="مخالفات", 50,
IF(Basic34567891011121314151617181920212223242526[[#This Row],[نوع الخدمة]]="كاش ان",
    IF(F174&lt;=100, 18, IF(F174&lt;=250, 23, IF(F174&lt;=500, 35, IF(F174&lt;=1000, 40, F174*0.04)))),
IF(Basic34567891011121314151617181920212223242526[[#This Row],[نوع الخدمة]]="كاش اوت",
    IF(F174&lt;=100, 15, IF(F174&lt;=250, 20, IF(F174&lt;=500, 30, IF(F174&lt;=1000, 35, F174*0.035)))),
0)))</f>
        <v>0</v>
      </c>
      <c r="H174" s="159">
        <f>IF(I174="مخالفات",50,Basic34567891011121314151617181920212223242526[[#This Row],[قيمة الرسوم / العموله]]+Basic34567891011121314151617181920212223242526[[#This Row],[قيمة الشحنه]])</f>
        <v>0</v>
      </c>
      <c r="I174" s="90"/>
      <c r="J174" s="142" t="str">
        <f t="shared" si="2"/>
        <v>7.5.2026</v>
      </c>
      <c r="L174" s="153">
        <v>163</v>
      </c>
      <c r="M174" s="92"/>
    </row>
    <row r="175" spans="1:13" ht="21.6" x14ac:dyDescent="0.65">
      <c r="A175" s="195"/>
      <c r="B175" s="140">
        <v>172</v>
      </c>
      <c r="C175" s="2"/>
      <c r="D175" s="1"/>
      <c r="E175" s="3"/>
      <c r="F175" s="1"/>
      <c r="G175" s="141">
        <f>IF(Basic34567891011121314151617181920212223242526[[#This Row],[نوع الخدمة]]="مخالفات", 50,
IF(Basic34567891011121314151617181920212223242526[[#This Row],[نوع الخدمة]]="كاش ان",
    IF(F175&lt;=100, 18, IF(F175&lt;=250, 23, IF(F175&lt;=500, 35, IF(F175&lt;=1000, 40, F175*0.04)))),
IF(Basic34567891011121314151617181920212223242526[[#This Row],[نوع الخدمة]]="كاش اوت",
    IF(F175&lt;=100, 15, IF(F175&lt;=250, 20, IF(F175&lt;=500, 30, IF(F175&lt;=1000, 35, F175*0.035)))),
0)))</f>
        <v>0</v>
      </c>
      <c r="H175" s="159">
        <f>IF(I175="مخالفات",50,Basic34567891011121314151617181920212223242526[[#This Row],[قيمة الرسوم / العموله]]+Basic34567891011121314151617181920212223242526[[#This Row],[قيمة الشحنه]])</f>
        <v>0</v>
      </c>
      <c r="I175" s="90"/>
      <c r="J175" s="142" t="str">
        <f t="shared" si="2"/>
        <v>7.5.2026</v>
      </c>
      <c r="L175" s="153">
        <v>164</v>
      </c>
      <c r="M175" s="92"/>
    </row>
    <row r="176" spans="1:13" ht="21.6" x14ac:dyDescent="0.65">
      <c r="A176" s="195"/>
      <c r="B176" s="140">
        <v>173</v>
      </c>
      <c r="C176" s="2"/>
      <c r="D176" s="1"/>
      <c r="E176" s="3"/>
      <c r="F176" s="1"/>
      <c r="G176" s="141">
        <f>IF(Basic34567891011121314151617181920212223242526[[#This Row],[نوع الخدمة]]="مخالفات", 50,
IF(Basic34567891011121314151617181920212223242526[[#This Row],[نوع الخدمة]]="كاش ان",
    IF(F176&lt;=100, 18, IF(F176&lt;=250, 23, IF(F176&lt;=500, 35, IF(F176&lt;=1000, 40, F176*0.04)))),
IF(Basic34567891011121314151617181920212223242526[[#This Row],[نوع الخدمة]]="كاش اوت",
    IF(F176&lt;=100, 15, IF(F176&lt;=250, 20, IF(F176&lt;=500, 30, IF(F176&lt;=1000, 35, F176*0.035)))),
0)))</f>
        <v>0</v>
      </c>
      <c r="H176" s="159">
        <f>IF(I176="مخالفات",50,Basic34567891011121314151617181920212223242526[[#This Row],[قيمة الرسوم / العموله]]+Basic34567891011121314151617181920212223242526[[#This Row],[قيمة الشحنه]])</f>
        <v>0</v>
      </c>
      <c r="I176" s="90"/>
      <c r="J176" s="142" t="str">
        <f t="shared" si="2"/>
        <v>7.5.2026</v>
      </c>
      <c r="L176" s="153">
        <v>165</v>
      </c>
      <c r="M176" s="92"/>
    </row>
    <row r="177" spans="1:13" ht="21.6" x14ac:dyDescent="0.65">
      <c r="A177" s="195"/>
      <c r="B177" s="144">
        <v>174</v>
      </c>
      <c r="C177" s="2"/>
      <c r="D177" s="1"/>
      <c r="E177" s="3"/>
      <c r="F177" s="1"/>
      <c r="G177" s="141">
        <f>IF(Basic34567891011121314151617181920212223242526[[#This Row],[نوع الخدمة]]="مخالفات", 50,
IF(Basic34567891011121314151617181920212223242526[[#This Row],[نوع الخدمة]]="كاش ان",
    IF(F177&lt;=100, 18, IF(F177&lt;=250, 23, IF(F177&lt;=500, 35, IF(F177&lt;=1000, 40, F177*0.04)))),
IF(Basic34567891011121314151617181920212223242526[[#This Row],[نوع الخدمة]]="كاش اوت",
    IF(F177&lt;=100, 15, IF(F177&lt;=250, 20, IF(F177&lt;=500, 30, IF(F177&lt;=1000, 35, F177*0.035)))),
0)))</f>
        <v>0</v>
      </c>
      <c r="H177" s="159">
        <f>IF(I177="مخالفات",50,Basic34567891011121314151617181920212223242526[[#This Row],[قيمة الرسوم / العموله]]+Basic34567891011121314151617181920212223242526[[#This Row],[قيمة الشحنه]])</f>
        <v>0</v>
      </c>
      <c r="I177" s="90"/>
      <c r="J177" s="142" t="str">
        <f t="shared" si="2"/>
        <v>7.5.2026</v>
      </c>
      <c r="L177" s="153">
        <v>166</v>
      </c>
      <c r="M177" s="92"/>
    </row>
    <row r="178" spans="1:13" ht="21.6" x14ac:dyDescent="0.65">
      <c r="A178" s="195"/>
      <c r="B178" s="140">
        <v>175</v>
      </c>
      <c r="C178" s="2"/>
      <c r="D178" s="1"/>
      <c r="E178" s="3"/>
      <c r="F178" s="1"/>
      <c r="G178" s="141">
        <f>IF(Basic34567891011121314151617181920212223242526[[#This Row],[نوع الخدمة]]="مخالفات", 50,
IF(Basic34567891011121314151617181920212223242526[[#This Row],[نوع الخدمة]]="كاش ان",
    IF(F178&lt;=100, 18, IF(F178&lt;=250, 23, IF(F178&lt;=500, 35, IF(F178&lt;=1000, 40, F178*0.04)))),
IF(Basic34567891011121314151617181920212223242526[[#This Row],[نوع الخدمة]]="كاش اوت",
    IF(F178&lt;=100, 15, IF(F178&lt;=250, 20, IF(F178&lt;=500, 30, IF(F178&lt;=1000, 35, F178*0.035)))),
0)))</f>
        <v>0</v>
      </c>
      <c r="H178" s="159">
        <f>IF(I178="مخالفات",50,Basic34567891011121314151617181920212223242526[[#This Row],[قيمة الرسوم / العموله]]+Basic34567891011121314151617181920212223242526[[#This Row],[قيمة الشحنه]])</f>
        <v>0</v>
      </c>
      <c r="I178" s="90"/>
      <c r="J178" s="142" t="str">
        <f t="shared" si="2"/>
        <v>7.5.2026</v>
      </c>
      <c r="L178" s="153">
        <v>167</v>
      </c>
      <c r="M178" s="92"/>
    </row>
    <row r="179" spans="1:13" ht="21.6" x14ac:dyDescent="0.65">
      <c r="A179" s="195"/>
      <c r="B179" s="140">
        <v>176</v>
      </c>
      <c r="C179" s="2"/>
      <c r="D179" s="1"/>
      <c r="E179" s="3"/>
      <c r="F179" s="1"/>
      <c r="G179" s="141">
        <f>IF(Basic34567891011121314151617181920212223242526[[#This Row],[نوع الخدمة]]="مخالفات", 50,
IF(Basic34567891011121314151617181920212223242526[[#This Row],[نوع الخدمة]]="كاش ان",
    IF(F179&lt;=100, 18, IF(F179&lt;=250, 23, IF(F179&lt;=500, 35, IF(F179&lt;=1000, 40, F179*0.04)))),
IF(Basic34567891011121314151617181920212223242526[[#This Row],[نوع الخدمة]]="كاش اوت",
    IF(F179&lt;=100, 15, IF(F179&lt;=250, 20, IF(F179&lt;=500, 30, IF(F179&lt;=1000, 35, F179*0.035)))),
0)))</f>
        <v>0</v>
      </c>
      <c r="H179" s="159">
        <f>IF(I179="مخالفات",50,Basic34567891011121314151617181920212223242526[[#This Row],[قيمة الرسوم / العموله]]+Basic34567891011121314151617181920212223242526[[#This Row],[قيمة الشحنه]])</f>
        <v>0</v>
      </c>
      <c r="I179" s="90"/>
      <c r="J179" s="142" t="str">
        <f t="shared" si="2"/>
        <v>7.5.2026</v>
      </c>
      <c r="L179" s="153">
        <v>168</v>
      </c>
      <c r="M179" s="92"/>
    </row>
    <row r="180" spans="1:13" ht="21.6" x14ac:dyDescent="0.65">
      <c r="A180" s="195"/>
      <c r="B180" s="140">
        <v>177</v>
      </c>
      <c r="C180" s="2"/>
      <c r="D180" s="1"/>
      <c r="E180" s="3"/>
      <c r="F180" s="1"/>
      <c r="G180" s="141">
        <f>IF(Basic34567891011121314151617181920212223242526[[#This Row],[نوع الخدمة]]="مخالفات", 50,
IF(Basic34567891011121314151617181920212223242526[[#This Row],[نوع الخدمة]]="كاش ان",
    IF(F180&lt;=100, 18, IF(F180&lt;=250, 23, IF(F180&lt;=500, 35, IF(F180&lt;=1000, 40, F180*0.04)))),
IF(Basic34567891011121314151617181920212223242526[[#This Row],[نوع الخدمة]]="كاش اوت",
    IF(F180&lt;=100, 15, IF(F180&lt;=250, 20, IF(F180&lt;=500, 30, IF(F180&lt;=1000, 35, F180*0.035)))),
0)))</f>
        <v>0</v>
      </c>
      <c r="H180" s="159">
        <f>IF(I180="مخالفات",50,Basic34567891011121314151617181920212223242526[[#This Row],[قيمة الرسوم / العموله]]+Basic34567891011121314151617181920212223242526[[#This Row],[قيمة الشحنه]])</f>
        <v>0</v>
      </c>
      <c r="I180" s="90"/>
      <c r="J180" s="142" t="str">
        <f t="shared" si="2"/>
        <v>7.5.2026</v>
      </c>
      <c r="L180" s="153">
        <v>169</v>
      </c>
      <c r="M180" s="92"/>
    </row>
    <row r="181" spans="1:13" ht="21.6" x14ac:dyDescent="0.65">
      <c r="A181" s="195"/>
      <c r="B181" s="144">
        <v>178</v>
      </c>
      <c r="C181" s="2"/>
      <c r="D181" s="1"/>
      <c r="E181" s="3"/>
      <c r="F181" s="1"/>
      <c r="G181" s="141">
        <f>IF(Basic34567891011121314151617181920212223242526[[#This Row],[نوع الخدمة]]="مخالفات", 50,
IF(Basic34567891011121314151617181920212223242526[[#This Row],[نوع الخدمة]]="كاش ان",
    IF(F181&lt;=100, 18, IF(F181&lt;=250, 23, IF(F181&lt;=500, 35, IF(F181&lt;=1000, 40, F181*0.04)))),
IF(Basic34567891011121314151617181920212223242526[[#This Row],[نوع الخدمة]]="كاش اوت",
    IF(F181&lt;=100, 15, IF(F181&lt;=250, 20, IF(F181&lt;=500, 30, IF(F181&lt;=1000, 35, F181*0.035)))),
0)))</f>
        <v>0</v>
      </c>
      <c r="H181" s="159">
        <f>IF(I181="مخالفات",50,Basic34567891011121314151617181920212223242526[[#This Row],[قيمة الرسوم / العموله]]+Basic34567891011121314151617181920212223242526[[#This Row],[قيمة الشحنه]])</f>
        <v>0</v>
      </c>
      <c r="I181" s="90"/>
      <c r="J181" s="142" t="str">
        <f t="shared" si="2"/>
        <v>7.5.2026</v>
      </c>
      <c r="L181" s="153">
        <v>170</v>
      </c>
      <c r="M181" s="92"/>
    </row>
    <row r="182" spans="1:13" ht="21.6" x14ac:dyDescent="0.65">
      <c r="A182" s="195"/>
      <c r="B182" s="140">
        <v>179</v>
      </c>
      <c r="C182" s="2"/>
      <c r="D182" s="1"/>
      <c r="E182" s="3"/>
      <c r="F182" s="1"/>
      <c r="G182" s="141">
        <f>IF(Basic34567891011121314151617181920212223242526[[#This Row],[نوع الخدمة]]="مخالفات", 50,
IF(Basic34567891011121314151617181920212223242526[[#This Row],[نوع الخدمة]]="كاش ان",
    IF(F182&lt;=100, 18, IF(F182&lt;=250, 23, IF(F182&lt;=500, 35, IF(F182&lt;=1000, 40, F182*0.04)))),
IF(Basic34567891011121314151617181920212223242526[[#This Row],[نوع الخدمة]]="كاش اوت",
    IF(F182&lt;=100, 15, IF(F182&lt;=250, 20, IF(F182&lt;=500, 30, IF(F182&lt;=1000, 35, F182*0.035)))),
0)))</f>
        <v>0</v>
      </c>
      <c r="H182" s="159">
        <f>IF(I182="مخالفات",50,Basic34567891011121314151617181920212223242526[[#This Row],[قيمة الرسوم / العموله]]+Basic34567891011121314151617181920212223242526[[#This Row],[قيمة الشحنه]])</f>
        <v>0</v>
      </c>
      <c r="I182" s="90"/>
      <c r="J182" s="142" t="str">
        <f t="shared" si="2"/>
        <v>7.5.2026</v>
      </c>
      <c r="L182" s="153">
        <v>171</v>
      </c>
      <c r="M182" s="92"/>
    </row>
    <row r="183" spans="1:13" ht="21.6" x14ac:dyDescent="0.65">
      <c r="A183" s="195"/>
      <c r="B183" s="140">
        <v>180</v>
      </c>
      <c r="C183" s="2"/>
      <c r="D183" s="1"/>
      <c r="E183" s="3"/>
      <c r="F183" s="1"/>
      <c r="G183" s="141">
        <f>IF(Basic34567891011121314151617181920212223242526[[#This Row],[نوع الخدمة]]="مخالفات", 50,
IF(Basic34567891011121314151617181920212223242526[[#This Row],[نوع الخدمة]]="كاش ان",
    IF(F183&lt;=100, 18, IF(F183&lt;=250, 23, IF(F183&lt;=500, 35, IF(F183&lt;=1000, 40, F183*0.04)))),
IF(Basic34567891011121314151617181920212223242526[[#This Row],[نوع الخدمة]]="كاش اوت",
    IF(F183&lt;=100, 15, IF(F183&lt;=250, 20, IF(F183&lt;=500, 30, IF(F183&lt;=1000, 35, F183*0.035)))),
0)))</f>
        <v>0</v>
      </c>
      <c r="H183" s="159">
        <f>IF(I183="مخالفات",50,Basic34567891011121314151617181920212223242526[[#This Row],[قيمة الرسوم / العموله]]+Basic34567891011121314151617181920212223242526[[#This Row],[قيمة الشحنه]])</f>
        <v>0</v>
      </c>
      <c r="I183" s="90"/>
      <c r="J183" s="142" t="str">
        <f t="shared" si="2"/>
        <v>7.5.2026</v>
      </c>
      <c r="L183" s="153">
        <v>172</v>
      </c>
      <c r="M183" s="92"/>
    </row>
    <row r="184" spans="1:13" ht="21.6" x14ac:dyDescent="0.65">
      <c r="A184" s="195"/>
      <c r="B184" s="140">
        <v>181</v>
      </c>
      <c r="C184" s="2"/>
      <c r="D184" s="1"/>
      <c r="E184" s="3"/>
      <c r="F184" s="1"/>
      <c r="G184" s="141">
        <f>IF(Basic34567891011121314151617181920212223242526[[#This Row],[نوع الخدمة]]="مخالفات", 50,
IF(Basic34567891011121314151617181920212223242526[[#This Row],[نوع الخدمة]]="كاش ان",
    IF(F184&lt;=100, 18, IF(F184&lt;=250, 23, IF(F184&lt;=500, 35, IF(F184&lt;=1000, 40, F184*0.04)))),
IF(Basic34567891011121314151617181920212223242526[[#This Row],[نوع الخدمة]]="كاش اوت",
    IF(F184&lt;=100, 15, IF(F184&lt;=250, 20, IF(F184&lt;=500, 30, IF(F184&lt;=1000, 35, F184*0.035)))),
0)))</f>
        <v>0</v>
      </c>
      <c r="H184" s="159">
        <f>IF(I184="مخالفات",50,Basic34567891011121314151617181920212223242526[[#This Row],[قيمة الرسوم / العموله]]+Basic34567891011121314151617181920212223242526[[#This Row],[قيمة الشحنه]])</f>
        <v>0</v>
      </c>
      <c r="I184" s="90"/>
      <c r="J184" s="142" t="str">
        <f t="shared" si="2"/>
        <v>7.5.2026</v>
      </c>
      <c r="L184" s="153">
        <v>173</v>
      </c>
      <c r="M184" s="92"/>
    </row>
    <row r="185" spans="1:13" ht="21.6" x14ac:dyDescent="0.65">
      <c r="A185" s="195"/>
      <c r="B185" s="144">
        <v>182</v>
      </c>
      <c r="C185" s="2"/>
      <c r="D185" s="1"/>
      <c r="E185" s="3"/>
      <c r="F185" s="1"/>
      <c r="G185" s="141">
        <f>IF(Basic34567891011121314151617181920212223242526[[#This Row],[نوع الخدمة]]="مخالفات", 50,
IF(Basic34567891011121314151617181920212223242526[[#This Row],[نوع الخدمة]]="كاش ان",
    IF(F185&lt;=100, 18, IF(F185&lt;=250, 23, IF(F185&lt;=500, 35, IF(F185&lt;=1000, 40, F185*0.04)))),
IF(Basic34567891011121314151617181920212223242526[[#This Row],[نوع الخدمة]]="كاش اوت",
    IF(F185&lt;=100, 15, IF(F185&lt;=250, 20, IF(F185&lt;=500, 30, IF(F185&lt;=1000, 35, F185*0.035)))),
0)))</f>
        <v>0</v>
      </c>
      <c r="H185" s="159">
        <f>IF(I185="مخالفات",50,Basic34567891011121314151617181920212223242526[[#This Row],[قيمة الرسوم / العموله]]+Basic34567891011121314151617181920212223242526[[#This Row],[قيمة الشحنه]])</f>
        <v>0</v>
      </c>
      <c r="I185" s="90"/>
      <c r="J185" s="142" t="str">
        <f t="shared" si="2"/>
        <v>7.5.2026</v>
      </c>
      <c r="L185" s="153">
        <v>174</v>
      </c>
      <c r="M185" s="92"/>
    </row>
    <row r="186" spans="1:13" ht="21.6" x14ac:dyDescent="0.65">
      <c r="A186" s="195"/>
      <c r="B186" s="140">
        <v>183</v>
      </c>
      <c r="C186" s="2"/>
      <c r="D186" s="1"/>
      <c r="E186" s="3"/>
      <c r="F186" s="1"/>
      <c r="G186" s="141">
        <f>IF(Basic34567891011121314151617181920212223242526[[#This Row],[نوع الخدمة]]="مخالفات", 50,
IF(Basic34567891011121314151617181920212223242526[[#This Row],[نوع الخدمة]]="كاش ان",
    IF(F186&lt;=100, 18, IF(F186&lt;=250, 23, IF(F186&lt;=500, 35, IF(F186&lt;=1000, 40, F186*0.04)))),
IF(Basic34567891011121314151617181920212223242526[[#This Row],[نوع الخدمة]]="كاش اوت",
    IF(F186&lt;=100, 15, IF(F186&lt;=250, 20, IF(F186&lt;=500, 30, IF(F186&lt;=1000, 35, F186*0.035)))),
0)))</f>
        <v>0</v>
      </c>
      <c r="H186" s="159">
        <f>IF(I186="مخالفات",50,Basic34567891011121314151617181920212223242526[[#This Row],[قيمة الرسوم / العموله]]+Basic34567891011121314151617181920212223242526[[#This Row],[قيمة الشحنه]])</f>
        <v>0</v>
      </c>
      <c r="I186" s="90"/>
      <c r="J186" s="142" t="str">
        <f t="shared" si="2"/>
        <v>7.5.2026</v>
      </c>
      <c r="L186" s="153">
        <v>175</v>
      </c>
      <c r="M186" s="92"/>
    </row>
    <row r="187" spans="1:13" ht="21.6" x14ac:dyDescent="0.65">
      <c r="A187" s="195"/>
      <c r="B187" s="140">
        <v>184</v>
      </c>
      <c r="C187" s="2"/>
      <c r="D187" s="1"/>
      <c r="E187" s="3"/>
      <c r="F187" s="1"/>
      <c r="G187" s="141">
        <f>IF(Basic34567891011121314151617181920212223242526[[#This Row],[نوع الخدمة]]="مخالفات", 50,
IF(Basic34567891011121314151617181920212223242526[[#This Row],[نوع الخدمة]]="كاش ان",
    IF(F187&lt;=100, 18, IF(F187&lt;=250, 23, IF(F187&lt;=500, 35, IF(F187&lt;=1000, 40, F187*0.04)))),
IF(Basic34567891011121314151617181920212223242526[[#This Row],[نوع الخدمة]]="كاش اوت",
    IF(F187&lt;=100, 15, IF(F187&lt;=250, 20, IF(F187&lt;=500, 30, IF(F187&lt;=1000, 35, F187*0.035)))),
0)))</f>
        <v>0</v>
      </c>
      <c r="H187" s="159">
        <f>IF(I187="مخالفات",50,Basic34567891011121314151617181920212223242526[[#This Row],[قيمة الرسوم / العموله]]+Basic34567891011121314151617181920212223242526[[#This Row],[قيمة الشحنه]])</f>
        <v>0</v>
      </c>
      <c r="I187" s="90"/>
      <c r="J187" s="142" t="str">
        <f t="shared" si="2"/>
        <v>7.5.2026</v>
      </c>
      <c r="L187" s="153">
        <v>176</v>
      </c>
      <c r="M187" s="92"/>
    </row>
    <row r="188" spans="1:13" ht="21.6" x14ac:dyDescent="0.65">
      <c r="A188" s="195"/>
      <c r="B188" s="140">
        <v>185</v>
      </c>
      <c r="C188" s="2"/>
      <c r="D188" s="1"/>
      <c r="E188" s="3"/>
      <c r="F188" s="1"/>
      <c r="G188" s="141">
        <f>IF(Basic34567891011121314151617181920212223242526[[#This Row],[نوع الخدمة]]="مخالفات", 50,
IF(Basic34567891011121314151617181920212223242526[[#This Row],[نوع الخدمة]]="كاش ان",
    IF(F188&lt;=100, 18, IF(F188&lt;=250, 23, IF(F188&lt;=500, 35, IF(F188&lt;=1000, 40, F188*0.04)))),
IF(Basic34567891011121314151617181920212223242526[[#This Row],[نوع الخدمة]]="كاش اوت",
    IF(F188&lt;=100, 15, IF(F188&lt;=250, 20, IF(F188&lt;=500, 30, IF(F188&lt;=1000, 35, F188*0.035)))),
0)))</f>
        <v>0</v>
      </c>
      <c r="H188" s="159">
        <f>IF(I188="مخالفات",50,Basic34567891011121314151617181920212223242526[[#This Row],[قيمة الرسوم / العموله]]+Basic34567891011121314151617181920212223242526[[#This Row],[قيمة الشحنه]])</f>
        <v>0</v>
      </c>
      <c r="I188" s="90"/>
      <c r="J188" s="142" t="str">
        <f t="shared" si="2"/>
        <v>7.5.2026</v>
      </c>
      <c r="L188" s="153">
        <v>177</v>
      </c>
      <c r="M188" s="92"/>
    </row>
    <row r="189" spans="1:13" ht="21.6" x14ac:dyDescent="0.65">
      <c r="A189" s="195"/>
      <c r="B189" s="144">
        <v>186</v>
      </c>
      <c r="C189" s="2"/>
      <c r="D189" s="1"/>
      <c r="E189" s="3"/>
      <c r="F189" s="1"/>
      <c r="G189" s="141">
        <f>IF(Basic34567891011121314151617181920212223242526[[#This Row],[نوع الخدمة]]="مخالفات", 50,
IF(Basic34567891011121314151617181920212223242526[[#This Row],[نوع الخدمة]]="كاش ان",
    IF(F189&lt;=100, 18, IF(F189&lt;=250, 23, IF(F189&lt;=500, 35, IF(F189&lt;=1000, 40, F189*0.04)))),
IF(Basic34567891011121314151617181920212223242526[[#This Row],[نوع الخدمة]]="كاش اوت",
    IF(F189&lt;=100, 15, IF(F189&lt;=250, 20, IF(F189&lt;=500, 30, IF(F189&lt;=1000, 35, F189*0.035)))),
0)))</f>
        <v>0</v>
      </c>
      <c r="H189" s="159">
        <f>IF(I189="مخالفات",50,Basic34567891011121314151617181920212223242526[[#This Row],[قيمة الرسوم / العموله]]+Basic34567891011121314151617181920212223242526[[#This Row],[قيمة الشحنه]])</f>
        <v>0</v>
      </c>
      <c r="I189" s="90"/>
      <c r="J189" s="142" t="str">
        <f t="shared" si="2"/>
        <v>7.5.2026</v>
      </c>
      <c r="L189" s="153">
        <v>178</v>
      </c>
      <c r="M189" s="92"/>
    </row>
    <row r="190" spans="1:13" ht="21.6" x14ac:dyDescent="0.65">
      <c r="A190" s="195"/>
      <c r="B190" s="140">
        <v>187</v>
      </c>
      <c r="C190" s="2"/>
      <c r="D190" s="1"/>
      <c r="E190" s="3"/>
      <c r="F190" s="1"/>
      <c r="G190" s="141">
        <f>IF(Basic34567891011121314151617181920212223242526[[#This Row],[نوع الخدمة]]="مخالفات", 50,
IF(Basic34567891011121314151617181920212223242526[[#This Row],[نوع الخدمة]]="كاش ان",
    IF(F190&lt;=100, 18, IF(F190&lt;=250, 23, IF(F190&lt;=500, 35, IF(F190&lt;=1000, 40, F190*0.04)))),
IF(Basic34567891011121314151617181920212223242526[[#This Row],[نوع الخدمة]]="كاش اوت",
    IF(F190&lt;=100, 15, IF(F190&lt;=250, 20, IF(F190&lt;=500, 30, IF(F190&lt;=1000, 35, F190*0.035)))),
0)))</f>
        <v>0</v>
      </c>
      <c r="H190" s="159">
        <f>IF(I190="مخالفات",50,Basic34567891011121314151617181920212223242526[[#This Row],[قيمة الرسوم / العموله]]+Basic34567891011121314151617181920212223242526[[#This Row],[قيمة الشحنه]])</f>
        <v>0</v>
      </c>
      <c r="I190" s="90"/>
      <c r="J190" s="142" t="str">
        <f t="shared" si="2"/>
        <v>7.5.2026</v>
      </c>
      <c r="L190" s="153">
        <v>179</v>
      </c>
      <c r="M190" s="92"/>
    </row>
    <row r="191" spans="1:13" ht="21.6" x14ac:dyDescent="0.65">
      <c r="A191" s="195"/>
      <c r="B191" s="140">
        <v>188</v>
      </c>
      <c r="C191" s="2"/>
      <c r="D191" s="1"/>
      <c r="E191" s="3"/>
      <c r="F191" s="1"/>
      <c r="G191" s="141">
        <f>IF(Basic34567891011121314151617181920212223242526[[#This Row],[نوع الخدمة]]="مخالفات", 50,
IF(Basic34567891011121314151617181920212223242526[[#This Row],[نوع الخدمة]]="كاش ان",
    IF(F191&lt;=100, 18, IF(F191&lt;=250, 23, IF(F191&lt;=500, 35, IF(F191&lt;=1000, 40, F191*0.04)))),
IF(Basic34567891011121314151617181920212223242526[[#This Row],[نوع الخدمة]]="كاش اوت",
    IF(F191&lt;=100, 15, IF(F191&lt;=250, 20, IF(F191&lt;=500, 30, IF(F191&lt;=1000, 35, F191*0.035)))),
0)))</f>
        <v>0</v>
      </c>
      <c r="H191" s="159">
        <f>IF(I191="مخالفات",50,Basic34567891011121314151617181920212223242526[[#This Row],[قيمة الرسوم / العموله]]+Basic34567891011121314151617181920212223242526[[#This Row],[قيمة الشحنه]])</f>
        <v>0</v>
      </c>
      <c r="I191" s="90"/>
      <c r="J191" s="142" t="str">
        <f t="shared" si="2"/>
        <v>7.5.2026</v>
      </c>
      <c r="L191" s="153">
        <v>180</v>
      </c>
      <c r="M191" s="92"/>
    </row>
    <row r="192" spans="1:13" ht="21.6" x14ac:dyDescent="0.65">
      <c r="A192" s="195"/>
      <c r="B192" s="140">
        <v>189</v>
      </c>
      <c r="C192" s="2"/>
      <c r="D192" s="1"/>
      <c r="E192" s="3"/>
      <c r="F192" s="1"/>
      <c r="G192" s="141">
        <f>IF(Basic34567891011121314151617181920212223242526[[#This Row],[نوع الخدمة]]="مخالفات", 50,
IF(Basic34567891011121314151617181920212223242526[[#This Row],[نوع الخدمة]]="كاش ان",
    IF(F192&lt;=100, 18, IF(F192&lt;=250, 23, IF(F192&lt;=500, 35, IF(F192&lt;=1000, 40, F192*0.04)))),
IF(Basic34567891011121314151617181920212223242526[[#This Row],[نوع الخدمة]]="كاش اوت",
    IF(F192&lt;=100, 15, IF(F192&lt;=250, 20, IF(F192&lt;=500, 30, IF(F192&lt;=1000, 35, F192*0.035)))),
0)))</f>
        <v>0</v>
      </c>
      <c r="H192" s="159">
        <f>IF(I192="مخالفات",50,Basic34567891011121314151617181920212223242526[[#This Row],[قيمة الرسوم / العموله]]+Basic34567891011121314151617181920212223242526[[#This Row],[قيمة الشحنه]])</f>
        <v>0</v>
      </c>
      <c r="I192" s="90"/>
      <c r="J192" s="142" t="str">
        <f t="shared" si="2"/>
        <v>7.5.2026</v>
      </c>
      <c r="L192" s="153">
        <v>181</v>
      </c>
      <c r="M192" s="92"/>
    </row>
    <row r="193" spans="1:13" ht="21.6" x14ac:dyDescent="0.65">
      <c r="A193" s="195"/>
      <c r="B193" s="144">
        <v>190</v>
      </c>
      <c r="C193" s="2"/>
      <c r="D193" s="1"/>
      <c r="E193" s="3"/>
      <c r="F193" s="1"/>
      <c r="G193" s="141">
        <f>IF(Basic34567891011121314151617181920212223242526[[#This Row],[نوع الخدمة]]="مخالفات", 50,
IF(Basic34567891011121314151617181920212223242526[[#This Row],[نوع الخدمة]]="كاش ان",
    IF(F193&lt;=100, 18, IF(F193&lt;=250, 23, IF(F193&lt;=500, 35, IF(F193&lt;=1000, 40, F193*0.04)))),
IF(Basic34567891011121314151617181920212223242526[[#This Row],[نوع الخدمة]]="كاش اوت",
    IF(F193&lt;=100, 15, IF(F193&lt;=250, 20, IF(F193&lt;=500, 30, IF(F193&lt;=1000, 35, F193*0.035)))),
0)))</f>
        <v>0</v>
      </c>
      <c r="H193" s="159">
        <f>IF(I193="مخالفات",50,Basic34567891011121314151617181920212223242526[[#This Row],[قيمة الرسوم / العموله]]+Basic34567891011121314151617181920212223242526[[#This Row],[قيمة الشحنه]])</f>
        <v>0</v>
      </c>
      <c r="I193" s="90"/>
      <c r="J193" s="142" t="str">
        <f t="shared" si="2"/>
        <v>7.5.2026</v>
      </c>
      <c r="L193" s="153">
        <v>182</v>
      </c>
      <c r="M193" s="92"/>
    </row>
    <row r="194" spans="1:13" ht="21.6" x14ac:dyDescent="0.65">
      <c r="A194" s="195"/>
      <c r="B194" s="140">
        <v>191</v>
      </c>
      <c r="C194" s="2"/>
      <c r="D194" s="1"/>
      <c r="E194" s="3"/>
      <c r="F194" s="1"/>
      <c r="G194" s="141">
        <f>IF(Basic34567891011121314151617181920212223242526[[#This Row],[نوع الخدمة]]="مخالفات", 50,
IF(Basic34567891011121314151617181920212223242526[[#This Row],[نوع الخدمة]]="كاش ان",
    IF(F194&lt;=100, 18, IF(F194&lt;=250, 23, IF(F194&lt;=500, 35, IF(F194&lt;=1000, 40, F194*0.04)))),
IF(Basic34567891011121314151617181920212223242526[[#This Row],[نوع الخدمة]]="كاش اوت",
    IF(F194&lt;=100, 15, IF(F194&lt;=250, 20, IF(F194&lt;=500, 30, IF(F194&lt;=1000, 35, F194*0.035)))),
0)))</f>
        <v>0</v>
      </c>
      <c r="H194" s="159">
        <f>IF(I194="مخالفات",50,Basic34567891011121314151617181920212223242526[[#This Row],[قيمة الرسوم / العموله]]+Basic34567891011121314151617181920212223242526[[#This Row],[قيمة الشحنه]])</f>
        <v>0</v>
      </c>
      <c r="I194" s="90"/>
      <c r="J194" s="142" t="str">
        <f t="shared" si="2"/>
        <v>7.5.2026</v>
      </c>
      <c r="L194" s="153">
        <v>183</v>
      </c>
      <c r="M194" s="92"/>
    </row>
    <row r="195" spans="1:13" ht="21.6" x14ac:dyDescent="0.65">
      <c r="A195" s="195"/>
      <c r="B195" s="140">
        <v>192</v>
      </c>
      <c r="C195" s="2"/>
      <c r="D195" s="1"/>
      <c r="E195" s="3"/>
      <c r="F195" s="1"/>
      <c r="G195" s="141">
        <f>IF(Basic34567891011121314151617181920212223242526[[#This Row],[نوع الخدمة]]="مخالفات", 50,
IF(Basic34567891011121314151617181920212223242526[[#This Row],[نوع الخدمة]]="كاش ان",
    IF(F195&lt;=100, 18, IF(F195&lt;=250, 23, IF(F195&lt;=500, 35, IF(F195&lt;=1000, 40, F195*0.04)))),
IF(Basic34567891011121314151617181920212223242526[[#This Row],[نوع الخدمة]]="كاش اوت",
    IF(F195&lt;=100, 15, IF(F195&lt;=250, 20, IF(F195&lt;=500, 30, IF(F195&lt;=1000, 35, F195*0.035)))),
0)))</f>
        <v>0</v>
      </c>
      <c r="H195" s="159">
        <f>IF(I195="مخالفات",50,Basic34567891011121314151617181920212223242526[[#This Row],[قيمة الرسوم / العموله]]+Basic34567891011121314151617181920212223242526[[#This Row],[قيمة الشحنه]])</f>
        <v>0</v>
      </c>
      <c r="I195" s="90"/>
      <c r="J195" s="142" t="str">
        <f t="shared" si="2"/>
        <v>7.5.2026</v>
      </c>
      <c r="L195" s="153">
        <v>184</v>
      </c>
      <c r="M195" s="92"/>
    </row>
    <row r="196" spans="1:13" ht="21.6" x14ac:dyDescent="0.65">
      <c r="A196" s="195"/>
      <c r="B196" s="140">
        <v>193</v>
      </c>
      <c r="C196" s="2"/>
      <c r="D196" s="1"/>
      <c r="E196" s="3"/>
      <c r="F196" s="1"/>
      <c r="G196" s="141">
        <f>IF(Basic34567891011121314151617181920212223242526[[#This Row],[نوع الخدمة]]="مخالفات", 50,
IF(Basic34567891011121314151617181920212223242526[[#This Row],[نوع الخدمة]]="كاش ان",
    IF(F196&lt;=100, 18, IF(F196&lt;=250, 23, IF(F196&lt;=500, 35, IF(F196&lt;=1000, 40, F196*0.04)))),
IF(Basic34567891011121314151617181920212223242526[[#This Row],[نوع الخدمة]]="كاش اوت",
    IF(F196&lt;=100, 15, IF(F196&lt;=250, 20, IF(F196&lt;=500, 30, IF(F196&lt;=1000, 35, F196*0.035)))),
0)))</f>
        <v>0</v>
      </c>
      <c r="H196" s="159">
        <f>IF(I196="مخالفات",50,Basic34567891011121314151617181920212223242526[[#This Row],[قيمة الرسوم / العموله]]+Basic34567891011121314151617181920212223242526[[#This Row],[قيمة الشحنه]])</f>
        <v>0</v>
      </c>
      <c r="I196" s="90"/>
      <c r="J196" s="142" t="str">
        <f t="shared" ref="J196:J226" si="3">M$3</f>
        <v>7.5.2026</v>
      </c>
      <c r="L196" s="153">
        <v>185</v>
      </c>
      <c r="M196" s="92"/>
    </row>
    <row r="197" spans="1:13" ht="21.6" x14ac:dyDescent="0.65">
      <c r="A197" s="195"/>
      <c r="B197" s="144">
        <v>194</v>
      </c>
      <c r="C197" s="2"/>
      <c r="D197" s="1"/>
      <c r="E197" s="3"/>
      <c r="F197" s="1"/>
      <c r="G197" s="141">
        <f>IF(Basic34567891011121314151617181920212223242526[[#This Row],[نوع الخدمة]]="مخالفات", 50,
IF(Basic34567891011121314151617181920212223242526[[#This Row],[نوع الخدمة]]="كاش ان",
    IF(F197&lt;=100, 18, IF(F197&lt;=250, 23, IF(F197&lt;=500, 35, IF(F197&lt;=1000, 40, F197*0.04)))),
IF(Basic34567891011121314151617181920212223242526[[#This Row],[نوع الخدمة]]="كاش اوت",
    IF(F197&lt;=100, 15, IF(F197&lt;=250, 20, IF(F197&lt;=500, 30, IF(F197&lt;=1000, 35, F197*0.035)))),
0)))</f>
        <v>0</v>
      </c>
      <c r="H197" s="159">
        <f>IF(I197="مخالفات",50,Basic34567891011121314151617181920212223242526[[#This Row],[قيمة الرسوم / العموله]]+Basic34567891011121314151617181920212223242526[[#This Row],[قيمة الشحنه]])</f>
        <v>0</v>
      </c>
      <c r="I197" s="90"/>
      <c r="J197" s="142" t="str">
        <f t="shared" si="3"/>
        <v>7.5.2026</v>
      </c>
      <c r="L197" s="153">
        <v>186</v>
      </c>
      <c r="M197" s="92"/>
    </row>
    <row r="198" spans="1:13" ht="21.6" x14ac:dyDescent="0.65">
      <c r="A198" s="195"/>
      <c r="B198" s="140">
        <v>195</v>
      </c>
      <c r="C198" s="2"/>
      <c r="D198" s="1"/>
      <c r="E198" s="3"/>
      <c r="F198" s="1"/>
      <c r="G198" s="141">
        <f>IF(Basic34567891011121314151617181920212223242526[[#This Row],[نوع الخدمة]]="مخالفات", 50,
IF(Basic34567891011121314151617181920212223242526[[#This Row],[نوع الخدمة]]="كاش ان",
    IF(F198&lt;=100, 18, IF(F198&lt;=250, 23, IF(F198&lt;=500, 35, IF(F198&lt;=1000, 40, F198*0.04)))),
IF(Basic34567891011121314151617181920212223242526[[#This Row],[نوع الخدمة]]="كاش اوت",
    IF(F198&lt;=100, 15, IF(F198&lt;=250, 20, IF(F198&lt;=500, 30, IF(F198&lt;=1000, 35, F198*0.035)))),
0)))</f>
        <v>0</v>
      </c>
      <c r="H198" s="159">
        <f>IF(I198="مخالفات",50,Basic34567891011121314151617181920212223242526[[#This Row],[قيمة الرسوم / العموله]]+Basic34567891011121314151617181920212223242526[[#This Row],[قيمة الشحنه]])</f>
        <v>0</v>
      </c>
      <c r="I198" s="90"/>
      <c r="J198" s="142" t="str">
        <f t="shared" si="3"/>
        <v>7.5.2026</v>
      </c>
      <c r="L198" s="153">
        <v>187</v>
      </c>
      <c r="M198" s="92"/>
    </row>
    <row r="199" spans="1:13" ht="21.6" x14ac:dyDescent="0.65">
      <c r="A199" s="195"/>
      <c r="B199" s="140">
        <v>196</v>
      </c>
      <c r="C199" s="2"/>
      <c r="D199" s="1"/>
      <c r="E199" s="3"/>
      <c r="F199" s="1"/>
      <c r="G199" s="141">
        <f>IF(Basic34567891011121314151617181920212223242526[[#This Row],[نوع الخدمة]]="مخالفات", 50,
IF(Basic34567891011121314151617181920212223242526[[#This Row],[نوع الخدمة]]="كاش ان",
    IF(F199&lt;=100, 18, IF(F199&lt;=250, 23, IF(F199&lt;=500, 35, IF(F199&lt;=1000, 40, F199*0.04)))),
IF(Basic34567891011121314151617181920212223242526[[#This Row],[نوع الخدمة]]="كاش اوت",
    IF(F199&lt;=100, 15, IF(F199&lt;=250, 20, IF(F199&lt;=500, 30, IF(F199&lt;=1000, 35, F199*0.035)))),
0)))</f>
        <v>0</v>
      </c>
      <c r="H199" s="159">
        <f>IF(I199="مخالفات",50,Basic34567891011121314151617181920212223242526[[#This Row],[قيمة الرسوم / العموله]]+Basic34567891011121314151617181920212223242526[[#This Row],[قيمة الشحنه]])</f>
        <v>0</v>
      </c>
      <c r="I199" s="90"/>
      <c r="J199" s="142" t="str">
        <f t="shared" si="3"/>
        <v>7.5.2026</v>
      </c>
      <c r="L199" s="153">
        <v>188</v>
      </c>
      <c r="M199" s="92"/>
    </row>
    <row r="200" spans="1:13" ht="21.6" x14ac:dyDescent="0.65">
      <c r="A200" s="195"/>
      <c r="B200" s="140">
        <v>197</v>
      </c>
      <c r="C200" s="2"/>
      <c r="D200" s="1"/>
      <c r="E200" s="3"/>
      <c r="F200" s="1"/>
      <c r="G200" s="141">
        <f>IF(Basic34567891011121314151617181920212223242526[[#This Row],[نوع الخدمة]]="مخالفات", 50,
IF(Basic34567891011121314151617181920212223242526[[#This Row],[نوع الخدمة]]="كاش ان",
    IF(F200&lt;=100, 18, IF(F200&lt;=250, 23, IF(F200&lt;=500, 35, IF(F200&lt;=1000, 40, F200*0.04)))),
IF(Basic34567891011121314151617181920212223242526[[#This Row],[نوع الخدمة]]="كاش اوت",
    IF(F200&lt;=100, 15, IF(F200&lt;=250, 20, IF(F200&lt;=500, 30, IF(F200&lt;=1000, 35, F200*0.035)))),
0)))</f>
        <v>0</v>
      </c>
      <c r="H200" s="159">
        <f>IF(I200="مخالفات",50,Basic34567891011121314151617181920212223242526[[#This Row],[قيمة الرسوم / العموله]]+Basic34567891011121314151617181920212223242526[[#This Row],[قيمة الشحنه]])</f>
        <v>0</v>
      </c>
      <c r="I200" s="90"/>
      <c r="J200" s="142" t="str">
        <f t="shared" si="3"/>
        <v>7.5.2026</v>
      </c>
      <c r="L200" s="153">
        <v>189</v>
      </c>
      <c r="M200" s="92"/>
    </row>
    <row r="201" spans="1:13" ht="21.6" x14ac:dyDescent="0.65">
      <c r="A201" s="195"/>
      <c r="B201" s="144">
        <v>198</v>
      </c>
      <c r="C201" s="2"/>
      <c r="D201" s="1"/>
      <c r="E201" s="3"/>
      <c r="F201" s="1"/>
      <c r="G201" s="141">
        <f>IF(Basic34567891011121314151617181920212223242526[[#This Row],[نوع الخدمة]]="مخالفات", 50,
IF(Basic34567891011121314151617181920212223242526[[#This Row],[نوع الخدمة]]="كاش ان",
    IF(F201&lt;=100, 18, IF(F201&lt;=250, 23, IF(F201&lt;=500, 35, IF(F201&lt;=1000, 40, F201*0.04)))),
IF(Basic34567891011121314151617181920212223242526[[#This Row],[نوع الخدمة]]="كاش اوت",
    IF(F201&lt;=100, 15, IF(F201&lt;=250, 20, IF(F201&lt;=500, 30, IF(F201&lt;=1000, 35, F201*0.035)))),
0)))</f>
        <v>0</v>
      </c>
      <c r="H201" s="159">
        <f>IF(I201="مخالفات",50,Basic34567891011121314151617181920212223242526[[#This Row],[قيمة الرسوم / العموله]]+Basic34567891011121314151617181920212223242526[[#This Row],[قيمة الشحنه]])</f>
        <v>0</v>
      </c>
      <c r="I201" s="90"/>
      <c r="J201" s="142" t="str">
        <f t="shared" si="3"/>
        <v>7.5.2026</v>
      </c>
      <c r="L201" s="153">
        <v>190</v>
      </c>
      <c r="M201" s="92"/>
    </row>
    <row r="202" spans="1:13" ht="21.6" x14ac:dyDescent="0.65">
      <c r="A202" s="195"/>
      <c r="B202" s="140">
        <v>199</v>
      </c>
      <c r="C202" s="2"/>
      <c r="D202" s="1"/>
      <c r="E202" s="3"/>
      <c r="F202" s="1"/>
      <c r="G202" s="141">
        <f>IF(Basic34567891011121314151617181920212223242526[[#This Row],[نوع الخدمة]]="مخالفات", 50,
IF(Basic34567891011121314151617181920212223242526[[#This Row],[نوع الخدمة]]="كاش ان",
    IF(F202&lt;=100, 18, IF(F202&lt;=250, 23, IF(F202&lt;=500, 35, IF(F202&lt;=1000, 40, F202*0.04)))),
IF(Basic34567891011121314151617181920212223242526[[#This Row],[نوع الخدمة]]="كاش اوت",
    IF(F202&lt;=100, 15, IF(F202&lt;=250, 20, IF(F202&lt;=500, 30, IF(F202&lt;=1000, 35, F202*0.035)))),
0)))</f>
        <v>0</v>
      </c>
      <c r="H202" s="159">
        <f>IF(I202="مخالفات",50,Basic34567891011121314151617181920212223242526[[#This Row],[قيمة الرسوم / العموله]]+Basic34567891011121314151617181920212223242526[[#This Row],[قيمة الشحنه]])</f>
        <v>0</v>
      </c>
      <c r="I202" s="90"/>
      <c r="J202" s="142" t="str">
        <f t="shared" si="3"/>
        <v>7.5.2026</v>
      </c>
      <c r="L202" s="153">
        <v>191</v>
      </c>
      <c r="M202" s="92"/>
    </row>
    <row r="203" spans="1:13" ht="21.6" x14ac:dyDescent="0.65">
      <c r="A203" s="195"/>
      <c r="B203" s="140">
        <v>200</v>
      </c>
      <c r="C203" s="2"/>
      <c r="D203" s="1"/>
      <c r="E203" s="3"/>
      <c r="F203" s="1"/>
      <c r="G203" s="141">
        <f>IF(Basic34567891011121314151617181920212223242526[[#This Row],[نوع الخدمة]]="مخالفات", 50,
IF(Basic34567891011121314151617181920212223242526[[#This Row],[نوع الخدمة]]="كاش ان",
    IF(F203&lt;=100, 18, IF(F203&lt;=250, 23, IF(F203&lt;=500, 35, IF(F203&lt;=1000, 40, F203*0.04)))),
IF(Basic34567891011121314151617181920212223242526[[#This Row],[نوع الخدمة]]="كاش اوت",
    IF(F203&lt;=100, 15, IF(F203&lt;=250, 20, IF(F203&lt;=500, 30, IF(F203&lt;=1000, 35, F203*0.035)))),
0)))</f>
        <v>0</v>
      </c>
      <c r="H203" s="159">
        <f>IF(I203="مخالفات",50,Basic34567891011121314151617181920212223242526[[#This Row],[قيمة الرسوم / العموله]]+Basic34567891011121314151617181920212223242526[[#This Row],[قيمة الشحنه]])</f>
        <v>0</v>
      </c>
      <c r="I203" s="90"/>
      <c r="J203" s="142" t="str">
        <f t="shared" si="3"/>
        <v>7.5.2026</v>
      </c>
      <c r="L203" s="153">
        <v>192</v>
      </c>
      <c r="M203" s="92"/>
    </row>
    <row r="204" spans="1:13" ht="21.6" x14ac:dyDescent="0.65">
      <c r="A204" s="195"/>
      <c r="B204" s="140">
        <v>201</v>
      </c>
      <c r="C204" s="2"/>
      <c r="D204" s="1"/>
      <c r="E204" s="3"/>
      <c r="F204" s="1"/>
      <c r="G204" s="141">
        <f>IF(Basic34567891011121314151617181920212223242526[[#This Row],[نوع الخدمة]]="مخالفات", 50,
IF(Basic34567891011121314151617181920212223242526[[#This Row],[نوع الخدمة]]="كاش ان",
    IF(F204&lt;=100, 18, IF(F204&lt;=250, 23, IF(F204&lt;=500, 35, IF(F204&lt;=1000, 40, F204*0.04)))),
IF(Basic34567891011121314151617181920212223242526[[#This Row],[نوع الخدمة]]="كاش اوت",
    IF(F204&lt;=100, 15, IF(F204&lt;=250, 20, IF(F204&lt;=500, 30, IF(F204&lt;=1000, 35, F204*0.035)))),
0)))</f>
        <v>0</v>
      </c>
      <c r="H204" s="159">
        <f>IF(I204="مخالفات",50,Basic34567891011121314151617181920212223242526[[#This Row],[قيمة الرسوم / العموله]]+Basic34567891011121314151617181920212223242526[[#This Row],[قيمة الشحنه]])</f>
        <v>0</v>
      </c>
      <c r="I204" s="90"/>
      <c r="J204" s="142" t="str">
        <f t="shared" si="3"/>
        <v>7.5.2026</v>
      </c>
      <c r="L204" s="153">
        <v>193</v>
      </c>
      <c r="M204" s="92"/>
    </row>
    <row r="205" spans="1:13" ht="21.6" x14ac:dyDescent="0.65">
      <c r="A205" s="195"/>
      <c r="B205" s="144">
        <v>202</v>
      </c>
      <c r="C205" s="2"/>
      <c r="D205" s="1"/>
      <c r="E205" s="3"/>
      <c r="F205" s="1"/>
      <c r="G205" s="141">
        <f>IF(Basic34567891011121314151617181920212223242526[[#This Row],[نوع الخدمة]]="مخالفات", 50,
IF(Basic34567891011121314151617181920212223242526[[#This Row],[نوع الخدمة]]="كاش ان",
    IF(F205&lt;=100, 18, IF(F205&lt;=250, 23, IF(F205&lt;=500, 35, IF(F205&lt;=1000, 40, F205*0.04)))),
IF(Basic34567891011121314151617181920212223242526[[#This Row],[نوع الخدمة]]="كاش اوت",
    IF(F205&lt;=100, 15, IF(F205&lt;=250, 20, IF(F205&lt;=500, 30, IF(F205&lt;=1000, 35, F205*0.035)))),
0)))</f>
        <v>0</v>
      </c>
      <c r="H205" s="159">
        <f>IF(I205="مخالفات",50,Basic34567891011121314151617181920212223242526[[#This Row],[قيمة الرسوم / العموله]]+Basic34567891011121314151617181920212223242526[[#This Row],[قيمة الشحنه]])</f>
        <v>0</v>
      </c>
      <c r="I205" s="90"/>
      <c r="J205" s="142" t="str">
        <f t="shared" si="3"/>
        <v>7.5.2026</v>
      </c>
      <c r="L205" s="153">
        <v>194</v>
      </c>
      <c r="M205" s="92"/>
    </row>
    <row r="206" spans="1:13" ht="21.6" x14ac:dyDescent="0.65">
      <c r="A206" s="195"/>
      <c r="B206" s="140">
        <v>203</v>
      </c>
      <c r="C206" s="2"/>
      <c r="D206" s="1"/>
      <c r="E206" s="3"/>
      <c r="F206" s="1"/>
      <c r="G206" s="141">
        <f>IF(Basic34567891011121314151617181920212223242526[[#This Row],[نوع الخدمة]]="مخالفات", 50,
IF(Basic34567891011121314151617181920212223242526[[#This Row],[نوع الخدمة]]="كاش ان",
    IF(F206&lt;=100, 18, IF(F206&lt;=250, 23, IF(F206&lt;=500, 35, IF(F206&lt;=1000, 40, F206*0.04)))),
IF(Basic34567891011121314151617181920212223242526[[#This Row],[نوع الخدمة]]="كاش اوت",
    IF(F206&lt;=100, 15, IF(F206&lt;=250, 20, IF(F206&lt;=500, 30, IF(F206&lt;=1000, 35, F206*0.035)))),
0)))</f>
        <v>0</v>
      </c>
      <c r="H206" s="159">
        <f>IF(I206="مخالفات",50,Basic34567891011121314151617181920212223242526[[#This Row],[قيمة الرسوم / العموله]]+Basic34567891011121314151617181920212223242526[[#This Row],[قيمة الشحنه]])</f>
        <v>0</v>
      </c>
      <c r="I206" s="90"/>
      <c r="J206" s="142" t="str">
        <f t="shared" si="3"/>
        <v>7.5.2026</v>
      </c>
      <c r="L206" s="153">
        <v>195</v>
      </c>
      <c r="M206" s="92"/>
    </row>
    <row r="207" spans="1:13" ht="21.6" x14ac:dyDescent="0.65">
      <c r="A207" s="195"/>
      <c r="B207" s="140">
        <v>204</v>
      </c>
      <c r="C207" s="2"/>
      <c r="D207" s="1"/>
      <c r="E207" s="3"/>
      <c r="F207" s="1"/>
      <c r="G207" s="141">
        <f>IF(Basic34567891011121314151617181920212223242526[[#This Row],[نوع الخدمة]]="مخالفات", 50,
IF(Basic34567891011121314151617181920212223242526[[#This Row],[نوع الخدمة]]="كاش ان",
    IF(F207&lt;=100, 18, IF(F207&lt;=250, 23, IF(F207&lt;=500, 35, IF(F207&lt;=1000, 40, F207*0.04)))),
IF(Basic34567891011121314151617181920212223242526[[#This Row],[نوع الخدمة]]="كاش اوت",
    IF(F207&lt;=100, 15, IF(F207&lt;=250, 20, IF(F207&lt;=500, 30, IF(F207&lt;=1000, 35, F207*0.035)))),
0)))</f>
        <v>0</v>
      </c>
      <c r="H207" s="159">
        <f>IF(I207="مخالفات",50,Basic34567891011121314151617181920212223242526[[#This Row],[قيمة الرسوم / العموله]]+Basic34567891011121314151617181920212223242526[[#This Row],[قيمة الشحنه]])</f>
        <v>0</v>
      </c>
      <c r="I207" s="90"/>
      <c r="J207" s="142" t="str">
        <f t="shared" si="3"/>
        <v>7.5.2026</v>
      </c>
      <c r="L207" s="153">
        <v>196</v>
      </c>
      <c r="M207" s="92"/>
    </row>
    <row r="208" spans="1:13" ht="21.6" x14ac:dyDescent="0.65">
      <c r="A208" s="195"/>
      <c r="B208" s="140">
        <v>205</v>
      </c>
      <c r="C208" s="2"/>
      <c r="D208" s="1"/>
      <c r="E208" s="3"/>
      <c r="F208" s="1"/>
      <c r="G208" s="141">
        <f>IF(Basic34567891011121314151617181920212223242526[[#This Row],[نوع الخدمة]]="مخالفات", 50,
IF(Basic34567891011121314151617181920212223242526[[#This Row],[نوع الخدمة]]="كاش ان",
    IF(F208&lt;=100, 18, IF(F208&lt;=250, 23, IF(F208&lt;=500, 35, IF(F208&lt;=1000, 40, F208*0.04)))),
IF(Basic34567891011121314151617181920212223242526[[#This Row],[نوع الخدمة]]="كاش اوت",
    IF(F208&lt;=100, 15, IF(F208&lt;=250, 20, IF(F208&lt;=500, 30, IF(F208&lt;=1000, 35, F208*0.035)))),
0)))</f>
        <v>0</v>
      </c>
      <c r="H208" s="159">
        <f>IF(I208="مخالفات",50,Basic34567891011121314151617181920212223242526[[#This Row],[قيمة الرسوم / العموله]]+Basic34567891011121314151617181920212223242526[[#This Row],[قيمة الشحنه]])</f>
        <v>0</v>
      </c>
      <c r="I208" s="90"/>
      <c r="J208" s="142" t="str">
        <f t="shared" si="3"/>
        <v>7.5.2026</v>
      </c>
      <c r="L208" s="153">
        <v>197</v>
      </c>
      <c r="M208" s="92"/>
    </row>
    <row r="209" spans="1:13" ht="21.6" x14ac:dyDescent="0.65">
      <c r="A209" s="195"/>
      <c r="B209" s="144">
        <v>206</v>
      </c>
      <c r="C209" s="2"/>
      <c r="D209" s="1"/>
      <c r="E209" s="3"/>
      <c r="F209" s="1"/>
      <c r="G209" s="141">
        <f>IF(Basic34567891011121314151617181920212223242526[[#This Row],[نوع الخدمة]]="مخالفات", 50,
IF(Basic34567891011121314151617181920212223242526[[#This Row],[نوع الخدمة]]="كاش ان",
    IF(F209&lt;=100, 18, IF(F209&lt;=250, 23, IF(F209&lt;=500, 35, IF(F209&lt;=1000, 40, F209*0.04)))),
IF(Basic34567891011121314151617181920212223242526[[#This Row],[نوع الخدمة]]="كاش اوت",
    IF(F209&lt;=100, 15, IF(F209&lt;=250, 20, IF(F209&lt;=500, 30, IF(F209&lt;=1000, 35, F209*0.035)))),
0)))</f>
        <v>0</v>
      </c>
      <c r="H209" s="159">
        <f>IF(I209="مخالفات",50,Basic34567891011121314151617181920212223242526[[#This Row],[قيمة الرسوم / العموله]]+Basic34567891011121314151617181920212223242526[[#This Row],[قيمة الشحنه]])</f>
        <v>0</v>
      </c>
      <c r="I209" s="90"/>
      <c r="J209" s="142" t="str">
        <f t="shared" si="3"/>
        <v>7.5.2026</v>
      </c>
      <c r="L209" s="153">
        <v>198</v>
      </c>
      <c r="M209" s="92"/>
    </row>
    <row r="210" spans="1:13" ht="21.6" x14ac:dyDescent="0.65">
      <c r="A210" s="195"/>
      <c r="B210" s="140">
        <v>207</v>
      </c>
      <c r="C210" s="2"/>
      <c r="D210" s="1"/>
      <c r="E210" s="3"/>
      <c r="F210" s="1"/>
      <c r="G210" s="141">
        <f>IF(Basic34567891011121314151617181920212223242526[[#This Row],[نوع الخدمة]]="مخالفات", 50,
IF(Basic34567891011121314151617181920212223242526[[#This Row],[نوع الخدمة]]="كاش ان",
    IF(F210&lt;=100, 18, IF(F210&lt;=250, 23, IF(F210&lt;=500, 35, IF(F210&lt;=1000, 40, F210*0.04)))),
IF(Basic34567891011121314151617181920212223242526[[#This Row],[نوع الخدمة]]="كاش اوت",
    IF(F210&lt;=100, 15, IF(F210&lt;=250, 20, IF(F210&lt;=500, 30, IF(F210&lt;=1000, 35, F210*0.035)))),
0)))</f>
        <v>0</v>
      </c>
      <c r="H210" s="159">
        <f>IF(I210="مخالفات",50,Basic34567891011121314151617181920212223242526[[#This Row],[قيمة الرسوم / العموله]]+Basic34567891011121314151617181920212223242526[[#This Row],[قيمة الشحنه]])</f>
        <v>0</v>
      </c>
      <c r="I210" s="90"/>
      <c r="J210" s="142" t="str">
        <f t="shared" si="3"/>
        <v>7.5.2026</v>
      </c>
      <c r="L210" s="153">
        <v>199</v>
      </c>
      <c r="M210" s="92"/>
    </row>
    <row r="211" spans="1:13" ht="21.6" x14ac:dyDescent="0.65">
      <c r="A211" s="195"/>
      <c r="B211" s="140">
        <v>208</v>
      </c>
      <c r="C211" s="2"/>
      <c r="D211" s="1"/>
      <c r="E211" s="3"/>
      <c r="F211" s="1"/>
      <c r="G211" s="141">
        <f>IF(Basic34567891011121314151617181920212223242526[[#This Row],[نوع الخدمة]]="مخالفات", 50,
IF(Basic34567891011121314151617181920212223242526[[#This Row],[نوع الخدمة]]="كاش ان",
    IF(F211&lt;=100, 18, IF(F211&lt;=250, 23, IF(F211&lt;=500, 35, IF(F211&lt;=1000, 40, F211*0.04)))),
IF(Basic34567891011121314151617181920212223242526[[#This Row],[نوع الخدمة]]="كاش اوت",
    IF(F211&lt;=100, 15, IF(F211&lt;=250, 20, IF(F211&lt;=500, 30, IF(F211&lt;=1000, 35, F211*0.035)))),
0)))</f>
        <v>0</v>
      </c>
      <c r="H211" s="159">
        <f>IF(I211="مخالفات",50,Basic34567891011121314151617181920212223242526[[#This Row],[قيمة الرسوم / العموله]]+Basic34567891011121314151617181920212223242526[[#This Row],[قيمة الشحنه]])</f>
        <v>0</v>
      </c>
      <c r="I211" s="90"/>
      <c r="J211" s="142" t="str">
        <f t="shared" si="3"/>
        <v>7.5.2026</v>
      </c>
      <c r="L211" s="153">
        <v>200</v>
      </c>
      <c r="M211" s="92"/>
    </row>
    <row r="212" spans="1:13" ht="21.6" x14ac:dyDescent="0.65">
      <c r="A212" s="195"/>
      <c r="B212" s="140">
        <v>209</v>
      </c>
      <c r="C212" s="2"/>
      <c r="D212" s="1"/>
      <c r="E212" s="3"/>
      <c r="F212" s="1"/>
      <c r="G212" s="141">
        <f>IF(Basic34567891011121314151617181920212223242526[[#This Row],[نوع الخدمة]]="مخالفات", 50,
IF(Basic34567891011121314151617181920212223242526[[#This Row],[نوع الخدمة]]="كاش ان",
    IF(F212&lt;=100, 18, IF(F212&lt;=250, 23, IF(F212&lt;=500, 35, IF(F212&lt;=1000, 40, F212*0.04)))),
IF(Basic34567891011121314151617181920212223242526[[#This Row],[نوع الخدمة]]="كاش اوت",
    IF(F212&lt;=100, 15, IF(F212&lt;=250, 20, IF(F212&lt;=500, 30, IF(F212&lt;=1000, 35, F212*0.035)))),
0)))</f>
        <v>0</v>
      </c>
      <c r="H212" s="159">
        <f>IF(I212="مخالفات",50,Basic34567891011121314151617181920212223242526[[#This Row],[قيمة الرسوم / العموله]]+Basic34567891011121314151617181920212223242526[[#This Row],[قيمة الشحنه]])</f>
        <v>0</v>
      </c>
      <c r="I212" s="90"/>
      <c r="J212" s="142" t="str">
        <f t="shared" si="3"/>
        <v>7.5.2026</v>
      </c>
      <c r="L212" s="153">
        <v>201</v>
      </c>
      <c r="M212" s="92"/>
    </row>
    <row r="213" spans="1:13" ht="21.6" x14ac:dyDescent="0.65">
      <c r="A213" s="195"/>
      <c r="B213" s="144">
        <v>210</v>
      </c>
      <c r="C213" s="2"/>
      <c r="D213" s="1"/>
      <c r="E213" s="3"/>
      <c r="F213" s="1"/>
      <c r="G213" s="141">
        <f>IF(Basic34567891011121314151617181920212223242526[[#This Row],[نوع الخدمة]]="مخالفات", 50,
IF(Basic34567891011121314151617181920212223242526[[#This Row],[نوع الخدمة]]="كاش ان",
    IF(F213&lt;=100, 18, IF(F213&lt;=250, 23, IF(F213&lt;=500, 35, IF(F213&lt;=1000, 40, F213*0.04)))),
IF(Basic34567891011121314151617181920212223242526[[#This Row],[نوع الخدمة]]="كاش اوت",
    IF(F213&lt;=100, 15, IF(F213&lt;=250, 20, IF(F213&lt;=500, 30, IF(F213&lt;=1000, 35, F213*0.035)))),
0)))</f>
        <v>0</v>
      </c>
      <c r="H213" s="159">
        <f>IF(I213="مخالفات",50,Basic34567891011121314151617181920212223242526[[#This Row],[قيمة الرسوم / العموله]]+Basic34567891011121314151617181920212223242526[[#This Row],[قيمة الشحنه]])</f>
        <v>0</v>
      </c>
      <c r="I213" s="90"/>
      <c r="J213" s="142" t="str">
        <f t="shared" si="3"/>
        <v>7.5.2026</v>
      </c>
      <c r="L213" s="153">
        <v>202</v>
      </c>
      <c r="M213" s="92"/>
    </row>
    <row r="214" spans="1:13" ht="21.6" x14ac:dyDescent="0.65">
      <c r="A214" s="195"/>
      <c r="B214" s="140">
        <v>211</v>
      </c>
      <c r="C214" s="2"/>
      <c r="D214" s="1"/>
      <c r="E214" s="3"/>
      <c r="F214" s="1"/>
      <c r="G214" s="141">
        <f>IF(Basic34567891011121314151617181920212223242526[[#This Row],[نوع الخدمة]]="مخالفات", 50,
IF(Basic34567891011121314151617181920212223242526[[#This Row],[نوع الخدمة]]="كاش ان",
    IF(F214&lt;=100, 18, IF(F214&lt;=250, 23, IF(F214&lt;=500, 35, IF(F214&lt;=1000, 40, F214*0.04)))),
IF(Basic34567891011121314151617181920212223242526[[#This Row],[نوع الخدمة]]="كاش اوت",
    IF(F214&lt;=100, 15, IF(F214&lt;=250, 20, IF(F214&lt;=500, 30, IF(F214&lt;=1000, 35, F214*0.035)))),
0)))</f>
        <v>0</v>
      </c>
      <c r="H214" s="159">
        <f>IF(I214="مخالفات",50,Basic34567891011121314151617181920212223242526[[#This Row],[قيمة الرسوم / العموله]]+Basic34567891011121314151617181920212223242526[[#This Row],[قيمة الشحنه]])</f>
        <v>0</v>
      </c>
      <c r="I214" s="90"/>
      <c r="J214" s="142" t="str">
        <f t="shared" si="3"/>
        <v>7.5.2026</v>
      </c>
      <c r="L214" s="153">
        <v>203</v>
      </c>
      <c r="M214" s="92"/>
    </row>
    <row r="215" spans="1:13" ht="21.6" x14ac:dyDescent="0.65">
      <c r="A215" s="195"/>
      <c r="B215" s="140">
        <v>212</v>
      </c>
      <c r="C215" s="2"/>
      <c r="D215" s="1"/>
      <c r="E215" s="3"/>
      <c r="F215" s="1"/>
      <c r="G215" s="141">
        <f>IF(Basic34567891011121314151617181920212223242526[[#This Row],[نوع الخدمة]]="مخالفات", 50,
IF(Basic34567891011121314151617181920212223242526[[#This Row],[نوع الخدمة]]="كاش ان",
    IF(F215&lt;=100, 18, IF(F215&lt;=250, 23, IF(F215&lt;=500, 35, IF(F215&lt;=1000, 40, F215*0.04)))),
IF(Basic34567891011121314151617181920212223242526[[#This Row],[نوع الخدمة]]="كاش اوت",
    IF(F215&lt;=100, 15, IF(F215&lt;=250, 20, IF(F215&lt;=500, 30, IF(F215&lt;=1000, 35, F215*0.035)))),
0)))</f>
        <v>0</v>
      </c>
      <c r="H215" s="159">
        <f>IF(I215="مخالفات",50,Basic34567891011121314151617181920212223242526[[#This Row],[قيمة الرسوم / العموله]]+Basic34567891011121314151617181920212223242526[[#This Row],[قيمة الشحنه]])</f>
        <v>0</v>
      </c>
      <c r="I215" s="90"/>
      <c r="J215" s="142" t="str">
        <f t="shared" si="3"/>
        <v>7.5.2026</v>
      </c>
      <c r="L215" s="153">
        <v>204</v>
      </c>
      <c r="M215" s="92"/>
    </row>
    <row r="216" spans="1:13" ht="21.6" x14ac:dyDescent="0.65">
      <c r="A216" s="195"/>
      <c r="B216" s="140">
        <v>213</v>
      </c>
      <c r="C216" s="2"/>
      <c r="D216" s="1"/>
      <c r="E216" s="3"/>
      <c r="F216" s="1"/>
      <c r="G216" s="141">
        <f>IF(Basic34567891011121314151617181920212223242526[[#This Row],[نوع الخدمة]]="مخالفات", 50,
IF(Basic34567891011121314151617181920212223242526[[#This Row],[نوع الخدمة]]="كاش ان",
    IF(F216&lt;=100, 18, IF(F216&lt;=250, 23, IF(F216&lt;=500, 35, IF(F216&lt;=1000, 40, F216*0.04)))),
IF(Basic34567891011121314151617181920212223242526[[#This Row],[نوع الخدمة]]="كاش اوت",
    IF(F216&lt;=100, 15, IF(F216&lt;=250, 20, IF(F216&lt;=500, 30, IF(F216&lt;=1000, 35, F216*0.035)))),
0)))</f>
        <v>0</v>
      </c>
      <c r="H216" s="159">
        <f>IF(I216="مخالفات",50,Basic34567891011121314151617181920212223242526[[#This Row],[قيمة الرسوم / العموله]]+Basic34567891011121314151617181920212223242526[[#This Row],[قيمة الشحنه]])</f>
        <v>0</v>
      </c>
      <c r="I216" s="90"/>
      <c r="J216" s="142" t="str">
        <f t="shared" si="3"/>
        <v>7.5.2026</v>
      </c>
      <c r="L216" s="153">
        <v>205</v>
      </c>
      <c r="M216" s="92"/>
    </row>
    <row r="217" spans="1:13" ht="21.6" x14ac:dyDescent="0.65">
      <c r="A217" s="195"/>
      <c r="B217" s="144">
        <v>214</v>
      </c>
      <c r="C217" s="2"/>
      <c r="D217" s="1"/>
      <c r="E217" s="3"/>
      <c r="F217" s="1"/>
      <c r="G217" s="141">
        <f>IF(Basic34567891011121314151617181920212223242526[[#This Row],[نوع الخدمة]]="مخالفات", 50,
IF(Basic34567891011121314151617181920212223242526[[#This Row],[نوع الخدمة]]="كاش ان",
    IF(F217&lt;=100, 18, IF(F217&lt;=250, 23, IF(F217&lt;=500, 35, IF(F217&lt;=1000, 40, F217*0.04)))),
IF(Basic34567891011121314151617181920212223242526[[#This Row],[نوع الخدمة]]="كاش اوت",
    IF(F217&lt;=100, 15, IF(F217&lt;=250, 20, IF(F217&lt;=500, 30, IF(F217&lt;=1000, 35, F217*0.035)))),
0)))</f>
        <v>0</v>
      </c>
      <c r="H217" s="159">
        <f>IF(I217="مخالفات",50,Basic34567891011121314151617181920212223242526[[#This Row],[قيمة الرسوم / العموله]]+Basic34567891011121314151617181920212223242526[[#This Row],[قيمة الشحنه]])</f>
        <v>0</v>
      </c>
      <c r="I217" s="90"/>
      <c r="J217" s="142" t="str">
        <f t="shared" si="3"/>
        <v>7.5.2026</v>
      </c>
      <c r="L217" s="153">
        <v>206</v>
      </c>
      <c r="M217" s="92"/>
    </row>
    <row r="218" spans="1:13" ht="21.6" x14ac:dyDescent="0.65">
      <c r="A218" s="195"/>
      <c r="B218" s="140">
        <v>215</v>
      </c>
      <c r="C218" s="2"/>
      <c r="D218" s="1"/>
      <c r="E218" s="3"/>
      <c r="F218" s="1"/>
      <c r="G218" s="141">
        <f>IF(Basic34567891011121314151617181920212223242526[[#This Row],[نوع الخدمة]]="مخالفات", 50,
IF(Basic34567891011121314151617181920212223242526[[#This Row],[نوع الخدمة]]="كاش ان",
    IF(F218&lt;=100, 18, IF(F218&lt;=250, 23, IF(F218&lt;=500, 35, IF(F218&lt;=1000, 40, F218*0.04)))),
IF(Basic34567891011121314151617181920212223242526[[#This Row],[نوع الخدمة]]="كاش اوت",
    IF(F218&lt;=100, 15, IF(F218&lt;=250, 20, IF(F218&lt;=500, 30, IF(F218&lt;=1000, 35, F218*0.035)))),
0)))</f>
        <v>0</v>
      </c>
      <c r="H218" s="159">
        <f>IF(I218="مخالفات",50,Basic34567891011121314151617181920212223242526[[#This Row],[قيمة الرسوم / العموله]]+Basic34567891011121314151617181920212223242526[[#This Row],[قيمة الشحنه]])</f>
        <v>0</v>
      </c>
      <c r="I218" s="90"/>
      <c r="J218" s="142" t="str">
        <f t="shared" si="3"/>
        <v>7.5.2026</v>
      </c>
      <c r="L218" s="153">
        <v>207</v>
      </c>
      <c r="M218" s="92"/>
    </row>
    <row r="219" spans="1:13" ht="21.6" x14ac:dyDescent="0.65">
      <c r="A219" s="195"/>
      <c r="B219" s="140">
        <v>216</v>
      </c>
      <c r="C219" s="2"/>
      <c r="D219" s="1"/>
      <c r="E219" s="3"/>
      <c r="F219" s="1"/>
      <c r="G219" s="141">
        <f>IF(Basic34567891011121314151617181920212223242526[[#This Row],[نوع الخدمة]]="مخالفات", 50,
IF(Basic34567891011121314151617181920212223242526[[#This Row],[نوع الخدمة]]="كاش ان",
    IF(F219&lt;=100, 18, IF(F219&lt;=250, 23, IF(F219&lt;=500, 35, IF(F219&lt;=1000, 40, F219*0.04)))),
IF(Basic34567891011121314151617181920212223242526[[#This Row],[نوع الخدمة]]="كاش اوت",
    IF(F219&lt;=100, 15, IF(F219&lt;=250, 20, IF(F219&lt;=500, 30, IF(F219&lt;=1000, 35, F219*0.035)))),
0)))</f>
        <v>0</v>
      </c>
      <c r="H219" s="159">
        <f>IF(I219="مخالفات",50,Basic34567891011121314151617181920212223242526[[#This Row],[قيمة الرسوم / العموله]]+Basic34567891011121314151617181920212223242526[[#This Row],[قيمة الشحنه]])</f>
        <v>0</v>
      </c>
      <c r="I219" s="90"/>
      <c r="J219" s="142" t="str">
        <f t="shared" si="3"/>
        <v>7.5.2026</v>
      </c>
      <c r="L219" s="153">
        <v>208</v>
      </c>
      <c r="M219" s="92"/>
    </row>
    <row r="220" spans="1:13" ht="21.6" x14ac:dyDescent="0.65">
      <c r="A220" s="195"/>
      <c r="B220" s="140">
        <v>217</v>
      </c>
      <c r="C220" s="2"/>
      <c r="D220" s="1"/>
      <c r="E220" s="3"/>
      <c r="F220" s="1"/>
      <c r="G220" s="141">
        <f>IF(Basic34567891011121314151617181920212223242526[[#This Row],[نوع الخدمة]]="مخالفات", 50,
IF(Basic34567891011121314151617181920212223242526[[#This Row],[نوع الخدمة]]="كاش ان",
    IF(F220&lt;=100, 18, IF(F220&lt;=250, 23, IF(F220&lt;=500, 35, IF(F220&lt;=1000, 40, F220*0.04)))),
IF(Basic34567891011121314151617181920212223242526[[#This Row],[نوع الخدمة]]="كاش اوت",
    IF(F220&lt;=100, 15, IF(F220&lt;=250, 20, IF(F220&lt;=500, 30, IF(F220&lt;=1000, 35, F220*0.035)))),
0)))</f>
        <v>0</v>
      </c>
      <c r="H220" s="159">
        <f>IF(I220="مخالفات",50,Basic34567891011121314151617181920212223242526[[#This Row],[قيمة الرسوم / العموله]]+Basic34567891011121314151617181920212223242526[[#This Row],[قيمة الشحنه]])</f>
        <v>0</v>
      </c>
      <c r="I220" s="90"/>
      <c r="J220" s="142" t="str">
        <f t="shared" si="3"/>
        <v>7.5.2026</v>
      </c>
      <c r="L220" s="153">
        <v>209</v>
      </c>
      <c r="M220" s="92"/>
    </row>
    <row r="221" spans="1:13" ht="21.6" x14ac:dyDescent="0.65">
      <c r="A221" s="195"/>
      <c r="B221" s="144">
        <v>218</v>
      </c>
      <c r="C221" s="2"/>
      <c r="D221" s="1"/>
      <c r="E221" s="3"/>
      <c r="F221" s="1"/>
      <c r="G221" s="141">
        <f>IF(Basic34567891011121314151617181920212223242526[[#This Row],[نوع الخدمة]]="مخالفات", 50,
IF(Basic34567891011121314151617181920212223242526[[#This Row],[نوع الخدمة]]="كاش ان",
    IF(F221&lt;=100, 18, IF(F221&lt;=250, 23, IF(F221&lt;=500, 35, IF(F221&lt;=1000, 40, F221*0.04)))),
IF(Basic34567891011121314151617181920212223242526[[#This Row],[نوع الخدمة]]="كاش اوت",
    IF(F221&lt;=100, 15, IF(F221&lt;=250, 20, IF(F221&lt;=500, 30, IF(F221&lt;=1000, 35, F221*0.035)))),
0)))</f>
        <v>0</v>
      </c>
      <c r="H221" s="159">
        <f>IF(I221="مخالفات",50,Basic34567891011121314151617181920212223242526[[#This Row],[قيمة الرسوم / العموله]]+Basic34567891011121314151617181920212223242526[[#This Row],[قيمة الشحنه]])</f>
        <v>0</v>
      </c>
      <c r="I221" s="90"/>
      <c r="J221" s="142" t="str">
        <f t="shared" si="3"/>
        <v>7.5.2026</v>
      </c>
      <c r="L221" s="153">
        <v>210</v>
      </c>
      <c r="M221" s="92"/>
    </row>
    <row r="222" spans="1:13" ht="21.6" x14ac:dyDescent="0.65">
      <c r="A222" s="195"/>
      <c r="B222" s="140">
        <v>219</v>
      </c>
      <c r="C222" s="2"/>
      <c r="D222" s="1"/>
      <c r="E222" s="3"/>
      <c r="F222" s="1"/>
      <c r="G222" s="141">
        <f>IF(Basic34567891011121314151617181920212223242526[[#This Row],[نوع الخدمة]]="مخالفات", 50,
IF(Basic34567891011121314151617181920212223242526[[#This Row],[نوع الخدمة]]="كاش ان",
    IF(F222&lt;=100, 18, IF(F222&lt;=250, 23, IF(F222&lt;=500, 35, IF(F222&lt;=1000, 40, F222*0.04)))),
IF(Basic34567891011121314151617181920212223242526[[#This Row],[نوع الخدمة]]="كاش اوت",
    IF(F222&lt;=100, 15, IF(F222&lt;=250, 20, IF(F222&lt;=500, 30, IF(F222&lt;=1000, 35, F222*0.035)))),
0)))</f>
        <v>0</v>
      </c>
      <c r="H222" s="159">
        <f>IF(I222="مخالفات",50,Basic34567891011121314151617181920212223242526[[#This Row],[قيمة الرسوم / العموله]]+Basic34567891011121314151617181920212223242526[[#This Row],[قيمة الشحنه]])</f>
        <v>0</v>
      </c>
      <c r="I222" s="90"/>
      <c r="J222" s="142" t="str">
        <f t="shared" si="3"/>
        <v>7.5.2026</v>
      </c>
      <c r="L222" s="153">
        <v>211</v>
      </c>
      <c r="M222" s="92"/>
    </row>
    <row r="223" spans="1:13" ht="21.6" x14ac:dyDescent="0.65">
      <c r="A223" s="195"/>
      <c r="B223" s="140">
        <v>220</v>
      </c>
      <c r="C223" s="2"/>
      <c r="D223" s="1"/>
      <c r="E223" s="3"/>
      <c r="F223" s="1"/>
      <c r="G223" s="141">
        <f>IF(Basic34567891011121314151617181920212223242526[[#This Row],[نوع الخدمة]]="مخالفات", 50,
IF(Basic34567891011121314151617181920212223242526[[#This Row],[نوع الخدمة]]="كاش ان",
    IF(F223&lt;=100, 18, IF(F223&lt;=250, 23, IF(F223&lt;=500, 35, IF(F223&lt;=1000, 40, F223*0.04)))),
IF(Basic34567891011121314151617181920212223242526[[#This Row],[نوع الخدمة]]="كاش اوت",
    IF(F223&lt;=100, 15, IF(F223&lt;=250, 20, IF(F223&lt;=500, 30, IF(F223&lt;=1000, 35, F223*0.035)))),
0)))</f>
        <v>0</v>
      </c>
      <c r="H223" s="159">
        <f>IF(I223="مخالفات",50,Basic34567891011121314151617181920212223242526[[#This Row],[قيمة الرسوم / العموله]]+Basic34567891011121314151617181920212223242526[[#This Row],[قيمة الشحنه]])</f>
        <v>0</v>
      </c>
      <c r="I223" s="90"/>
      <c r="J223" s="142" t="str">
        <f t="shared" si="3"/>
        <v>7.5.2026</v>
      </c>
      <c r="L223" s="153">
        <v>212</v>
      </c>
      <c r="M223" s="92"/>
    </row>
    <row r="224" spans="1:13" ht="21.6" x14ac:dyDescent="0.65">
      <c r="A224" s="195"/>
      <c r="B224" s="140">
        <v>221</v>
      </c>
      <c r="C224" s="2"/>
      <c r="D224" s="1"/>
      <c r="E224" s="3"/>
      <c r="F224" s="1"/>
      <c r="G224" s="141">
        <f>IF(Basic34567891011121314151617181920212223242526[[#This Row],[نوع الخدمة]]="مخالفات", 50,
IF(Basic34567891011121314151617181920212223242526[[#This Row],[نوع الخدمة]]="كاش ان",
    IF(F224&lt;=100, 18, IF(F224&lt;=250, 23, IF(F224&lt;=500, 35, IF(F224&lt;=1000, 40, F224*0.04)))),
IF(Basic34567891011121314151617181920212223242526[[#This Row],[نوع الخدمة]]="كاش اوت",
    IF(F224&lt;=100, 15, IF(F224&lt;=250, 20, IF(F224&lt;=500, 30, IF(F224&lt;=1000, 35, F224*0.035)))),
0)))</f>
        <v>0</v>
      </c>
      <c r="H224" s="159">
        <f>IF(I224="مخالفات",50,Basic34567891011121314151617181920212223242526[[#This Row],[قيمة الرسوم / العموله]]+Basic34567891011121314151617181920212223242526[[#This Row],[قيمة الشحنه]])</f>
        <v>0</v>
      </c>
      <c r="I224" s="90"/>
      <c r="J224" s="142" t="str">
        <f t="shared" si="3"/>
        <v>7.5.2026</v>
      </c>
      <c r="L224" s="153">
        <v>213</v>
      </c>
      <c r="M224" s="92"/>
    </row>
    <row r="225" spans="1:13" ht="21.6" x14ac:dyDescent="0.65">
      <c r="A225" s="195"/>
      <c r="B225" s="144">
        <v>222</v>
      </c>
      <c r="C225" s="2"/>
      <c r="D225" s="1"/>
      <c r="E225" s="3"/>
      <c r="F225" s="1"/>
      <c r="G225" s="141">
        <f>IF(Basic34567891011121314151617181920212223242526[[#This Row],[نوع الخدمة]]="مخالفات", 50,
IF(Basic34567891011121314151617181920212223242526[[#This Row],[نوع الخدمة]]="كاش ان",
    IF(F225&lt;=100, 18, IF(F225&lt;=250, 23, IF(F225&lt;=500, 35, IF(F225&lt;=1000, 40, F225*0.04)))),
IF(Basic34567891011121314151617181920212223242526[[#This Row],[نوع الخدمة]]="كاش اوت",
    IF(F225&lt;=100, 15, IF(F225&lt;=250, 20, IF(F225&lt;=500, 30, IF(F225&lt;=1000, 35, F225*0.035)))),
0)))</f>
        <v>0</v>
      </c>
      <c r="H225" s="159">
        <f>IF(I225="مخالفات",50,Basic34567891011121314151617181920212223242526[[#This Row],[قيمة الرسوم / العموله]]+Basic34567891011121314151617181920212223242526[[#This Row],[قيمة الشحنه]])</f>
        <v>0</v>
      </c>
      <c r="I225" s="90"/>
      <c r="J225" s="142" t="str">
        <f t="shared" si="3"/>
        <v>7.5.2026</v>
      </c>
      <c r="L225" s="153">
        <v>214</v>
      </c>
      <c r="M225" s="92"/>
    </row>
    <row r="226" spans="1:13" ht="21.6" x14ac:dyDescent="0.65">
      <c r="A226" s="195"/>
      <c r="B226" s="140">
        <v>223</v>
      </c>
      <c r="C226" s="4"/>
      <c r="D226" s="5"/>
      <c r="E226" s="6"/>
      <c r="F226" s="5"/>
      <c r="G226" s="141">
        <f>IF(Basic34567891011121314151617181920212223242526[[#This Row],[نوع الخدمة]]="مخالفات", 50,
IF(Basic34567891011121314151617181920212223242526[[#This Row],[نوع الخدمة]]="كاش ان",
    IF(F226&lt;=100, 18, IF(F226&lt;=250, 23, IF(F226&lt;=500, 35, IF(F226&lt;=1000, 40, F226*0.04)))),
IF(Basic34567891011121314151617181920212223242526[[#This Row],[نوع الخدمة]]="كاش اوت",
    IF(F226&lt;=100, 15, IF(F226&lt;=250, 20, IF(F226&lt;=500, 30, IF(F226&lt;=1000, 35, F226*0.035)))),
0)))</f>
        <v>0</v>
      </c>
      <c r="H226" s="160">
        <f>IF(I226="مخالفات",50,Basic34567891011121314151617181920212223242526[[#This Row],[قيمة الرسوم / العموله]]+Basic34567891011121314151617181920212223242526[[#This Row],[قيمة الشحنه]])</f>
        <v>0</v>
      </c>
      <c r="I226" s="90"/>
      <c r="J226" s="142" t="str">
        <f t="shared" si="3"/>
        <v>7.5.2026</v>
      </c>
      <c r="L226" s="156">
        <v>215</v>
      </c>
      <c r="M226" s="93"/>
    </row>
  </sheetData>
  <sheetProtection algorithmName="SHA-512" hashValue="+LhF3mWO3xi0CAbMYeCnbDyOdiZEymATrt30TQtyJiw6d42LA7OyzAi1a2G5Vvu3q+/BTkarMObh/Dp7luTQPQ==" saltValue="uIy7v1iLiz5OvQ/2qbFcHg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99" priority="15" operator="equal">
      <formula>$BH$10</formula>
    </cfRule>
    <cfRule type="cellIs" dxfId="98" priority="16" operator="equal">
      <formula>$BH$9</formula>
    </cfRule>
    <cfRule type="cellIs" dxfId="97" priority="17" operator="equal">
      <formula>$BH$8</formula>
    </cfRule>
  </conditionalFormatting>
  <conditionalFormatting sqref="P11">
    <cfRule type="cellIs" dxfId="96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{9ACC5EFD-EABA-4BDB-BFA0-9754AE987034}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{4F28E4C9-BE5A-4CFA-95E0-DE296DAB3668}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{49FC4CD2-5ED7-44A6-8805-A8F4E21CC703}</x14:id>
        </ext>
      </extLst>
    </cfRule>
  </conditionalFormatting>
  <dataValidations count="2">
    <dataValidation type="list" allowBlank="1" showInputMessage="1" showErrorMessage="1" sqref="I4:I226" xr:uid="{00000000-0002-0000-0600-000000000000}">
      <formula1>$BH$8:$BH$10</formula1>
    </dataValidation>
    <dataValidation type="textLength" operator="equal" allowBlank="1" showInputMessage="1" showErrorMessage="1" errorTitle="يجب إخال رقم IPN صحيح 13 رقم" sqref="C1:C1048576" xr:uid="{00000000-0002-0000-0600-000001000000}">
      <formula1>13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ACC5EFD-EABA-4BDB-BFA0-9754AE98703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4F28E4C9-BE5A-4CFA-95E0-DE296DAB3668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49FC4CD2-5ED7-44A6-8805-A8F4E21CC703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H226"/>
  <sheetViews>
    <sheetView showGridLines="0" showRowColHeaders="0" rightToLeft="1" topLeftCell="F1" zoomScale="80" zoomScaleNormal="80" workbookViewId="0">
      <selection activeCell="R10" sqref="R10:W10"/>
    </sheetView>
  </sheetViews>
  <sheetFormatPr defaultColWidth="9.109375" defaultRowHeight="14.4" x14ac:dyDescent="0.3"/>
  <cols>
    <col min="1" max="1" width="4.109375" style="124" customWidth="1"/>
    <col min="2" max="2" width="6.5546875" style="125" bestFit="1" customWidth="1"/>
    <col min="3" max="3" width="29.33203125" style="126" customWidth="1"/>
    <col min="4" max="4" width="15.6640625" style="124" customWidth="1"/>
    <col min="5" max="5" width="17.5546875" style="157" customWidth="1"/>
    <col min="6" max="6" width="12.88671875" style="124" bestFit="1" customWidth="1"/>
    <col min="7" max="7" width="19" style="124" bestFit="1" customWidth="1"/>
    <col min="8" max="8" width="19" style="124" customWidth="1"/>
    <col min="9" max="9" width="12.44140625" style="128" bestFit="1" customWidth="1"/>
    <col min="10" max="10" width="17.5546875" style="129" customWidth="1"/>
    <col min="11" max="11" width="3.5546875" style="124" customWidth="1"/>
    <col min="12" max="12" width="8.5546875" style="124" bestFit="1" customWidth="1"/>
    <col min="13" max="13" width="24.5546875" style="124" customWidth="1"/>
    <col min="14" max="14" width="3.88671875" style="124" customWidth="1"/>
    <col min="15" max="15" width="26.5546875" style="124" bestFit="1" customWidth="1"/>
    <col min="16" max="16" width="10.88671875" style="124" bestFit="1" customWidth="1"/>
    <col min="17" max="17" width="3.5546875" style="124" customWidth="1"/>
    <col min="18" max="19" width="16.5546875" style="128" customWidth="1"/>
    <col min="20" max="20" width="11.5546875" style="128" bestFit="1" customWidth="1"/>
    <col min="21" max="22" width="11.109375" style="128" customWidth="1"/>
    <col min="23" max="23" width="8.5546875" style="128" customWidth="1"/>
    <col min="24" max="24" width="12.6640625" style="128" customWidth="1"/>
    <col min="25" max="25" width="9.109375" style="128"/>
    <col min="26" max="16384" width="9.109375" style="124"/>
  </cols>
  <sheetData>
    <row r="1" spans="1:60" x14ac:dyDescent="0.3">
      <c r="E1" s="127">
        <f>Total!F5</f>
        <v>69</v>
      </c>
      <c r="F1" s="192" t="str">
        <f>Total!G5</f>
        <v>العبور</v>
      </c>
      <c r="G1" s="192"/>
      <c r="H1" s="192"/>
    </row>
    <row r="3" spans="1:60" ht="15.6" x14ac:dyDescent="0.3">
      <c r="B3" s="130" t="s">
        <v>0</v>
      </c>
      <c r="C3" s="131" t="s">
        <v>1</v>
      </c>
      <c r="D3" s="132" t="s">
        <v>2</v>
      </c>
      <c r="E3" s="133" t="s">
        <v>3</v>
      </c>
      <c r="F3" s="132" t="s">
        <v>4</v>
      </c>
      <c r="G3" s="132" t="s">
        <v>5</v>
      </c>
      <c r="H3" s="132" t="s">
        <v>76</v>
      </c>
      <c r="I3" s="132" t="s">
        <v>6</v>
      </c>
      <c r="J3" s="134" t="s">
        <v>7</v>
      </c>
      <c r="L3" s="135" t="s">
        <v>7</v>
      </c>
      <c r="M3" s="136" t="s">
        <v>93</v>
      </c>
      <c r="O3" s="137" t="s">
        <v>17</v>
      </c>
      <c r="P3" s="138">
        <f>M5+M6</f>
        <v>0</v>
      </c>
      <c r="T3" s="173"/>
      <c r="U3" s="173"/>
      <c r="V3" s="173"/>
      <c r="W3" s="173"/>
      <c r="X3" s="173"/>
    </row>
    <row r="4" spans="1:60" ht="21.6" x14ac:dyDescent="0.65">
      <c r="A4" s="195"/>
      <c r="B4" s="140">
        <v>1</v>
      </c>
      <c r="C4" s="8"/>
      <c r="D4" s="9"/>
      <c r="E4" s="10"/>
      <c r="F4" s="9"/>
      <c r="G4" s="141">
        <f>IF(Basic345678910111213141516171819202122232425[[#This Row],[نوع الخدمة]]="مخالفات", 50,
IF(Basic345678910111213141516171819202122232425[[#This Row],[نوع الخدمة]]="كاش ان",
    IF(F4&lt;=100, 18, IF(F4&lt;=250, 23, IF(F4&lt;=500, 35, IF(F4&lt;=1000, 40, F4*0.04)))),
IF(Basic345678910111213141516171819202122232425[[#This Row],[نوع الخدمة]]="كاش اوت",
    IF(F4&lt;=100, 15, IF(F4&lt;=250, 20, IF(F4&lt;=500, 30, IF(F4&lt;=1000, 35, F4*0.035)))),
0)))</f>
        <v>0</v>
      </c>
      <c r="H4" s="141">
        <f>IF(I4="مخالفات",50,Basic345678910111213141516171819202122232425[[#This Row],[قيمة الرسوم / العموله]]+Basic345678910111213141516171819202122232425[[#This Row],[قيمة الشحنه]])</f>
        <v>0</v>
      </c>
      <c r="I4" s="90"/>
      <c r="J4" s="142" t="str">
        <f t="shared" ref="J4:J67" si="0">M$3</f>
        <v>8.5.2026</v>
      </c>
      <c r="L4" s="135" t="s">
        <v>26</v>
      </c>
      <c r="M4" s="90">
        <v>0</v>
      </c>
      <c r="O4" s="137" t="s">
        <v>18</v>
      </c>
      <c r="P4" s="138">
        <f>M4</f>
        <v>0</v>
      </c>
      <c r="S4" s="143" t="s">
        <v>22</v>
      </c>
      <c r="T4" s="143" t="s">
        <v>23</v>
      </c>
      <c r="U4" s="173"/>
      <c r="V4" s="173"/>
      <c r="W4" s="173"/>
      <c r="X4" s="173"/>
    </row>
    <row r="5" spans="1:60" ht="21.6" x14ac:dyDescent="0.65">
      <c r="A5" s="195"/>
      <c r="B5" s="144">
        <v>2</v>
      </c>
      <c r="C5" s="8"/>
      <c r="D5" s="9"/>
      <c r="E5" s="10"/>
      <c r="F5" s="9"/>
      <c r="G5" s="141">
        <f>IF(Basic345678910111213141516171819202122232425[[#This Row],[نوع الخدمة]]="مخالفات", 50,
IF(Basic345678910111213141516171819202122232425[[#This Row],[نوع الخدمة]]="كاش ان",
    IF(F5&lt;=100, 18, IF(F5&lt;=250, 23, IF(F5&lt;=500, 35, IF(F5&lt;=1000, 40, F5*0.04)))),
IF(Basic345678910111213141516171819202122232425[[#This Row],[نوع الخدمة]]="كاش اوت",
    IF(F5&lt;=100, 15, IF(F5&lt;=250, 20, IF(F5&lt;=500, 30, IF(F5&lt;=1000, 35, F5*0.035)))),
0)))</f>
        <v>0</v>
      </c>
      <c r="H5" s="141">
        <f>IF(I5="مخالفات",50,Basic345678910111213141516171819202122232425[[#This Row],[قيمة الرسوم / العموله]]+Basic345678910111213141516171819202122232425[[#This Row],[قيمة الشحنه]])</f>
        <v>0</v>
      </c>
      <c r="I5" s="90"/>
      <c r="J5" s="142" t="str">
        <f t="shared" si="0"/>
        <v>8.5.2026</v>
      </c>
      <c r="L5" s="135" t="s">
        <v>27</v>
      </c>
      <c r="M5" s="90"/>
      <c r="O5" s="137" t="s">
        <v>19</v>
      </c>
      <c r="P5" s="138">
        <f>SUMIF(Basic345678910111213141516171819202122232425[نوع الخدمة],"كاش ان",Basic345678910111213141516171819202122232425[قيمة الشحنه])</f>
        <v>0</v>
      </c>
      <c r="S5" s="145">
        <f>P5+P9+P12+P7</f>
        <v>0</v>
      </c>
      <c r="T5" s="145">
        <f>P3</f>
        <v>0</v>
      </c>
    </row>
    <row r="6" spans="1:60" ht="21.6" x14ac:dyDescent="0.65">
      <c r="A6" s="195"/>
      <c r="B6" s="140">
        <v>3</v>
      </c>
      <c r="C6" s="8"/>
      <c r="D6" s="9"/>
      <c r="E6" s="10"/>
      <c r="F6" s="9"/>
      <c r="G6" s="141">
        <f>IF(Basic345678910111213141516171819202122232425[[#This Row],[نوع الخدمة]]="مخالفات", 50,
IF(Basic345678910111213141516171819202122232425[[#This Row],[نوع الخدمة]]="كاش ان",
    IF(F6&lt;=100, 18, IF(F6&lt;=250, 23, IF(F6&lt;=500, 35, IF(F6&lt;=1000, 40, F6*0.04)))),
IF(Basic345678910111213141516171819202122232425[[#This Row],[نوع الخدمة]]="كاش اوت",
    IF(F6&lt;=100, 15, IF(F6&lt;=250, 20, IF(F6&lt;=500, 30, IF(F6&lt;=1000, 35, F6*0.035)))),
0)))</f>
        <v>0</v>
      </c>
      <c r="H6" s="141">
        <f>IF(I6="مخالفات",50,Basic345678910111213141516171819202122232425[[#This Row],[قيمة الرسوم / العموله]]+Basic345678910111213141516171819202122232425[[#This Row],[قيمة الشحنه]])</f>
        <v>0</v>
      </c>
      <c r="I6" s="90"/>
      <c r="J6" s="142" t="str">
        <f t="shared" si="0"/>
        <v>8.5.2026</v>
      </c>
      <c r="L6" s="135" t="s">
        <v>28</v>
      </c>
      <c r="M6" s="90"/>
      <c r="O6" s="146" t="s">
        <v>12</v>
      </c>
      <c r="P6" s="138">
        <f>P3*150</f>
        <v>0</v>
      </c>
    </row>
    <row r="7" spans="1:60" ht="21.6" x14ac:dyDescent="0.65">
      <c r="A7" s="195"/>
      <c r="B7" s="140">
        <v>4</v>
      </c>
      <c r="C7" s="8"/>
      <c r="D7" s="9"/>
      <c r="E7" s="10"/>
      <c r="F7" s="9"/>
      <c r="G7" s="141">
        <f>IF(Basic345678910111213141516171819202122232425[[#This Row],[نوع الخدمة]]="مخالفات", 50,
IF(Basic345678910111213141516171819202122232425[[#This Row],[نوع الخدمة]]="كاش ان",
    IF(F7&lt;=100, 18, IF(F7&lt;=250, 23, IF(F7&lt;=500, 35, IF(F7&lt;=1000, 40, F7*0.04)))),
IF(Basic345678910111213141516171819202122232425[[#This Row],[نوع الخدمة]]="كاش اوت",
    IF(F7&lt;=100, 15, IF(F7&lt;=250, 20, IF(F7&lt;=500, 30, IF(F7&lt;=1000, 35, F7*0.035)))),
0)))</f>
        <v>0</v>
      </c>
      <c r="H7" s="141">
        <f>IF(I7="مخالفات",50,Basic345678910111213141516171819202122232425[[#This Row],[قيمة الرسوم / العموله]]+Basic345678910111213141516171819202122232425[[#This Row],[قيمة الشحنه]])</f>
        <v>0</v>
      </c>
      <c r="I7" s="90"/>
      <c r="J7" s="142" t="str">
        <f t="shared" si="0"/>
        <v>8.5.2026</v>
      </c>
      <c r="L7" s="137" t="s">
        <v>11</v>
      </c>
      <c r="M7" s="165"/>
      <c r="O7" s="146" t="s">
        <v>75</v>
      </c>
      <c r="P7" s="138">
        <f>SUMIF(Basic345678910111213141516171819202122232425[نوع الخدمة],"مخالفات",Basic345678910111213141516171819202122232425[الاجمــــــــــالي])</f>
        <v>0</v>
      </c>
      <c r="R7" s="173"/>
      <c r="S7" s="173"/>
    </row>
    <row r="8" spans="1:60" ht="21.6" x14ac:dyDescent="0.65">
      <c r="A8" s="195"/>
      <c r="B8" s="140">
        <v>5</v>
      </c>
      <c r="C8" s="8"/>
      <c r="D8" s="9"/>
      <c r="E8" s="10"/>
      <c r="F8" s="9"/>
      <c r="G8" s="141">
        <f>IF(Basic345678910111213141516171819202122232425[[#This Row],[نوع الخدمة]]="مخالفات", 50,
IF(Basic345678910111213141516171819202122232425[[#This Row],[نوع الخدمة]]="كاش ان",
    IF(F8&lt;=100, 18, IF(F8&lt;=250, 23, IF(F8&lt;=500, 35, IF(F8&lt;=1000, 40, F8*0.04)))),
IF(Basic345678910111213141516171819202122232425[[#This Row],[نوع الخدمة]]="كاش اوت",
    IF(F8&lt;=100, 15, IF(F8&lt;=250, 20, IF(F8&lt;=500, 30, IF(F8&lt;=1000, 35, F8*0.035)))),
0)))</f>
        <v>0</v>
      </c>
      <c r="H8" s="141">
        <f>IF(I8="مخالفات",50,Basic345678910111213141516171819202122232425[[#This Row],[قيمة الرسوم / العموله]]+Basic345678910111213141516171819202122232425[[#This Row],[قيمة الشحنه]])</f>
        <v>0</v>
      </c>
      <c r="I8" s="90"/>
      <c r="J8" s="142" t="str">
        <f t="shared" si="0"/>
        <v>8.5.2026</v>
      </c>
      <c r="L8" s="166" t="s">
        <v>79</v>
      </c>
      <c r="M8" s="167">
        <v>0</v>
      </c>
      <c r="O8" s="137" t="s">
        <v>11</v>
      </c>
      <c r="P8" s="138">
        <f>M7</f>
        <v>0</v>
      </c>
      <c r="R8" s="143" t="s">
        <v>72</v>
      </c>
      <c r="S8" s="143" t="s">
        <v>25</v>
      </c>
      <c r="T8" s="143" t="s">
        <v>24</v>
      </c>
      <c r="U8" s="143" t="s">
        <v>73</v>
      </c>
      <c r="V8" s="143" t="s">
        <v>25</v>
      </c>
      <c r="W8" s="143" t="s">
        <v>24</v>
      </c>
      <c r="BH8" s="148" t="s">
        <v>8</v>
      </c>
    </row>
    <row r="9" spans="1:60" ht="18" customHeight="1" x14ac:dyDescent="0.65">
      <c r="A9" s="195"/>
      <c r="B9" s="144">
        <v>6</v>
      </c>
      <c r="C9" s="8"/>
      <c r="D9" s="9"/>
      <c r="E9" s="10"/>
      <c r="F9" s="9"/>
      <c r="G9" s="141">
        <f>IF(Basic345678910111213141516171819202122232425[[#This Row],[نوع الخدمة]]="مخالفات", 50,
IF(Basic345678910111213141516171819202122232425[[#This Row],[نوع الخدمة]]="كاش ان",
    IF(F9&lt;=100, 18, IF(F9&lt;=250, 23, IF(F9&lt;=500, 35, IF(F9&lt;=1000, 40, F9*0.04)))),
IF(Basic345678910111213141516171819202122232425[[#This Row],[نوع الخدمة]]="كاش اوت",
    IF(F9&lt;=100, 15, IF(F9&lt;=250, 20, IF(F9&lt;=500, 30, IF(F9&lt;=1000, 35, F9*0.035)))),
0)))</f>
        <v>0</v>
      </c>
      <c r="H9" s="141">
        <f>IF(I9="مخالفات",50,Basic345678910111213141516171819202122232425[[#This Row],[قيمة الرسوم / العموله]]+Basic345678910111213141516171819202122232425[[#This Row],[قيمة الشحنه]])</f>
        <v>0</v>
      </c>
      <c r="I9" s="90"/>
      <c r="J9" s="142" t="str">
        <f t="shared" si="0"/>
        <v>8.5.2026</v>
      </c>
      <c r="L9" s="166" t="s">
        <v>80</v>
      </c>
      <c r="M9" s="167">
        <v>0</v>
      </c>
      <c r="O9" s="137" t="s">
        <v>20</v>
      </c>
      <c r="P9" s="138">
        <f>SUMIF(Basic345678910111213141516171819202122232425[نوع الخدمة],"كاش ان",Basic345678910111213141516171819202122232425[قيمة الرسوم / العموله])</f>
        <v>0</v>
      </c>
      <c r="R9" s="149">
        <f>Total!H5/24</f>
        <v>29166.666666666668</v>
      </c>
      <c r="S9" s="149">
        <f>S5</f>
        <v>0</v>
      </c>
      <c r="T9" s="150">
        <f>S9/R9</f>
        <v>0</v>
      </c>
      <c r="U9" s="149">
        <f>Total!K5/24</f>
        <v>2.9166666666666665</v>
      </c>
      <c r="V9" s="149">
        <f>T5</f>
        <v>0</v>
      </c>
      <c r="W9" s="150">
        <f>V9/U9</f>
        <v>0</v>
      </c>
      <c r="BH9" s="148" t="s">
        <v>9</v>
      </c>
    </row>
    <row r="10" spans="1:60" ht="21.6" x14ac:dyDescent="0.65">
      <c r="A10" s="195"/>
      <c r="B10" s="140">
        <v>7</v>
      </c>
      <c r="C10" s="8"/>
      <c r="D10" s="9"/>
      <c r="E10" s="10"/>
      <c r="F10" s="9"/>
      <c r="G10" s="141">
        <f>IF(Basic345678910111213141516171819202122232425[[#This Row],[نوع الخدمة]]="مخالفات", 50,
IF(Basic345678910111213141516171819202122232425[[#This Row],[نوع الخدمة]]="كاش ان",
    IF(F10&lt;=100, 18, IF(F10&lt;=250, 23, IF(F10&lt;=500, 35, IF(F10&lt;=1000, 40, F10*0.04)))),
IF(Basic345678910111213141516171819202122232425[[#This Row],[نوع الخدمة]]="كاش اوت",
    IF(F10&lt;=100, 15, IF(F10&lt;=250, 20, IF(F10&lt;=500, 30, IF(F10&lt;=1000, 35, F10*0.035)))),
0)))</f>
        <v>0</v>
      </c>
      <c r="H10" s="141">
        <f>IF(I10="مخالفات",50,Basic345678910111213141516171819202122232425[[#This Row],[قيمة الرسوم / العموله]]+Basic345678910111213141516171819202122232425[[#This Row],[قيمة الشحنه]])</f>
        <v>0</v>
      </c>
      <c r="I10" s="90"/>
      <c r="J10" s="142" t="str">
        <f t="shared" si="0"/>
        <v>8.5.2026</v>
      </c>
      <c r="O10" s="137" t="s">
        <v>16</v>
      </c>
      <c r="P10" s="138">
        <f>SUMIF(Basic345678910111213141516171819202122232425[نوع الخدمة],"كاش اوت",Basic345678910111213141516171819202122232425[قيمة الشحنه])</f>
        <v>0</v>
      </c>
      <c r="R10" s="191">
        <f>(W9+T9)/2</f>
        <v>0</v>
      </c>
      <c r="S10" s="191"/>
      <c r="T10" s="191"/>
      <c r="U10" s="191"/>
      <c r="V10" s="191"/>
      <c r="W10" s="191"/>
      <c r="BH10" s="148" t="s">
        <v>10</v>
      </c>
    </row>
    <row r="11" spans="1:60" ht="21.6" x14ac:dyDescent="0.65">
      <c r="A11" s="195"/>
      <c r="B11" s="140">
        <v>8</v>
      </c>
      <c r="C11" s="8"/>
      <c r="D11" s="9"/>
      <c r="E11" s="10"/>
      <c r="F11" s="9"/>
      <c r="G11" s="141">
        <f>IF(Basic345678910111213141516171819202122232425[[#This Row],[نوع الخدمة]]="مخالفات", 50,
IF(Basic345678910111213141516171819202122232425[[#This Row],[نوع الخدمة]]="كاش ان",
    IF(F11&lt;=100, 18, IF(F11&lt;=250, 23, IF(F11&lt;=500, 35, IF(F11&lt;=1000, 40, F11*0.04)))),
IF(Basic345678910111213141516171819202122232425[[#This Row],[نوع الخدمة]]="كاش اوت",
    IF(F11&lt;=100, 15, IF(F11&lt;=250, 20, IF(F11&lt;=500, 30, IF(F11&lt;=1000, 35, F11*0.035)))),
0)))</f>
        <v>0</v>
      </c>
      <c r="H11" s="141">
        <f>IF(I11="مخالفات",50,Basic345678910111213141516171819202122232425[[#This Row],[قيمة الرسوم / العموله]]+Basic345678910111213141516171819202122232425[[#This Row],[قيمة الشحنه]])</f>
        <v>0</v>
      </c>
      <c r="I11" s="90"/>
      <c r="J11" s="142" t="str">
        <f t="shared" si="0"/>
        <v>8.5.2026</v>
      </c>
      <c r="L11" s="169" t="s">
        <v>77</v>
      </c>
      <c r="M11" s="168" t="s">
        <v>78</v>
      </c>
      <c r="O11" s="151" t="s">
        <v>21</v>
      </c>
      <c r="P11" s="152">
        <f>(P5+P6+P9+P7+P4)-P10-P8</f>
        <v>0</v>
      </c>
      <c r="T11" s="173"/>
    </row>
    <row r="12" spans="1:60" ht="21.6" x14ac:dyDescent="0.65">
      <c r="A12" s="195"/>
      <c r="B12" s="140">
        <v>9</v>
      </c>
      <c r="C12" s="8"/>
      <c r="D12" s="9"/>
      <c r="E12" s="10"/>
      <c r="F12" s="9"/>
      <c r="G12" s="141">
        <f>IF(Basic345678910111213141516171819202122232425[[#This Row],[نوع الخدمة]]="مخالفات", 50,
IF(Basic345678910111213141516171819202122232425[[#This Row],[نوع الخدمة]]="كاش ان",
    IF(F12&lt;=100, 18, IF(F12&lt;=250, 23, IF(F12&lt;=500, 35, IF(F12&lt;=1000, 40, F12*0.04)))),
IF(Basic345678910111213141516171819202122232425[[#This Row],[نوع الخدمة]]="كاش اوت",
    IF(F12&lt;=100, 15, IF(F12&lt;=250, 20, IF(F12&lt;=500, 30, IF(F12&lt;=1000, 35, F12*0.035)))),
0)))</f>
        <v>0</v>
      </c>
      <c r="H12" s="141">
        <f>IF(I12="مخالفات",50,Basic345678910111213141516171819202122232425[[#This Row],[قيمة الرسوم / العموله]]+Basic345678910111213141516171819202122232425[[#This Row],[قيمة الشحنه]])</f>
        <v>0</v>
      </c>
      <c r="I12" s="90"/>
      <c r="J12" s="142" t="str">
        <f t="shared" si="0"/>
        <v>8.5.2026</v>
      </c>
      <c r="L12" s="153">
        <v>1</v>
      </c>
      <c r="M12" s="91"/>
      <c r="O12" s="137" t="s">
        <v>29</v>
      </c>
      <c r="P12" s="138">
        <f>SUMIF(Basic345678910111213141516171819202122232425[نوع الخدمة],"كاش اوت",Basic345678910111213141516171819202122232425[الاجمــــــــــالي])</f>
        <v>0</v>
      </c>
    </row>
    <row r="13" spans="1:60" ht="21.6" x14ac:dyDescent="0.65">
      <c r="A13" s="195"/>
      <c r="B13" s="144">
        <v>10</v>
      </c>
      <c r="C13" s="8"/>
      <c r="D13" s="9"/>
      <c r="E13" s="10"/>
      <c r="F13" s="9"/>
      <c r="G13" s="141">
        <f>IF(Basic345678910111213141516171819202122232425[[#This Row],[نوع الخدمة]]="مخالفات", 50,
IF(Basic345678910111213141516171819202122232425[[#This Row],[نوع الخدمة]]="كاش ان",
    IF(F13&lt;=100, 18, IF(F13&lt;=250, 23, IF(F13&lt;=500, 35, IF(F13&lt;=1000, 40, F13*0.04)))),
IF(Basic345678910111213141516171819202122232425[[#This Row],[نوع الخدمة]]="كاش اوت",
    IF(F13&lt;=100, 15, IF(F13&lt;=250, 20, IF(F13&lt;=500, 30, IF(F13&lt;=1000, 35, F13*0.035)))),
0)))</f>
        <v>0</v>
      </c>
      <c r="H13" s="141">
        <f>IF(I13="مخالفات",50,Basic345678910111213141516171819202122232425[[#This Row],[قيمة الرسوم / العموله]]+Basic345678910111213141516171819202122232425[[#This Row],[قيمة الشحنه]])</f>
        <v>0</v>
      </c>
      <c r="I13" s="90"/>
      <c r="J13" s="142" t="str">
        <f t="shared" si="0"/>
        <v>8.5.2026</v>
      </c>
      <c r="L13" s="153">
        <v>2</v>
      </c>
      <c r="M13" s="92"/>
    </row>
    <row r="14" spans="1:60" ht="21.6" x14ac:dyDescent="0.65">
      <c r="A14" s="195"/>
      <c r="B14" s="140">
        <v>11</v>
      </c>
      <c r="C14" s="2"/>
      <c r="D14" s="1"/>
      <c r="E14" s="3"/>
      <c r="F14" s="1"/>
      <c r="G14" s="141">
        <f>IF(Basic345678910111213141516171819202122232425[[#This Row],[نوع الخدمة]]="مخالفات", 50,
IF(Basic345678910111213141516171819202122232425[[#This Row],[نوع الخدمة]]="كاش ان",
    IF(F14&lt;=100, 18, IF(F14&lt;=250, 23, IF(F14&lt;=500, 35, IF(F14&lt;=1000, 40, F14*0.04)))),
IF(Basic345678910111213141516171819202122232425[[#This Row],[نوع الخدمة]]="كاش اوت",
    IF(F14&lt;=100, 15, IF(F14&lt;=250, 20, IF(F14&lt;=500, 30, IF(F14&lt;=1000, 35, F14*0.035)))),
0)))</f>
        <v>0</v>
      </c>
      <c r="H14" s="159">
        <f>IF(I14="مخالفات",50,Basic345678910111213141516171819202122232425[[#This Row],[قيمة الرسوم / العموله]]+Basic345678910111213141516171819202122232425[[#This Row],[قيمة الشحنه]])</f>
        <v>0</v>
      </c>
      <c r="I14" s="90"/>
      <c r="J14" s="142" t="str">
        <f t="shared" si="0"/>
        <v>8.5.2026</v>
      </c>
      <c r="L14" s="153">
        <v>3</v>
      </c>
      <c r="M14" s="92"/>
    </row>
    <row r="15" spans="1:60" ht="21.6" x14ac:dyDescent="0.65">
      <c r="A15" s="195"/>
      <c r="B15" s="140">
        <v>12</v>
      </c>
      <c r="C15" s="2"/>
      <c r="D15" s="1"/>
      <c r="E15" s="3"/>
      <c r="F15" s="1"/>
      <c r="G15" s="141">
        <f>IF(Basic345678910111213141516171819202122232425[[#This Row],[نوع الخدمة]]="مخالفات", 50,
IF(Basic345678910111213141516171819202122232425[[#This Row],[نوع الخدمة]]="كاش ان",
    IF(F15&lt;=100, 18, IF(F15&lt;=250, 23, IF(F15&lt;=500, 35, IF(F15&lt;=1000, 40, F15*0.04)))),
IF(Basic345678910111213141516171819202122232425[[#This Row],[نوع الخدمة]]="كاش اوت",
    IF(F15&lt;=100, 15, IF(F15&lt;=250, 20, IF(F15&lt;=500, 30, IF(F15&lt;=1000, 35, F15*0.035)))),
0)))</f>
        <v>0</v>
      </c>
      <c r="H15" s="159">
        <f>IF(I15="مخالفات",50,Basic345678910111213141516171819202122232425[[#This Row],[قيمة الرسوم / العموله]]+Basic345678910111213141516171819202122232425[[#This Row],[قيمة الشحنه]])</f>
        <v>0</v>
      </c>
      <c r="I15" s="90"/>
      <c r="J15" s="142" t="str">
        <f t="shared" si="0"/>
        <v>8.5.2026</v>
      </c>
      <c r="L15" s="153">
        <v>4</v>
      </c>
      <c r="M15" s="92"/>
      <c r="O15" s="154" t="s">
        <v>10</v>
      </c>
      <c r="P15" s="155">
        <f>COUNTIF(Basic345678910111213141516171819202122232425[نوع الخدمة],"مخالفات")</f>
        <v>0</v>
      </c>
    </row>
    <row r="16" spans="1:60" ht="21.6" x14ac:dyDescent="0.65">
      <c r="A16" s="195"/>
      <c r="B16" s="140">
        <v>13</v>
      </c>
      <c r="C16" s="2"/>
      <c r="D16" s="1"/>
      <c r="E16" s="3"/>
      <c r="F16" s="1"/>
      <c r="G16" s="141">
        <f>IF(Basic345678910111213141516171819202122232425[[#This Row],[نوع الخدمة]]="مخالفات", 50,
IF(Basic345678910111213141516171819202122232425[[#This Row],[نوع الخدمة]]="كاش ان",
    IF(F16&lt;=100, 18, IF(F16&lt;=250, 23, IF(F16&lt;=500, 35, IF(F16&lt;=1000, 40, F16*0.04)))),
IF(Basic345678910111213141516171819202122232425[[#This Row],[نوع الخدمة]]="كاش اوت",
    IF(F16&lt;=100, 15, IF(F16&lt;=250, 20, IF(F16&lt;=500, 30, IF(F16&lt;=1000, 35, F16*0.035)))),
0)))</f>
        <v>0</v>
      </c>
      <c r="H16" s="159">
        <f>IF(I16="مخالفات",50,Basic345678910111213141516171819202122232425[[#This Row],[قيمة الرسوم / العموله]]+Basic345678910111213141516171819202122232425[[#This Row],[قيمة الشحنه]])</f>
        <v>0</v>
      </c>
      <c r="I16" s="90"/>
      <c r="J16" s="142" t="str">
        <f t="shared" si="0"/>
        <v>8.5.2026</v>
      </c>
      <c r="L16" s="153">
        <v>5</v>
      </c>
      <c r="M16" s="92"/>
      <c r="O16" s="154" t="s">
        <v>13</v>
      </c>
      <c r="P16" s="155">
        <f>COUNTIF(Basic345678910111213141516171819202122232425[نوع الخدمة],"كاش ان")</f>
        <v>0</v>
      </c>
    </row>
    <row r="17" spans="1:21" ht="21.6" x14ac:dyDescent="0.65">
      <c r="A17" s="195"/>
      <c r="B17" s="144">
        <v>14</v>
      </c>
      <c r="C17" s="2"/>
      <c r="D17" s="1"/>
      <c r="E17" s="3"/>
      <c r="F17" s="1"/>
      <c r="G17" s="141">
        <f>IF(Basic345678910111213141516171819202122232425[[#This Row],[نوع الخدمة]]="مخالفات", 50,
IF(Basic345678910111213141516171819202122232425[[#This Row],[نوع الخدمة]]="كاش ان",
    IF(F17&lt;=100, 18, IF(F17&lt;=250, 23, IF(F17&lt;=500, 35, IF(F17&lt;=1000, 40, F17*0.04)))),
IF(Basic345678910111213141516171819202122232425[[#This Row],[نوع الخدمة]]="كاش اوت",
    IF(F17&lt;=100, 15, IF(F17&lt;=250, 20, IF(F17&lt;=500, 30, IF(F17&lt;=1000, 35, F17*0.035)))),
0)))</f>
        <v>0</v>
      </c>
      <c r="H17" s="159">
        <f>IF(I17="مخالفات",50,Basic345678910111213141516171819202122232425[[#This Row],[قيمة الرسوم / العموله]]+Basic345678910111213141516171819202122232425[[#This Row],[قيمة الشحنه]])</f>
        <v>0</v>
      </c>
      <c r="I17" s="90"/>
      <c r="J17" s="142" t="str">
        <f t="shared" si="0"/>
        <v>8.5.2026</v>
      </c>
      <c r="L17" s="153">
        <v>6</v>
      </c>
      <c r="M17" s="92"/>
      <c r="O17" s="154" t="s">
        <v>14</v>
      </c>
      <c r="P17" s="155">
        <f>COUNTIF(Basic345678910111213141516171819202122232425[نوع الخدمة],"كاش اوت")</f>
        <v>0</v>
      </c>
    </row>
    <row r="18" spans="1:21" ht="21.6" x14ac:dyDescent="0.65">
      <c r="A18" s="195"/>
      <c r="B18" s="140">
        <v>15</v>
      </c>
      <c r="C18" s="2"/>
      <c r="D18" s="1"/>
      <c r="E18" s="3"/>
      <c r="F18" s="1"/>
      <c r="G18" s="141">
        <f>IF(Basic345678910111213141516171819202122232425[[#This Row],[نوع الخدمة]]="مخالفات", 50,
IF(Basic345678910111213141516171819202122232425[[#This Row],[نوع الخدمة]]="كاش ان",
    IF(F18&lt;=100, 18, IF(F18&lt;=250, 23, IF(F18&lt;=500, 35, IF(F18&lt;=1000, 40, F18*0.04)))),
IF(Basic345678910111213141516171819202122232425[[#This Row],[نوع الخدمة]]="كاش اوت",
    IF(F18&lt;=100, 15, IF(F18&lt;=250, 20, IF(F18&lt;=500, 30, IF(F18&lt;=1000, 35, F18*0.035)))),
0)))</f>
        <v>0</v>
      </c>
      <c r="H18" s="159">
        <f>IF(I18="مخالفات",50,Basic345678910111213141516171819202122232425[[#This Row],[قيمة الرسوم / العموله]]+Basic345678910111213141516171819202122232425[[#This Row],[قيمة الشحنه]])</f>
        <v>0</v>
      </c>
      <c r="I18" s="90"/>
      <c r="J18" s="142" t="str">
        <f t="shared" si="0"/>
        <v>8.5.2026</v>
      </c>
      <c r="L18" s="153">
        <v>7</v>
      </c>
      <c r="M18" s="92"/>
      <c r="O18" s="154" t="s">
        <v>15</v>
      </c>
      <c r="P18" s="155">
        <f>P16+P17</f>
        <v>0</v>
      </c>
    </row>
    <row r="19" spans="1:21" ht="21.6" x14ac:dyDescent="0.65">
      <c r="A19" s="195"/>
      <c r="B19" s="140">
        <v>16</v>
      </c>
      <c r="C19" s="2"/>
      <c r="D19" s="1"/>
      <c r="E19" s="3"/>
      <c r="F19" s="1"/>
      <c r="G19" s="141">
        <f>IF(Basic345678910111213141516171819202122232425[[#This Row],[نوع الخدمة]]="مخالفات", 50,
IF(Basic345678910111213141516171819202122232425[[#This Row],[نوع الخدمة]]="كاش ان",
    IF(F19&lt;=100, 18, IF(F19&lt;=250, 23, IF(F19&lt;=500, 35, IF(F19&lt;=1000, 40, F19*0.04)))),
IF(Basic345678910111213141516171819202122232425[[#This Row],[نوع الخدمة]]="كاش اوت",
    IF(F19&lt;=100, 15, IF(F19&lt;=250, 20, IF(F19&lt;=500, 30, IF(F19&lt;=1000, 35, F19*0.035)))),
0)))</f>
        <v>0</v>
      </c>
      <c r="H19" s="159">
        <f>IF(I19="مخالفات",50,Basic345678910111213141516171819202122232425[[#This Row],[قيمة الرسوم / العموله]]+Basic345678910111213141516171819202122232425[[#This Row],[قيمة الشحنه]])</f>
        <v>0</v>
      </c>
      <c r="I19" s="90"/>
      <c r="J19" s="142" t="str">
        <f t="shared" si="0"/>
        <v>8.5.2026</v>
      </c>
      <c r="L19" s="153">
        <v>8</v>
      </c>
      <c r="M19" s="92"/>
    </row>
    <row r="20" spans="1:21" ht="21.6" x14ac:dyDescent="0.65">
      <c r="A20" s="195"/>
      <c r="B20" s="140">
        <v>17</v>
      </c>
      <c r="C20" s="2"/>
      <c r="D20" s="1"/>
      <c r="E20" s="3"/>
      <c r="F20" s="1"/>
      <c r="G20" s="141">
        <f>IF(Basic345678910111213141516171819202122232425[[#This Row],[نوع الخدمة]]="مخالفات", 50,
IF(Basic345678910111213141516171819202122232425[[#This Row],[نوع الخدمة]]="كاش ان",
    IF(F20&lt;=100, 18, IF(F20&lt;=250, 23, IF(F20&lt;=500, 35, IF(F20&lt;=1000, 40, F20*0.04)))),
IF(Basic345678910111213141516171819202122232425[[#This Row],[نوع الخدمة]]="كاش اوت",
    IF(F20&lt;=100, 15, IF(F20&lt;=250, 20, IF(F20&lt;=500, 30, IF(F20&lt;=1000, 35, F20*0.035)))),
0)))</f>
        <v>0</v>
      </c>
      <c r="H20" s="159">
        <f>IF(I20="مخالفات",50,Basic345678910111213141516171819202122232425[[#This Row],[قيمة الرسوم / العموله]]+Basic345678910111213141516171819202122232425[[#This Row],[قيمة الشحنه]])</f>
        <v>0</v>
      </c>
      <c r="I20" s="90"/>
      <c r="J20" s="142" t="str">
        <f t="shared" si="0"/>
        <v>8.5.2026</v>
      </c>
      <c r="L20" s="153">
        <v>9</v>
      </c>
      <c r="M20" s="92"/>
      <c r="O20" s="193" t="s">
        <v>30</v>
      </c>
      <c r="P20" s="194"/>
    </row>
    <row r="21" spans="1:21" ht="21.6" x14ac:dyDescent="0.65">
      <c r="A21" s="195"/>
      <c r="B21" s="144">
        <v>18</v>
      </c>
      <c r="C21" s="2"/>
      <c r="D21" s="1"/>
      <c r="E21" s="3"/>
      <c r="F21" s="1"/>
      <c r="G21" s="141">
        <f>IF(Basic345678910111213141516171819202122232425[[#This Row],[نوع الخدمة]]="مخالفات", 50,
IF(Basic345678910111213141516171819202122232425[[#This Row],[نوع الخدمة]]="كاش ان",
    IF(F21&lt;=100, 18, IF(F21&lt;=250, 23, IF(F21&lt;=500, 35, IF(F21&lt;=1000, 40, F21*0.04)))),
IF(Basic345678910111213141516171819202122232425[[#This Row],[نوع الخدمة]]="كاش اوت",
    IF(F21&lt;=100, 15, IF(F21&lt;=250, 20, IF(F21&lt;=500, 30, IF(F21&lt;=1000, 35, F21*0.035)))),
0)))</f>
        <v>0</v>
      </c>
      <c r="H21" s="159">
        <f>IF(I21="مخالفات",50,Basic345678910111213141516171819202122232425[[#This Row],[قيمة الرسوم / العموله]]+Basic345678910111213141516171819202122232425[[#This Row],[قيمة الشحنه]])</f>
        <v>0</v>
      </c>
      <c r="I21" s="90"/>
      <c r="J21" s="142" t="str">
        <f t="shared" si="0"/>
        <v>8.5.2026</v>
      </c>
      <c r="L21" s="153">
        <v>10</v>
      </c>
      <c r="M21" s="92"/>
      <c r="O21" s="196" t="s">
        <v>31</v>
      </c>
      <c r="P21" s="197"/>
    </row>
    <row r="22" spans="1:21" ht="21.6" x14ac:dyDescent="0.65">
      <c r="A22" s="195"/>
      <c r="B22" s="140">
        <v>19</v>
      </c>
      <c r="C22" s="2"/>
      <c r="D22" s="1"/>
      <c r="E22" s="3"/>
      <c r="F22" s="1"/>
      <c r="G22" s="141">
        <f>IF(Basic345678910111213141516171819202122232425[[#This Row],[نوع الخدمة]]="مخالفات", 50,
IF(Basic345678910111213141516171819202122232425[[#This Row],[نوع الخدمة]]="كاش ان",
    IF(F22&lt;=100, 18, IF(F22&lt;=250, 23, IF(F22&lt;=500, 35, IF(F22&lt;=1000, 40, F22*0.04)))),
IF(Basic345678910111213141516171819202122232425[[#This Row],[نوع الخدمة]]="كاش اوت",
    IF(F22&lt;=100, 15, IF(F22&lt;=250, 20, IF(F22&lt;=500, 30, IF(F22&lt;=1000, 35, F22*0.035)))),
0)))</f>
        <v>0</v>
      </c>
      <c r="H22" s="159">
        <f>IF(I22="مخالفات",50,Basic345678910111213141516171819202122232425[[#This Row],[قيمة الرسوم / العموله]]+Basic345678910111213141516171819202122232425[[#This Row],[قيمة الشحنه]])</f>
        <v>0</v>
      </c>
      <c r="I22" s="90"/>
      <c r="J22" s="142" t="str">
        <f t="shared" si="0"/>
        <v>8.5.2026</v>
      </c>
      <c r="L22" s="153">
        <v>11</v>
      </c>
      <c r="M22" s="92"/>
      <c r="O22" s="147" t="s">
        <v>27</v>
      </c>
      <c r="P22" s="135">
        <f>M8+'7'!P28</f>
        <v>-4</v>
      </c>
    </row>
    <row r="23" spans="1:21" ht="21.6" x14ac:dyDescent="0.65">
      <c r="A23" s="195"/>
      <c r="B23" s="140">
        <v>20</v>
      </c>
      <c r="C23" s="2"/>
      <c r="D23" s="1"/>
      <c r="E23" s="3"/>
      <c r="F23" s="1"/>
      <c r="G23" s="141">
        <f>IF(Basic345678910111213141516171819202122232425[[#This Row],[نوع الخدمة]]="مخالفات", 50,
IF(Basic345678910111213141516171819202122232425[[#This Row],[نوع الخدمة]]="كاش ان",
    IF(F23&lt;=100, 18, IF(F23&lt;=250, 23, IF(F23&lt;=500, 35, IF(F23&lt;=1000, 40, F23*0.04)))),
IF(Basic345678910111213141516171819202122232425[[#This Row],[نوع الخدمة]]="كاش اوت",
    IF(F23&lt;=100, 15, IF(F23&lt;=250, 20, IF(F23&lt;=500, 30, IF(F23&lt;=1000, 35, F23*0.035)))),
0)))</f>
        <v>0</v>
      </c>
      <c r="H23" s="159">
        <f>IF(I23="مخالفات",50,Basic345678910111213141516171819202122232425[[#This Row],[قيمة الرسوم / العموله]]+Basic345678910111213141516171819202122232425[[#This Row],[قيمة الشحنه]])</f>
        <v>0</v>
      </c>
      <c r="I23" s="90"/>
      <c r="J23" s="142" t="str">
        <f t="shared" si="0"/>
        <v>8.5.2026</v>
      </c>
      <c r="L23" s="153">
        <v>12</v>
      </c>
      <c r="M23" s="92"/>
      <c r="O23" s="147" t="s">
        <v>28</v>
      </c>
      <c r="P23" s="135">
        <f>M9+'7'!P29</f>
        <v>0</v>
      </c>
      <c r="T23" s="173"/>
      <c r="U23" s="173"/>
    </row>
    <row r="24" spans="1:21" ht="21.6" x14ac:dyDescent="0.65">
      <c r="A24" s="195"/>
      <c r="B24" s="140">
        <v>21</v>
      </c>
      <c r="C24" s="2"/>
      <c r="D24" s="1"/>
      <c r="E24" s="3"/>
      <c r="F24" s="1"/>
      <c r="G24" s="141">
        <f>IF(Basic345678910111213141516171819202122232425[[#This Row],[نوع الخدمة]]="مخالفات", 50,
IF(Basic345678910111213141516171819202122232425[[#This Row],[نوع الخدمة]]="كاش ان",
    IF(F24&lt;=100, 18, IF(F24&lt;=250, 23, IF(F24&lt;=500, 35, IF(F24&lt;=1000, 40, F24*0.04)))),
IF(Basic345678910111213141516171819202122232425[[#This Row],[نوع الخدمة]]="كاش اوت",
    IF(F24&lt;=100, 15, IF(F24&lt;=250, 20, IF(F24&lt;=500, 30, IF(F24&lt;=1000, 35, F24*0.035)))),
0)))</f>
        <v>0</v>
      </c>
      <c r="H24" s="159">
        <f>IF(I24="مخالفات",50,Basic345678910111213141516171819202122232425[[#This Row],[قيمة الرسوم / العموله]]+Basic345678910111213141516171819202122232425[[#This Row],[قيمة الشحنه]])</f>
        <v>0</v>
      </c>
      <c r="I24" s="90"/>
      <c r="J24" s="142" t="str">
        <f t="shared" si="0"/>
        <v>8.5.2026</v>
      </c>
      <c r="L24" s="153">
        <v>13</v>
      </c>
      <c r="M24" s="92"/>
      <c r="O24" s="196" t="s">
        <v>32</v>
      </c>
      <c r="P24" s="197"/>
    </row>
    <row r="25" spans="1:21" ht="21.6" x14ac:dyDescent="0.65">
      <c r="A25" s="195"/>
      <c r="B25" s="144">
        <v>22</v>
      </c>
      <c r="C25" s="2"/>
      <c r="D25" s="1"/>
      <c r="E25" s="3"/>
      <c r="F25" s="1"/>
      <c r="G25" s="141">
        <f>IF(Basic345678910111213141516171819202122232425[[#This Row],[نوع الخدمة]]="مخالفات", 50,
IF(Basic345678910111213141516171819202122232425[[#This Row],[نوع الخدمة]]="كاش ان",
    IF(F25&lt;=100, 18, IF(F25&lt;=250, 23, IF(F25&lt;=500, 35, IF(F25&lt;=1000, 40, F25*0.04)))),
IF(Basic345678910111213141516171819202122232425[[#This Row],[نوع الخدمة]]="كاش اوت",
    IF(F25&lt;=100, 15, IF(F25&lt;=250, 20, IF(F25&lt;=500, 30, IF(F25&lt;=1000, 35, F25*0.035)))),
0)))</f>
        <v>0</v>
      </c>
      <c r="H25" s="159">
        <f>IF(I25="مخالفات",50,Basic345678910111213141516171819202122232425[[#This Row],[قيمة الرسوم / العموله]]+Basic345678910111213141516171819202122232425[[#This Row],[قيمة الشحنه]])</f>
        <v>0</v>
      </c>
      <c r="I25" s="90"/>
      <c r="J25" s="142" t="str">
        <f t="shared" si="0"/>
        <v>8.5.2026</v>
      </c>
      <c r="L25" s="153">
        <v>14</v>
      </c>
      <c r="M25" s="92"/>
      <c r="O25" s="147" t="s">
        <v>27</v>
      </c>
      <c r="P25" s="135">
        <f>M5</f>
        <v>0</v>
      </c>
    </row>
    <row r="26" spans="1:21" ht="21.6" x14ac:dyDescent="0.65">
      <c r="A26" s="195"/>
      <c r="B26" s="140">
        <v>23</v>
      </c>
      <c r="C26" s="2"/>
      <c r="D26" s="1"/>
      <c r="E26" s="3"/>
      <c r="F26" s="1"/>
      <c r="G26" s="141">
        <f>IF(Basic345678910111213141516171819202122232425[[#This Row],[نوع الخدمة]]="مخالفات", 50,
IF(Basic345678910111213141516171819202122232425[[#This Row],[نوع الخدمة]]="كاش ان",
    IF(F26&lt;=100, 18, IF(F26&lt;=250, 23, IF(F26&lt;=500, 35, IF(F26&lt;=1000, 40, F26*0.04)))),
IF(Basic345678910111213141516171819202122232425[[#This Row],[نوع الخدمة]]="كاش اوت",
    IF(F26&lt;=100, 15, IF(F26&lt;=250, 20, IF(F26&lt;=500, 30, IF(F26&lt;=1000, 35, F26*0.035)))),
0)))</f>
        <v>0</v>
      </c>
      <c r="H26" s="159">
        <f>IF(I26="مخالفات",50,Basic345678910111213141516171819202122232425[[#This Row],[قيمة الرسوم / العموله]]+Basic345678910111213141516171819202122232425[[#This Row],[قيمة الشحنه]])</f>
        <v>0</v>
      </c>
      <c r="I26" s="90"/>
      <c r="J26" s="142" t="str">
        <f t="shared" si="0"/>
        <v>8.5.2026</v>
      </c>
      <c r="L26" s="153">
        <v>15</v>
      </c>
      <c r="M26" s="92"/>
      <c r="O26" s="147" t="s">
        <v>28</v>
      </c>
      <c r="P26" s="135">
        <f>M6</f>
        <v>0</v>
      </c>
    </row>
    <row r="27" spans="1:21" ht="21.6" x14ac:dyDescent="0.65">
      <c r="A27" s="195"/>
      <c r="B27" s="140">
        <v>24</v>
      </c>
      <c r="C27" s="2"/>
      <c r="D27" s="1"/>
      <c r="E27" s="3"/>
      <c r="F27" s="1"/>
      <c r="G27" s="141">
        <f>IF(Basic345678910111213141516171819202122232425[[#This Row],[نوع الخدمة]]="مخالفات", 50,
IF(Basic345678910111213141516171819202122232425[[#This Row],[نوع الخدمة]]="كاش ان",
    IF(F27&lt;=100, 18, IF(F27&lt;=250, 23, IF(F27&lt;=500, 35, IF(F27&lt;=1000, 40, F27*0.04)))),
IF(Basic345678910111213141516171819202122232425[[#This Row],[نوع الخدمة]]="كاش اوت",
    IF(F27&lt;=100, 15, IF(F27&lt;=250, 20, IF(F27&lt;=500, 30, IF(F27&lt;=1000, 35, F27*0.035)))),
0)))</f>
        <v>0</v>
      </c>
      <c r="H27" s="159">
        <f>IF(I27="مخالفات",50,Basic345678910111213141516171819202122232425[[#This Row],[قيمة الرسوم / العموله]]+Basic345678910111213141516171819202122232425[[#This Row],[قيمة الشحنه]])</f>
        <v>0</v>
      </c>
      <c r="I27" s="90"/>
      <c r="J27" s="142" t="str">
        <f t="shared" si="0"/>
        <v>8.5.2026</v>
      </c>
      <c r="L27" s="153">
        <v>16</v>
      </c>
      <c r="M27" s="92"/>
      <c r="O27" s="196" t="s">
        <v>33</v>
      </c>
      <c r="P27" s="197"/>
    </row>
    <row r="28" spans="1:21" ht="21.6" x14ac:dyDescent="0.65">
      <c r="A28" s="195"/>
      <c r="B28" s="140">
        <v>25</v>
      </c>
      <c r="C28" s="2"/>
      <c r="D28" s="1"/>
      <c r="E28" s="3"/>
      <c r="F28" s="1"/>
      <c r="G28" s="141">
        <f>IF(Basic345678910111213141516171819202122232425[[#This Row],[نوع الخدمة]]="مخالفات", 50,
IF(Basic345678910111213141516171819202122232425[[#This Row],[نوع الخدمة]]="كاش ان",
    IF(F28&lt;=100, 18, IF(F28&lt;=250, 23, IF(F28&lt;=500, 35, IF(F28&lt;=1000, 40, F28*0.04)))),
IF(Basic345678910111213141516171819202122232425[[#This Row],[نوع الخدمة]]="كاش اوت",
    IF(F28&lt;=100, 15, IF(F28&lt;=250, 20, IF(F28&lt;=500, 30, IF(F28&lt;=1000, 35, F28*0.035)))),
0)))</f>
        <v>0</v>
      </c>
      <c r="H28" s="159">
        <f>IF(I28="مخالفات",50,Basic345678910111213141516171819202122232425[[#This Row],[قيمة الرسوم / العموله]]+Basic345678910111213141516171819202122232425[[#This Row],[قيمة الشحنه]])</f>
        <v>0</v>
      </c>
      <c r="I28" s="90"/>
      <c r="J28" s="142" t="str">
        <f t="shared" si="0"/>
        <v>8.5.2026</v>
      </c>
      <c r="L28" s="153">
        <v>17</v>
      </c>
      <c r="M28" s="92"/>
      <c r="O28" s="147" t="s">
        <v>27</v>
      </c>
      <c r="P28" s="135">
        <f>P22-P25</f>
        <v>-4</v>
      </c>
    </row>
    <row r="29" spans="1:21" ht="21.6" x14ac:dyDescent="0.65">
      <c r="A29" s="195"/>
      <c r="B29" s="144">
        <v>26</v>
      </c>
      <c r="C29" s="2"/>
      <c r="D29" s="1"/>
      <c r="E29" s="3"/>
      <c r="F29" s="1"/>
      <c r="G29" s="141">
        <f>IF(Basic345678910111213141516171819202122232425[[#This Row],[نوع الخدمة]]="مخالفات", 50,
IF(Basic345678910111213141516171819202122232425[[#This Row],[نوع الخدمة]]="كاش ان",
    IF(F29&lt;=100, 18, IF(F29&lt;=250, 23, IF(F29&lt;=500, 35, IF(F29&lt;=1000, 40, F29*0.04)))),
IF(Basic345678910111213141516171819202122232425[[#This Row],[نوع الخدمة]]="كاش اوت",
    IF(F29&lt;=100, 15, IF(F29&lt;=250, 20, IF(F29&lt;=500, 30, IF(F29&lt;=1000, 35, F29*0.035)))),
0)))</f>
        <v>0</v>
      </c>
      <c r="H29" s="159">
        <f>IF(I29="مخالفات",50,Basic345678910111213141516171819202122232425[[#This Row],[قيمة الرسوم / العموله]]+Basic345678910111213141516171819202122232425[[#This Row],[قيمة الشحنه]])</f>
        <v>0</v>
      </c>
      <c r="I29" s="90"/>
      <c r="J29" s="142" t="str">
        <f t="shared" si="0"/>
        <v>8.5.2026</v>
      </c>
      <c r="L29" s="153">
        <v>18</v>
      </c>
      <c r="M29" s="92"/>
      <c r="O29" s="147" t="s">
        <v>28</v>
      </c>
      <c r="P29" s="135">
        <f>P23-P26</f>
        <v>0</v>
      </c>
    </row>
    <row r="30" spans="1:21" ht="21.6" x14ac:dyDescent="0.65">
      <c r="A30" s="195"/>
      <c r="B30" s="140">
        <v>27</v>
      </c>
      <c r="C30" s="2"/>
      <c r="D30" s="1"/>
      <c r="E30" s="3"/>
      <c r="F30" s="1"/>
      <c r="G30" s="141">
        <f>IF(Basic345678910111213141516171819202122232425[[#This Row],[نوع الخدمة]]="مخالفات", 50,
IF(Basic345678910111213141516171819202122232425[[#This Row],[نوع الخدمة]]="كاش ان",
    IF(F30&lt;=100, 18, IF(F30&lt;=250, 23, IF(F30&lt;=500, 35, IF(F30&lt;=1000, 40, F30*0.04)))),
IF(Basic345678910111213141516171819202122232425[[#This Row],[نوع الخدمة]]="كاش اوت",
    IF(F30&lt;=100, 15, IF(F30&lt;=250, 20, IF(F30&lt;=500, 30, IF(F30&lt;=1000, 35, F30*0.035)))),
0)))</f>
        <v>0</v>
      </c>
      <c r="H30" s="159">
        <f>IF(I30="مخالفات",50,Basic345678910111213141516171819202122232425[[#This Row],[قيمة الرسوم / العموله]]+Basic345678910111213141516171819202122232425[[#This Row],[قيمة الشحنه]])</f>
        <v>0</v>
      </c>
      <c r="I30" s="90"/>
      <c r="J30" s="142" t="str">
        <f t="shared" si="0"/>
        <v>8.5.2026</v>
      </c>
      <c r="L30" s="153">
        <v>19</v>
      </c>
      <c r="M30" s="92"/>
    </row>
    <row r="31" spans="1:21" ht="21.6" x14ac:dyDescent="0.65">
      <c r="A31" s="195"/>
      <c r="B31" s="140">
        <v>28</v>
      </c>
      <c r="C31" s="2"/>
      <c r="D31" s="1"/>
      <c r="E31" s="3"/>
      <c r="F31" s="1"/>
      <c r="G31" s="141">
        <f>IF(Basic345678910111213141516171819202122232425[[#This Row],[نوع الخدمة]]="مخالفات", 50,
IF(Basic345678910111213141516171819202122232425[[#This Row],[نوع الخدمة]]="كاش ان",
    IF(F31&lt;=100, 18, IF(F31&lt;=250, 23, IF(F31&lt;=500, 35, IF(F31&lt;=1000, 40, F31*0.04)))),
IF(Basic345678910111213141516171819202122232425[[#This Row],[نوع الخدمة]]="كاش اوت",
    IF(F31&lt;=100, 15, IF(F31&lt;=250, 20, IF(F31&lt;=500, 30, IF(F31&lt;=1000, 35, F31*0.035)))),
0)))</f>
        <v>0</v>
      </c>
      <c r="H31" s="159">
        <f>IF(I31="مخالفات",50,Basic345678910111213141516171819202122232425[[#This Row],[قيمة الرسوم / العموله]]+Basic345678910111213141516171819202122232425[[#This Row],[قيمة الشحنه]])</f>
        <v>0</v>
      </c>
      <c r="I31" s="90"/>
      <c r="J31" s="142" t="str">
        <f t="shared" si="0"/>
        <v>8.5.2026</v>
      </c>
      <c r="L31" s="153">
        <v>20</v>
      </c>
      <c r="M31" s="92"/>
    </row>
    <row r="32" spans="1:21" ht="21.6" x14ac:dyDescent="0.65">
      <c r="A32" s="195"/>
      <c r="B32" s="140">
        <v>29</v>
      </c>
      <c r="C32" s="2"/>
      <c r="D32" s="1"/>
      <c r="E32" s="3"/>
      <c r="F32" s="1"/>
      <c r="G32" s="141">
        <f>IF(Basic345678910111213141516171819202122232425[[#This Row],[نوع الخدمة]]="مخالفات", 50,
IF(Basic345678910111213141516171819202122232425[[#This Row],[نوع الخدمة]]="كاش ان",
    IF(F32&lt;=100, 18, IF(F32&lt;=250, 23, IF(F32&lt;=500, 35, IF(F32&lt;=1000, 40, F32*0.04)))),
IF(Basic345678910111213141516171819202122232425[[#This Row],[نوع الخدمة]]="كاش اوت",
    IF(F32&lt;=100, 15, IF(F32&lt;=250, 20, IF(F32&lt;=500, 30, IF(F32&lt;=1000, 35, F32*0.035)))),
0)))</f>
        <v>0</v>
      </c>
      <c r="H32" s="159">
        <f>IF(I32="مخالفات",50,Basic345678910111213141516171819202122232425[[#This Row],[قيمة الرسوم / العموله]]+Basic345678910111213141516171819202122232425[[#This Row],[قيمة الشحنه]])</f>
        <v>0</v>
      </c>
      <c r="I32" s="90"/>
      <c r="J32" s="142" t="str">
        <f t="shared" si="0"/>
        <v>8.5.2026</v>
      </c>
      <c r="L32" s="153">
        <v>21</v>
      </c>
      <c r="M32" s="92"/>
    </row>
    <row r="33" spans="1:13" ht="21.6" x14ac:dyDescent="0.65">
      <c r="A33" s="195"/>
      <c r="B33" s="144">
        <v>30</v>
      </c>
      <c r="C33" s="2"/>
      <c r="D33" s="1"/>
      <c r="E33" s="3"/>
      <c r="F33" s="1"/>
      <c r="G33" s="141">
        <f>IF(Basic345678910111213141516171819202122232425[[#This Row],[نوع الخدمة]]="مخالفات", 50,
IF(Basic345678910111213141516171819202122232425[[#This Row],[نوع الخدمة]]="كاش ان",
    IF(F33&lt;=100, 18, IF(F33&lt;=250, 23, IF(F33&lt;=500, 35, IF(F33&lt;=1000, 40, F33*0.04)))),
IF(Basic345678910111213141516171819202122232425[[#This Row],[نوع الخدمة]]="كاش اوت",
    IF(F33&lt;=100, 15, IF(F33&lt;=250, 20, IF(F33&lt;=500, 30, IF(F33&lt;=1000, 35, F33*0.035)))),
0)))</f>
        <v>0</v>
      </c>
      <c r="H33" s="159">
        <f>IF(I33="مخالفات",50,Basic345678910111213141516171819202122232425[[#This Row],[قيمة الرسوم / العموله]]+Basic345678910111213141516171819202122232425[[#This Row],[قيمة الشحنه]])</f>
        <v>0</v>
      </c>
      <c r="I33" s="90"/>
      <c r="J33" s="142" t="str">
        <f t="shared" si="0"/>
        <v>8.5.2026</v>
      </c>
      <c r="L33" s="153">
        <v>22</v>
      </c>
      <c r="M33" s="92"/>
    </row>
    <row r="34" spans="1:13" ht="21.6" x14ac:dyDescent="0.65">
      <c r="A34" s="195"/>
      <c r="B34" s="140">
        <v>31</v>
      </c>
      <c r="C34" s="2"/>
      <c r="D34" s="1"/>
      <c r="E34" s="3"/>
      <c r="F34" s="1"/>
      <c r="G34" s="141">
        <f>IF(Basic345678910111213141516171819202122232425[[#This Row],[نوع الخدمة]]="مخالفات", 50,
IF(Basic345678910111213141516171819202122232425[[#This Row],[نوع الخدمة]]="كاش ان",
    IF(F34&lt;=100, 18, IF(F34&lt;=250, 23, IF(F34&lt;=500, 35, IF(F34&lt;=1000, 40, F34*0.04)))),
IF(Basic345678910111213141516171819202122232425[[#This Row],[نوع الخدمة]]="كاش اوت",
    IF(F34&lt;=100, 15, IF(F34&lt;=250, 20, IF(F34&lt;=500, 30, IF(F34&lt;=1000, 35, F34*0.035)))),
0)))</f>
        <v>0</v>
      </c>
      <c r="H34" s="159">
        <f>IF(I34="مخالفات",50,Basic345678910111213141516171819202122232425[[#This Row],[قيمة الرسوم / العموله]]+Basic345678910111213141516171819202122232425[[#This Row],[قيمة الشحنه]])</f>
        <v>0</v>
      </c>
      <c r="I34" s="90"/>
      <c r="J34" s="142" t="str">
        <f t="shared" si="0"/>
        <v>8.5.2026</v>
      </c>
      <c r="L34" s="153">
        <v>23</v>
      </c>
      <c r="M34" s="92"/>
    </row>
    <row r="35" spans="1:13" ht="21.6" x14ac:dyDescent="0.65">
      <c r="A35" s="195"/>
      <c r="B35" s="140">
        <v>32</v>
      </c>
      <c r="C35" s="2"/>
      <c r="D35" s="1"/>
      <c r="E35" s="3"/>
      <c r="F35" s="1"/>
      <c r="G35" s="141">
        <f>IF(Basic345678910111213141516171819202122232425[[#This Row],[نوع الخدمة]]="مخالفات", 50,
IF(Basic345678910111213141516171819202122232425[[#This Row],[نوع الخدمة]]="كاش ان",
    IF(F35&lt;=100, 18, IF(F35&lt;=250, 23, IF(F35&lt;=500, 35, IF(F35&lt;=1000, 40, F35*0.04)))),
IF(Basic345678910111213141516171819202122232425[[#This Row],[نوع الخدمة]]="كاش اوت",
    IF(F35&lt;=100, 15, IF(F35&lt;=250, 20, IF(F35&lt;=500, 30, IF(F35&lt;=1000, 35, F35*0.035)))),
0)))</f>
        <v>0</v>
      </c>
      <c r="H35" s="159">
        <f>IF(I35="مخالفات",50,Basic345678910111213141516171819202122232425[[#This Row],[قيمة الرسوم / العموله]]+Basic345678910111213141516171819202122232425[[#This Row],[قيمة الشحنه]])</f>
        <v>0</v>
      </c>
      <c r="I35" s="90"/>
      <c r="J35" s="142" t="str">
        <f t="shared" si="0"/>
        <v>8.5.2026</v>
      </c>
      <c r="L35" s="153">
        <v>24</v>
      </c>
      <c r="M35" s="92"/>
    </row>
    <row r="36" spans="1:13" ht="21.6" x14ac:dyDescent="0.65">
      <c r="A36" s="195"/>
      <c r="B36" s="140">
        <v>33</v>
      </c>
      <c r="C36" s="2"/>
      <c r="D36" s="1"/>
      <c r="E36" s="3"/>
      <c r="F36" s="1"/>
      <c r="G36" s="141">
        <f>IF(Basic345678910111213141516171819202122232425[[#This Row],[نوع الخدمة]]="مخالفات", 50,
IF(Basic345678910111213141516171819202122232425[[#This Row],[نوع الخدمة]]="كاش ان",
    IF(F36&lt;=100, 18, IF(F36&lt;=250, 23, IF(F36&lt;=500, 35, IF(F36&lt;=1000, 40, F36*0.04)))),
IF(Basic345678910111213141516171819202122232425[[#This Row],[نوع الخدمة]]="كاش اوت",
    IF(F36&lt;=100, 15, IF(F36&lt;=250, 20, IF(F36&lt;=500, 30, IF(F36&lt;=1000, 35, F36*0.035)))),
0)))</f>
        <v>0</v>
      </c>
      <c r="H36" s="159">
        <f>IF(I36="مخالفات",50,Basic345678910111213141516171819202122232425[[#This Row],[قيمة الرسوم / العموله]]+Basic345678910111213141516171819202122232425[[#This Row],[قيمة الشحنه]])</f>
        <v>0</v>
      </c>
      <c r="I36" s="90"/>
      <c r="J36" s="142" t="str">
        <f t="shared" si="0"/>
        <v>8.5.2026</v>
      </c>
      <c r="L36" s="153">
        <v>25</v>
      </c>
      <c r="M36" s="92"/>
    </row>
    <row r="37" spans="1:13" ht="21.6" x14ac:dyDescent="0.65">
      <c r="A37" s="195"/>
      <c r="B37" s="144">
        <v>34</v>
      </c>
      <c r="C37" s="2"/>
      <c r="D37" s="1"/>
      <c r="E37" s="3"/>
      <c r="F37" s="1"/>
      <c r="G37" s="141">
        <f>IF(Basic345678910111213141516171819202122232425[[#This Row],[نوع الخدمة]]="مخالفات", 50,
IF(Basic345678910111213141516171819202122232425[[#This Row],[نوع الخدمة]]="كاش ان",
    IF(F37&lt;=100, 18, IF(F37&lt;=250, 23, IF(F37&lt;=500, 35, IF(F37&lt;=1000, 40, F37*0.04)))),
IF(Basic345678910111213141516171819202122232425[[#This Row],[نوع الخدمة]]="كاش اوت",
    IF(F37&lt;=100, 15, IF(F37&lt;=250, 20, IF(F37&lt;=500, 30, IF(F37&lt;=1000, 35, F37*0.035)))),
0)))</f>
        <v>0</v>
      </c>
      <c r="H37" s="159">
        <f>IF(I37="مخالفات",50,Basic345678910111213141516171819202122232425[[#This Row],[قيمة الرسوم / العموله]]+Basic345678910111213141516171819202122232425[[#This Row],[قيمة الشحنه]])</f>
        <v>0</v>
      </c>
      <c r="I37" s="90"/>
      <c r="J37" s="142" t="str">
        <f t="shared" si="0"/>
        <v>8.5.2026</v>
      </c>
      <c r="L37" s="153">
        <v>26</v>
      </c>
      <c r="M37" s="92"/>
    </row>
    <row r="38" spans="1:13" ht="21.6" x14ac:dyDescent="0.65">
      <c r="A38" s="195"/>
      <c r="B38" s="140">
        <v>35</v>
      </c>
      <c r="C38" s="2"/>
      <c r="D38" s="1"/>
      <c r="E38" s="3"/>
      <c r="F38" s="1"/>
      <c r="G38" s="141">
        <f>IF(Basic345678910111213141516171819202122232425[[#This Row],[نوع الخدمة]]="مخالفات", 50,
IF(Basic345678910111213141516171819202122232425[[#This Row],[نوع الخدمة]]="كاش ان",
    IF(F38&lt;=100, 18, IF(F38&lt;=250, 23, IF(F38&lt;=500, 35, IF(F38&lt;=1000, 40, F38*0.04)))),
IF(Basic345678910111213141516171819202122232425[[#This Row],[نوع الخدمة]]="كاش اوت",
    IF(F38&lt;=100, 15, IF(F38&lt;=250, 20, IF(F38&lt;=500, 30, IF(F38&lt;=1000, 35, F38*0.035)))),
0)))</f>
        <v>0</v>
      </c>
      <c r="H38" s="159">
        <f>IF(I38="مخالفات",50,Basic345678910111213141516171819202122232425[[#This Row],[قيمة الرسوم / العموله]]+Basic345678910111213141516171819202122232425[[#This Row],[قيمة الشحنه]])</f>
        <v>0</v>
      </c>
      <c r="I38" s="90"/>
      <c r="J38" s="142" t="str">
        <f t="shared" si="0"/>
        <v>8.5.2026</v>
      </c>
      <c r="L38" s="153">
        <v>27</v>
      </c>
      <c r="M38" s="92"/>
    </row>
    <row r="39" spans="1:13" ht="21.6" x14ac:dyDescent="0.65">
      <c r="A39" s="195"/>
      <c r="B39" s="140">
        <v>36</v>
      </c>
      <c r="C39" s="2"/>
      <c r="D39" s="1"/>
      <c r="E39" s="3"/>
      <c r="F39" s="1"/>
      <c r="G39" s="141">
        <f>IF(Basic345678910111213141516171819202122232425[[#This Row],[نوع الخدمة]]="مخالفات", 50,
IF(Basic345678910111213141516171819202122232425[[#This Row],[نوع الخدمة]]="كاش ان",
    IF(F39&lt;=100, 18, IF(F39&lt;=250, 23, IF(F39&lt;=500, 35, IF(F39&lt;=1000, 40, F39*0.04)))),
IF(Basic345678910111213141516171819202122232425[[#This Row],[نوع الخدمة]]="كاش اوت",
    IF(F39&lt;=100, 15, IF(F39&lt;=250, 20, IF(F39&lt;=500, 30, IF(F39&lt;=1000, 35, F39*0.035)))),
0)))</f>
        <v>0</v>
      </c>
      <c r="H39" s="159">
        <f>IF(I39="مخالفات",50,Basic345678910111213141516171819202122232425[[#This Row],[قيمة الرسوم / العموله]]+Basic345678910111213141516171819202122232425[[#This Row],[قيمة الشحنه]])</f>
        <v>0</v>
      </c>
      <c r="I39" s="90"/>
      <c r="J39" s="142" t="str">
        <f t="shared" si="0"/>
        <v>8.5.2026</v>
      </c>
      <c r="L39" s="153">
        <v>28</v>
      </c>
      <c r="M39" s="92"/>
    </row>
    <row r="40" spans="1:13" ht="21.6" x14ac:dyDescent="0.65">
      <c r="A40" s="195"/>
      <c r="B40" s="140">
        <v>37</v>
      </c>
      <c r="C40" s="2"/>
      <c r="D40" s="1"/>
      <c r="E40" s="3"/>
      <c r="F40" s="1"/>
      <c r="G40" s="141">
        <f>IF(Basic345678910111213141516171819202122232425[[#This Row],[نوع الخدمة]]="مخالفات", 50,
IF(Basic345678910111213141516171819202122232425[[#This Row],[نوع الخدمة]]="كاش ان",
    IF(F40&lt;=100, 18, IF(F40&lt;=250, 23, IF(F40&lt;=500, 35, IF(F40&lt;=1000, 40, F40*0.04)))),
IF(Basic345678910111213141516171819202122232425[[#This Row],[نوع الخدمة]]="كاش اوت",
    IF(F40&lt;=100, 15, IF(F40&lt;=250, 20, IF(F40&lt;=500, 30, IF(F40&lt;=1000, 35, F40*0.035)))),
0)))</f>
        <v>0</v>
      </c>
      <c r="H40" s="159">
        <f>IF(I40="مخالفات",50,Basic345678910111213141516171819202122232425[[#This Row],[قيمة الرسوم / العموله]]+Basic345678910111213141516171819202122232425[[#This Row],[قيمة الشحنه]])</f>
        <v>0</v>
      </c>
      <c r="I40" s="90"/>
      <c r="J40" s="142" t="str">
        <f t="shared" si="0"/>
        <v>8.5.2026</v>
      </c>
      <c r="L40" s="153">
        <v>29</v>
      </c>
      <c r="M40" s="92"/>
    </row>
    <row r="41" spans="1:13" ht="21.6" x14ac:dyDescent="0.65">
      <c r="A41" s="195"/>
      <c r="B41" s="144">
        <v>38</v>
      </c>
      <c r="C41" s="2"/>
      <c r="D41" s="1"/>
      <c r="E41" s="3"/>
      <c r="F41" s="1"/>
      <c r="G41" s="141">
        <f>IF(Basic345678910111213141516171819202122232425[[#This Row],[نوع الخدمة]]="مخالفات", 50,
IF(Basic345678910111213141516171819202122232425[[#This Row],[نوع الخدمة]]="كاش ان",
    IF(F41&lt;=100, 18, IF(F41&lt;=250, 23, IF(F41&lt;=500, 35, IF(F41&lt;=1000, 40, F41*0.04)))),
IF(Basic345678910111213141516171819202122232425[[#This Row],[نوع الخدمة]]="كاش اوت",
    IF(F41&lt;=100, 15, IF(F41&lt;=250, 20, IF(F41&lt;=500, 30, IF(F41&lt;=1000, 35, F41*0.035)))),
0)))</f>
        <v>0</v>
      </c>
      <c r="H41" s="159">
        <f>IF(I41="مخالفات",50,Basic345678910111213141516171819202122232425[[#This Row],[قيمة الرسوم / العموله]]+Basic345678910111213141516171819202122232425[[#This Row],[قيمة الشحنه]])</f>
        <v>0</v>
      </c>
      <c r="I41" s="90"/>
      <c r="J41" s="142" t="str">
        <f t="shared" si="0"/>
        <v>8.5.2026</v>
      </c>
      <c r="L41" s="153">
        <v>30</v>
      </c>
      <c r="M41" s="92"/>
    </row>
    <row r="42" spans="1:13" ht="21.6" x14ac:dyDescent="0.65">
      <c r="A42" s="195"/>
      <c r="B42" s="140">
        <v>39</v>
      </c>
      <c r="C42" s="2"/>
      <c r="D42" s="1"/>
      <c r="E42" s="3"/>
      <c r="F42" s="1"/>
      <c r="G42" s="141">
        <f>IF(Basic345678910111213141516171819202122232425[[#This Row],[نوع الخدمة]]="مخالفات", 50,
IF(Basic345678910111213141516171819202122232425[[#This Row],[نوع الخدمة]]="كاش ان",
    IF(F42&lt;=100, 18, IF(F42&lt;=250, 23, IF(F42&lt;=500, 35, IF(F42&lt;=1000, 40, F42*0.04)))),
IF(Basic345678910111213141516171819202122232425[[#This Row],[نوع الخدمة]]="كاش اوت",
    IF(F42&lt;=100, 15, IF(F42&lt;=250, 20, IF(F42&lt;=500, 30, IF(F42&lt;=1000, 35, F42*0.035)))),
0)))</f>
        <v>0</v>
      </c>
      <c r="H42" s="159">
        <f>IF(I42="مخالفات",50,Basic345678910111213141516171819202122232425[[#This Row],[قيمة الرسوم / العموله]]+Basic345678910111213141516171819202122232425[[#This Row],[قيمة الشحنه]])</f>
        <v>0</v>
      </c>
      <c r="I42" s="90"/>
      <c r="J42" s="142" t="str">
        <f t="shared" si="0"/>
        <v>8.5.2026</v>
      </c>
      <c r="L42" s="153">
        <v>31</v>
      </c>
      <c r="M42" s="92"/>
    </row>
    <row r="43" spans="1:13" ht="21.6" x14ac:dyDescent="0.65">
      <c r="A43" s="195"/>
      <c r="B43" s="140">
        <v>40</v>
      </c>
      <c r="C43" s="2"/>
      <c r="D43" s="1"/>
      <c r="E43" s="3"/>
      <c r="F43" s="1"/>
      <c r="G43" s="141">
        <f>IF(Basic345678910111213141516171819202122232425[[#This Row],[نوع الخدمة]]="مخالفات", 50,
IF(Basic345678910111213141516171819202122232425[[#This Row],[نوع الخدمة]]="كاش ان",
    IF(F43&lt;=100, 18, IF(F43&lt;=250, 23, IF(F43&lt;=500, 35, IF(F43&lt;=1000, 40, F43*0.04)))),
IF(Basic345678910111213141516171819202122232425[[#This Row],[نوع الخدمة]]="كاش اوت",
    IF(F43&lt;=100, 15, IF(F43&lt;=250, 20, IF(F43&lt;=500, 30, IF(F43&lt;=1000, 35, F43*0.035)))),
0)))</f>
        <v>0</v>
      </c>
      <c r="H43" s="159">
        <f>IF(I43="مخالفات",50,Basic345678910111213141516171819202122232425[[#This Row],[قيمة الرسوم / العموله]]+Basic345678910111213141516171819202122232425[[#This Row],[قيمة الشحنه]])</f>
        <v>0</v>
      </c>
      <c r="I43" s="90"/>
      <c r="J43" s="142" t="str">
        <f t="shared" si="0"/>
        <v>8.5.2026</v>
      </c>
      <c r="L43" s="153">
        <v>32</v>
      </c>
      <c r="M43" s="92"/>
    </row>
    <row r="44" spans="1:13" ht="21.6" x14ac:dyDescent="0.65">
      <c r="A44" s="195"/>
      <c r="B44" s="140">
        <v>41</v>
      </c>
      <c r="C44" s="2"/>
      <c r="D44" s="1"/>
      <c r="E44" s="3"/>
      <c r="F44" s="1"/>
      <c r="G44" s="141">
        <f>IF(Basic345678910111213141516171819202122232425[[#This Row],[نوع الخدمة]]="مخالفات", 50,
IF(Basic345678910111213141516171819202122232425[[#This Row],[نوع الخدمة]]="كاش ان",
    IF(F44&lt;=100, 18, IF(F44&lt;=250, 23, IF(F44&lt;=500, 35, IF(F44&lt;=1000, 40, F44*0.04)))),
IF(Basic345678910111213141516171819202122232425[[#This Row],[نوع الخدمة]]="كاش اوت",
    IF(F44&lt;=100, 15, IF(F44&lt;=250, 20, IF(F44&lt;=500, 30, IF(F44&lt;=1000, 35, F44*0.035)))),
0)))</f>
        <v>0</v>
      </c>
      <c r="H44" s="159">
        <f>IF(I44="مخالفات",50,Basic345678910111213141516171819202122232425[[#This Row],[قيمة الرسوم / العموله]]+Basic345678910111213141516171819202122232425[[#This Row],[قيمة الشحنه]])</f>
        <v>0</v>
      </c>
      <c r="I44" s="90"/>
      <c r="J44" s="142" t="str">
        <f t="shared" si="0"/>
        <v>8.5.2026</v>
      </c>
      <c r="L44" s="153">
        <v>33</v>
      </c>
      <c r="M44" s="92"/>
    </row>
    <row r="45" spans="1:13" ht="21.6" x14ac:dyDescent="0.65">
      <c r="A45" s="195"/>
      <c r="B45" s="144">
        <v>42</v>
      </c>
      <c r="C45" s="2"/>
      <c r="D45" s="1"/>
      <c r="E45" s="3"/>
      <c r="F45" s="1"/>
      <c r="G45" s="141">
        <f>IF(Basic345678910111213141516171819202122232425[[#This Row],[نوع الخدمة]]="مخالفات", 50,
IF(Basic345678910111213141516171819202122232425[[#This Row],[نوع الخدمة]]="كاش ان",
    IF(F45&lt;=100, 18, IF(F45&lt;=250, 23, IF(F45&lt;=500, 35, IF(F45&lt;=1000, 40, F45*0.04)))),
IF(Basic345678910111213141516171819202122232425[[#This Row],[نوع الخدمة]]="كاش اوت",
    IF(F45&lt;=100, 15, IF(F45&lt;=250, 20, IF(F45&lt;=500, 30, IF(F45&lt;=1000, 35, F45*0.035)))),
0)))</f>
        <v>0</v>
      </c>
      <c r="H45" s="159">
        <f>IF(I45="مخالفات",50,Basic345678910111213141516171819202122232425[[#This Row],[قيمة الرسوم / العموله]]+Basic345678910111213141516171819202122232425[[#This Row],[قيمة الشحنه]])</f>
        <v>0</v>
      </c>
      <c r="I45" s="90"/>
      <c r="J45" s="142" t="str">
        <f t="shared" si="0"/>
        <v>8.5.2026</v>
      </c>
      <c r="L45" s="153">
        <v>34</v>
      </c>
      <c r="M45" s="92"/>
    </row>
    <row r="46" spans="1:13" ht="21.6" x14ac:dyDescent="0.65">
      <c r="A46" s="195"/>
      <c r="B46" s="140">
        <v>43</v>
      </c>
      <c r="C46" s="2"/>
      <c r="D46" s="1"/>
      <c r="E46" s="3"/>
      <c r="F46" s="1"/>
      <c r="G46" s="141">
        <f>IF(Basic345678910111213141516171819202122232425[[#This Row],[نوع الخدمة]]="مخالفات", 50,
IF(Basic345678910111213141516171819202122232425[[#This Row],[نوع الخدمة]]="كاش ان",
    IF(F46&lt;=100, 18, IF(F46&lt;=250, 23, IF(F46&lt;=500, 35, IF(F46&lt;=1000, 40, F46*0.04)))),
IF(Basic345678910111213141516171819202122232425[[#This Row],[نوع الخدمة]]="كاش اوت",
    IF(F46&lt;=100, 15, IF(F46&lt;=250, 20, IF(F46&lt;=500, 30, IF(F46&lt;=1000, 35, F46*0.035)))),
0)))</f>
        <v>0</v>
      </c>
      <c r="H46" s="159">
        <f>IF(I46="مخالفات",50,Basic345678910111213141516171819202122232425[[#This Row],[قيمة الرسوم / العموله]]+Basic345678910111213141516171819202122232425[[#This Row],[قيمة الشحنه]])</f>
        <v>0</v>
      </c>
      <c r="I46" s="90"/>
      <c r="J46" s="142" t="str">
        <f t="shared" si="0"/>
        <v>8.5.2026</v>
      </c>
      <c r="L46" s="153">
        <v>35</v>
      </c>
      <c r="M46" s="92"/>
    </row>
    <row r="47" spans="1:13" ht="21.6" x14ac:dyDescent="0.65">
      <c r="A47" s="195"/>
      <c r="B47" s="140">
        <v>44</v>
      </c>
      <c r="C47" s="2"/>
      <c r="D47" s="1"/>
      <c r="E47" s="3"/>
      <c r="F47" s="1"/>
      <c r="G47" s="141">
        <f>IF(Basic345678910111213141516171819202122232425[[#This Row],[نوع الخدمة]]="مخالفات", 50,
IF(Basic345678910111213141516171819202122232425[[#This Row],[نوع الخدمة]]="كاش ان",
    IF(F47&lt;=100, 18, IF(F47&lt;=250, 23, IF(F47&lt;=500, 35, IF(F47&lt;=1000, 40, F47*0.04)))),
IF(Basic345678910111213141516171819202122232425[[#This Row],[نوع الخدمة]]="كاش اوت",
    IF(F47&lt;=100, 15, IF(F47&lt;=250, 20, IF(F47&lt;=500, 30, IF(F47&lt;=1000, 35, F47*0.035)))),
0)))</f>
        <v>0</v>
      </c>
      <c r="H47" s="159">
        <f>IF(I47="مخالفات",50,Basic345678910111213141516171819202122232425[[#This Row],[قيمة الرسوم / العموله]]+Basic345678910111213141516171819202122232425[[#This Row],[قيمة الشحنه]])</f>
        <v>0</v>
      </c>
      <c r="I47" s="90"/>
      <c r="J47" s="142" t="str">
        <f t="shared" si="0"/>
        <v>8.5.2026</v>
      </c>
      <c r="L47" s="153">
        <v>36</v>
      </c>
      <c r="M47" s="92"/>
    </row>
    <row r="48" spans="1:13" ht="21.6" x14ac:dyDescent="0.65">
      <c r="A48" s="195"/>
      <c r="B48" s="140">
        <v>45</v>
      </c>
      <c r="C48" s="2"/>
      <c r="D48" s="1"/>
      <c r="E48" s="3"/>
      <c r="F48" s="1"/>
      <c r="G48" s="141">
        <f>IF(Basic345678910111213141516171819202122232425[[#This Row],[نوع الخدمة]]="مخالفات", 50,
IF(Basic345678910111213141516171819202122232425[[#This Row],[نوع الخدمة]]="كاش ان",
    IF(F48&lt;=100, 18, IF(F48&lt;=250, 23, IF(F48&lt;=500, 35, IF(F48&lt;=1000, 40, F48*0.04)))),
IF(Basic345678910111213141516171819202122232425[[#This Row],[نوع الخدمة]]="كاش اوت",
    IF(F48&lt;=100, 15, IF(F48&lt;=250, 20, IF(F48&lt;=500, 30, IF(F48&lt;=1000, 35, F48*0.035)))),
0)))</f>
        <v>0</v>
      </c>
      <c r="H48" s="159">
        <f>IF(I48="مخالفات",50,Basic345678910111213141516171819202122232425[[#This Row],[قيمة الرسوم / العموله]]+Basic345678910111213141516171819202122232425[[#This Row],[قيمة الشحنه]])</f>
        <v>0</v>
      </c>
      <c r="I48" s="90"/>
      <c r="J48" s="142" t="str">
        <f t="shared" si="0"/>
        <v>8.5.2026</v>
      </c>
      <c r="L48" s="153">
        <v>37</v>
      </c>
      <c r="M48" s="92"/>
    </row>
    <row r="49" spans="1:13" ht="21.6" x14ac:dyDescent="0.65">
      <c r="A49" s="195"/>
      <c r="B49" s="144">
        <v>46</v>
      </c>
      <c r="C49" s="2"/>
      <c r="D49" s="1"/>
      <c r="E49" s="3"/>
      <c r="F49" s="1"/>
      <c r="G49" s="141">
        <f>IF(Basic345678910111213141516171819202122232425[[#This Row],[نوع الخدمة]]="مخالفات", 50,
IF(Basic345678910111213141516171819202122232425[[#This Row],[نوع الخدمة]]="كاش ان",
    IF(F49&lt;=100, 18, IF(F49&lt;=250, 23, IF(F49&lt;=500, 35, IF(F49&lt;=1000, 40, F49*0.04)))),
IF(Basic345678910111213141516171819202122232425[[#This Row],[نوع الخدمة]]="كاش اوت",
    IF(F49&lt;=100, 15, IF(F49&lt;=250, 20, IF(F49&lt;=500, 30, IF(F49&lt;=1000, 35, F49*0.035)))),
0)))</f>
        <v>0</v>
      </c>
      <c r="H49" s="159">
        <f>IF(I49="مخالفات",50,Basic345678910111213141516171819202122232425[[#This Row],[قيمة الرسوم / العموله]]+Basic345678910111213141516171819202122232425[[#This Row],[قيمة الشحنه]])</f>
        <v>0</v>
      </c>
      <c r="I49" s="90"/>
      <c r="J49" s="142" t="str">
        <f t="shared" si="0"/>
        <v>8.5.2026</v>
      </c>
      <c r="L49" s="153">
        <v>38</v>
      </c>
      <c r="M49" s="92"/>
    </row>
    <row r="50" spans="1:13" ht="21.6" x14ac:dyDescent="0.65">
      <c r="A50" s="195"/>
      <c r="B50" s="140">
        <v>47</v>
      </c>
      <c r="C50" s="2"/>
      <c r="D50" s="1"/>
      <c r="E50" s="3"/>
      <c r="F50" s="1"/>
      <c r="G50" s="141">
        <f>IF(Basic345678910111213141516171819202122232425[[#This Row],[نوع الخدمة]]="مخالفات", 50,
IF(Basic345678910111213141516171819202122232425[[#This Row],[نوع الخدمة]]="كاش ان",
    IF(F50&lt;=100, 18, IF(F50&lt;=250, 23, IF(F50&lt;=500, 35, IF(F50&lt;=1000, 40, F50*0.04)))),
IF(Basic345678910111213141516171819202122232425[[#This Row],[نوع الخدمة]]="كاش اوت",
    IF(F50&lt;=100, 15, IF(F50&lt;=250, 20, IF(F50&lt;=500, 30, IF(F50&lt;=1000, 35, F50*0.035)))),
0)))</f>
        <v>0</v>
      </c>
      <c r="H50" s="159">
        <f>IF(I50="مخالفات",50,Basic345678910111213141516171819202122232425[[#This Row],[قيمة الرسوم / العموله]]+Basic345678910111213141516171819202122232425[[#This Row],[قيمة الشحنه]])</f>
        <v>0</v>
      </c>
      <c r="I50" s="90"/>
      <c r="J50" s="142" t="str">
        <f t="shared" si="0"/>
        <v>8.5.2026</v>
      </c>
      <c r="L50" s="153">
        <v>39</v>
      </c>
      <c r="M50" s="92"/>
    </row>
    <row r="51" spans="1:13" ht="21.6" x14ac:dyDescent="0.65">
      <c r="A51" s="195"/>
      <c r="B51" s="140">
        <v>48</v>
      </c>
      <c r="C51" s="2"/>
      <c r="D51" s="1"/>
      <c r="E51" s="3"/>
      <c r="F51" s="1"/>
      <c r="G51" s="141">
        <f>IF(Basic345678910111213141516171819202122232425[[#This Row],[نوع الخدمة]]="مخالفات", 50,
IF(Basic345678910111213141516171819202122232425[[#This Row],[نوع الخدمة]]="كاش ان",
    IF(F51&lt;=100, 18, IF(F51&lt;=250, 23, IF(F51&lt;=500, 35, IF(F51&lt;=1000, 40, F51*0.04)))),
IF(Basic345678910111213141516171819202122232425[[#This Row],[نوع الخدمة]]="كاش اوت",
    IF(F51&lt;=100, 15, IF(F51&lt;=250, 20, IF(F51&lt;=500, 30, IF(F51&lt;=1000, 35, F51*0.035)))),
0)))</f>
        <v>0</v>
      </c>
      <c r="H51" s="159">
        <f>IF(I51="مخالفات",50,Basic345678910111213141516171819202122232425[[#This Row],[قيمة الرسوم / العموله]]+Basic345678910111213141516171819202122232425[[#This Row],[قيمة الشحنه]])</f>
        <v>0</v>
      </c>
      <c r="I51" s="90"/>
      <c r="J51" s="142" t="str">
        <f t="shared" si="0"/>
        <v>8.5.2026</v>
      </c>
      <c r="L51" s="153">
        <v>40</v>
      </c>
      <c r="M51" s="92"/>
    </row>
    <row r="52" spans="1:13" ht="21.6" x14ac:dyDescent="0.65">
      <c r="A52" s="195"/>
      <c r="B52" s="140">
        <v>49</v>
      </c>
      <c r="C52" s="2"/>
      <c r="D52" s="1"/>
      <c r="E52" s="3"/>
      <c r="F52" s="1"/>
      <c r="G52" s="141">
        <f>IF(Basic345678910111213141516171819202122232425[[#This Row],[نوع الخدمة]]="مخالفات", 50,
IF(Basic345678910111213141516171819202122232425[[#This Row],[نوع الخدمة]]="كاش ان",
    IF(F52&lt;=100, 18, IF(F52&lt;=250, 23, IF(F52&lt;=500, 35, IF(F52&lt;=1000, 40, F52*0.04)))),
IF(Basic345678910111213141516171819202122232425[[#This Row],[نوع الخدمة]]="كاش اوت",
    IF(F52&lt;=100, 15, IF(F52&lt;=250, 20, IF(F52&lt;=500, 30, IF(F52&lt;=1000, 35, F52*0.035)))),
0)))</f>
        <v>0</v>
      </c>
      <c r="H52" s="159">
        <f>IF(I52="مخالفات",50,Basic345678910111213141516171819202122232425[[#This Row],[قيمة الرسوم / العموله]]+Basic345678910111213141516171819202122232425[[#This Row],[قيمة الشحنه]])</f>
        <v>0</v>
      </c>
      <c r="I52" s="90"/>
      <c r="J52" s="142" t="str">
        <f t="shared" si="0"/>
        <v>8.5.2026</v>
      </c>
      <c r="L52" s="153">
        <v>41</v>
      </c>
      <c r="M52" s="92"/>
    </row>
    <row r="53" spans="1:13" ht="21.6" x14ac:dyDescent="0.65">
      <c r="A53" s="195"/>
      <c r="B53" s="144">
        <v>50</v>
      </c>
      <c r="C53" s="2"/>
      <c r="D53" s="1"/>
      <c r="E53" s="3"/>
      <c r="F53" s="1"/>
      <c r="G53" s="141">
        <f>IF(Basic345678910111213141516171819202122232425[[#This Row],[نوع الخدمة]]="مخالفات", 50,
IF(Basic345678910111213141516171819202122232425[[#This Row],[نوع الخدمة]]="كاش ان",
    IF(F53&lt;=100, 18, IF(F53&lt;=250, 23, IF(F53&lt;=500, 35, IF(F53&lt;=1000, 40, F53*0.04)))),
IF(Basic345678910111213141516171819202122232425[[#This Row],[نوع الخدمة]]="كاش اوت",
    IF(F53&lt;=100, 15, IF(F53&lt;=250, 20, IF(F53&lt;=500, 30, IF(F53&lt;=1000, 35, F53*0.035)))),
0)))</f>
        <v>0</v>
      </c>
      <c r="H53" s="159">
        <f>IF(I53="مخالفات",50,Basic345678910111213141516171819202122232425[[#This Row],[قيمة الرسوم / العموله]]+Basic345678910111213141516171819202122232425[[#This Row],[قيمة الشحنه]])</f>
        <v>0</v>
      </c>
      <c r="I53" s="90"/>
      <c r="J53" s="142" t="str">
        <f t="shared" si="0"/>
        <v>8.5.2026</v>
      </c>
      <c r="L53" s="153">
        <v>42</v>
      </c>
      <c r="M53" s="92"/>
    </row>
    <row r="54" spans="1:13" ht="21.6" x14ac:dyDescent="0.65">
      <c r="A54" s="195"/>
      <c r="B54" s="140">
        <v>51</v>
      </c>
      <c r="C54" s="2"/>
      <c r="D54" s="1"/>
      <c r="E54" s="3"/>
      <c r="F54" s="1"/>
      <c r="G54" s="141">
        <f>IF(Basic345678910111213141516171819202122232425[[#This Row],[نوع الخدمة]]="مخالفات", 50,
IF(Basic345678910111213141516171819202122232425[[#This Row],[نوع الخدمة]]="كاش ان",
    IF(F54&lt;=100, 18, IF(F54&lt;=250, 23, IF(F54&lt;=500, 35, IF(F54&lt;=1000, 40, F54*0.04)))),
IF(Basic345678910111213141516171819202122232425[[#This Row],[نوع الخدمة]]="كاش اوت",
    IF(F54&lt;=100, 15, IF(F54&lt;=250, 20, IF(F54&lt;=500, 30, IF(F54&lt;=1000, 35, F54*0.035)))),
0)))</f>
        <v>0</v>
      </c>
      <c r="H54" s="159">
        <f>IF(I54="مخالفات",50,Basic345678910111213141516171819202122232425[[#This Row],[قيمة الرسوم / العموله]]+Basic345678910111213141516171819202122232425[[#This Row],[قيمة الشحنه]])</f>
        <v>0</v>
      </c>
      <c r="I54" s="90"/>
      <c r="J54" s="142" t="str">
        <f t="shared" si="0"/>
        <v>8.5.2026</v>
      </c>
      <c r="L54" s="153">
        <v>43</v>
      </c>
      <c r="M54" s="92"/>
    </row>
    <row r="55" spans="1:13" ht="21.6" x14ac:dyDescent="0.65">
      <c r="A55" s="195"/>
      <c r="B55" s="140">
        <v>52</v>
      </c>
      <c r="C55" s="2"/>
      <c r="D55" s="1"/>
      <c r="E55" s="3"/>
      <c r="F55" s="1"/>
      <c r="G55" s="141">
        <f>IF(Basic345678910111213141516171819202122232425[[#This Row],[نوع الخدمة]]="مخالفات", 50,
IF(Basic345678910111213141516171819202122232425[[#This Row],[نوع الخدمة]]="كاش ان",
    IF(F55&lt;=100, 18, IF(F55&lt;=250, 23, IF(F55&lt;=500, 35, IF(F55&lt;=1000, 40, F55*0.04)))),
IF(Basic345678910111213141516171819202122232425[[#This Row],[نوع الخدمة]]="كاش اوت",
    IF(F55&lt;=100, 15, IF(F55&lt;=250, 20, IF(F55&lt;=500, 30, IF(F55&lt;=1000, 35, F55*0.035)))),
0)))</f>
        <v>0</v>
      </c>
      <c r="H55" s="159">
        <f>IF(I55="مخالفات",50,Basic345678910111213141516171819202122232425[[#This Row],[قيمة الرسوم / العموله]]+Basic345678910111213141516171819202122232425[[#This Row],[قيمة الشحنه]])</f>
        <v>0</v>
      </c>
      <c r="I55" s="90"/>
      <c r="J55" s="142" t="str">
        <f t="shared" si="0"/>
        <v>8.5.2026</v>
      </c>
      <c r="L55" s="153">
        <v>44</v>
      </c>
      <c r="M55" s="92"/>
    </row>
    <row r="56" spans="1:13" ht="21.6" x14ac:dyDescent="0.65">
      <c r="A56" s="195"/>
      <c r="B56" s="140">
        <v>53</v>
      </c>
      <c r="C56" s="2"/>
      <c r="D56" s="1"/>
      <c r="E56" s="3"/>
      <c r="F56" s="1"/>
      <c r="G56" s="141">
        <f>IF(Basic345678910111213141516171819202122232425[[#This Row],[نوع الخدمة]]="مخالفات", 50,
IF(Basic345678910111213141516171819202122232425[[#This Row],[نوع الخدمة]]="كاش ان",
    IF(F56&lt;=100, 18, IF(F56&lt;=250, 23, IF(F56&lt;=500, 35, IF(F56&lt;=1000, 40, F56*0.04)))),
IF(Basic345678910111213141516171819202122232425[[#This Row],[نوع الخدمة]]="كاش اوت",
    IF(F56&lt;=100, 15, IF(F56&lt;=250, 20, IF(F56&lt;=500, 30, IF(F56&lt;=1000, 35, F56*0.035)))),
0)))</f>
        <v>0</v>
      </c>
      <c r="H56" s="159">
        <f>IF(I56="مخالفات",50,Basic345678910111213141516171819202122232425[[#This Row],[قيمة الرسوم / العموله]]+Basic345678910111213141516171819202122232425[[#This Row],[قيمة الشحنه]])</f>
        <v>0</v>
      </c>
      <c r="I56" s="90"/>
      <c r="J56" s="142" t="str">
        <f t="shared" si="0"/>
        <v>8.5.2026</v>
      </c>
      <c r="L56" s="153">
        <v>45</v>
      </c>
      <c r="M56" s="92"/>
    </row>
    <row r="57" spans="1:13" ht="21.6" x14ac:dyDescent="0.65">
      <c r="A57" s="195"/>
      <c r="B57" s="144">
        <v>54</v>
      </c>
      <c r="C57" s="2"/>
      <c r="D57" s="1"/>
      <c r="E57" s="3"/>
      <c r="F57" s="1"/>
      <c r="G57" s="141">
        <f>IF(Basic345678910111213141516171819202122232425[[#This Row],[نوع الخدمة]]="مخالفات", 50,
IF(Basic345678910111213141516171819202122232425[[#This Row],[نوع الخدمة]]="كاش ان",
    IF(F57&lt;=100, 18, IF(F57&lt;=250, 23, IF(F57&lt;=500, 35, IF(F57&lt;=1000, 40, F57*0.04)))),
IF(Basic345678910111213141516171819202122232425[[#This Row],[نوع الخدمة]]="كاش اوت",
    IF(F57&lt;=100, 15, IF(F57&lt;=250, 20, IF(F57&lt;=500, 30, IF(F57&lt;=1000, 35, F57*0.035)))),
0)))</f>
        <v>0</v>
      </c>
      <c r="H57" s="159">
        <f>IF(I57="مخالفات",50,Basic345678910111213141516171819202122232425[[#This Row],[قيمة الرسوم / العموله]]+Basic345678910111213141516171819202122232425[[#This Row],[قيمة الشحنه]])</f>
        <v>0</v>
      </c>
      <c r="I57" s="90"/>
      <c r="J57" s="142" t="str">
        <f t="shared" si="0"/>
        <v>8.5.2026</v>
      </c>
      <c r="L57" s="153">
        <v>46</v>
      </c>
      <c r="M57" s="92"/>
    </row>
    <row r="58" spans="1:13" ht="21.6" x14ac:dyDescent="0.65">
      <c r="A58" s="195"/>
      <c r="B58" s="140">
        <v>55</v>
      </c>
      <c r="C58" s="2"/>
      <c r="D58" s="1"/>
      <c r="E58" s="3"/>
      <c r="F58" s="1"/>
      <c r="G58" s="141">
        <f>IF(Basic345678910111213141516171819202122232425[[#This Row],[نوع الخدمة]]="مخالفات", 50,
IF(Basic345678910111213141516171819202122232425[[#This Row],[نوع الخدمة]]="كاش ان",
    IF(F58&lt;=100, 18, IF(F58&lt;=250, 23, IF(F58&lt;=500, 35, IF(F58&lt;=1000, 40, F58*0.04)))),
IF(Basic345678910111213141516171819202122232425[[#This Row],[نوع الخدمة]]="كاش اوت",
    IF(F58&lt;=100, 15, IF(F58&lt;=250, 20, IF(F58&lt;=500, 30, IF(F58&lt;=1000, 35, F58*0.035)))),
0)))</f>
        <v>0</v>
      </c>
      <c r="H58" s="159">
        <f>IF(I58="مخالفات",50,Basic345678910111213141516171819202122232425[[#This Row],[قيمة الرسوم / العموله]]+Basic345678910111213141516171819202122232425[[#This Row],[قيمة الشحنه]])</f>
        <v>0</v>
      </c>
      <c r="I58" s="90"/>
      <c r="J58" s="142" t="str">
        <f t="shared" si="0"/>
        <v>8.5.2026</v>
      </c>
      <c r="L58" s="153">
        <v>47</v>
      </c>
      <c r="M58" s="92"/>
    </row>
    <row r="59" spans="1:13" ht="21.6" x14ac:dyDescent="0.65">
      <c r="A59" s="195"/>
      <c r="B59" s="140">
        <v>56</v>
      </c>
      <c r="C59" s="2"/>
      <c r="D59" s="1"/>
      <c r="E59" s="3"/>
      <c r="F59" s="1"/>
      <c r="G59" s="141">
        <f>IF(Basic345678910111213141516171819202122232425[[#This Row],[نوع الخدمة]]="مخالفات", 50,
IF(Basic345678910111213141516171819202122232425[[#This Row],[نوع الخدمة]]="كاش ان",
    IF(F59&lt;=100, 18, IF(F59&lt;=250, 23, IF(F59&lt;=500, 35, IF(F59&lt;=1000, 40, F59*0.04)))),
IF(Basic345678910111213141516171819202122232425[[#This Row],[نوع الخدمة]]="كاش اوت",
    IF(F59&lt;=100, 15, IF(F59&lt;=250, 20, IF(F59&lt;=500, 30, IF(F59&lt;=1000, 35, F59*0.035)))),
0)))</f>
        <v>0</v>
      </c>
      <c r="H59" s="159">
        <f>IF(I59="مخالفات",50,Basic345678910111213141516171819202122232425[[#This Row],[قيمة الرسوم / العموله]]+Basic345678910111213141516171819202122232425[[#This Row],[قيمة الشحنه]])</f>
        <v>0</v>
      </c>
      <c r="I59" s="90"/>
      <c r="J59" s="142" t="str">
        <f t="shared" si="0"/>
        <v>8.5.2026</v>
      </c>
      <c r="L59" s="153">
        <v>48</v>
      </c>
      <c r="M59" s="92"/>
    </row>
    <row r="60" spans="1:13" ht="21.6" x14ac:dyDescent="0.65">
      <c r="A60" s="195"/>
      <c r="B60" s="140">
        <v>57</v>
      </c>
      <c r="C60" s="2"/>
      <c r="D60" s="1"/>
      <c r="E60" s="3"/>
      <c r="F60" s="1"/>
      <c r="G60" s="141">
        <f>IF(Basic345678910111213141516171819202122232425[[#This Row],[نوع الخدمة]]="مخالفات", 50,
IF(Basic345678910111213141516171819202122232425[[#This Row],[نوع الخدمة]]="كاش ان",
    IF(F60&lt;=100, 18, IF(F60&lt;=250, 23, IF(F60&lt;=500, 35, IF(F60&lt;=1000, 40, F60*0.04)))),
IF(Basic345678910111213141516171819202122232425[[#This Row],[نوع الخدمة]]="كاش اوت",
    IF(F60&lt;=100, 15, IF(F60&lt;=250, 20, IF(F60&lt;=500, 30, IF(F60&lt;=1000, 35, F60*0.035)))),
0)))</f>
        <v>0</v>
      </c>
      <c r="H60" s="159">
        <f>IF(I60="مخالفات",50,Basic345678910111213141516171819202122232425[[#This Row],[قيمة الرسوم / العموله]]+Basic345678910111213141516171819202122232425[[#This Row],[قيمة الشحنه]])</f>
        <v>0</v>
      </c>
      <c r="I60" s="90"/>
      <c r="J60" s="142" t="str">
        <f t="shared" si="0"/>
        <v>8.5.2026</v>
      </c>
      <c r="L60" s="153">
        <v>49</v>
      </c>
      <c r="M60" s="92"/>
    </row>
    <row r="61" spans="1:13" ht="21.6" x14ac:dyDescent="0.65">
      <c r="A61" s="195"/>
      <c r="B61" s="144">
        <v>58</v>
      </c>
      <c r="C61" s="2"/>
      <c r="D61" s="1"/>
      <c r="E61" s="3"/>
      <c r="F61" s="1"/>
      <c r="G61" s="141">
        <f>IF(Basic345678910111213141516171819202122232425[[#This Row],[نوع الخدمة]]="مخالفات", 50,
IF(Basic345678910111213141516171819202122232425[[#This Row],[نوع الخدمة]]="كاش ان",
    IF(F61&lt;=100, 18, IF(F61&lt;=250, 23, IF(F61&lt;=500, 35, IF(F61&lt;=1000, 40, F61*0.04)))),
IF(Basic345678910111213141516171819202122232425[[#This Row],[نوع الخدمة]]="كاش اوت",
    IF(F61&lt;=100, 15, IF(F61&lt;=250, 20, IF(F61&lt;=500, 30, IF(F61&lt;=1000, 35, F61*0.035)))),
0)))</f>
        <v>0</v>
      </c>
      <c r="H61" s="159">
        <f>IF(I61="مخالفات",50,Basic345678910111213141516171819202122232425[[#This Row],[قيمة الرسوم / العموله]]+Basic345678910111213141516171819202122232425[[#This Row],[قيمة الشحنه]])</f>
        <v>0</v>
      </c>
      <c r="I61" s="90"/>
      <c r="J61" s="142" t="str">
        <f t="shared" si="0"/>
        <v>8.5.2026</v>
      </c>
      <c r="L61" s="153">
        <v>50</v>
      </c>
      <c r="M61" s="92"/>
    </row>
    <row r="62" spans="1:13" ht="21.6" x14ac:dyDescent="0.65">
      <c r="A62" s="195"/>
      <c r="B62" s="140">
        <v>59</v>
      </c>
      <c r="C62" s="2"/>
      <c r="D62" s="1"/>
      <c r="E62" s="3"/>
      <c r="F62" s="1"/>
      <c r="G62" s="141">
        <f>IF(Basic345678910111213141516171819202122232425[[#This Row],[نوع الخدمة]]="مخالفات", 50,
IF(Basic345678910111213141516171819202122232425[[#This Row],[نوع الخدمة]]="كاش ان",
    IF(F62&lt;=100, 18, IF(F62&lt;=250, 23, IF(F62&lt;=500, 35, IF(F62&lt;=1000, 40, F62*0.04)))),
IF(Basic345678910111213141516171819202122232425[[#This Row],[نوع الخدمة]]="كاش اوت",
    IF(F62&lt;=100, 15, IF(F62&lt;=250, 20, IF(F62&lt;=500, 30, IF(F62&lt;=1000, 35, F62*0.035)))),
0)))</f>
        <v>0</v>
      </c>
      <c r="H62" s="159">
        <f>IF(I62="مخالفات",50,Basic345678910111213141516171819202122232425[[#This Row],[قيمة الرسوم / العموله]]+Basic345678910111213141516171819202122232425[[#This Row],[قيمة الشحنه]])</f>
        <v>0</v>
      </c>
      <c r="I62" s="90"/>
      <c r="J62" s="142" t="str">
        <f t="shared" si="0"/>
        <v>8.5.2026</v>
      </c>
      <c r="L62" s="153">
        <v>51</v>
      </c>
      <c r="M62" s="92"/>
    </row>
    <row r="63" spans="1:13" ht="21.6" x14ac:dyDescent="0.65">
      <c r="A63" s="195"/>
      <c r="B63" s="140">
        <v>60</v>
      </c>
      <c r="C63" s="2"/>
      <c r="D63" s="1"/>
      <c r="E63" s="3"/>
      <c r="F63" s="1"/>
      <c r="G63" s="141">
        <f>IF(Basic345678910111213141516171819202122232425[[#This Row],[نوع الخدمة]]="مخالفات", 50,
IF(Basic345678910111213141516171819202122232425[[#This Row],[نوع الخدمة]]="كاش ان",
    IF(F63&lt;=100, 18, IF(F63&lt;=250, 23, IF(F63&lt;=500, 35, IF(F63&lt;=1000, 40, F63*0.04)))),
IF(Basic345678910111213141516171819202122232425[[#This Row],[نوع الخدمة]]="كاش اوت",
    IF(F63&lt;=100, 15, IF(F63&lt;=250, 20, IF(F63&lt;=500, 30, IF(F63&lt;=1000, 35, F63*0.035)))),
0)))</f>
        <v>0</v>
      </c>
      <c r="H63" s="159">
        <f>IF(I63="مخالفات",50,Basic345678910111213141516171819202122232425[[#This Row],[قيمة الرسوم / العموله]]+Basic345678910111213141516171819202122232425[[#This Row],[قيمة الشحنه]])</f>
        <v>0</v>
      </c>
      <c r="I63" s="90"/>
      <c r="J63" s="142" t="str">
        <f t="shared" si="0"/>
        <v>8.5.2026</v>
      </c>
      <c r="L63" s="153">
        <v>52</v>
      </c>
      <c r="M63" s="92"/>
    </row>
    <row r="64" spans="1:13" ht="21.6" x14ac:dyDescent="0.65">
      <c r="A64" s="195"/>
      <c r="B64" s="140">
        <v>61</v>
      </c>
      <c r="C64" s="2"/>
      <c r="D64" s="1"/>
      <c r="E64" s="3"/>
      <c r="F64" s="1"/>
      <c r="G64" s="141">
        <f>IF(Basic345678910111213141516171819202122232425[[#This Row],[نوع الخدمة]]="مخالفات", 50,
IF(Basic345678910111213141516171819202122232425[[#This Row],[نوع الخدمة]]="كاش ان",
    IF(F64&lt;=100, 18, IF(F64&lt;=250, 23, IF(F64&lt;=500, 35, IF(F64&lt;=1000, 40, F64*0.04)))),
IF(Basic345678910111213141516171819202122232425[[#This Row],[نوع الخدمة]]="كاش اوت",
    IF(F64&lt;=100, 15, IF(F64&lt;=250, 20, IF(F64&lt;=500, 30, IF(F64&lt;=1000, 35, F64*0.035)))),
0)))</f>
        <v>0</v>
      </c>
      <c r="H64" s="159">
        <f>IF(I64="مخالفات",50,Basic345678910111213141516171819202122232425[[#This Row],[قيمة الرسوم / العموله]]+Basic345678910111213141516171819202122232425[[#This Row],[قيمة الشحنه]])</f>
        <v>0</v>
      </c>
      <c r="I64" s="90"/>
      <c r="J64" s="142" t="str">
        <f t="shared" si="0"/>
        <v>8.5.2026</v>
      </c>
      <c r="L64" s="153">
        <v>53</v>
      </c>
      <c r="M64" s="92"/>
    </row>
    <row r="65" spans="1:13" ht="21.6" x14ac:dyDescent="0.65">
      <c r="A65" s="195"/>
      <c r="B65" s="144">
        <v>62</v>
      </c>
      <c r="C65" s="2"/>
      <c r="D65" s="1"/>
      <c r="E65" s="3"/>
      <c r="F65" s="1"/>
      <c r="G65" s="141">
        <f>IF(Basic345678910111213141516171819202122232425[[#This Row],[نوع الخدمة]]="مخالفات", 50,
IF(Basic345678910111213141516171819202122232425[[#This Row],[نوع الخدمة]]="كاش ان",
    IF(F65&lt;=100, 18, IF(F65&lt;=250, 23, IF(F65&lt;=500, 35, IF(F65&lt;=1000, 40, F65*0.04)))),
IF(Basic345678910111213141516171819202122232425[[#This Row],[نوع الخدمة]]="كاش اوت",
    IF(F65&lt;=100, 15, IF(F65&lt;=250, 20, IF(F65&lt;=500, 30, IF(F65&lt;=1000, 35, F65*0.035)))),
0)))</f>
        <v>0</v>
      </c>
      <c r="H65" s="159">
        <f>IF(I65="مخالفات",50,Basic345678910111213141516171819202122232425[[#This Row],[قيمة الرسوم / العموله]]+Basic345678910111213141516171819202122232425[[#This Row],[قيمة الشحنه]])</f>
        <v>0</v>
      </c>
      <c r="I65" s="90"/>
      <c r="J65" s="142" t="str">
        <f t="shared" si="0"/>
        <v>8.5.2026</v>
      </c>
      <c r="L65" s="153">
        <v>54</v>
      </c>
      <c r="M65" s="92"/>
    </row>
    <row r="66" spans="1:13" ht="21.6" x14ac:dyDescent="0.65">
      <c r="A66" s="195"/>
      <c r="B66" s="140">
        <v>63</v>
      </c>
      <c r="C66" s="2"/>
      <c r="D66" s="1"/>
      <c r="E66" s="3"/>
      <c r="F66" s="1"/>
      <c r="G66" s="141">
        <f>IF(Basic345678910111213141516171819202122232425[[#This Row],[نوع الخدمة]]="مخالفات", 50,
IF(Basic345678910111213141516171819202122232425[[#This Row],[نوع الخدمة]]="كاش ان",
    IF(F66&lt;=100, 18, IF(F66&lt;=250, 23, IF(F66&lt;=500, 35, IF(F66&lt;=1000, 40, F66*0.04)))),
IF(Basic345678910111213141516171819202122232425[[#This Row],[نوع الخدمة]]="كاش اوت",
    IF(F66&lt;=100, 15, IF(F66&lt;=250, 20, IF(F66&lt;=500, 30, IF(F66&lt;=1000, 35, F66*0.035)))),
0)))</f>
        <v>0</v>
      </c>
      <c r="H66" s="159">
        <f>IF(I66="مخالفات",50,Basic345678910111213141516171819202122232425[[#This Row],[قيمة الرسوم / العموله]]+Basic345678910111213141516171819202122232425[[#This Row],[قيمة الشحنه]])</f>
        <v>0</v>
      </c>
      <c r="I66" s="90"/>
      <c r="J66" s="142" t="str">
        <f t="shared" si="0"/>
        <v>8.5.2026</v>
      </c>
      <c r="L66" s="153">
        <v>55</v>
      </c>
      <c r="M66" s="92"/>
    </row>
    <row r="67" spans="1:13" ht="21.6" x14ac:dyDescent="0.65">
      <c r="A67" s="195"/>
      <c r="B67" s="140">
        <v>64</v>
      </c>
      <c r="C67" s="2"/>
      <c r="D67" s="1"/>
      <c r="E67" s="3"/>
      <c r="F67" s="1"/>
      <c r="G67" s="141">
        <f>IF(Basic345678910111213141516171819202122232425[[#This Row],[نوع الخدمة]]="مخالفات", 50,
IF(Basic345678910111213141516171819202122232425[[#This Row],[نوع الخدمة]]="كاش ان",
    IF(F67&lt;=100, 18, IF(F67&lt;=250, 23, IF(F67&lt;=500, 35, IF(F67&lt;=1000, 40, F67*0.04)))),
IF(Basic345678910111213141516171819202122232425[[#This Row],[نوع الخدمة]]="كاش اوت",
    IF(F67&lt;=100, 15, IF(F67&lt;=250, 20, IF(F67&lt;=500, 30, IF(F67&lt;=1000, 35, F67*0.035)))),
0)))</f>
        <v>0</v>
      </c>
      <c r="H67" s="159">
        <f>IF(I67="مخالفات",50,Basic345678910111213141516171819202122232425[[#This Row],[قيمة الرسوم / العموله]]+Basic345678910111213141516171819202122232425[[#This Row],[قيمة الشحنه]])</f>
        <v>0</v>
      </c>
      <c r="I67" s="90"/>
      <c r="J67" s="142" t="str">
        <f t="shared" si="0"/>
        <v>8.5.2026</v>
      </c>
      <c r="L67" s="153">
        <v>56</v>
      </c>
      <c r="M67" s="92"/>
    </row>
    <row r="68" spans="1:13" ht="21.6" x14ac:dyDescent="0.65">
      <c r="A68" s="195"/>
      <c r="B68" s="140">
        <v>65</v>
      </c>
      <c r="C68" s="2"/>
      <c r="D68" s="1"/>
      <c r="E68" s="3"/>
      <c r="F68" s="1"/>
      <c r="G68" s="141">
        <f>IF(Basic345678910111213141516171819202122232425[[#This Row],[نوع الخدمة]]="مخالفات", 50,
IF(Basic345678910111213141516171819202122232425[[#This Row],[نوع الخدمة]]="كاش ان",
    IF(F68&lt;=100, 18, IF(F68&lt;=250, 23, IF(F68&lt;=500, 35, IF(F68&lt;=1000, 40, F68*0.04)))),
IF(Basic345678910111213141516171819202122232425[[#This Row],[نوع الخدمة]]="كاش اوت",
    IF(F68&lt;=100, 15, IF(F68&lt;=250, 20, IF(F68&lt;=500, 30, IF(F68&lt;=1000, 35, F68*0.035)))),
0)))</f>
        <v>0</v>
      </c>
      <c r="H68" s="159">
        <f>IF(I68="مخالفات",50,Basic345678910111213141516171819202122232425[[#This Row],[قيمة الرسوم / العموله]]+Basic345678910111213141516171819202122232425[[#This Row],[قيمة الشحنه]])</f>
        <v>0</v>
      </c>
      <c r="I68" s="90"/>
      <c r="J68" s="142" t="str">
        <f t="shared" ref="J68:J131" si="1">M$3</f>
        <v>8.5.2026</v>
      </c>
      <c r="L68" s="153">
        <v>57</v>
      </c>
      <c r="M68" s="92"/>
    </row>
    <row r="69" spans="1:13" ht="21.6" x14ac:dyDescent="0.65">
      <c r="A69" s="195"/>
      <c r="B69" s="144">
        <v>66</v>
      </c>
      <c r="C69" s="2"/>
      <c r="D69" s="1"/>
      <c r="E69" s="3"/>
      <c r="F69" s="1"/>
      <c r="G69" s="141">
        <f>IF(Basic345678910111213141516171819202122232425[[#This Row],[نوع الخدمة]]="مخالفات", 50,
IF(Basic345678910111213141516171819202122232425[[#This Row],[نوع الخدمة]]="كاش ان",
    IF(F69&lt;=100, 18, IF(F69&lt;=250, 23, IF(F69&lt;=500, 35, IF(F69&lt;=1000, 40, F69*0.04)))),
IF(Basic345678910111213141516171819202122232425[[#This Row],[نوع الخدمة]]="كاش اوت",
    IF(F69&lt;=100, 15, IF(F69&lt;=250, 20, IF(F69&lt;=500, 30, IF(F69&lt;=1000, 35, F69*0.035)))),
0)))</f>
        <v>0</v>
      </c>
      <c r="H69" s="159">
        <f>IF(I69="مخالفات",50,Basic345678910111213141516171819202122232425[[#This Row],[قيمة الرسوم / العموله]]+Basic345678910111213141516171819202122232425[[#This Row],[قيمة الشحنه]])</f>
        <v>0</v>
      </c>
      <c r="I69" s="90"/>
      <c r="J69" s="142" t="str">
        <f t="shared" si="1"/>
        <v>8.5.2026</v>
      </c>
      <c r="L69" s="153">
        <v>58</v>
      </c>
      <c r="M69" s="92"/>
    </row>
    <row r="70" spans="1:13" ht="21.6" x14ac:dyDescent="0.65">
      <c r="A70" s="195"/>
      <c r="B70" s="140">
        <v>67</v>
      </c>
      <c r="C70" s="2"/>
      <c r="D70" s="1"/>
      <c r="E70" s="3"/>
      <c r="F70" s="1"/>
      <c r="G70" s="141">
        <f>IF(Basic345678910111213141516171819202122232425[[#This Row],[نوع الخدمة]]="مخالفات", 50,
IF(Basic345678910111213141516171819202122232425[[#This Row],[نوع الخدمة]]="كاش ان",
    IF(F70&lt;=100, 18, IF(F70&lt;=250, 23, IF(F70&lt;=500, 35, IF(F70&lt;=1000, 40, F70*0.04)))),
IF(Basic345678910111213141516171819202122232425[[#This Row],[نوع الخدمة]]="كاش اوت",
    IF(F70&lt;=100, 15, IF(F70&lt;=250, 20, IF(F70&lt;=500, 30, IF(F70&lt;=1000, 35, F70*0.035)))),
0)))</f>
        <v>0</v>
      </c>
      <c r="H70" s="159">
        <f>IF(I70="مخالفات",50,Basic345678910111213141516171819202122232425[[#This Row],[قيمة الرسوم / العموله]]+Basic345678910111213141516171819202122232425[[#This Row],[قيمة الشحنه]])</f>
        <v>0</v>
      </c>
      <c r="I70" s="90"/>
      <c r="J70" s="142" t="str">
        <f t="shared" si="1"/>
        <v>8.5.2026</v>
      </c>
      <c r="L70" s="153">
        <v>59</v>
      </c>
      <c r="M70" s="92"/>
    </row>
    <row r="71" spans="1:13" ht="21.6" x14ac:dyDescent="0.65">
      <c r="A71" s="195"/>
      <c r="B71" s="140">
        <v>68</v>
      </c>
      <c r="C71" s="2"/>
      <c r="D71" s="1"/>
      <c r="E71" s="3"/>
      <c r="F71" s="1"/>
      <c r="G71" s="141">
        <f>IF(Basic345678910111213141516171819202122232425[[#This Row],[نوع الخدمة]]="مخالفات", 50,
IF(Basic345678910111213141516171819202122232425[[#This Row],[نوع الخدمة]]="كاش ان",
    IF(F71&lt;=100, 18, IF(F71&lt;=250, 23, IF(F71&lt;=500, 35, IF(F71&lt;=1000, 40, F71*0.04)))),
IF(Basic345678910111213141516171819202122232425[[#This Row],[نوع الخدمة]]="كاش اوت",
    IF(F71&lt;=100, 15, IF(F71&lt;=250, 20, IF(F71&lt;=500, 30, IF(F71&lt;=1000, 35, F71*0.035)))),
0)))</f>
        <v>0</v>
      </c>
      <c r="H71" s="159">
        <f>IF(I71="مخالفات",50,Basic345678910111213141516171819202122232425[[#This Row],[قيمة الرسوم / العموله]]+Basic345678910111213141516171819202122232425[[#This Row],[قيمة الشحنه]])</f>
        <v>0</v>
      </c>
      <c r="I71" s="90"/>
      <c r="J71" s="142" t="str">
        <f t="shared" si="1"/>
        <v>8.5.2026</v>
      </c>
      <c r="L71" s="153">
        <v>60</v>
      </c>
      <c r="M71" s="92"/>
    </row>
    <row r="72" spans="1:13" ht="21.6" x14ac:dyDescent="0.65">
      <c r="A72" s="195"/>
      <c r="B72" s="140">
        <v>69</v>
      </c>
      <c r="C72" s="2"/>
      <c r="D72" s="1"/>
      <c r="E72" s="3"/>
      <c r="F72" s="1"/>
      <c r="G72" s="141">
        <f>IF(Basic345678910111213141516171819202122232425[[#This Row],[نوع الخدمة]]="مخالفات", 50,
IF(Basic345678910111213141516171819202122232425[[#This Row],[نوع الخدمة]]="كاش ان",
    IF(F72&lt;=100, 18, IF(F72&lt;=250, 23, IF(F72&lt;=500, 35, IF(F72&lt;=1000, 40, F72*0.04)))),
IF(Basic345678910111213141516171819202122232425[[#This Row],[نوع الخدمة]]="كاش اوت",
    IF(F72&lt;=100, 15, IF(F72&lt;=250, 20, IF(F72&lt;=500, 30, IF(F72&lt;=1000, 35, F72*0.035)))),
0)))</f>
        <v>0</v>
      </c>
      <c r="H72" s="159">
        <f>IF(I72="مخالفات",50,Basic345678910111213141516171819202122232425[[#This Row],[قيمة الرسوم / العموله]]+Basic345678910111213141516171819202122232425[[#This Row],[قيمة الشحنه]])</f>
        <v>0</v>
      </c>
      <c r="I72" s="90"/>
      <c r="J72" s="142" t="str">
        <f t="shared" si="1"/>
        <v>8.5.2026</v>
      </c>
      <c r="L72" s="153">
        <v>61</v>
      </c>
      <c r="M72" s="92"/>
    </row>
    <row r="73" spans="1:13" ht="21.6" x14ac:dyDescent="0.65">
      <c r="A73" s="195"/>
      <c r="B73" s="144">
        <v>70</v>
      </c>
      <c r="C73" s="2"/>
      <c r="D73" s="1"/>
      <c r="E73" s="3"/>
      <c r="F73" s="1"/>
      <c r="G73" s="141">
        <f>IF(Basic345678910111213141516171819202122232425[[#This Row],[نوع الخدمة]]="مخالفات", 50,
IF(Basic345678910111213141516171819202122232425[[#This Row],[نوع الخدمة]]="كاش ان",
    IF(F73&lt;=100, 18, IF(F73&lt;=250, 23, IF(F73&lt;=500, 35, IF(F73&lt;=1000, 40, F73*0.04)))),
IF(Basic345678910111213141516171819202122232425[[#This Row],[نوع الخدمة]]="كاش اوت",
    IF(F73&lt;=100, 15, IF(F73&lt;=250, 20, IF(F73&lt;=500, 30, IF(F73&lt;=1000, 35, F73*0.035)))),
0)))</f>
        <v>0</v>
      </c>
      <c r="H73" s="159">
        <f>IF(I73="مخالفات",50,Basic345678910111213141516171819202122232425[[#This Row],[قيمة الرسوم / العموله]]+Basic345678910111213141516171819202122232425[[#This Row],[قيمة الشحنه]])</f>
        <v>0</v>
      </c>
      <c r="I73" s="90"/>
      <c r="J73" s="142" t="str">
        <f t="shared" si="1"/>
        <v>8.5.2026</v>
      </c>
      <c r="L73" s="153">
        <v>62</v>
      </c>
      <c r="M73" s="92"/>
    </row>
    <row r="74" spans="1:13" ht="21.6" x14ac:dyDescent="0.65">
      <c r="A74" s="195"/>
      <c r="B74" s="140">
        <v>71</v>
      </c>
      <c r="C74" s="2"/>
      <c r="D74" s="1"/>
      <c r="E74" s="3"/>
      <c r="F74" s="1"/>
      <c r="G74" s="141">
        <f>IF(Basic345678910111213141516171819202122232425[[#This Row],[نوع الخدمة]]="مخالفات", 50,
IF(Basic345678910111213141516171819202122232425[[#This Row],[نوع الخدمة]]="كاش ان",
    IF(F74&lt;=100, 18, IF(F74&lt;=250, 23, IF(F74&lt;=500, 35, IF(F74&lt;=1000, 40, F74*0.04)))),
IF(Basic345678910111213141516171819202122232425[[#This Row],[نوع الخدمة]]="كاش اوت",
    IF(F74&lt;=100, 15, IF(F74&lt;=250, 20, IF(F74&lt;=500, 30, IF(F74&lt;=1000, 35, F74*0.035)))),
0)))</f>
        <v>0</v>
      </c>
      <c r="H74" s="159">
        <f>IF(I74="مخالفات",50,Basic345678910111213141516171819202122232425[[#This Row],[قيمة الرسوم / العموله]]+Basic345678910111213141516171819202122232425[[#This Row],[قيمة الشحنه]])</f>
        <v>0</v>
      </c>
      <c r="I74" s="90"/>
      <c r="J74" s="142" t="str">
        <f t="shared" si="1"/>
        <v>8.5.2026</v>
      </c>
      <c r="L74" s="153">
        <v>63</v>
      </c>
      <c r="M74" s="92"/>
    </row>
    <row r="75" spans="1:13" ht="21.6" x14ac:dyDescent="0.65">
      <c r="A75" s="195"/>
      <c r="B75" s="140">
        <v>72</v>
      </c>
      <c r="C75" s="2"/>
      <c r="D75" s="1"/>
      <c r="E75" s="3"/>
      <c r="F75" s="1"/>
      <c r="G75" s="141">
        <f>IF(Basic345678910111213141516171819202122232425[[#This Row],[نوع الخدمة]]="مخالفات", 50,
IF(Basic345678910111213141516171819202122232425[[#This Row],[نوع الخدمة]]="كاش ان",
    IF(F75&lt;=100, 18, IF(F75&lt;=250, 23, IF(F75&lt;=500, 35, IF(F75&lt;=1000, 40, F75*0.04)))),
IF(Basic345678910111213141516171819202122232425[[#This Row],[نوع الخدمة]]="كاش اوت",
    IF(F75&lt;=100, 15, IF(F75&lt;=250, 20, IF(F75&lt;=500, 30, IF(F75&lt;=1000, 35, F75*0.035)))),
0)))</f>
        <v>0</v>
      </c>
      <c r="H75" s="159">
        <f>IF(I75="مخالفات",50,Basic345678910111213141516171819202122232425[[#This Row],[قيمة الرسوم / العموله]]+Basic345678910111213141516171819202122232425[[#This Row],[قيمة الشحنه]])</f>
        <v>0</v>
      </c>
      <c r="I75" s="90"/>
      <c r="J75" s="142" t="str">
        <f t="shared" si="1"/>
        <v>8.5.2026</v>
      </c>
      <c r="L75" s="153">
        <v>64</v>
      </c>
      <c r="M75" s="92"/>
    </row>
    <row r="76" spans="1:13" ht="21.6" x14ac:dyDescent="0.65">
      <c r="A76" s="195"/>
      <c r="B76" s="140">
        <v>73</v>
      </c>
      <c r="C76" s="2"/>
      <c r="D76" s="1"/>
      <c r="E76" s="3"/>
      <c r="F76" s="1"/>
      <c r="G76" s="141">
        <f>IF(Basic345678910111213141516171819202122232425[[#This Row],[نوع الخدمة]]="مخالفات", 50,
IF(Basic345678910111213141516171819202122232425[[#This Row],[نوع الخدمة]]="كاش ان",
    IF(F76&lt;=100, 18, IF(F76&lt;=250, 23, IF(F76&lt;=500, 35, IF(F76&lt;=1000, 40, F76*0.04)))),
IF(Basic345678910111213141516171819202122232425[[#This Row],[نوع الخدمة]]="كاش اوت",
    IF(F76&lt;=100, 15, IF(F76&lt;=250, 20, IF(F76&lt;=500, 30, IF(F76&lt;=1000, 35, F76*0.035)))),
0)))</f>
        <v>0</v>
      </c>
      <c r="H76" s="159">
        <f>IF(I76="مخالفات",50,Basic345678910111213141516171819202122232425[[#This Row],[قيمة الرسوم / العموله]]+Basic345678910111213141516171819202122232425[[#This Row],[قيمة الشحنه]])</f>
        <v>0</v>
      </c>
      <c r="I76" s="90"/>
      <c r="J76" s="142" t="str">
        <f t="shared" si="1"/>
        <v>8.5.2026</v>
      </c>
      <c r="L76" s="153">
        <v>65</v>
      </c>
      <c r="M76" s="92"/>
    </row>
    <row r="77" spans="1:13" ht="21.6" x14ac:dyDescent="0.65">
      <c r="A77" s="195"/>
      <c r="B77" s="144">
        <v>74</v>
      </c>
      <c r="C77" s="2"/>
      <c r="D77" s="1"/>
      <c r="E77" s="3"/>
      <c r="F77" s="1"/>
      <c r="G77" s="141">
        <f>IF(Basic345678910111213141516171819202122232425[[#This Row],[نوع الخدمة]]="مخالفات", 50,
IF(Basic345678910111213141516171819202122232425[[#This Row],[نوع الخدمة]]="كاش ان",
    IF(F77&lt;=100, 18, IF(F77&lt;=250, 23, IF(F77&lt;=500, 35, IF(F77&lt;=1000, 40, F77*0.04)))),
IF(Basic345678910111213141516171819202122232425[[#This Row],[نوع الخدمة]]="كاش اوت",
    IF(F77&lt;=100, 15, IF(F77&lt;=250, 20, IF(F77&lt;=500, 30, IF(F77&lt;=1000, 35, F77*0.035)))),
0)))</f>
        <v>0</v>
      </c>
      <c r="H77" s="159">
        <f>IF(I77="مخالفات",50,Basic345678910111213141516171819202122232425[[#This Row],[قيمة الرسوم / العموله]]+Basic345678910111213141516171819202122232425[[#This Row],[قيمة الشحنه]])</f>
        <v>0</v>
      </c>
      <c r="I77" s="90"/>
      <c r="J77" s="142" t="str">
        <f t="shared" si="1"/>
        <v>8.5.2026</v>
      </c>
      <c r="L77" s="153">
        <v>66</v>
      </c>
      <c r="M77" s="92"/>
    </row>
    <row r="78" spans="1:13" ht="21.6" x14ac:dyDescent="0.65">
      <c r="A78" s="195"/>
      <c r="B78" s="140">
        <v>75</v>
      </c>
      <c r="C78" s="2"/>
      <c r="D78" s="1"/>
      <c r="E78" s="3"/>
      <c r="F78" s="1"/>
      <c r="G78" s="141">
        <f>IF(Basic345678910111213141516171819202122232425[[#This Row],[نوع الخدمة]]="مخالفات", 50,
IF(Basic345678910111213141516171819202122232425[[#This Row],[نوع الخدمة]]="كاش ان",
    IF(F78&lt;=100, 18, IF(F78&lt;=250, 23, IF(F78&lt;=500, 35, IF(F78&lt;=1000, 40, F78*0.04)))),
IF(Basic345678910111213141516171819202122232425[[#This Row],[نوع الخدمة]]="كاش اوت",
    IF(F78&lt;=100, 15, IF(F78&lt;=250, 20, IF(F78&lt;=500, 30, IF(F78&lt;=1000, 35, F78*0.035)))),
0)))</f>
        <v>0</v>
      </c>
      <c r="H78" s="159">
        <f>IF(I78="مخالفات",50,Basic345678910111213141516171819202122232425[[#This Row],[قيمة الرسوم / العموله]]+Basic345678910111213141516171819202122232425[[#This Row],[قيمة الشحنه]])</f>
        <v>0</v>
      </c>
      <c r="I78" s="90"/>
      <c r="J78" s="142" t="str">
        <f t="shared" si="1"/>
        <v>8.5.2026</v>
      </c>
      <c r="L78" s="153">
        <v>67</v>
      </c>
      <c r="M78" s="92"/>
    </row>
    <row r="79" spans="1:13" ht="21.6" x14ac:dyDescent="0.65">
      <c r="A79" s="195"/>
      <c r="B79" s="140">
        <v>76</v>
      </c>
      <c r="C79" s="2"/>
      <c r="D79" s="1"/>
      <c r="E79" s="3"/>
      <c r="F79" s="1"/>
      <c r="G79" s="141">
        <f>IF(Basic345678910111213141516171819202122232425[[#This Row],[نوع الخدمة]]="مخالفات", 50,
IF(Basic345678910111213141516171819202122232425[[#This Row],[نوع الخدمة]]="كاش ان",
    IF(F79&lt;=100, 18, IF(F79&lt;=250, 23, IF(F79&lt;=500, 35, IF(F79&lt;=1000, 40, F79*0.04)))),
IF(Basic345678910111213141516171819202122232425[[#This Row],[نوع الخدمة]]="كاش اوت",
    IF(F79&lt;=100, 15, IF(F79&lt;=250, 20, IF(F79&lt;=500, 30, IF(F79&lt;=1000, 35, F79*0.035)))),
0)))</f>
        <v>0</v>
      </c>
      <c r="H79" s="159">
        <f>IF(I79="مخالفات",50,Basic345678910111213141516171819202122232425[[#This Row],[قيمة الرسوم / العموله]]+Basic345678910111213141516171819202122232425[[#This Row],[قيمة الشحنه]])</f>
        <v>0</v>
      </c>
      <c r="I79" s="90"/>
      <c r="J79" s="142" t="str">
        <f t="shared" si="1"/>
        <v>8.5.2026</v>
      </c>
      <c r="L79" s="153">
        <v>68</v>
      </c>
      <c r="M79" s="92"/>
    </row>
    <row r="80" spans="1:13" ht="21.6" x14ac:dyDescent="0.65">
      <c r="A80" s="195"/>
      <c r="B80" s="140">
        <v>77</v>
      </c>
      <c r="C80" s="2"/>
      <c r="D80" s="1"/>
      <c r="E80" s="3"/>
      <c r="F80" s="1"/>
      <c r="G80" s="141">
        <f>IF(Basic345678910111213141516171819202122232425[[#This Row],[نوع الخدمة]]="مخالفات", 50,
IF(Basic345678910111213141516171819202122232425[[#This Row],[نوع الخدمة]]="كاش ان",
    IF(F80&lt;=100, 18, IF(F80&lt;=250, 23, IF(F80&lt;=500, 35, IF(F80&lt;=1000, 40, F80*0.04)))),
IF(Basic345678910111213141516171819202122232425[[#This Row],[نوع الخدمة]]="كاش اوت",
    IF(F80&lt;=100, 15, IF(F80&lt;=250, 20, IF(F80&lt;=500, 30, IF(F80&lt;=1000, 35, F80*0.035)))),
0)))</f>
        <v>0</v>
      </c>
      <c r="H80" s="159">
        <f>IF(I80="مخالفات",50,Basic345678910111213141516171819202122232425[[#This Row],[قيمة الرسوم / العموله]]+Basic345678910111213141516171819202122232425[[#This Row],[قيمة الشحنه]])</f>
        <v>0</v>
      </c>
      <c r="I80" s="90"/>
      <c r="J80" s="142" t="str">
        <f t="shared" si="1"/>
        <v>8.5.2026</v>
      </c>
      <c r="L80" s="153">
        <v>69</v>
      </c>
      <c r="M80" s="92"/>
    </row>
    <row r="81" spans="1:13" ht="21.6" x14ac:dyDescent="0.65">
      <c r="A81" s="195"/>
      <c r="B81" s="144">
        <v>78</v>
      </c>
      <c r="C81" s="2"/>
      <c r="D81" s="1"/>
      <c r="E81" s="3"/>
      <c r="F81" s="1"/>
      <c r="G81" s="141">
        <f>IF(Basic345678910111213141516171819202122232425[[#This Row],[نوع الخدمة]]="مخالفات", 50,
IF(Basic345678910111213141516171819202122232425[[#This Row],[نوع الخدمة]]="كاش ان",
    IF(F81&lt;=100, 18, IF(F81&lt;=250, 23, IF(F81&lt;=500, 35, IF(F81&lt;=1000, 40, F81*0.04)))),
IF(Basic345678910111213141516171819202122232425[[#This Row],[نوع الخدمة]]="كاش اوت",
    IF(F81&lt;=100, 15, IF(F81&lt;=250, 20, IF(F81&lt;=500, 30, IF(F81&lt;=1000, 35, F81*0.035)))),
0)))</f>
        <v>0</v>
      </c>
      <c r="H81" s="159">
        <f>IF(I81="مخالفات",50,Basic345678910111213141516171819202122232425[[#This Row],[قيمة الرسوم / العموله]]+Basic345678910111213141516171819202122232425[[#This Row],[قيمة الشحنه]])</f>
        <v>0</v>
      </c>
      <c r="I81" s="90"/>
      <c r="J81" s="142" t="str">
        <f t="shared" si="1"/>
        <v>8.5.2026</v>
      </c>
      <c r="L81" s="153">
        <v>70</v>
      </c>
      <c r="M81" s="92"/>
    </row>
    <row r="82" spans="1:13" ht="21.6" x14ac:dyDescent="0.65">
      <c r="A82" s="195"/>
      <c r="B82" s="140">
        <v>79</v>
      </c>
      <c r="C82" s="2"/>
      <c r="D82" s="1"/>
      <c r="E82" s="3"/>
      <c r="F82" s="1"/>
      <c r="G82" s="141">
        <f>IF(Basic345678910111213141516171819202122232425[[#This Row],[نوع الخدمة]]="مخالفات", 50,
IF(Basic345678910111213141516171819202122232425[[#This Row],[نوع الخدمة]]="كاش ان",
    IF(F82&lt;=100, 18, IF(F82&lt;=250, 23, IF(F82&lt;=500, 35, IF(F82&lt;=1000, 40, F82*0.04)))),
IF(Basic345678910111213141516171819202122232425[[#This Row],[نوع الخدمة]]="كاش اوت",
    IF(F82&lt;=100, 15, IF(F82&lt;=250, 20, IF(F82&lt;=500, 30, IF(F82&lt;=1000, 35, F82*0.035)))),
0)))</f>
        <v>0</v>
      </c>
      <c r="H82" s="159">
        <f>IF(I82="مخالفات",50,Basic345678910111213141516171819202122232425[[#This Row],[قيمة الرسوم / العموله]]+Basic345678910111213141516171819202122232425[[#This Row],[قيمة الشحنه]])</f>
        <v>0</v>
      </c>
      <c r="I82" s="90"/>
      <c r="J82" s="142" t="str">
        <f t="shared" si="1"/>
        <v>8.5.2026</v>
      </c>
      <c r="L82" s="153">
        <v>71</v>
      </c>
      <c r="M82" s="92"/>
    </row>
    <row r="83" spans="1:13" ht="21.6" x14ac:dyDescent="0.65">
      <c r="A83" s="195"/>
      <c r="B83" s="140">
        <v>80</v>
      </c>
      <c r="C83" s="2"/>
      <c r="D83" s="1"/>
      <c r="E83" s="3"/>
      <c r="F83" s="1"/>
      <c r="G83" s="141">
        <f>IF(Basic345678910111213141516171819202122232425[[#This Row],[نوع الخدمة]]="مخالفات", 50,
IF(Basic345678910111213141516171819202122232425[[#This Row],[نوع الخدمة]]="كاش ان",
    IF(F83&lt;=100, 18, IF(F83&lt;=250, 23, IF(F83&lt;=500, 35, IF(F83&lt;=1000, 40, F83*0.04)))),
IF(Basic345678910111213141516171819202122232425[[#This Row],[نوع الخدمة]]="كاش اوت",
    IF(F83&lt;=100, 15, IF(F83&lt;=250, 20, IF(F83&lt;=500, 30, IF(F83&lt;=1000, 35, F83*0.035)))),
0)))</f>
        <v>0</v>
      </c>
      <c r="H83" s="159">
        <f>IF(I83="مخالفات",50,Basic345678910111213141516171819202122232425[[#This Row],[قيمة الرسوم / العموله]]+Basic345678910111213141516171819202122232425[[#This Row],[قيمة الشحنه]])</f>
        <v>0</v>
      </c>
      <c r="I83" s="90"/>
      <c r="J83" s="142" t="str">
        <f t="shared" si="1"/>
        <v>8.5.2026</v>
      </c>
      <c r="L83" s="153">
        <v>72</v>
      </c>
      <c r="M83" s="92"/>
    </row>
    <row r="84" spans="1:13" ht="21.6" x14ac:dyDescent="0.65">
      <c r="A84" s="195"/>
      <c r="B84" s="140">
        <v>81</v>
      </c>
      <c r="C84" s="2"/>
      <c r="D84" s="1"/>
      <c r="E84" s="3"/>
      <c r="F84" s="1"/>
      <c r="G84" s="141">
        <f>IF(Basic345678910111213141516171819202122232425[[#This Row],[نوع الخدمة]]="مخالفات", 50,
IF(Basic345678910111213141516171819202122232425[[#This Row],[نوع الخدمة]]="كاش ان",
    IF(F84&lt;=100, 18, IF(F84&lt;=250, 23, IF(F84&lt;=500, 35, IF(F84&lt;=1000, 40, F84*0.04)))),
IF(Basic345678910111213141516171819202122232425[[#This Row],[نوع الخدمة]]="كاش اوت",
    IF(F84&lt;=100, 15, IF(F84&lt;=250, 20, IF(F84&lt;=500, 30, IF(F84&lt;=1000, 35, F84*0.035)))),
0)))</f>
        <v>0</v>
      </c>
      <c r="H84" s="159">
        <f>IF(I84="مخالفات",50,Basic345678910111213141516171819202122232425[[#This Row],[قيمة الرسوم / العموله]]+Basic345678910111213141516171819202122232425[[#This Row],[قيمة الشحنه]])</f>
        <v>0</v>
      </c>
      <c r="I84" s="90"/>
      <c r="J84" s="142" t="str">
        <f t="shared" si="1"/>
        <v>8.5.2026</v>
      </c>
      <c r="L84" s="153">
        <v>73</v>
      </c>
      <c r="M84" s="92"/>
    </row>
    <row r="85" spans="1:13" ht="21.6" x14ac:dyDescent="0.65">
      <c r="A85" s="195"/>
      <c r="B85" s="144">
        <v>82</v>
      </c>
      <c r="C85" s="2"/>
      <c r="D85" s="1"/>
      <c r="E85" s="3"/>
      <c r="F85" s="1"/>
      <c r="G85" s="141">
        <f>IF(Basic345678910111213141516171819202122232425[[#This Row],[نوع الخدمة]]="مخالفات", 50,
IF(Basic345678910111213141516171819202122232425[[#This Row],[نوع الخدمة]]="كاش ان",
    IF(F85&lt;=100, 18, IF(F85&lt;=250, 23, IF(F85&lt;=500, 35, IF(F85&lt;=1000, 40, F85*0.04)))),
IF(Basic345678910111213141516171819202122232425[[#This Row],[نوع الخدمة]]="كاش اوت",
    IF(F85&lt;=100, 15, IF(F85&lt;=250, 20, IF(F85&lt;=500, 30, IF(F85&lt;=1000, 35, F85*0.035)))),
0)))</f>
        <v>0</v>
      </c>
      <c r="H85" s="159">
        <f>IF(I85="مخالفات",50,Basic345678910111213141516171819202122232425[[#This Row],[قيمة الرسوم / العموله]]+Basic345678910111213141516171819202122232425[[#This Row],[قيمة الشحنه]])</f>
        <v>0</v>
      </c>
      <c r="I85" s="90"/>
      <c r="J85" s="142" t="str">
        <f t="shared" si="1"/>
        <v>8.5.2026</v>
      </c>
      <c r="L85" s="153">
        <v>74</v>
      </c>
      <c r="M85" s="92"/>
    </row>
    <row r="86" spans="1:13" ht="21.6" x14ac:dyDescent="0.65">
      <c r="A86" s="195"/>
      <c r="B86" s="140">
        <v>83</v>
      </c>
      <c r="C86" s="2"/>
      <c r="D86" s="1"/>
      <c r="E86" s="3"/>
      <c r="F86" s="1"/>
      <c r="G86" s="141">
        <f>IF(Basic345678910111213141516171819202122232425[[#This Row],[نوع الخدمة]]="مخالفات", 50,
IF(Basic345678910111213141516171819202122232425[[#This Row],[نوع الخدمة]]="كاش ان",
    IF(F86&lt;=100, 18, IF(F86&lt;=250, 23, IF(F86&lt;=500, 35, IF(F86&lt;=1000, 40, F86*0.04)))),
IF(Basic345678910111213141516171819202122232425[[#This Row],[نوع الخدمة]]="كاش اوت",
    IF(F86&lt;=100, 15, IF(F86&lt;=250, 20, IF(F86&lt;=500, 30, IF(F86&lt;=1000, 35, F86*0.035)))),
0)))</f>
        <v>0</v>
      </c>
      <c r="H86" s="159">
        <f>IF(I86="مخالفات",50,Basic345678910111213141516171819202122232425[[#This Row],[قيمة الرسوم / العموله]]+Basic345678910111213141516171819202122232425[[#This Row],[قيمة الشحنه]])</f>
        <v>0</v>
      </c>
      <c r="I86" s="90"/>
      <c r="J86" s="142" t="str">
        <f t="shared" si="1"/>
        <v>8.5.2026</v>
      </c>
      <c r="L86" s="153">
        <v>75</v>
      </c>
      <c r="M86" s="92"/>
    </row>
    <row r="87" spans="1:13" ht="21.6" x14ac:dyDescent="0.65">
      <c r="A87" s="195"/>
      <c r="B87" s="140">
        <v>84</v>
      </c>
      <c r="C87" s="2"/>
      <c r="D87" s="1"/>
      <c r="E87" s="3"/>
      <c r="F87" s="1"/>
      <c r="G87" s="141">
        <f>IF(Basic345678910111213141516171819202122232425[[#This Row],[نوع الخدمة]]="مخالفات", 50,
IF(Basic345678910111213141516171819202122232425[[#This Row],[نوع الخدمة]]="كاش ان",
    IF(F87&lt;=100, 18, IF(F87&lt;=250, 23, IF(F87&lt;=500, 35, IF(F87&lt;=1000, 40, F87*0.04)))),
IF(Basic345678910111213141516171819202122232425[[#This Row],[نوع الخدمة]]="كاش اوت",
    IF(F87&lt;=100, 15, IF(F87&lt;=250, 20, IF(F87&lt;=500, 30, IF(F87&lt;=1000, 35, F87*0.035)))),
0)))</f>
        <v>0</v>
      </c>
      <c r="H87" s="159">
        <f>IF(I87="مخالفات",50,Basic345678910111213141516171819202122232425[[#This Row],[قيمة الرسوم / العموله]]+Basic345678910111213141516171819202122232425[[#This Row],[قيمة الشحنه]])</f>
        <v>0</v>
      </c>
      <c r="I87" s="90"/>
      <c r="J87" s="142" t="str">
        <f t="shared" si="1"/>
        <v>8.5.2026</v>
      </c>
      <c r="L87" s="153">
        <v>76</v>
      </c>
      <c r="M87" s="92"/>
    </row>
    <row r="88" spans="1:13" ht="21.6" x14ac:dyDescent="0.65">
      <c r="A88" s="195"/>
      <c r="B88" s="140">
        <v>85</v>
      </c>
      <c r="C88" s="2"/>
      <c r="D88" s="1"/>
      <c r="E88" s="3"/>
      <c r="F88" s="1"/>
      <c r="G88" s="141">
        <f>IF(Basic345678910111213141516171819202122232425[[#This Row],[نوع الخدمة]]="مخالفات", 50,
IF(Basic345678910111213141516171819202122232425[[#This Row],[نوع الخدمة]]="كاش ان",
    IF(F88&lt;=100, 18, IF(F88&lt;=250, 23, IF(F88&lt;=500, 35, IF(F88&lt;=1000, 40, F88*0.04)))),
IF(Basic345678910111213141516171819202122232425[[#This Row],[نوع الخدمة]]="كاش اوت",
    IF(F88&lt;=100, 15, IF(F88&lt;=250, 20, IF(F88&lt;=500, 30, IF(F88&lt;=1000, 35, F88*0.035)))),
0)))</f>
        <v>0</v>
      </c>
      <c r="H88" s="159">
        <f>IF(I88="مخالفات",50,Basic345678910111213141516171819202122232425[[#This Row],[قيمة الرسوم / العموله]]+Basic345678910111213141516171819202122232425[[#This Row],[قيمة الشحنه]])</f>
        <v>0</v>
      </c>
      <c r="I88" s="90"/>
      <c r="J88" s="142" t="str">
        <f t="shared" si="1"/>
        <v>8.5.2026</v>
      </c>
      <c r="L88" s="153">
        <v>77</v>
      </c>
      <c r="M88" s="92"/>
    </row>
    <row r="89" spans="1:13" ht="21.6" x14ac:dyDescent="0.65">
      <c r="A89" s="195"/>
      <c r="B89" s="144">
        <v>86</v>
      </c>
      <c r="C89" s="2"/>
      <c r="D89" s="1"/>
      <c r="E89" s="3"/>
      <c r="F89" s="1"/>
      <c r="G89" s="141">
        <f>IF(Basic345678910111213141516171819202122232425[[#This Row],[نوع الخدمة]]="مخالفات", 50,
IF(Basic345678910111213141516171819202122232425[[#This Row],[نوع الخدمة]]="كاش ان",
    IF(F89&lt;=100, 18, IF(F89&lt;=250, 23, IF(F89&lt;=500, 35, IF(F89&lt;=1000, 40, F89*0.04)))),
IF(Basic345678910111213141516171819202122232425[[#This Row],[نوع الخدمة]]="كاش اوت",
    IF(F89&lt;=100, 15, IF(F89&lt;=250, 20, IF(F89&lt;=500, 30, IF(F89&lt;=1000, 35, F89*0.035)))),
0)))</f>
        <v>0</v>
      </c>
      <c r="H89" s="159">
        <f>IF(I89="مخالفات",50,Basic345678910111213141516171819202122232425[[#This Row],[قيمة الرسوم / العموله]]+Basic345678910111213141516171819202122232425[[#This Row],[قيمة الشحنه]])</f>
        <v>0</v>
      </c>
      <c r="I89" s="90"/>
      <c r="J89" s="142" t="str">
        <f t="shared" si="1"/>
        <v>8.5.2026</v>
      </c>
      <c r="L89" s="153">
        <v>78</v>
      </c>
      <c r="M89" s="92"/>
    </row>
    <row r="90" spans="1:13" ht="21.6" x14ac:dyDescent="0.65">
      <c r="A90" s="195"/>
      <c r="B90" s="140">
        <v>87</v>
      </c>
      <c r="C90" s="2"/>
      <c r="D90" s="1"/>
      <c r="E90" s="3"/>
      <c r="F90" s="1"/>
      <c r="G90" s="141">
        <f>IF(Basic345678910111213141516171819202122232425[[#This Row],[نوع الخدمة]]="مخالفات", 50,
IF(Basic345678910111213141516171819202122232425[[#This Row],[نوع الخدمة]]="كاش ان",
    IF(F90&lt;=100, 18, IF(F90&lt;=250, 23, IF(F90&lt;=500, 35, IF(F90&lt;=1000, 40, F90*0.04)))),
IF(Basic345678910111213141516171819202122232425[[#This Row],[نوع الخدمة]]="كاش اوت",
    IF(F90&lt;=100, 15, IF(F90&lt;=250, 20, IF(F90&lt;=500, 30, IF(F90&lt;=1000, 35, F90*0.035)))),
0)))</f>
        <v>0</v>
      </c>
      <c r="H90" s="159">
        <f>IF(I90="مخالفات",50,Basic345678910111213141516171819202122232425[[#This Row],[قيمة الرسوم / العموله]]+Basic345678910111213141516171819202122232425[[#This Row],[قيمة الشحنه]])</f>
        <v>0</v>
      </c>
      <c r="I90" s="90"/>
      <c r="J90" s="142" t="str">
        <f t="shared" si="1"/>
        <v>8.5.2026</v>
      </c>
      <c r="L90" s="153">
        <v>79</v>
      </c>
      <c r="M90" s="92"/>
    </row>
    <row r="91" spans="1:13" ht="21.6" x14ac:dyDescent="0.65">
      <c r="A91" s="195"/>
      <c r="B91" s="140">
        <v>88</v>
      </c>
      <c r="C91" s="2"/>
      <c r="D91" s="1"/>
      <c r="E91" s="3"/>
      <c r="F91" s="1"/>
      <c r="G91" s="141">
        <f>IF(Basic345678910111213141516171819202122232425[[#This Row],[نوع الخدمة]]="مخالفات", 50,
IF(Basic345678910111213141516171819202122232425[[#This Row],[نوع الخدمة]]="كاش ان",
    IF(F91&lt;=100, 18, IF(F91&lt;=250, 23, IF(F91&lt;=500, 35, IF(F91&lt;=1000, 40, F91*0.04)))),
IF(Basic345678910111213141516171819202122232425[[#This Row],[نوع الخدمة]]="كاش اوت",
    IF(F91&lt;=100, 15, IF(F91&lt;=250, 20, IF(F91&lt;=500, 30, IF(F91&lt;=1000, 35, F91*0.035)))),
0)))</f>
        <v>0</v>
      </c>
      <c r="H91" s="159">
        <f>IF(I91="مخالفات",50,Basic345678910111213141516171819202122232425[[#This Row],[قيمة الرسوم / العموله]]+Basic345678910111213141516171819202122232425[[#This Row],[قيمة الشحنه]])</f>
        <v>0</v>
      </c>
      <c r="I91" s="90"/>
      <c r="J91" s="142" t="str">
        <f t="shared" si="1"/>
        <v>8.5.2026</v>
      </c>
      <c r="L91" s="153">
        <v>80</v>
      </c>
      <c r="M91" s="92"/>
    </row>
    <row r="92" spans="1:13" ht="21.6" x14ac:dyDescent="0.65">
      <c r="A92" s="195"/>
      <c r="B92" s="140">
        <v>89</v>
      </c>
      <c r="C92" s="2"/>
      <c r="D92" s="1"/>
      <c r="E92" s="3"/>
      <c r="F92" s="1"/>
      <c r="G92" s="141">
        <f>IF(Basic345678910111213141516171819202122232425[[#This Row],[نوع الخدمة]]="مخالفات", 50,
IF(Basic345678910111213141516171819202122232425[[#This Row],[نوع الخدمة]]="كاش ان",
    IF(F92&lt;=100, 18, IF(F92&lt;=250, 23, IF(F92&lt;=500, 35, IF(F92&lt;=1000, 40, F92*0.04)))),
IF(Basic345678910111213141516171819202122232425[[#This Row],[نوع الخدمة]]="كاش اوت",
    IF(F92&lt;=100, 15, IF(F92&lt;=250, 20, IF(F92&lt;=500, 30, IF(F92&lt;=1000, 35, F92*0.035)))),
0)))</f>
        <v>0</v>
      </c>
      <c r="H92" s="159">
        <f>IF(I92="مخالفات",50,Basic345678910111213141516171819202122232425[[#This Row],[قيمة الرسوم / العموله]]+Basic345678910111213141516171819202122232425[[#This Row],[قيمة الشحنه]])</f>
        <v>0</v>
      </c>
      <c r="I92" s="90"/>
      <c r="J92" s="142" t="str">
        <f t="shared" si="1"/>
        <v>8.5.2026</v>
      </c>
      <c r="L92" s="153">
        <v>81</v>
      </c>
      <c r="M92" s="92"/>
    </row>
    <row r="93" spans="1:13" ht="21.6" x14ac:dyDescent="0.65">
      <c r="A93" s="195"/>
      <c r="B93" s="144">
        <v>90</v>
      </c>
      <c r="C93" s="2"/>
      <c r="D93" s="1"/>
      <c r="E93" s="3"/>
      <c r="F93" s="1"/>
      <c r="G93" s="141">
        <f>IF(Basic345678910111213141516171819202122232425[[#This Row],[نوع الخدمة]]="مخالفات", 50,
IF(Basic345678910111213141516171819202122232425[[#This Row],[نوع الخدمة]]="كاش ان",
    IF(F93&lt;=100, 18, IF(F93&lt;=250, 23, IF(F93&lt;=500, 35, IF(F93&lt;=1000, 40, F93*0.04)))),
IF(Basic345678910111213141516171819202122232425[[#This Row],[نوع الخدمة]]="كاش اوت",
    IF(F93&lt;=100, 15, IF(F93&lt;=250, 20, IF(F93&lt;=500, 30, IF(F93&lt;=1000, 35, F93*0.035)))),
0)))</f>
        <v>0</v>
      </c>
      <c r="H93" s="159">
        <f>IF(I93="مخالفات",50,Basic345678910111213141516171819202122232425[[#This Row],[قيمة الرسوم / العموله]]+Basic345678910111213141516171819202122232425[[#This Row],[قيمة الشحنه]])</f>
        <v>0</v>
      </c>
      <c r="I93" s="90"/>
      <c r="J93" s="142" t="str">
        <f t="shared" si="1"/>
        <v>8.5.2026</v>
      </c>
      <c r="L93" s="153">
        <v>82</v>
      </c>
      <c r="M93" s="92"/>
    </row>
    <row r="94" spans="1:13" ht="21.6" x14ac:dyDescent="0.65">
      <c r="A94" s="195"/>
      <c r="B94" s="140">
        <v>91</v>
      </c>
      <c r="C94" s="2"/>
      <c r="D94" s="1"/>
      <c r="E94" s="3"/>
      <c r="F94" s="1"/>
      <c r="G94" s="141">
        <f>IF(Basic345678910111213141516171819202122232425[[#This Row],[نوع الخدمة]]="مخالفات", 50,
IF(Basic345678910111213141516171819202122232425[[#This Row],[نوع الخدمة]]="كاش ان",
    IF(F94&lt;=100, 18, IF(F94&lt;=250, 23, IF(F94&lt;=500, 35, IF(F94&lt;=1000, 40, F94*0.04)))),
IF(Basic345678910111213141516171819202122232425[[#This Row],[نوع الخدمة]]="كاش اوت",
    IF(F94&lt;=100, 15, IF(F94&lt;=250, 20, IF(F94&lt;=500, 30, IF(F94&lt;=1000, 35, F94*0.035)))),
0)))</f>
        <v>0</v>
      </c>
      <c r="H94" s="159">
        <f>IF(I94="مخالفات",50,Basic345678910111213141516171819202122232425[[#This Row],[قيمة الرسوم / العموله]]+Basic345678910111213141516171819202122232425[[#This Row],[قيمة الشحنه]])</f>
        <v>0</v>
      </c>
      <c r="I94" s="90"/>
      <c r="J94" s="142" t="str">
        <f t="shared" si="1"/>
        <v>8.5.2026</v>
      </c>
      <c r="L94" s="153">
        <v>83</v>
      </c>
      <c r="M94" s="92"/>
    </row>
    <row r="95" spans="1:13" ht="21.6" x14ac:dyDescent="0.65">
      <c r="A95" s="195"/>
      <c r="B95" s="140">
        <v>92</v>
      </c>
      <c r="C95" s="2"/>
      <c r="D95" s="1"/>
      <c r="E95" s="3"/>
      <c r="F95" s="1"/>
      <c r="G95" s="141">
        <f>IF(Basic345678910111213141516171819202122232425[[#This Row],[نوع الخدمة]]="مخالفات", 50,
IF(Basic345678910111213141516171819202122232425[[#This Row],[نوع الخدمة]]="كاش ان",
    IF(F95&lt;=100, 18, IF(F95&lt;=250, 23, IF(F95&lt;=500, 35, IF(F95&lt;=1000, 40, F95*0.04)))),
IF(Basic345678910111213141516171819202122232425[[#This Row],[نوع الخدمة]]="كاش اوت",
    IF(F95&lt;=100, 15, IF(F95&lt;=250, 20, IF(F95&lt;=500, 30, IF(F95&lt;=1000, 35, F95*0.035)))),
0)))</f>
        <v>0</v>
      </c>
      <c r="H95" s="159">
        <f>IF(I95="مخالفات",50,Basic345678910111213141516171819202122232425[[#This Row],[قيمة الرسوم / العموله]]+Basic345678910111213141516171819202122232425[[#This Row],[قيمة الشحنه]])</f>
        <v>0</v>
      </c>
      <c r="I95" s="90"/>
      <c r="J95" s="142" t="str">
        <f t="shared" si="1"/>
        <v>8.5.2026</v>
      </c>
      <c r="L95" s="153">
        <v>84</v>
      </c>
      <c r="M95" s="92"/>
    </row>
    <row r="96" spans="1:13" ht="21.6" x14ac:dyDescent="0.65">
      <c r="A96" s="195"/>
      <c r="B96" s="140">
        <v>93</v>
      </c>
      <c r="C96" s="2"/>
      <c r="D96" s="1"/>
      <c r="E96" s="3"/>
      <c r="F96" s="1"/>
      <c r="G96" s="141">
        <f>IF(Basic345678910111213141516171819202122232425[[#This Row],[نوع الخدمة]]="مخالفات", 50,
IF(Basic345678910111213141516171819202122232425[[#This Row],[نوع الخدمة]]="كاش ان",
    IF(F96&lt;=100, 18, IF(F96&lt;=250, 23, IF(F96&lt;=500, 35, IF(F96&lt;=1000, 40, F96*0.04)))),
IF(Basic345678910111213141516171819202122232425[[#This Row],[نوع الخدمة]]="كاش اوت",
    IF(F96&lt;=100, 15, IF(F96&lt;=250, 20, IF(F96&lt;=500, 30, IF(F96&lt;=1000, 35, F96*0.035)))),
0)))</f>
        <v>0</v>
      </c>
      <c r="H96" s="159">
        <f>IF(I96="مخالفات",50,Basic345678910111213141516171819202122232425[[#This Row],[قيمة الرسوم / العموله]]+Basic345678910111213141516171819202122232425[[#This Row],[قيمة الشحنه]])</f>
        <v>0</v>
      </c>
      <c r="I96" s="90"/>
      <c r="J96" s="142" t="str">
        <f t="shared" si="1"/>
        <v>8.5.2026</v>
      </c>
      <c r="L96" s="153">
        <v>85</v>
      </c>
      <c r="M96" s="92"/>
    </row>
    <row r="97" spans="1:13" ht="21.6" x14ac:dyDescent="0.65">
      <c r="A97" s="195"/>
      <c r="B97" s="144">
        <v>94</v>
      </c>
      <c r="C97" s="2"/>
      <c r="D97" s="1"/>
      <c r="E97" s="3"/>
      <c r="F97" s="1"/>
      <c r="G97" s="141">
        <f>IF(Basic345678910111213141516171819202122232425[[#This Row],[نوع الخدمة]]="مخالفات", 50,
IF(Basic345678910111213141516171819202122232425[[#This Row],[نوع الخدمة]]="كاش ان",
    IF(F97&lt;=100, 18, IF(F97&lt;=250, 23, IF(F97&lt;=500, 35, IF(F97&lt;=1000, 40, F97*0.04)))),
IF(Basic345678910111213141516171819202122232425[[#This Row],[نوع الخدمة]]="كاش اوت",
    IF(F97&lt;=100, 15, IF(F97&lt;=250, 20, IF(F97&lt;=500, 30, IF(F97&lt;=1000, 35, F97*0.035)))),
0)))</f>
        <v>0</v>
      </c>
      <c r="H97" s="159">
        <f>IF(I97="مخالفات",50,Basic345678910111213141516171819202122232425[[#This Row],[قيمة الرسوم / العموله]]+Basic345678910111213141516171819202122232425[[#This Row],[قيمة الشحنه]])</f>
        <v>0</v>
      </c>
      <c r="I97" s="90"/>
      <c r="J97" s="142" t="str">
        <f t="shared" si="1"/>
        <v>8.5.2026</v>
      </c>
      <c r="L97" s="153">
        <v>86</v>
      </c>
      <c r="M97" s="92"/>
    </row>
    <row r="98" spans="1:13" ht="21.6" x14ac:dyDescent="0.65">
      <c r="A98" s="195"/>
      <c r="B98" s="140">
        <v>95</v>
      </c>
      <c r="C98" s="2"/>
      <c r="D98" s="1"/>
      <c r="E98" s="3"/>
      <c r="F98" s="1"/>
      <c r="G98" s="141">
        <f>IF(Basic345678910111213141516171819202122232425[[#This Row],[نوع الخدمة]]="مخالفات", 50,
IF(Basic345678910111213141516171819202122232425[[#This Row],[نوع الخدمة]]="كاش ان",
    IF(F98&lt;=100, 18, IF(F98&lt;=250, 23, IF(F98&lt;=500, 35, IF(F98&lt;=1000, 40, F98*0.04)))),
IF(Basic345678910111213141516171819202122232425[[#This Row],[نوع الخدمة]]="كاش اوت",
    IF(F98&lt;=100, 15, IF(F98&lt;=250, 20, IF(F98&lt;=500, 30, IF(F98&lt;=1000, 35, F98*0.035)))),
0)))</f>
        <v>0</v>
      </c>
      <c r="H98" s="159">
        <f>IF(I98="مخالفات",50,Basic345678910111213141516171819202122232425[[#This Row],[قيمة الرسوم / العموله]]+Basic345678910111213141516171819202122232425[[#This Row],[قيمة الشحنه]])</f>
        <v>0</v>
      </c>
      <c r="I98" s="90"/>
      <c r="J98" s="142" t="str">
        <f t="shared" si="1"/>
        <v>8.5.2026</v>
      </c>
      <c r="L98" s="153">
        <v>87</v>
      </c>
      <c r="M98" s="92"/>
    </row>
    <row r="99" spans="1:13" ht="21.6" x14ac:dyDescent="0.65">
      <c r="A99" s="195"/>
      <c r="B99" s="140">
        <v>96</v>
      </c>
      <c r="C99" s="2"/>
      <c r="D99" s="1"/>
      <c r="E99" s="3"/>
      <c r="F99" s="1"/>
      <c r="G99" s="141">
        <f>IF(Basic345678910111213141516171819202122232425[[#This Row],[نوع الخدمة]]="مخالفات", 50,
IF(Basic345678910111213141516171819202122232425[[#This Row],[نوع الخدمة]]="كاش ان",
    IF(F99&lt;=100, 18, IF(F99&lt;=250, 23, IF(F99&lt;=500, 35, IF(F99&lt;=1000, 40, F99*0.04)))),
IF(Basic345678910111213141516171819202122232425[[#This Row],[نوع الخدمة]]="كاش اوت",
    IF(F99&lt;=100, 15, IF(F99&lt;=250, 20, IF(F99&lt;=500, 30, IF(F99&lt;=1000, 35, F99*0.035)))),
0)))</f>
        <v>0</v>
      </c>
      <c r="H99" s="159">
        <f>IF(I99="مخالفات",50,Basic345678910111213141516171819202122232425[[#This Row],[قيمة الرسوم / العموله]]+Basic345678910111213141516171819202122232425[[#This Row],[قيمة الشحنه]])</f>
        <v>0</v>
      </c>
      <c r="I99" s="90"/>
      <c r="J99" s="142" t="str">
        <f t="shared" si="1"/>
        <v>8.5.2026</v>
      </c>
      <c r="L99" s="153">
        <v>88</v>
      </c>
      <c r="M99" s="92"/>
    </row>
    <row r="100" spans="1:13" ht="21.6" x14ac:dyDescent="0.65">
      <c r="A100" s="195"/>
      <c r="B100" s="140">
        <v>97</v>
      </c>
      <c r="C100" s="2"/>
      <c r="D100" s="1"/>
      <c r="E100" s="3"/>
      <c r="F100" s="1"/>
      <c r="G100" s="141">
        <f>IF(Basic345678910111213141516171819202122232425[[#This Row],[نوع الخدمة]]="مخالفات", 50,
IF(Basic345678910111213141516171819202122232425[[#This Row],[نوع الخدمة]]="كاش ان",
    IF(F100&lt;=100, 18, IF(F100&lt;=250, 23, IF(F100&lt;=500, 35, IF(F100&lt;=1000, 40, F100*0.04)))),
IF(Basic345678910111213141516171819202122232425[[#This Row],[نوع الخدمة]]="كاش اوت",
    IF(F100&lt;=100, 15, IF(F100&lt;=250, 20, IF(F100&lt;=500, 30, IF(F100&lt;=1000, 35, F100*0.035)))),
0)))</f>
        <v>0</v>
      </c>
      <c r="H100" s="159">
        <f>IF(I100="مخالفات",50,Basic345678910111213141516171819202122232425[[#This Row],[قيمة الرسوم / العموله]]+Basic345678910111213141516171819202122232425[[#This Row],[قيمة الشحنه]])</f>
        <v>0</v>
      </c>
      <c r="I100" s="90"/>
      <c r="J100" s="142" t="str">
        <f t="shared" si="1"/>
        <v>8.5.2026</v>
      </c>
      <c r="L100" s="153">
        <v>89</v>
      </c>
      <c r="M100" s="92"/>
    </row>
    <row r="101" spans="1:13" ht="21.6" x14ac:dyDescent="0.65">
      <c r="A101" s="195"/>
      <c r="B101" s="144">
        <v>98</v>
      </c>
      <c r="C101" s="2"/>
      <c r="D101" s="1"/>
      <c r="E101" s="3"/>
      <c r="F101" s="1"/>
      <c r="G101" s="141">
        <f>IF(Basic345678910111213141516171819202122232425[[#This Row],[نوع الخدمة]]="مخالفات", 50,
IF(Basic345678910111213141516171819202122232425[[#This Row],[نوع الخدمة]]="كاش ان",
    IF(F101&lt;=100, 18, IF(F101&lt;=250, 23, IF(F101&lt;=500, 35, IF(F101&lt;=1000, 40, F101*0.04)))),
IF(Basic345678910111213141516171819202122232425[[#This Row],[نوع الخدمة]]="كاش اوت",
    IF(F101&lt;=100, 15, IF(F101&lt;=250, 20, IF(F101&lt;=500, 30, IF(F101&lt;=1000, 35, F101*0.035)))),
0)))</f>
        <v>0</v>
      </c>
      <c r="H101" s="159">
        <f>IF(I101="مخالفات",50,Basic345678910111213141516171819202122232425[[#This Row],[قيمة الرسوم / العموله]]+Basic345678910111213141516171819202122232425[[#This Row],[قيمة الشحنه]])</f>
        <v>0</v>
      </c>
      <c r="I101" s="90"/>
      <c r="J101" s="142" t="str">
        <f t="shared" si="1"/>
        <v>8.5.2026</v>
      </c>
      <c r="L101" s="153">
        <v>90</v>
      </c>
      <c r="M101" s="92"/>
    </row>
    <row r="102" spans="1:13" ht="21.6" x14ac:dyDescent="0.65">
      <c r="A102" s="195"/>
      <c r="B102" s="140">
        <v>99</v>
      </c>
      <c r="C102" s="2"/>
      <c r="D102" s="1"/>
      <c r="E102" s="3"/>
      <c r="F102" s="1"/>
      <c r="G102" s="141">
        <f>IF(Basic345678910111213141516171819202122232425[[#This Row],[نوع الخدمة]]="مخالفات", 50,
IF(Basic345678910111213141516171819202122232425[[#This Row],[نوع الخدمة]]="كاش ان",
    IF(F102&lt;=100, 18, IF(F102&lt;=250, 23, IF(F102&lt;=500, 35, IF(F102&lt;=1000, 40, F102*0.04)))),
IF(Basic345678910111213141516171819202122232425[[#This Row],[نوع الخدمة]]="كاش اوت",
    IF(F102&lt;=100, 15, IF(F102&lt;=250, 20, IF(F102&lt;=500, 30, IF(F102&lt;=1000, 35, F102*0.035)))),
0)))</f>
        <v>0</v>
      </c>
      <c r="H102" s="159">
        <f>IF(I102="مخالفات",50,Basic345678910111213141516171819202122232425[[#This Row],[قيمة الرسوم / العموله]]+Basic345678910111213141516171819202122232425[[#This Row],[قيمة الشحنه]])</f>
        <v>0</v>
      </c>
      <c r="I102" s="90"/>
      <c r="J102" s="142" t="str">
        <f t="shared" si="1"/>
        <v>8.5.2026</v>
      </c>
      <c r="L102" s="153">
        <v>91</v>
      </c>
      <c r="M102" s="92"/>
    </row>
    <row r="103" spans="1:13" ht="21.6" x14ac:dyDescent="0.65">
      <c r="A103" s="195"/>
      <c r="B103" s="140">
        <v>100</v>
      </c>
      <c r="C103" s="2"/>
      <c r="D103" s="1"/>
      <c r="E103" s="3"/>
      <c r="F103" s="1"/>
      <c r="G103" s="141">
        <f>IF(Basic345678910111213141516171819202122232425[[#This Row],[نوع الخدمة]]="مخالفات", 50,
IF(Basic345678910111213141516171819202122232425[[#This Row],[نوع الخدمة]]="كاش ان",
    IF(F103&lt;=100, 18, IF(F103&lt;=250, 23, IF(F103&lt;=500, 35, IF(F103&lt;=1000, 40, F103*0.04)))),
IF(Basic345678910111213141516171819202122232425[[#This Row],[نوع الخدمة]]="كاش اوت",
    IF(F103&lt;=100, 15, IF(F103&lt;=250, 20, IF(F103&lt;=500, 30, IF(F103&lt;=1000, 35, F103*0.035)))),
0)))</f>
        <v>0</v>
      </c>
      <c r="H103" s="159">
        <f>IF(I103="مخالفات",50,Basic345678910111213141516171819202122232425[[#This Row],[قيمة الرسوم / العموله]]+Basic345678910111213141516171819202122232425[[#This Row],[قيمة الشحنه]])</f>
        <v>0</v>
      </c>
      <c r="I103" s="90"/>
      <c r="J103" s="142" t="str">
        <f t="shared" si="1"/>
        <v>8.5.2026</v>
      </c>
      <c r="L103" s="153">
        <v>92</v>
      </c>
      <c r="M103" s="92"/>
    </row>
    <row r="104" spans="1:13" ht="21.6" x14ac:dyDescent="0.65">
      <c r="A104" s="195"/>
      <c r="B104" s="140">
        <v>101</v>
      </c>
      <c r="C104" s="2"/>
      <c r="D104" s="1"/>
      <c r="E104" s="3"/>
      <c r="F104" s="1"/>
      <c r="G104" s="141">
        <f>IF(Basic345678910111213141516171819202122232425[[#This Row],[نوع الخدمة]]="مخالفات", 50,
IF(Basic345678910111213141516171819202122232425[[#This Row],[نوع الخدمة]]="كاش ان",
    IF(F104&lt;=100, 18, IF(F104&lt;=250, 23, IF(F104&lt;=500, 35, IF(F104&lt;=1000, 40, F104*0.04)))),
IF(Basic345678910111213141516171819202122232425[[#This Row],[نوع الخدمة]]="كاش اوت",
    IF(F104&lt;=100, 15, IF(F104&lt;=250, 20, IF(F104&lt;=500, 30, IF(F104&lt;=1000, 35, F104*0.035)))),
0)))</f>
        <v>0</v>
      </c>
      <c r="H104" s="159">
        <f>IF(I104="مخالفات",50,Basic345678910111213141516171819202122232425[[#This Row],[قيمة الرسوم / العموله]]+Basic345678910111213141516171819202122232425[[#This Row],[قيمة الشحنه]])</f>
        <v>0</v>
      </c>
      <c r="I104" s="90"/>
      <c r="J104" s="142" t="str">
        <f t="shared" si="1"/>
        <v>8.5.2026</v>
      </c>
      <c r="L104" s="153">
        <v>93</v>
      </c>
      <c r="M104" s="92"/>
    </row>
    <row r="105" spans="1:13" ht="21.6" x14ac:dyDescent="0.65">
      <c r="A105" s="195"/>
      <c r="B105" s="144">
        <v>102</v>
      </c>
      <c r="C105" s="2"/>
      <c r="D105" s="1"/>
      <c r="E105" s="3"/>
      <c r="F105" s="1"/>
      <c r="G105" s="141">
        <f>IF(Basic345678910111213141516171819202122232425[[#This Row],[نوع الخدمة]]="مخالفات", 50,
IF(Basic345678910111213141516171819202122232425[[#This Row],[نوع الخدمة]]="كاش ان",
    IF(F105&lt;=100, 18, IF(F105&lt;=250, 23, IF(F105&lt;=500, 35, IF(F105&lt;=1000, 40, F105*0.04)))),
IF(Basic345678910111213141516171819202122232425[[#This Row],[نوع الخدمة]]="كاش اوت",
    IF(F105&lt;=100, 15, IF(F105&lt;=250, 20, IF(F105&lt;=500, 30, IF(F105&lt;=1000, 35, F105*0.035)))),
0)))</f>
        <v>0</v>
      </c>
      <c r="H105" s="159">
        <f>IF(I105="مخالفات",50,Basic345678910111213141516171819202122232425[[#This Row],[قيمة الرسوم / العموله]]+Basic345678910111213141516171819202122232425[[#This Row],[قيمة الشحنه]])</f>
        <v>0</v>
      </c>
      <c r="I105" s="90"/>
      <c r="J105" s="142" t="str">
        <f t="shared" si="1"/>
        <v>8.5.2026</v>
      </c>
      <c r="L105" s="153">
        <v>94</v>
      </c>
      <c r="M105" s="92"/>
    </row>
    <row r="106" spans="1:13" ht="21.6" x14ac:dyDescent="0.65">
      <c r="A106" s="195"/>
      <c r="B106" s="140">
        <v>103</v>
      </c>
      <c r="C106" s="2"/>
      <c r="D106" s="1"/>
      <c r="E106" s="3"/>
      <c r="F106" s="1"/>
      <c r="G106" s="141">
        <f>IF(Basic345678910111213141516171819202122232425[[#This Row],[نوع الخدمة]]="مخالفات", 50,
IF(Basic345678910111213141516171819202122232425[[#This Row],[نوع الخدمة]]="كاش ان",
    IF(F106&lt;=100, 18, IF(F106&lt;=250, 23, IF(F106&lt;=500, 35, IF(F106&lt;=1000, 40, F106*0.04)))),
IF(Basic345678910111213141516171819202122232425[[#This Row],[نوع الخدمة]]="كاش اوت",
    IF(F106&lt;=100, 15, IF(F106&lt;=250, 20, IF(F106&lt;=500, 30, IF(F106&lt;=1000, 35, F106*0.035)))),
0)))</f>
        <v>0</v>
      </c>
      <c r="H106" s="159">
        <f>IF(I106="مخالفات",50,Basic345678910111213141516171819202122232425[[#This Row],[قيمة الرسوم / العموله]]+Basic345678910111213141516171819202122232425[[#This Row],[قيمة الشحنه]])</f>
        <v>0</v>
      </c>
      <c r="I106" s="90"/>
      <c r="J106" s="142" t="str">
        <f t="shared" si="1"/>
        <v>8.5.2026</v>
      </c>
      <c r="L106" s="153">
        <v>95</v>
      </c>
      <c r="M106" s="92"/>
    </row>
    <row r="107" spans="1:13" ht="21.6" x14ac:dyDescent="0.65">
      <c r="A107" s="195"/>
      <c r="B107" s="140">
        <v>104</v>
      </c>
      <c r="C107" s="2"/>
      <c r="D107" s="1"/>
      <c r="E107" s="3"/>
      <c r="F107" s="1"/>
      <c r="G107" s="141">
        <f>IF(Basic345678910111213141516171819202122232425[[#This Row],[نوع الخدمة]]="مخالفات", 50,
IF(Basic345678910111213141516171819202122232425[[#This Row],[نوع الخدمة]]="كاش ان",
    IF(F107&lt;=100, 18, IF(F107&lt;=250, 23, IF(F107&lt;=500, 35, IF(F107&lt;=1000, 40, F107*0.04)))),
IF(Basic345678910111213141516171819202122232425[[#This Row],[نوع الخدمة]]="كاش اوت",
    IF(F107&lt;=100, 15, IF(F107&lt;=250, 20, IF(F107&lt;=500, 30, IF(F107&lt;=1000, 35, F107*0.035)))),
0)))</f>
        <v>0</v>
      </c>
      <c r="H107" s="159">
        <f>IF(I107="مخالفات",50,Basic345678910111213141516171819202122232425[[#This Row],[قيمة الرسوم / العموله]]+Basic345678910111213141516171819202122232425[[#This Row],[قيمة الشحنه]])</f>
        <v>0</v>
      </c>
      <c r="I107" s="90"/>
      <c r="J107" s="142" t="str">
        <f t="shared" si="1"/>
        <v>8.5.2026</v>
      </c>
      <c r="L107" s="153">
        <v>96</v>
      </c>
      <c r="M107" s="92"/>
    </row>
    <row r="108" spans="1:13" ht="21.6" x14ac:dyDescent="0.65">
      <c r="A108" s="195"/>
      <c r="B108" s="140">
        <v>105</v>
      </c>
      <c r="C108" s="2"/>
      <c r="D108" s="1"/>
      <c r="E108" s="3"/>
      <c r="F108" s="1"/>
      <c r="G108" s="141">
        <f>IF(Basic345678910111213141516171819202122232425[[#This Row],[نوع الخدمة]]="مخالفات", 50,
IF(Basic345678910111213141516171819202122232425[[#This Row],[نوع الخدمة]]="كاش ان",
    IF(F108&lt;=100, 18, IF(F108&lt;=250, 23, IF(F108&lt;=500, 35, IF(F108&lt;=1000, 40, F108*0.04)))),
IF(Basic345678910111213141516171819202122232425[[#This Row],[نوع الخدمة]]="كاش اوت",
    IF(F108&lt;=100, 15, IF(F108&lt;=250, 20, IF(F108&lt;=500, 30, IF(F108&lt;=1000, 35, F108*0.035)))),
0)))</f>
        <v>0</v>
      </c>
      <c r="H108" s="159">
        <f>IF(I108="مخالفات",50,Basic345678910111213141516171819202122232425[[#This Row],[قيمة الرسوم / العموله]]+Basic345678910111213141516171819202122232425[[#This Row],[قيمة الشحنه]])</f>
        <v>0</v>
      </c>
      <c r="I108" s="90"/>
      <c r="J108" s="142" t="str">
        <f t="shared" si="1"/>
        <v>8.5.2026</v>
      </c>
      <c r="L108" s="153">
        <v>97</v>
      </c>
      <c r="M108" s="92"/>
    </row>
    <row r="109" spans="1:13" ht="21.6" x14ac:dyDescent="0.65">
      <c r="A109" s="195"/>
      <c r="B109" s="144">
        <v>106</v>
      </c>
      <c r="C109" s="2"/>
      <c r="D109" s="1"/>
      <c r="E109" s="3"/>
      <c r="F109" s="1"/>
      <c r="G109" s="141">
        <f>IF(Basic345678910111213141516171819202122232425[[#This Row],[نوع الخدمة]]="مخالفات", 50,
IF(Basic345678910111213141516171819202122232425[[#This Row],[نوع الخدمة]]="كاش ان",
    IF(F109&lt;=100, 18, IF(F109&lt;=250, 23, IF(F109&lt;=500, 35, IF(F109&lt;=1000, 40, F109*0.04)))),
IF(Basic345678910111213141516171819202122232425[[#This Row],[نوع الخدمة]]="كاش اوت",
    IF(F109&lt;=100, 15, IF(F109&lt;=250, 20, IF(F109&lt;=500, 30, IF(F109&lt;=1000, 35, F109*0.035)))),
0)))</f>
        <v>0</v>
      </c>
      <c r="H109" s="159">
        <f>IF(I109="مخالفات",50,Basic345678910111213141516171819202122232425[[#This Row],[قيمة الرسوم / العموله]]+Basic345678910111213141516171819202122232425[[#This Row],[قيمة الشحنه]])</f>
        <v>0</v>
      </c>
      <c r="I109" s="90"/>
      <c r="J109" s="142" t="str">
        <f t="shared" si="1"/>
        <v>8.5.2026</v>
      </c>
      <c r="L109" s="153">
        <v>98</v>
      </c>
      <c r="M109" s="92"/>
    </row>
    <row r="110" spans="1:13" ht="21.6" x14ac:dyDescent="0.65">
      <c r="A110" s="195"/>
      <c r="B110" s="140">
        <v>107</v>
      </c>
      <c r="C110" s="2"/>
      <c r="D110" s="1"/>
      <c r="E110" s="3"/>
      <c r="F110" s="1"/>
      <c r="G110" s="141">
        <f>IF(Basic345678910111213141516171819202122232425[[#This Row],[نوع الخدمة]]="مخالفات", 50,
IF(Basic345678910111213141516171819202122232425[[#This Row],[نوع الخدمة]]="كاش ان",
    IF(F110&lt;=100, 18, IF(F110&lt;=250, 23, IF(F110&lt;=500, 35, IF(F110&lt;=1000, 40, F110*0.04)))),
IF(Basic345678910111213141516171819202122232425[[#This Row],[نوع الخدمة]]="كاش اوت",
    IF(F110&lt;=100, 15, IF(F110&lt;=250, 20, IF(F110&lt;=500, 30, IF(F110&lt;=1000, 35, F110*0.035)))),
0)))</f>
        <v>0</v>
      </c>
      <c r="H110" s="159">
        <f>IF(I110="مخالفات",50,Basic345678910111213141516171819202122232425[[#This Row],[قيمة الرسوم / العموله]]+Basic345678910111213141516171819202122232425[[#This Row],[قيمة الشحنه]])</f>
        <v>0</v>
      </c>
      <c r="I110" s="90"/>
      <c r="J110" s="142" t="str">
        <f t="shared" si="1"/>
        <v>8.5.2026</v>
      </c>
      <c r="L110" s="153">
        <v>99</v>
      </c>
      <c r="M110" s="92"/>
    </row>
    <row r="111" spans="1:13" ht="21.6" x14ac:dyDescent="0.65">
      <c r="A111" s="195"/>
      <c r="B111" s="140">
        <v>108</v>
      </c>
      <c r="C111" s="2"/>
      <c r="D111" s="1"/>
      <c r="E111" s="3"/>
      <c r="F111" s="1"/>
      <c r="G111" s="141">
        <f>IF(Basic345678910111213141516171819202122232425[[#This Row],[نوع الخدمة]]="مخالفات", 50,
IF(Basic345678910111213141516171819202122232425[[#This Row],[نوع الخدمة]]="كاش ان",
    IF(F111&lt;=100, 18, IF(F111&lt;=250, 23, IF(F111&lt;=500, 35, IF(F111&lt;=1000, 40, F111*0.04)))),
IF(Basic345678910111213141516171819202122232425[[#This Row],[نوع الخدمة]]="كاش اوت",
    IF(F111&lt;=100, 15, IF(F111&lt;=250, 20, IF(F111&lt;=500, 30, IF(F111&lt;=1000, 35, F111*0.035)))),
0)))</f>
        <v>0</v>
      </c>
      <c r="H111" s="159">
        <f>IF(I111="مخالفات",50,Basic345678910111213141516171819202122232425[[#This Row],[قيمة الرسوم / العموله]]+Basic345678910111213141516171819202122232425[[#This Row],[قيمة الشحنه]])</f>
        <v>0</v>
      </c>
      <c r="I111" s="90"/>
      <c r="J111" s="142" t="str">
        <f t="shared" si="1"/>
        <v>8.5.2026</v>
      </c>
      <c r="L111" s="153">
        <v>100</v>
      </c>
      <c r="M111" s="92"/>
    </row>
    <row r="112" spans="1:13" ht="21.6" x14ac:dyDescent="0.65">
      <c r="A112" s="195"/>
      <c r="B112" s="140">
        <v>109</v>
      </c>
      <c r="C112" s="2"/>
      <c r="D112" s="1"/>
      <c r="E112" s="3"/>
      <c r="F112" s="1"/>
      <c r="G112" s="141">
        <f>IF(Basic345678910111213141516171819202122232425[[#This Row],[نوع الخدمة]]="مخالفات", 50,
IF(Basic345678910111213141516171819202122232425[[#This Row],[نوع الخدمة]]="كاش ان",
    IF(F112&lt;=100, 18, IF(F112&lt;=250, 23, IF(F112&lt;=500, 35, IF(F112&lt;=1000, 40, F112*0.04)))),
IF(Basic345678910111213141516171819202122232425[[#This Row],[نوع الخدمة]]="كاش اوت",
    IF(F112&lt;=100, 15, IF(F112&lt;=250, 20, IF(F112&lt;=500, 30, IF(F112&lt;=1000, 35, F112*0.035)))),
0)))</f>
        <v>0</v>
      </c>
      <c r="H112" s="159">
        <f>IF(I112="مخالفات",50,Basic345678910111213141516171819202122232425[[#This Row],[قيمة الرسوم / العموله]]+Basic345678910111213141516171819202122232425[[#This Row],[قيمة الشحنه]])</f>
        <v>0</v>
      </c>
      <c r="I112" s="90"/>
      <c r="J112" s="142" t="str">
        <f t="shared" si="1"/>
        <v>8.5.2026</v>
      </c>
      <c r="L112" s="153">
        <v>101</v>
      </c>
      <c r="M112" s="92"/>
    </row>
    <row r="113" spans="1:13" ht="21.6" x14ac:dyDescent="0.65">
      <c r="A113" s="195"/>
      <c r="B113" s="144">
        <v>110</v>
      </c>
      <c r="C113" s="2"/>
      <c r="D113" s="1"/>
      <c r="E113" s="3"/>
      <c r="F113" s="1"/>
      <c r="G113" s="141">
        <f>IF(Basic345678910111213141516171819202122232425[[#This Row],[نوع الخدمة]]="مخالفات", 50,
IF(Basic345678910111213141516171819202122232425[[#This Row],[نوع الخدمة]]="كاش ان",
    IF(F113&lt;=100, 18, IF(F113&lt;=250, 23, IF(F113&lt;=500, 35, IF(F113&lt;=1000, 40, F113*0.04)))),
IF(Basic345678910111213141516171819202122232425[[#This Row],[نوع الخدمة]]="كاش اوت",
    IF(F113&lt;=100, 15, IF(F113&lt;=250, 20, IF(F113&lt;=500, 30, IF(F113&lt;=1000, 35, F113*0.035)))),
0)))</f>
        <v>0</v>
      </c>
      <c r="H113" s="159">
        <f>IF(I113="مخالفات",50,Basic345678910111213141516171819202122232425[[#This Row],[قيمة الرسوم / العموله]]+Basic345678910111213141516171819202122232425[[#This Row],[قيمة الشحنه]])</f>
        <v>0</v>
      </c>
      <c r="I113" s="90"/>
      <c r="J113" s="142" t="str">
        <f t="shared" si="1"/>
        <v>8.5.2026</v>
      </c>
      <c r="L113" s="153">
        <v>102</v>
      </c>
      <c r="M113" s="92"/>
    </row>
    <row r="114" spans="1:13" ht="21.6" x14ac:dyDescent="0.65">
      <c r="A114" s="195"/>
      <c r="B114" s="140">
        <v>111</v>
      </c>
      <c r="C114" s="2"/>
      <c r="D114" s="1"/>
      <c r="E114" s="3"/>
      <c r="F114" s="1"/>
      <c r="G114" s="141">
        <f>IF(Basic345678910111213141516171819202122232425[[#This Row],[نوع الخدمة]]="مخالفات", 50,
IF(Basic345678910111213141516171819202122232425[[#This Row],[نوع الخدمة]]="كاش ان",
    IF(F114&lt;=100, 18, IF(F114&lt;=250, 23, IF(F114&lt;=500, 35, IF(F114&lt;=1000, 40, F114*0.04)))),
IF(Basic345678910111213141516171819202122232425[[#This Row],[نوع الخدمة]]="كاش اوت",
    IF(F114&lt;=100, 15, IF(F114&lt;=250, 20, IF(F114&lt;=500, 30, IF(F114&lt;=1000, 35, F114*0.035)))),
0)))</f>
        <v>0</v>
      </c>
      <c r="H114" s="159">
        <f>IF(I114="مخالفات",50,Basic345678910111213141516171819202122232425[[#This Row],[قيمة الرسوم / العموله]]+Basic345678910111213141516171819202122232425[[#This Row],[قيمة الشحنه]])</f>
        <v>0</v>
      </c>
      <c r="I114" s="90"/>
      <c r="J114" s="142" t="str">
        <f t="shared" si="1"/>
        <v>8.5.2026</v>
      </c>
      <c r="L114" s="153">
        <v>103</v>
      </c>
      <c r="M114" s="92"/>
    </row>
    <row r="115" spans="1:13" ht="21.6" x14ac:dyDescent="0.65">
      <c r="A115" s="195"/>
      <c r="B115" s="140">
        <v>112</v>
      </c>
      <c r="C115" s="2"/>
      <c r="D115" s="1"/>
      <c r="E115" s="3"/>
      <c r="F115" s="1"/>
      <c r="G115" s="141">
        <f>IF(Basic345678910111213141516171819202122232425[[#This Row],[نوع الخدمة]]="مخالفات", 50,
IF(Basic345678910111213141516171819202122232425[[#This Row],[نوع الخدمة]]="كاش ان",
    IF(F115&lt;=100, 18, IF(F115&lt;=250, 23, IF(F115&lt;=500, 35, IF(F115&lt;=1000, 40, F115*0.04)))),
IF(Basic345678910111213141516171819202122232425[[#This Row],[نوع الخدمة]]="كاش اوت",
    IF(F115&lt;=100, 15, IF(F115&lt;=250, 20, IF(F115&lt;=500, 30, IF(F115&lt;=1000, 35, F115*0.035)))),
0)))</f>
        <v>0</v>
      </c>
      <c r="H115" s="159">
        <f>IF(I115="مخالفات",50,Basic345678910111213141516171819202122232425[[#This Row],[قيمة الرسوم / العموله]]+Basic345678910111213141516171819202122232425[[#This Row],[قيمة الشحنه]])</f>
        <v>0</v>
      </c>
      <c r="I115" s="90"/>
      <c r="J115" s="142" t="str">
        <f t="shared" si="1"/>
        <v>8.5.2026</v>
      </c>
      <c r="L115" s="153">
        <v>104</v>
      </c>
      <c r="M115" s="92"/>
    </row>
    <row r="116" spans="1:13" ht="21.6" x14ac:dyDescent="0.65">
      <c r="A116" s="195"/>
      <c r="B116" s="140">
        <v>113</v>
      </c>
      <c r="C116" s="2"/>
      <c r="D116" s="1"/>
      <c r="E116" s="3"/>
      <c r="F116" s="1"/>
      <c r="G116" s="141">
        <f>IF(Basic345678910111213141516171819202122232425[[#This Row],[نوع الخدمة]]="مخالفات", 50,
IF(Basic345678910111213141516171819202122232425[[#This Row],[نوع الخدمة]]="كاش ان",
    IF(F116&lt;=100, 18, IF(F116&lt;=250, 23, IF(F116&lt;=500, 35, IF(F116&lt;=1000, 40, F116*0.04)))),
IF(Basic345678910111213141516171819202122232425[[#This Row],[نوع الخدمة]]="كاش اوت",
    IF(F116&lt;=100, 15, IF(F116&lt;=250, 20, IF(F116&lt;=500, 30, IF(F116&lt;=1000, 35, F116*0.035)))),
0)))</f>
        <v>0</v>
      </c>
      <c r="H116" s="159">
        <f>IF(I116="مخالفات",50,Basic345678910111213141516171819202122232425[[#This Row],[قيمة الرسوم / العموله]]+Basic345678910111213141516171819202122232425[[#This Row],[قيمة الشحنه]])</f>
        <v>0</v>
      </c>
      <c r="I116" s="90"/>
      <c r="J116" s="142" t="str">
        <f t="shared" si="1"/>
        <v>8.5.2026</v>
      </c>
      <c r="L116" s="153">
        <v>105</v>
      </c>
      <c r="M116" s="92"/>
    </row>
    <row r="117" spans="1:13" ht="21.6" x14ac:dyDescent="0.65">
      <c r="A117" s="195"/>
      <c r="B117" s="144">
        <v>114</v>
      </c>
      <c r="C117" s="2"/>
      <c r="D117" s="1"/>
      <c r="E117" s="3"/>
      <c r="F117" s="1"/>
      <c r="G117" s="141">
        <f>IF(Basic345678910111213141516171819202122232425[[#This Row],[نوع الخدمة]]="مخالفات", 50,
IF(Basic345678910111213141516171819202122232425[[#This Row],[نوع الخدمة]]="كاش ان",
    IF(F117&lt;=100, 18, IF(F117&lt;=250, 23, IF(F117&lt;=500, 35, IF(F117&lt;=1000, 40, F117*0.04)))),
IF(Basic345678910111213141516171819202122232425[[#This Row],[نوع الخدمة]]="كاش اوت",
    IF(F117&lt;=100, 15, IF(F117&lt;=250, 20, IF(F117&lt;=500, 30, IF(F117&lt;=1000, 35, F117*0.035)))),
0)))</f>
        <v>0</v>
      </c>
      <c r="H117" s="159">
        <f>IF(I117="مخالفات",50,Basic345678910111213141516171819202122232425[[#This Row],[قيمة الرسوم / العموله]]+Basic345678910111213141516171819202122232425[[#This Row],[قيمة الشحنه]])</f>
        <v>0</v>
      </c>
      <c r="I117" s="90"/>
      <c r="J117" s="142" t="str">
        <f t="shared" si="1"/>
        <v>8.5.2026</v>
      </c>
      <c r="L117" s="153">
        <v>106</v>
      </c>
      <c r="M117" s="92"/>
    </row>
    <row r="118" spans="1:13" ht="21.6" x14ac:dyDescent="0.65">
      <c r="A118" s="195"/>
      <c r="B118" s="140">
        <v>115</v>
      </c>
      <c r="C118" s="2"/>
      <c r="D118" s="1"/>
      <c r="E118" s="3"/>
      <c r="F118" s="1"/>
      <c r="G118" s="141">
        <f>IF(Basic345678910111213141516171819202122232425[[#This Row],[نوع الخدمة]]="مخالفات", 50,
IF(Basic345678910111213141516171819202122232425[[#This Row],[نوع الخدمة]]="كاش ان",
    IF(F118&lt;=100, 18, IF(F118&lt;=250, 23, IF(F118&lt;=500, 35, IF(F118&lt;=1000, 40, F118*0.04)))),
IF(Basic345678910111213141516171819202122232425[[#This Row],[نوع الخدمة]]="كاش اوت",
    IF(F118&lt;=100, 15, IF(F118&lt;=250, 20, IF(F118&lt;=500, 30, IF(F118&lt;=1000, 35, F118*0.035)))),
0)))</f>
        <v>0</v>
      </c>
      <c r="H118" s="159">
        <f>IF(I118="مخالفات",50,Basic345678910111213141516171819202122232425[[#This Row],[قيمة الرسوم / العموله]]+Basic345678910111213141516171819202122232425[[#This Row],[قيمة الشحنه]])</f>
        <v>0</v>
      </c>
      <c r="I118" s="90"/>
      <c r="J118" s="142" t="str">
        <f t="shared" si="1"/>
        <v>8.5.2026</v>
      </c>
      <c r="L118" s="153">
        <v>107</v>
      </c>
      <c r="M118" s="92"/>
    </row>
    <row r="119" spans="1:13" ht="21.6" x14ac:dyDescent="0.65">
      <c r="A119" s="195"/>
      <c r="B119" s="140">
        <v>116</v>
      </c>
      <c r="C119" s="2"/>
      <c r="D119" s="1"/>
      <c r="E119" s="3"/>
      <c r="F119" s="1"/>
      <c r="G119" s="141">
        <f>IF(Basic345678910111213141516171819202122232425[[#This Row],[نوع الخدمة]]="مخالفات", 50,
IF(Basic345678910111213141516171819202122232425[[#This Row],[نوع الخدمة]]="كاش ان",
    IF(F119&lt;=100, 18, IF(F119&lt;=250, 23, IF(F119&lt;=500, 35, IF(F119&lt;=1000, 40, F119*0.04)))),
IF(Basic345678910111213141516171819202122232425[[#This Row],[نوع الخدمة]]="كاش اوت",
    IF(F119&lt;=100, 15, IF(F119&lt;=250, 20, IF(F119&lt;=500, 30, IF(F119&lt;=1000, 35, F119*0.035)))),
0)))</f>
        <v>0</v>
      </c>
      <c r="H119" s="159">
        <f>IF(I119="مخالفات",50,Basic345678910111213141516171819202122232425[[#This Row],[قيمة الرسوم / العموله]]+Basic345678910111213141516171819202122232425[[#This Row],[قيمة الشحنه]])</f>
        <v>0</v>
      </c>
      <c r="I119" s="90"/>
      <c r="J119" s="142" t="str">
        <f t="shared" si="1"/>
        <v>8.5.2026</v>
      </c>
      <c r="L119" s="153">
        <v>108</v>
      </c>
      <c r="M119" s="92"/>
    </row>
    <row r="120" spans="1:13" ht="21.6" x14ac:dyDescent="0.65">
      <c r="A120" s="195"/>
      <c r="B120" s="140">
        <v>117</v>
      </c>
      <c r="C120" s="2"/>
      <c r="D120" s="1"/>
      <c r="E120" s="3"/>
      <c r="F120" s="1"/>
      <c r="G120" s="141">
        <f>IF(Basic345678910111213141516171819202122232425[[#This Row],[نوع الخدمة]]="مخالفات", 50,
IF(Basic345678910111213141516171819202122232425[[#This Row],[نوع الخدمة]]="كاش ان",
    IF(F120&lt;=100, 18, IF(F120&lt;=250, 23, IF(F120&lt;=500, 35, IF(F120&lt;=1000, 40, F120*0.04)))),
IF(Basic345678910111213141516171819202122232425[[#This Row],[نوع الخدمة]]="كاش اوت",
    IF(F120&lt;=100, 15, IF(F120&lt;=250, 20, IF(F120&lt;=500, 30, IF(F120&lt;=1000, 35, F120*0.035)))),
0)))</f>
        <v>0</v>
      </c>
      <c r="H120" s="159">
        <f>IF(I120="مخالفات",50,Basic345678910111213141516171819202122232425[[#This Row],[قيمة الرسوم / العموله]]+Basic345678910111213141516171819202122232425[[#This Row],[قيمة الشحنه]])</f>
        <v>0</v>
      </c>
      <c r="I120" s="90"/>
      <c r="J120" s="142" t="str">
        <f t="shared" si="1"/>
        <v>8.5.2026</v>
      </c>
      <c r="L120" s="153">
        <v>109</v>
      </c>
      <c r="M120" s="92"/>
    </row>
    <row r="121" spans="1:13" ht="21.6" x14ac:dyDescent="0.65">
      <c r="A121" s="195"/>
      <c r="B121" s="144">
        <v>118</v>
      </c>
      <c r="C121" s="2"/>
      <c r="D121" s="1"/>
      <c r="E121" s="3"/>
      <c r="F121" s="1"/>
      <c r="G121" s="141">
        <f>IF(Basic345678910111213141516171819202122232425[[#This Row],[نوع الخدمة]]="مخالفات", 50,
IF(Basic345678910111213141516171819202122232425[[#This Row],[نوع الخدمة]]="كاش ان",
    IF(F121&lt;=100, 18, IF(F121&lt;=250, 23, IF(F121&lt;=500, 35, IF(F121&lt;=1000, 40, F121*0.04)))),
IF(Basic345678910111213141516171819202122232425[[#This Row],[نوع الخدمة]]="كاش اوت",
    IF(F121&lt;=100, 15, IF(F121&lt;=250, 20, IF(F121&lt;=500, 30, IF(F121&lt;=1000, 35, F121*0.035)))),
0)))</f>
        <v>0</v>
      </c>
      <c r="H121" s="159">
        <f>IF(I121="مخالفات",50,Basic345678910111213141516171819202122232425[[#This Row],[قيمة الرسوم / العموله]]+Basic345678910111213141516171819202122232425[[#This Row],[قيمة الشحنه]])</f>
        <v>0</v>
      </c>
      <c r="I121" s="90"/>
      <c r="J121" s="142" t="str">
        <f t="shared" si="1"/>
        <v>8.5.2026</v>
      </c>
      <c r="L121" s="153">
        <v>110</v>
      </c>
      <c r="M121" s="92"/>
    </row>
    <row r="122" spans="1:13" ht="21.6" x14ac:dyDescent="0.65">
      <c r="A122" s="195"/>
      <c r="B122" s="140">
        <v>119</v>
      </c>
      <c r="C122" s="2"/>
      <c r="D122" s="1"/>
      <c r="E122" s="3"/>
      <c r="F122" s="1"/>
      <c r="G122" s="141">
        <f>IF(Basic345678910111213141516171819202122232425[[#This Row],[نوع الخدمة]]="مخالفات", 50,
IF(Basic345678910111213141516171819202122232425[[#This Row],[نوع الخدمة]]="كاش ان",
    IF(F122&lt;=100, 18, IF(F122&lt;=250, 23, IF(F122&lt;=500, 35, IF(F122&lt;=1000, 40, F122*0.04)))),
IF(Basic345678910111213141516171819202122232425[[#This Row],[نوع الخدمة]]="كاش اوت",
    IF(F122&lt;=100, 15, IF(F122&lt;=250, 20, IF(F122&lt;=500, 30, IF(F122&lt;=1000, 35, F122*0.035)))),
0)))</f>
        <v>0</v>
      </c>
      <c r="H122" s="159">
        <f>IF(I122="مخالفات",50,Basic345678910111213141516171819202122232425[[#This Row],[قيمة الرسوم / العموله]]+Basic345678910111213141516171819202122232425[[#This Row],[قيمة الشحنه]])</f>
        <v>0</v>
      </c>
      <c r="I122" s="90"/>
      <c r="J122" s="142" t="str">
        <f t="shared" si="1"/>
        <v>8.5.2026</v>
      </c>
      <c r="L122" s="153">
        <v>111</v>
      </c>
      <c r="M122" s="92"/>
    </row>
    <row r="123" spans="1:13" ht="21.6" x14ac:dyDescent="0.65">
      <c r="A123" s="195"/>
      <c r="B123" s="140">
        <v>120</v>
      </c>
      <c r="C123" s="2"/>
      <c r="D123" s="1"/>
      <c r="E123" s="3"/>
      <c r="F123" s="1"/>
      <c r="G123" s="141">
        <f>IF(Basic345678910111213141516171819202122232425[[#This Row],[نوع الخدمة]]="مخالفات", 50,
IF(Basic345678910111213141516171819202122232425[[#This Row],[نوع الخدمة]]="كاش ان",
    IF(F123&lt;=100, 18, IF(F123&lt;=250, 23, IF(F123&lt;=500, 35, IF(F123&lt;=1000, 40, F123*0.04)))),
IF(Basic345678910111213141516171819202122232425[[#This Row],[نوع الخدمة]]="كاش اوت",
    IF(F123&lt;=100, 15, IF(F123&lt;=250, 20, IF(F123&lt;=500, 30, IF(F123&lt;=1000, 35, F123*0.035)))),
0)))</f>
        <v>0</v>
      </c>
      <c r="H123" s="159">
        <f>IF(I123="مخالفات",50,Basic345678910111213141516171819202122232425[[#This Row],[قيمة الرسوم / العموله]]+Basic345678910111213141516171819202122232425[[#This Row],[قيمة الشحنه]])</f>
        <v>0</v>
      </c>
      <c r="I123" s="90"/>
      <c r="J123" s="142" t="str">
        <f t="shared" si="1"/>
        <v>8.5.2026</v>
      </c>
      <c r="L123" s="153">
        <v>112</v>
      </c>
      <c r="M123" s="92"/>
    </row>
    <row r="124" spans="1:13" ht="21.6" x14ac:dyDescent="0.65">
      <c r="A124" s="195"/>
      <c r="B124" s="140">
        <v>121</v>
      </c>
      <c r="C124" s="2"/>
      <c r="D124" s="1"/>
      <c r="E124" s="3"/>
      <c r="F124" s="1"/>
      <c r="G124" s="141">
        <f>IF(Basic345678910111213141516171819202122232425[[#This Row],[نوع الخدمة]]="مخالفات", 50,
IF(Basic345678910111213141516171819202122232425[[#This Row],[نوع الخدمة]]="كاش ان",
    IF(F124&lt;=100, 18, IF(F124&lt;=250, 23, IF(F124&lt;=500, 35, IF(F124&lt;=1000, 40, F124*0.04)))),
IF(Basic345678910111213141516171819202122232425[[#This Row],[نوع الخدمة]]="كاش اوت",
    IF(F124&lt;=100, 15, IF(F124&lt;=250, 20, IF(F124&lt;=500, 30, IF(F124&lt;=1000, 35, F124*0.035)))),
0)))</f>
        <v>0</v>
      </c>
      <c r="H124" s="159">
        <f>IF(I124="مخالفات",50,Basic345678910111213141516171819202122232425[[#This Row],[قيمة الرسوم / العموله]]+Basic345678910111213141516171819202122232425[[#This Row],[قيمة الشحنه]])</f>
        <v>0</v>
      </c>
      <c r="I124" s="90"/>
      <c r="J124" s="142" t="str">
        <f t="shared" si="1"/>
        <v>8.5.2026</v>
      </c>
      <c r="L124" s="153">
        <v>113</v>
      </c>
      <c r="M124" s="92"/>
    </row>
    <row r="125" spans="1:13" ht="21.6" x14ac:dyDescent="0.65">
      <c r="A125" s="195"/>
      <c r="B125" s="144">
        <v>122</v>
      </c>
      <c r="C125" s="2"/>
      <c r="D125" s="1"/>
      <c r="E125" s="3"/>
      <c r="F125" s="1"/>
      <c r="G125" s="141">
        <f>IF(Basic345678910111213141516171819202122232425[[#This Row],[نوع الخدمة]]="مخالفات", 50,
IF(Basic345678910111213141516171819202122232425[[#This Row],[نوع الخدمة]]="كاش ان",
    IF(F125&lt;=100, 18, IF(F125&lt;=250, 23, IF(F125&lt;=500, 35, IF(F125&lt;=1000, 40, F125*0.04)))),
IF(Basic345678910111213141516171819202122232425[[#This Row],[نوع الخدمة]]="كاش اوت",
    IF(F125&lt;=100, 15, IF(F125&lt;=250, 20, IF(F125&lt;=500, 30, IF(F125&lt;=1000, 35, F125*0.035)))),
0)))</f>
        <v>0</v>
      </c>
      <c r="H125" s="159">
        <f>IF(I125="مخالفات",50,Basic345678910111213141516171819202122232425[[#This Row],[قيمة الرسوم / العموله]]+Basic345678910111213141516171819202122232425[[#This Row],[قيمة الشحنه]])</f>
        <v>0</v>
      </c>
      <c r="I125" s="90"/>
      <c r="J125" s="142" t="str">
        <f t="shared" si="1"/>
        <v>8.5.2026</v>
      </c>
      <c r="L125" s="153">
        <v>114</v>
      </c>
      <c r="M125" s="92"/>
    </row>
    <row r="126" spans="1:13" ht="21.6" x14ac:dyDescent="0.65">
      <c r="A126" s="195"/>
      <c r="B126" s="140">
        <v>123</v>
      </c>
      <c r="C126" s="2"/>
      <c r="D126" s="1"/>
      <c r="E126" s="3"/>
      <c r="F126" s="1"/>
      <c r="G126" s="141">
        <f>IF(Basic345678910111213141516171819202122232425[[#This Row],[نوع الخدمة]]="مخالفات", 50,
IF(Basic345678910111213141516171819202122232425[[#This Row],[نوع الخدمة]]="كاش ان",
    IF(F126&lt;=100, 18, IF(F126&lt;=250, 23, IF(F126&lt;=500, 35, IF(F126&lt;=1000, 40, F126*0.04)))),
IF(Basic345678910111213141516171819202122232425[[#This Row],[نوع الخدمة]]="كاش اوت",
    IF(F126&lt;=100, 15, IF(F126&lt;=250, 20, IF(F126&lt;=500, 30, IF(F126&lt;=1000, 35, F126*0.035)))),
0)))</f>
        <v>0</v>
      </c>
      <c r="H126" s="159">
        <f>IF(I126="مخالفات",50,Basic345678910111213141516171819202122232425[[#This Row],[قيمة الرسوم / العموله]]+Basic345678910111213141516171819202122232425[[#This Row],[قيمة الشحنه]])</f>
        <v>0</v>
      </c>
      <c r="I126" s="90"/>
      <c r="J126" s="142" t="str">
        <f t="shared" si="1"/>
        <v>8.5.2026</v>
      </c>
      <c r="L126" s="153">
        <v>115</v>
      </c>
      <c r="M126" s="92"/>
    </row>
    <row r="127" spans="1:13" ht="21.6" x14ac:dyDescent="0.65">
      <c r="A127" s="195"/>
      <c r="B127" s="140">
        <v>124</v>
      </c>
      <c r="C127" s="2"/>
      <c r="D127" s="1"/>
      <c r="E127" s="3"/>
      <c r="F127" s="1"/>
      <c r="G127" s="141">
        <f>IF(Basic345678910111213141516171819202122232425[[#This Row],[نوع الخدمة]]="مخالفات", 50,
IF(Basic345678910111213141516171819202122232425[[#This Row],[نوع الخدمة]]="كاش ان",
    IF(F127&lt;=100, 18, IF(F127&lt;=250, 23, IF(F127&lt;=500, 35, IF(F127&lt;=1000, 40, F127*0.04)))),
IF(Basic345678910111213141516171819202122232425[[#This Row],[نوع الخدمة]]="كاش اوت",
    IF(F127&lt;=100, 15, IF(F127&lt;=250, 20, IF(F127&lt;=500, 30, IF(F127&lt;=1000, 35, F127*0.035)))),
0)))</f>
        <v>0</v>
      </c>
      <c r="H127" s="159">
        <f>IF(I127="مخالفات",50,Basic345678910111213141516171819202122232425[[#This Row],[قيمة الرسوم / العموله]]+Basic345678910111213141516171819202122232425[[#This Row],[قيمة الشحنه]])</f>
        <v>0</v>
      </c>
      <c r="I127" s="90"/>
      <c r="J127" s="142" t="str">
        <f t="shared" si="1"/>
        <v>8.5.2026</v>
      </c>
      <c r="L127" s="153">
        <v>116</v>
      </c>
      <c r="M127" s="92"/>
    </row>
    <row r="128" spans="1:13" ht="21.6" x14ac:dyDescent="0.65">
      <c r="A128" s="195"/>
      <c r="B128" s="140">
        <v>125</v>
      </c>
      <c r="C128" s="2"/>
      <c r="D128" s="1"/>
      <c r="E128" s="3"/>
      <c r="F128" s="1"/>
      <c r="G128" s="141">
        <f>IF(Basic345678910111213141516171819202122232425[[#This Row],[نوع الخدمة]]="مخالفات", 50,
IF(Basic345678910111213141516171819202122232425[[#This Row],[نوع الخدمة]]="كاش ان",
    IF(F128&lt;=100, 18, IF(F128&lt;=250, 23, IF(F128&lt;=500, 35, IF(F128&lt;=1000, 40, F128*0.04)))),
IF(Basic345678910111213141516171819202122232425[[#This Row],[نوع الخدمة]]="كاش اوت",
    IF(F128&lt;=100, 15, IF(F128&lt;=250, 20, IF(F128&lt;=500, 30, IF(F128&lt;=1000, 35, F128*0.035)))),
0)))</f>
        <v>0</v>
      </c>
      <c r="H128" s="159">
        <f>IF(I128="مخالفات",50,Basic345678910111213141516171819202122232425[[#This Row],[قيمة الرسوم / العموله]]+Basic345678910111213141516171819202122232425[[#This Row],[قيمة الشحنه]])</f>
        <v>0</v>
      </c>
      <c r="I128" s="90"/>
      <c r="J128" s="142" t="str">
        <f t="shared" si="1"/>
        <v>8.5.2026</v>
      </c>
      <c r="L128" s="153">
        <v>117</v>
      </c>
      <c r="M128" s="92"/>
    </row>
    <row r="129" spans="1:13" ht="21.6" x14ac:dyDescent="0.65">
      <c r="A129" s="195"/>
      <c r="B129" s="144">
        <v>126</v>
      </c>
      <c r="C129" s="2"/>
      <c r="D129" s="1"/>
      <c r="E129" s="3"/>
      <c r="F129" s="1"/>
      <c r="G129" s="141">
        <f>IF(Basic345678910111213141516171819202122232425[[#This Row],[نوع الخدمة]]="مخالفات", 50,
IF(Basic345678910111213141516171819202122232425[[#This Row],[نوع الخدمة]]="كاش ان",
    IF(F129&lt;=100, 18, IF(F129&lt;=250, 23, IF(F129&lt;=500, 35, IF(F129&lt;=1000, 40, F129*0.04)))),
IF(Basic345678910111213141516171819202122232425[[#This Row],[نوع الخدمة]]="كاش اوت",
    IF(F129&lt;=100, 15, IF(F129&lt;=250, 20, IF(F129&lt;=500, 30, IF(F129&lt;=1000, 35, F129*0.035)))),
0)))</f>
        <v>0</v>
      </c>
      <c r="H129" s="159">
        <f>IF(I129="مخالفات",50,Basic345678910111213141516171819202122232425[[#This Row],[قيمة الرسوم / العموله]]+Basic345678910111213141516171819202122232425[[#This Row],[قيمة الشحنه]])</f>
        <v>0</v>
      </c>
      <c r="I129" s="90"/>
      <c r="J129" s="142" t="str">
        <f t="shared" si="1"/>
        <v>8.5.2026</v>
      </c>
      <c r="L129" s="153">
        <v>118</v>
      </c>
      <c r="M129" s="92"/>
    </row>
    <row r="130" spans="1:13" ht="21.6" x14ac:dyDescent="0.65">
      <c r="A130" s="195"/>
      <c r="B130" s="140">
        <v>127</v>
      </c>
      <c r="C130" s="2"/>
      <c r="D130" s="1"/>
      <c r="E130" s="3"/>
      <c r="F130" s="1"/>
      <c r="G130" s="141">
        <f>IF(Basic345678910111213141516171819202122232425[[#This Row],[نوع الخدمة]]="مخالفات", 50,
IF(Basic345678910111213141516171819202122232425[[#This Row],[نوع الخدمة]]="كاش ان",
    IF(F130&lt;=100, 18, IF(F130&lt;=250, 23, IF(F130&lt;=500, 35, IF(F130&lt;=1000, 40, F130*0.04)))),
IF(Basic345678910111213141516171819202122232425[[#This Row],[نوع الخدمة]]="كاش اوت",
    IF(F130&lt;=100, 15, IF(F130&lt;=250, 20, IF(F130&lt;=500, 30, IF(F130&lt;=1000, 35, F130*0.035)))),
0)))</f>
        <v>0</v>
      </c>
      <c r="H130" s="159">
        <f>IF(I130="مخالفات",50,Basic345678910111213141516171819202122232425[[#This Row],[قيمة الرسوم / العموله]]+Basic345678910111213141516171819202122232425[[#This Row],[قيمة الشحنه]])</f>
        <v>0</v>
      </c>
      <c r="I130" s="90"/>
      <c r="J130" s="142" t="str">
        <f t="shared" si="1"/>
        <v>8.5.2026</v>
      </c>
      <c r="L130" s="153">
        <v>119</v>
      </c>
      <c r="M130" s="92"/>
    </row>
    <row r="131" spans="1:13" ht="21.6" x14ac:dyDescent="0.65">
      <c r="A131" s="195"/>
      <c r="B131" s="140">
        <v>128</v>
      </c>
      <c r="C131" s="2"/>
      <c r="D131" s="1"/>
      <c r="E131" s="3"/>
      <c r="F131" s="1"/>
      <c r="G131" s="141">
        <f>IF(Basic345678910111213141516171819202122232425[[#This Row],[نوع الخدمة]]="مخالفات", 50,
IF(Basic345678910111213141516171819202122232425[[#This Row],[نوع الخدمة]]="كاش ان",
    IF(F131&lt;=100, 18, IF(F131&lt;=250, 23, IF(F131&lt;=500, 35, IF(F131&lt;=1000, 40, F131*0.04)))),
IF(Basic345678910111213141516171819202122232425[[#This Row],[نوع الخدمة]]="كاش اوت",
    IF(F131&lt;=100, 15, IF(F131&lt;=250, 20, IF(F131&lt;=500, 30, IF(F131&lt;=1000, 35, F131*0.035)))),
0)))</f>
        <v>0</v>
      </c>
      <c r="H131" s="159">
        <f>IF(I131="مخالفات",50,Basic345678910111213141516171819202122232425[[#This Row],[قيمة الرسوم / العموله]]+Basic345678910111213141516171819202122232425[[#This Row],[قيمة الشحنه]])</f>
        <v>0</v>
      </c>
      <c r="I131" s="90"/>
      <c r="J131" s="142" t="str">
        <f t="shared" si="1"/>
        <v>8.5.2026</v>
      </c>
      <c r="L131" s="153">
        <v>120</v>
      </c>
      <c r="M131" s="92"/>
    </row>
    <row r="132" spans="1:13" ht="21.6" x14ac:dyDescent="0.65">
      <c r="A132" s="195"/>
      <c r="B132" s="140">
        <v>129</v>
      </c>
      <c r="C132" s="2"/>
      <c r="D132" s="1"/>
      <c r="E132" s="3"/>
      <c r="F132" s="1"/>
      <c r="G132" s="141">
        <f>IF(Basic345678910111213141516171819202122232425[[#This Row],[نوع الخدمة]]="مخالفات", 50,
IF(Basic345678910111213141516171819202122232425[[#This Row],[نوع الخدمة]]="كاش ان",
    IF(F132&lt;=100, 18, IF(F132&lt;=250, 23, IF(F132&lt;=500, 35, IF(F132&lt;=1000, 40, F132*0.04)))),
IF(Basic345678910111213141516171819202122232425[[#This Row],[نوع الخدمة]]="كاش اوت",
    IF(F132&lt;=100, 15, IF(F132&lt;=250, 20, IF(F132&lt;=500, 30, IF(F132&lt;=1000, 35, F132*0.035)))),
0)))</f>
        <v>0</v>
      </c>
      <c r="H132" s="159">
        <f>IF(I132="مخالفات",50,Basic345678910111213141516171819202122232425[[#This Row],[قيمة الرسوم / العموله]]+Basic345678910111213141516171819202122232425[[#This Row],[قيمة الشحنه]])</f>
        <v>0</v>
      </c>
      <c r="I132" s="90"/>
      <c r="J132" s="142" t="str">
        <f t="shared" ref="J132:J195" si="2">M$3</f>
        <v>8.5.2026</v>
      </c>
      <c r="L132" s="153">
        <v>121</v>
      </c>
      <c r="M132" s="92"/>
    </row>
    <row r="133" spans="1:13" ht="21.6" x14ac:dyDescent="0.65">
      <c r="A133" s="195"/>
      <c r="B133" s="144">
        <v>130</v>
      </c>
      <c r="C133" s="2"/>
      <c r="D133" s="1"/>
      <c r="E133" s="3"/>
      <c r="F133" s="1"/>
      <c r="G133" s="141">
        <f>IF(Basic345678910111213141516171819202122232425[[#This Row],[نوع الخدمة]]="مخالفات", 50,
IF(Basic345678910111213141516171819202122232425[[#This Row],[نوع الخدمة]]="كاش ان",
    IF(F133&lt;=100, 18, IF(F133&lt;=250, 23, IF(F133&lt;=500, 35, IF(F133&lt;=1000, 40, F133*0.04)))),
IF(Basic345678910111213141516171819202122232425[[#This Row],[نوع الخدمة]]="كاش اوت",
    IF(F133&lt;=100, 15, IF(F133&lt;=250, 20, IF(F133&lt;=500, 30, IF(F133&lt;=1000, 35, F133*0.035)))),
0)))</f>
        <v>0</v>
      </c>
      <c r="H133" s="159">
        <f>IF(I133="مخالفات",50,Basic345678910111213141516171819202122232425[[#This Row],[قيمة الرسوم / العموله]]+Basic345678910111213141516171819202122232425[[#This Row],[قيمة الشحنه]])</f>
        <v>0</v>
      </c>
      <c r="I133" s="90"/>
      <c r="J133" s="142" t="str">
        <f t="shared" si="2"/>
        <v>8.5.2026</v>
      </c>
      <c r="L133" s="153">
        <v>122</v>
      </c>
      <c r="M133" s="92"/>
    </row>
    <row r="134" spans="1:13" ht="21.6" x14ac:dyDescent="0.65">
      <c r="A134" s="195"/>
      <c r="B134" s="140">
        <v>131</v>
      </c>
      <c r="C134" s="2"/>
      <c r="D134" s="1"/>
      <c r="E134" s="3"/>
      <c r="F134" s="1"/>
      <c r="G134" s="141">
        <f>IF(Basic345678910111213141516171819202122232425[[#This Row],[نوع الخدمة]]="مخالفات", 50,
IF(Basic345678910111213141516171819202122232425[[#This Row],[نوع الخدمة]]="كاش ان",
    IF(F134&lt;=100, 18, IF(F134&lt;=250, 23, IF(F134&lt;=500, 35, IF(F134&lt;=1000, 40, F134*0.04)))),
IF(Basic345678910111213141516171819202122232425[[#This Row],[نوع الخدمة]]="كاش اوت",
    IF(F134&lt;=100, 15, IF(F134&lt;=250, 20, IF(F134&lt;=500, 30, IF(F134&lt;=1000, 35, F134*0.035)))),
0)))</f>
        <v>0</v>
      </c>
      <c r="H134" s="159">
        <f>IF(I134="مخالفات",50,Basic345678910111213141516171819202122232425[[#This Row],[قيمة الرسوم / العموله]]+Basic345678910111213141516171819202122232425[[#This Row],[قيمة الشحنه]])</f>
        <v>0</v>
      </c>
      <c r="I134" s="90"/>
      <c r="J134" s="142" t="str">
        <f t="shared" si="2"/>
        <v>8.5.2026</v>
      </c>
      <c r="L134" s="153">
        <v>123</v>
      </c>
      <c r="M134" s="92"/>
    </row>
    <row r="135" spans="1:13" ht="21.6" x14ac:dyDescent="0.65">
      <c r="A135" s="195"/>
      <c r="B135" s="140">
        <v>132</v>
      </c>
      <c r="C135" s="2"/>
      <c r="D135" s="1"/>
      <c r="E135" s="3"/>
      <c r="F135" s="1"/>
      <c r="G135" s="141">
        <f>IF(Basic345678910111213141516171819202122232425[[#This Row],[نوع الخدمة]]="مخالفات", 50,
IF(Basic345678910111213141516171819202122232425[[#This Row],[نوع الخدمة]]="كاش ان",
    IF(F135&lt;=100, 18, IF(F135&lt;=250, 23, IF(F135&lt;=500, 35, IF(F135&lt;=1000, 40, F135*0.04)))),
IF(Basic345678910111213141516171819202122232425[[#This Row],[نوع الخدمة]]="كاش اوت",
    IF(F135&lt;=100, 15, IF(F135&lt;=250, 20, IF(F135&lt;=500, 30, IF(F135&lt;=1000, 35, F135*0.035)))),
0)))</f>
        <v>0</v>
      </c>
      <c r="H135" s="159">
        <f>IF(I135="مخالفات",50,Basic345678910111213141516171819202122232425[[#This Row],[قيمة الرسوم / العموله]]+Basic345678910111213141516171819202122232425[[#This Row],[قيمة الشحنه]])</f>
        <v>0</v>
      </c>
      <c r="I135" s="90"/>
      <c r="J135" s="142" t="str">
        <f t="shared" si="2"/>
        <v>8.5.2026</v>
      </c>
      <c r="L135" s="153">
        <v>124</v>
      </c>
      <c r="M135" s="92"/>
    </row>
    <row r="136" spans="1:13" ht="21.6" x14ac:dyDescent="0.65">
      <c r="A136" s="195"/>
      <c r="B136" s="140">
        <v>133</v>
      </c>
      <c r="C136" s="2"/>
      <c r="D136" s="1"/>
      <c r="E136" s="3"/>
      <c r="F136" s="1"/>
      <c r="G136" s="141">
        <f>IF(Basic345678910111213141516171819202122232425[[#This Row],[نوع الخدمة]]="مخالفات", 50,
IF(Basic345678910111213141516171819202122232425[[#This Row],[نوع الخدمة]]="كاش ان",
    IF(F136&lt;=100, 18, IF(F136&lt;=250, 23, IF(F136&lt;=500, 35, IF(F136&lt;=1000, 40, F136*0.04)))),
IF(Basic345678910111213141516171819202122232425[[#This Row],[نوع الخدمة]]="كاش اوت",
    IF(F136&lt;=100, 15, IF(F136&lt;=250, 20, IF(F136&lt;=500, 30, IF(F136&lt;=1000, 35, F136*0.035)))),
0)))</f>
        <v>0</v>
      </c>
      <c r="H136" s="159">
        <f>IF(I136="مخالفات",50,Basic345678910111213141516171819202122232425[[#This Row],[قيمة الرسوم / العموله]]+Basic345678910111213141516171819202122232425[[#This Row],[قيمة الشحنه]])</f>
        <v>0</v>
      </c>
      <c r="I136" s="90"/>
      <c r="J136" s="142" t="str">
        <f t="shared" si="2"/>
        <v>8.5.2026</v>
      </c>
      <c r="L136" s="153">
        <v>125</v>
      </c>
      <c r="M136" s="92"/>
    </row>
    <row r="137" spans="1:13" ht="21.6" x14ac:dyDescent="0.65">
      <c r="A137" s="195"/>
      <c r="B137" s="144">
        <v>134</v>
      </c>
      <c r="C137" s="2"/>
      <c r="D137" s="1"/>
      <c r="E137" s="3"/>
      <c r="F137" s="1"/>
      <c r="G137" s="141">
        <f>IF(Basic345678910111213141516171819202122232425[[#This Row],[نوع الخدمة]]="مخالفات", 50,
IF(Basic345678910111213141516171819202122232425[[#This Row],[نوع الخدمة]]="كاش ان",
    IF(F137&lt;=100, 18, IF(F137&lt;=250, 23, IF(F137&lt;=500, 35, IF(F137&lt;=1000, 40, F137*0.04)))),
IF(Basic345678910111213141516171819202122232425[[#This Row],[نوع الخدمة]]="كاش اوت",
    IF(F137&lt;=100, 15, IF(F137&lt;=250, 20, IF(F137&lt;=500, 30, IF(F137&lt;=1000, 35, F137*0.035)))),
0)))</f>
        <v>0</v>
      </c>
      <c r="H137" s="159">
        <f>IF(I137="مخالفات",50,Basic345678910111213141516171819202122232425[[#This Row],[قيمة الرسوم / العموله]]+Basic345678910111213141516171819202122232425[[#This Row],[قيمة الشحنه]])</f>
        <v>0</v>
      </c>
      <c r="I137" s="90"/>
      <c r="J137" s="142" t="str">
        <f t="shared" si="2"/>
        <v>8.5.2026</v>
      </c>
      <c r="L137" s="153">
        <v>126</v>
      </c>
      <c r="M137" s="92"/>
    </row>
    <row r="138" spans="1:13" ht="21.6" x14ac:dyDescent="0.65">
      <c r="A138" s="195"/>
      <c r="B138" s="140">
        <v>135</v>
      </c>
      <c r="C138" s="2"/>
      <c r="D138" s="1"/>
      <c r="E138" s="3"/>
      <c r="F138" s="1"/>
      <c r="G138" s="141">
        <f>IF(Basic345678910111213141516171819202122232425[[#This Row],[نوع الخدمة]]="مخالفات", 50,
IF(Basic345678910111213141516171819202122232425[[#This Row],[نوع الخدمة]]="كاش ان",
    IF(F138&lt;=100, 18, IF(F138&lt;=250, 23, IF(F138&lt;=500, 35, IF(F138&lt;=1000, 40, F138*0.04)))),
IF(Basic345678910111213141516171819202122232425[[#This Row],[نوع الخدمة]]="كاش اوت",
    IF(F138&lt;=100, 15, IF(F138&lt;=250, 20, IF(F138&lt;=500, 30, IF(F138&lt;=1000, 35, F138*0.035)))),
0)))</f>
        <v>0</v>
      </c>
      <c r="H138" s="159">
        <f>IF(I138="مخالفات",50,Basic345678910111213141516171819202122232425[[#This Row],[قيمة الرسوم / العموله]]+Basic345678910111213141516171819202122232425[[#This Row],[قيمة الشحنه]])</f>
        <v>0</v>
      </c>
      <c r="I138" s="90"/>
      <c r="J138" s="142" t="str">
        <f t="shared" si="2"/>
        <v>8.5.2026</v>
      </c>
      <c r="L138" s="153">
        <v>127</v>
      </c>
      <c r="M138" s="92"/>
    </row>
    <row r="139" spans="1:13" ht="21.6" x14ac:dyDescent="0.65">
      <c r="A139" s="195"/>
      <c r="B139" s="140">
        <v>136</v>
      </c>
      <c r="C139" s="2"/>
      <c r="D139" s="1"/>
      <c r="E139" s="3"/>
      <c r="F139" s="1"/>
      <c r="G139" s="141">
        <f>IF(Basic345678910111213141516171819202122232425[[#This Row],[نوع الخدمة]]="مخالفات", 50,
IF(Basic345678910111213141516171819202122232425[[#This Row],[نوع الخدمة]]="كاش ان",
    IF(F139&lt;=100, 18, IF(F139&lt;=250, 23, IF(F139&lt;=500, 35, IF(F139&lt;=1000, 40, F139*0.04)))),
IF(Basic345678910111213141516171819202122232425[[#This Row],[نوع الخدمة]]="كاش اوت",
    IF(F139&lt;=100, 15, IF(F139&lt;=250, 20, IF(F139&lt;=500, 30, IF(F139&lt;=1000, 35, F139*0.035)))),
0)))</f>
        <v>0</v>
      </c>
      <c r="H139" s="159">
        <f>IF(I139="مخالفات",50,Basic345678910111213141516171819202122232425[[#This Row],[قيمة الرسوم / العموله]]+Basic345678910111213141516171819202122232425[[#This Row],[قيمة الشحنه]])</f>
        <v>0</v>
      </c>
      <c r="I139" s="90"/>
      <c r="J139" s="142" t="str">
        <f t="shared" si="2"/>
        <v>8.5.2026</v>
      </c>
      <c r="L139" s="153">
        <v>128</v>
      </c>
      <c r="M139" s="92"/>
    </row>
    <row r="140" spans="1:13" ht="21.6" x14ac:dyDescent="0.65">
      <c r="A140" s="195"/>
      <c r="B140" s="140">
        <v>137</v>
      </c>
      <c r="C140" s="2"/>
      <c r="D140" s="1"/>
      <c r="E140" s="3"/>
      <c r="F140" s="1"/>
      <c r="G140" s="141">
        <f>IF(Basic345678910111213141516171819202122232425[[#This Row],[نوع الخدمة]]="مخالفات", 50,
IF(Basic345678910111213141516171819202122232425[[#This Row],[نوع الخدمة]]="كاش ان",
    IF(F140&lt;=100, 18, IF(F140&lt;=250, 23, IF(F140&lt;=500, 35, IF(F140&lt;=1000, 40, F140*0.04)))),
IF(Basic345678910111213141516171819202122232425[[#This Row],[نوع الخدمة]]="كاش اوت",
    IF(F140&lt;=100, 15, IF(F140&lt;=250, 20, IF(F140&lt;=500, 30, IF(F140&lt;=1000, 35, F140*0.035)))),
0)))</f>
        <v>0</v>
      </c>
      <c r="H140" s="159">
        <f>IF(I140="مخالفات",50,Basic345678910111213141516171819202122232425[[#This Row],[قيمة الرسوم / العموله]]+Basic345678910111213141516171819202122232425[[#This Row],[قيمة الشحنه]])</f>
        <v>0</v>
      </c>
      <c r="I140" s="90"/>
      <c r="J140" s="142" t="str">
        <f t="shared" si="2"/>
        <v>8.5.2026</v>
      </c>
      <c r="L140" s="153">
        <v>129</v>
      </c>
      <c r="M140" s="92"/>
    </row>
    <row r="141" spans="1:13" ht="21.6" x14ac:dyDescent="0.65">
      <c r="A141" s="195"/>
      <c r="B141" s="144">
        <v>138</v>
      </c>
      <c r="C141" s="2"/>
      <c r="D141" s="1"/>
      <c r="E141" s="3"/>
      <c r="F141" s="1"/>
      <c r="G141" s="141">
        <f>IF(Basic345678910111213141516171819202122232425[[#This Row],[نوع الخدمة]]="مخالفات", 50,
IF(Basic345678910111213141516171819202122232425[[#This Row],[نوع الخدمة]]="كاش ان",
    IF(F141&lt;=100, 18, IF(F141&lt;=250, 23, IF(F141&lt;=500, 35, IF(F141&lt;=1000, 40, F141*0.04)))),
IF(Basic345678910111213141516171819202122232425[[#This Row],[نوع الخدمة]]="كاش اوت",
    IF(F141&lt;=100, 15, IF(F141&lt;=250, 20, IF(F141&lt;=500, 30, IF(F141&lt;=1000, 35, F141*0.035)))),
0)))</f>
        <v>0</v>
      </c>
      <c r="H141" s="159">
        <f>IF(I141="مخالفات",50,Basic345678910111213141516171819202122232425[[#This Row],[قيمة الرسوم / العموله]]+Basic345678910111213141516171819202122232425[[#This Row],[قيمة الشحنه]])</f>
        <v>0</v>
      </c>
      <c r="I141" s="90"/>
      <c r="J141" s="142" t="str">
        <f t="shared" si="2"/>
        <v>8.5.2026</v>
      </c>
      <c r="L141" s="153">
        <v>130</v>
      </c>
      <c r="M141" s="92"/>
    </row>
    <row r="142" spans="1:13" ht="21.6" x14ac:dyDescent="0.65">
      <c r="A142" s="195"/>
      <c r="B142" s="140">
        <v>139</v>
      </c>
      <c r="C142" s="2"/>
      <c r="D142" s="1"/>
      <c r="E142" s="3"/>
      <c r="F142" s="1"/>
      <c r="G142" s="141">
        <f>IF(Basic345678910111213141516171819202122232425[[#This Row],[نوع الخدمة]]="مخالفات", 50,
IF(Basic345678910111213141516171819202122232425[[#This Row],[نوع الخدمة]]="كاش ان",
    IF(F142&lt;=100, 18, IF(F142&lt;=250, 23, IF(F142&lt;=500, 35, IF(F142&lt;=1000, 40, F142*0.04)))),
IF(Basic345678910111213141516171819202122232425[[#This Row],[نوع الخدمة]]="كاش اوت",
    IF(F142&lt;=100, 15, IF(F142&lt;=250, 20, IF(F142&lt;=500, 30, IF(F142&lt;=1000, 35, F142*0.035)))),
0)))</f>
        <v>0</v>
      </c>
      <c r="H142" s="159">
        <f>IF(I142="مخالفات",50,Basic345678910111213141516171819202122232425[[#This Row],[قيمة الرسوم / العموله]]+Basic345678910111213141516171819202122232425[[#This Row],[قيمة الشحنه]])</f>
        <v>0</v>
      </c>
      <c r="I142" s="90"/>
      <c r="J142" s="142" t="str">
        <f t="shared" si="2"/>
        <v>8.5.2026</v>
      </c>
      <c r="L142" s="153">
        <v>131</v>
      </c>
      <c r="M142" s="92"/>
    </row>
    <row r="143" spans="1:13" ht="21.6" x14ac:dyDescent="0.65">
      <c r="A143" s="195"/>
      <c r="B143" s="140">
        <v>140</v>
      </c>
      <c r="C143" s="2"/>
      <c r="D143" s="1"/>
      <c r="E143" s="3"/>
      <c r="F143" s="1"/>
      <c r="G143" s="141">
        <f>IF(Basic345678910111213141516171819202122232425[[#This Row],[نوع الخدمة]]="مخالفات", 50,
IF(Basic345678910111213141516171819202122232425[[#This Row],[نوع الخدمة]]="كاش ان",
    IF(F143&lt;=100, 18, IF(F143&lt;=250, 23, IF(F143&lt;=500, 35, IF(F143&lt;=1000, 40, F143*0.04)))),
IF(Basic345678910111213141516171819202122232425[[#This Row],[نوع الخدمة]]="كاش اوت",
    IF(F143&lt;=100, 15, IF(F143&lt;=250, 20, IF(F143&lt;=500, 30, IF(F143&lt;=1000, 35, F143*0.035)))),
0)))</f>
        <v>0</v>
      </c>
      <c r="H143" s="159">
        <f>IF(I143="مخالفات",50,Basic345678910111213141516171819202122232425[[#This Row],[قيمة الرسوم / العموله]]+Basic345678910111213141516171819202122232425[[#This Row],[قيمة الشحنه]])</f>
        <v>0</v>
      </c>
      <c r="I143" s="90"/>
      <c r="J143" s="142" t="str">
        <f t="shared" si="2"/>
        <v>8.5.2026</v>
      </c>
      <c r="L143" s="153">
        <v>132</v>
      </c>
      <c r="M143" s="92"/>
    </row>
    <row r="144" spans="1:13" ht="21.6" x14ac:dyDescent="0.65">
      <c r="A144" s="195"/>
      <c r="B144" s="140">
        <v>141</v>
      </c>
      <c r="C144" s="2"/>
      <c r="D144" s="1"/>
      <c r="E144" s="3"/>
      <c r="F144" s="1"/>
      <c r="G144" s="141">
        <f>IF(Basic345678910111213141516171819202122232425[[#This Row],[نوع الخدمة]]="مخالفات", 50,
IF(Basic345678910111213141516171819202122232425[[#This Row],[نوع الخدمة]]="كاش ان",
    IF(F144&lt;=100, 18, IF(F144&lt;=250, 23, IF(F144&lt;=500, 35, IF(F144&lt;=1000, 40, F144*0.04)))),
IF(Basic345678910111213141516171819202122232425[[#This Row],[نوع الخدمة]]="كاش اوت",
    IF(F144&lt;=100, 15, IF(F144&lt;=250, 20, IF(F144&lt;=500, 30, IF(F144&lt;=1000, 35, F144*0.035)))),
0)))</f>
        <v>0</v>
      </c>
      <c r="H144" s="159">
        <f>IF(I144="مخالفات",50,Basic345678910111213141516171819202122232425[[#This Row],[قيمة الرسوم / العموله]]+Basic345678910111213141516171819202122232425[[#This Row],[قيمة الشحنه]])</f>
        <v>0</v>
      </c>
      <c r="I144" s="90"/>
      <c r="J144" s="142" t="str">
        <f t="shared" si="2"/>
        <v>8.5.2026</v>
      </c>
      <c r="L144" s="153">
        <v>133</v>
      </c>
      <c r="M144" s="92"/>
    </row>
    <row r="145" spans="1:13" ht="21.6" x14ac:dyDescent="0.65">
      <c r="A145" s="195"/>
      <c r="B145" s="144">
        <v>142</v>
      </c>
      <c r="C145" s="2"/>
      <c r="D145" s="1"/>
      <c r="E145" s="3"/>
      <c r="F145" s="1"/>
      <c r="G145" s="141">
        <f>IF(Basic345678910111213141516171819202122232425[[#This Row],[نوع الخدمة]]="مخالفات", 50,
IF(Basic345678910111213141516171819202122232425[[#This Row],[نوع الخدمة]]="كاش ان",
    IF(F145&lt;=100, 18, IF(F145&lt;=250, 23, IF(F145&lt;=500, 35, IF(F145&lt;=1000, 40, F145*0.04)))),
IF(Basic345678910111213141516171819202122232425[[#This Row],[نوع الخدمة]]="كاش اوت",
    IF(F145&lt;=100, 15, IF(F145&lt;=250, 20, IF(F145&lt;=500, 30, IF(F145&lt;=1000, 35, F145*0.035)))),
0)))</f>
        <v>0</v>
      </c>
      <c r="H145" s="159">
        <f>IF(I145="مخالفات",50,Basic345678910111213141516171819202122232425[[#This Row],[قيمة الرسوم / العموله]]+Basic345678910111213141516171819202122232425[[#This Row],[قيمة الشحنه]])</f>
        <v>0</v>
      </c>
      <c r="I145" s="90"/>
      <c r="J145" s="142" t="str">
        <f t="shared" si="2"/>
        <v>8.5.2026</v>
      </c>
      <c r="L145" s="153">
        <v>134</v>
      </c>
      <c r="M145" s="92"/>
    </row>
    <row r="146" spans="1:13" ht="21.6" x14ac:dyDescent="0.65">
      <c r="A146" s="195"/>
      <c r="B146" s="140">
        <v>143</v>
      </c>
      <c r="C146" s="2"/>
      <c r="D146" s="1"/>
      <c r="E146" s="3"/>
      <c r="F146" s="1"/>
      <c r="G146" s="141">
        <f>IF(Basic345678910111213141516171819202122232425[[#This Row],[نوع الخدمة]]="مخالفات", 50,
IF(Basic345678910111213141516171819202122232425[[#This Row],[نوع الخدمة]]="كاش ان",
    IF(F146&lt;=100, 18, IF(F146&lt;=250, 23, IF(F146&lt;=500, 35, IF(F146&lt;=1000, 40, F146*0.04)))),
IF(Basic345678910111213141516171819202122232425[[#This Row],[نوع الخدمة]]="كاش اوت",
    IF(F146&lt;=100, 15, IF(F146&lt;=250, 20, IF(F146&lt;=500, 30, IF(F146&lt;=1000, 35, F146*0.035)))),
0)))</f>
        <v>0</v>
      </c>
      <c r="H146" s="159">
        <f>IF(I146="مخالفات",50,Basic345678910111213141516171819202122232425[[#This Row],[قيمة الرسوم / العموله]]+Basic345678910111213141516171819202122232425[[#This Row],[قيمة الشحنه]])</f>
        <v>0</v>
      </c>
      <c r="I146" s="90"/>
      <c r="J146" s="142" t="str">
        <f t="shared" si="2"/>
        <v>8.5.2026</v>
      </c>
      <c r="L146" s="153">
        <v>135</v>
      </c>
      <c r="M146" s="92"/>
    </row>
    <row r="147" spans="1:13" ht="21.6" x14ac:dyDescent="0.65">
      <c r="A147" s="195"/>
      <c r="B147" s="140">
        <v>144</v>
      </c>
      <c r="C147" s="2"/>
      <c r="D147" s="1"/>
      <c r="E147" s="3"/>
      <c r="F147" s="1"/>
      <c r="G147" s="141">
        <f>IF(Basic345678910111213141516171819202122232425[[#This Row],[نوع الخدمة]]="مخالفات", 50,
IF(Basic345678910111213141516171819202122232425[[#This Row],[نوع الخدمة]]="كاش ان",
    IF(F147&lt;=100, 18, IF(F147&lt;=250, 23, IF(F147&lt;=500, 35, IF(F147&lt;=1000, 40, F147*0.04)))),
IF(Basic345678910111213141516171819202122232425[[#This Row],[نوع الخدمة]]="كاش اوت",
    IF(F147&lt;=100, 15, IF(F147&lt;=250, 20, IF(F147&lt;=500, 30, IF(F147&lt;=1000, 35, F147*0.035)))),
0)))</f>
        <v>0</v>
      </c>
      <c r="H147" s="159">
        <f>IF(I147="مخالفات",50,Basic345678910111213141516171819202122232425[[#This Row],[قيمة الرسوم / العموله]]+Basic345678910111213141516171819202122232425[[#This Row],[قيمة الشحنه]])</f>
        <v>0</v>
      </c>
      <c r="I147" s="90"/>
      <c r="J147" s="142" t="str">
        <f t="shared" si="2"/>
        <v>8.5.2026</v>
      </c>
      <c r="L147" s="153">
        <v>136</v>
      </c>
      <c r="M147" s="92"/>
    </row>
    <row r="148" spans="1:13" ht="21.6" x14ac:dyDescent="0.65">
      <c r="A148" s="195"/>
      <c r="B148" s="140">
        <v>145</v>
      </c>
      <c r="C148" s="2"/>
      <c r="D148" s="1"/>
      <c r="E148" s="3"/>
      <c r="F148" s="1"/>
      <c r="G148" s="141">
        <f>IF(Basic345678910111213141516171819202122232425[[#This Row],[نوع الخدمة]]="مخالفات", 50,
IF(Basic345678910111213141516171819202122232425[[#This Row],[نوع الخدمة]]="كاش ان",
    IF(F148&lt;=100, 18, IF(F148&lt;=250, 23, IF(F148&lt;=500, 35, IF(F148&lt;=1000, 40, F148*0.04)))),
IF(Basic345678910111213141516171819202122232425[[#This Row],[نوع الخدمة]]="كاش اوت",
    IF(F148&lt;=100, 15, IF(F148&lt;=250, 20, IF(F148&lt;=500, 30, IF(F148&lt;=1000, 35, F148*0.035)))),
0)))</f>
        <v>0</v>
      </c>
      <c r="H148" s="159">
        <f>IF(I148="مخالفات",50,Basic345678910111213141516171819202122232425[[#This Row],[قيمة الرسوم / العموله]]+Basic345678910111213141516171819202122232425[[#This Row],[قيمة الشحنه]])</f>
        <v>0</v>
      </c>
      <c r="I148" s="90"/>
      <c r="J148" s="142" t="str">
        <f t="shared" si="2"/>
        <v>8.5.2026</v>
      </c>
      <c r="L148" s="153">
        <v>137</v>
      </c>
      <c r="M148" s="92"/>
    </row>
    <row r="149" spans="1:13" ht="21.6" x14ac:dyDescent="0.65">
      <c r="A149" s="195"/>
      <c r="B149" s="144">
        <v>146</v>
      </c>
      <c r="C149" s="2"/>
      <c r="D149" s="1"/>
      <c r="E149" s="3"/>
      <c r="F149" s="1"/>
      <c r="G149" s="141">
        <f>IF(Basic345678910111213141516171819202122232425[[#This Row],[نوع الخدمة]]="مخالفات", 50,
IF(Basic345678910111213141516171819202122232425[[#This Row],[نوع الخدمة]]="كاش ان",
    IF(F149&lt;=100, 18, IF(F149&lt;=250, 23, IF(F149&lt;=500, 35, IF(F149&lt;=1000, 40, F149*0.04)))),
IF(Basic345678910111213141516171819202122232425[[#This Row],[نوع الخدمة]]="كاش اوت",
    IF(F149&lt;=100, 15, IF(F149&lt;=250, 20, IF(F149&lt;=500, 30, IF(F149&lt;=1000, 35, F149*0.035)))),
0)))</f>
        <v>0</v>
      </c>
      <c r="H149" s="159">
        <f>IF(I149="مخالفات",50,Basic345678910111213141516171819202122232425[[#This Row],[قيمة الرسوم / العموله]]+Basic345678910111213141516171819202122232425[[#This Row],[قيمة الشحنه]])</f>
        <v>0</v>
      </c>
      <c r="I149" s="90"/>
      <c r="J149" s="142" t="str">
        <f t="shared" si="2"/>
        <v>8.5.2026</v>
      </c>
      <c r="L149" s="153">
        <v>138</v>
      </c>
      <c r="M149" s="92"/>
    </row>
    <row r="150" spans="1:13" ht="21.6" x14ac:dyDescent="0.65">
      <c r="A150" s="195"/>
      <c r="B150" s="140">
        <v>147</v>
      </c>
      <c r="C150" s="2"/>
      <c r="D150" s="1"/>
      <c r="E150" s="3"/>
      <c r="F150" s="1"/>
      <c r="G150" s="141">
        <f>IF(Basic345678910111213141516171819202122232425[[#This Row],[نوع الخدمة]]="مخالفات", 50,
IF(Basic345678910111213141516171819202122232425[[#This Row],[نوع الخدمة]]="كاش ان",
    IF(F150&lt;=100, 18, IF(F150&lt;=250, 23, IF(F150&lt;=500, 35, IF(F150&lt;=1000, 40, F150*0.04)))),
IF(Basic345678910111213141516171819202122232425[[#This Row],[نوع الخدمة]]="كاش اوت",
    IF(F150&lt;=100, 15, IF(F150&lt;=250, 20, IF(F150&lt;=500, 30, IF(F150&lt;=1000, 35, F150*0.035)))),
0)))</f>
        <v>0</v>
      </c>
      <c r="H150" s="159">
        <f>IF(I150="مخالفات",50,Basic345678910111213141516171819202122232425[[#This Row],[قيمة الرسوم / العموله]]+Basic345678910111213141516171819202122232425[[#This Row],[قيمة الشحنه]])</f>
        <v>0</v>
      </c>
      <c r="I150" s="90"/>
      <c r="J150" s="142" t="str">
        <f t="shared" si="2"/>
        <v>8.5.2026</v>
      </c>
      <c r="L150" s="153">
        <v>139</v>
      </c>
      <c r="M150" s="92"/>
    </row>
    <row r="151" spans="1:13" ht="21.6" x14ac:dyDescent="0.65">
      <c r="A151" s="195"/>
      <c r="B151" s="140">
        <v>148</v>
      </c>
      <c r="C151" s="2"/>
      <c r="D151" s="1"/>
      <c r="E151" s="3"/>
      <c r="F151" s="1"/>
      <c r="G151" s="141">
        <f>IF(Basic345678910111213141516171819202122232425[[#This Row],[نوع الخدمة]]="مخالفات", 50,
IF(Basic345678910111213141516171819202122232425[[#This Row],[نوع الخدمة]]="كاش ان",
    IF(F151&lt;=100, 18, IF(F151&lt;=250, 23, IF(F151&lt;=500, 35, IF(F151&lt;=1000, 40, F151*0.04)))),
IF(Basic345678910111213141516171819202122232425[[#This Row],[نوع الخدمة]]="كاش اوت",
    IF(F151&lt;=100, 15, IF(F151&lt;=250, 20, IF(F151&lt;=500, 30, IF(F151&lt;=1000, 35, F151*0.035)))),
0)))</f>
        <v>0</v>
      </c>
      <c r="H151" s="159">
        <f>IF(I151="مخالفات",50,Basic345678910111213141516171819202122232425[[#This Row],[قيمة الرسوم / العموله]]+Basic345678910111213141516171819202122232425[[#This Row],[قيمة الشحنه]])</f>
        <v>0</v>
      </c>
      <c r="I151" s="90"/>
      <c r="J151" s="142" t="str">
        <f t="shared" si="2"/>
        <v>8.5.2026</v>
      </c>
      <c r="L151" s="153">
        <v>140</v>
      </c>
      <c r="M151" s="92"/>
    </row>
    <row r="152" spans="1:13" ht="21.6" x14ac:dyDescent="0.65">
      <c r="A152" s="195"/>
      <c r="B152" s="140">
        <v>149</v>
      </c>
      <c r="C152" s="2"/>
      <c r="D152" s="1"/>
      <c r="E152" s="3"/>
      <c r="F152" s="1"/>
      <c r="G152" s="141">
        <f>IF(Basic345678910111213141516171819202122232425[[#This Row],[نوع الخدمة]]="مخالفات", 50,
IF(Basic345678910111213141516171819202122232425[[#This Row],[نوع الخدمة]]="كاش ان",
    IF(F152&lt;=100, 18, IF(F152&lt;=250, 23, IF(F152&lt;=500, 35, IF(F152&lt;=1000, 40, F152*0.04)))),
IF(Basic345678910111213141516171819202122232425[[#This Row],[نوع الخدمة]]="كاش اوت",
    IF(F152&lt;=100, 15, IF(F152&lt;=250, 20, IF(F152&lt;=500, 30, IF(F152&lt;=1000, 35, F152*0.035)))),
0)))</f>
        <v>0</v>
      </c>
      <c r="H152" s="159">
        <f>IF(I152="مخالفات",50,Basic345678910111213141516171819202122232425[[#This Row],[قيمة الرسوم / العموله]]+Basic345678910111213141516171819202122232425[[#This Row],[قيمة الشحنه]])</f>
        <v>0</v>
      </c>
      <c r="I152" s="90"/>
      <c r="J152" s="142" t="str">
        <f t="shared" si="2"/>
        <v>8.5.2026</v>
      </c>
      <c r="L152" s="153">
        <v>141</v>
      </c>
      <c r="M152" s="92"/>
    </row>
    <row r="153" spans="1:13" ht="21.6" x14ac:dyDescent="0.65">
      <c r="A153" s="195"/>
      <c r="B153" s="144">
        <v>150</v>
      </c>
      <c r="C153" s="2"/>
      <c r="D153" s="1"/>
      <c r="E153" s="3"/>
      <c r="F153" s="1"/>
      <c r="G153" s="141">
        <f>IF(Basic345678910111213141516171819202122232425[[#This Row],[نوع الخدمة]]="مخالفات", 50,
IF(Basic345678910111213141516171819202122232425[[#This Row],[نوع الخدمة]]="كاش ان",
    IF(F153&lt;=100, 18, IF(F153&lt;=250, 23, IF(F153&lt;=500, 35, IF(F153&lt;=1000, 40, F153*0.04)))),
IF(Basic345678910111213141516171819202122232425[[#This Row],[نوع الخدمة]]="كاش اوت",
    IF(F153&lt;=100, 15, IF(F153&lt;=250, 20, IF(F153&lt;=500, 30, IF(F153&lt;=1000, 35, F153*0.035)))),
0)))</f>
        <v>0</v>
      </c>
      <c r="H153" s="159">
        <f>IF(I153="مخالفات",50,Basic345678910111213141516171819202122232425[[#This Row],[قيمة الرسوم / العموله]]+Basic345678910111213141516171819202122232425[[#This Row],[قيمة الشحنه]])</f>
        <v>0</v>
      </c>
      <c r="I153" s="90"/>
      <c r="J153" s="142" t="str">
        <f t="shared" si="2"/>
        <v>8.5.2026</v>
      </c>
      <c r="L153" s="153">
        <v>142</v>
      </c>
      <c r="M153" s="92"/>
    </row>
    <row r="154" spans="1:13" ht="21.6" x14ac:dyDescent="0.65">
      <c r="A154" s="195"/>
      <c r="B154" s="140">
        <v>151</v>
      </c>
      <c r="C154" s="2"/>
      <c r="D154" s="1"/>
      <c r="E154" s="3"/>
      <c r="F154" s="1"/>
      <c r="G154" s="141">
        <f>IF(Basic345678910111213141516171819202122232425[[#This Row],[نوع الخدمة]]="مخالفات", 50,
IF(Basic345678910111213141516171819202122232425[[#This Row],[نوع الخدمة]]="كاش ان",
    IF(F154&lt;=100, 18, IF(F154&lt;=250, 23, IF(F154&lt;=500, 35, IF(F154&lt;=1000, 40, F154*0.04)))),
IF(Basic345678910111213141516171819202122232425[[#This Row],[نوع الخدمة]]="كاش اوت",
    IF(F154&lt;=100, 15, IF(F154&lt;=250, 20, IF(F154&lt;=500, 30, IF(F154&lt;=1000, 35, F154*0.035)))),
0)))</f>
        <v>0</v>
      </c>
      <c r="H154" s="159">
        <f>IF(I154="مخالفات",50,Basic345678910111213141516171819202122232425[[#This Row],[قيمة الرسوم / العموله]]+Basic345678910111213141516171819202122232425[[#This Row],[قيمة الشحنه]])</f>
        <v>0</v>
      </c>
      <c r="I154" s="90"/>
      <c r="J154" s="142" t="str">
        <f t="shared" si="2"/>
        <v>8.5.2026</v>
      </c>
      <c r="L154" s="153">
        <v>143</v>
      </c>
      <c r="M154" s="92"/>
    </row>
    <row r="155" spans="1:13" ht="21.6" x14ac:dyDescent="0.65">
      <c r="A155" s="195"/>
      <c r="B155" s="140">
        <v>152</v>
      </c>
      <c r="C155" s="2"/>
      <c r="D155" s="1"/>
      <c r="E155" s="3"/>
      <c r="F155" s="1"/>
      <c r="G155" s="141">
        <f>IF(Basic345678910111213141516171819202122232425[[#This Row],[نوع الخدمة]]="مخالفات", 50,
IF(Basic345678910111213141516171819202122232425[[#This Row],[نوع الخدمة]]="كاش ان",
    IF(F155&lt;=100, 18, IF(F155&lt;=250, 23, IF(F155&lt;=500, 35, IF(F155&lt;=1000, 40, F155*0.04)))),
IF(Basic345678910111213141516171819202122232425[[#This Row],[نوع الخدمة]]="كاش اوت",
    IF(F155&lt;=100, 15, IF(F155&lt;=250, 20, IF(F155&lt;=500, 30, IF(F155&lt;=1000, 35, F155*0.035)))),
0)))</f>
        <v>0</v>
      </c>
      <c r="H155" s="159">
        <f>IF(I155="مخالفات",50,Basic345678910111213141516171819202122232425[[#This Row],[قيمة الرسوم / العموله]]+Basic345678910111213141516171819202122232425[[#This Row],[قيمة الشحنه]])</f>
        <v>0</v>
      </c>
      <c r="I155" s="90"/>
      <c r="J155" s="142" t="str">
        <f t="shared" si="2"/>
        <v>8.5.2026</v>
      </c>
      <c r="L155" s="153">
        <v>144</v>
      </c>
      <c r="M155" s="92"/>
    </row>
    <row r="156" spans="1:13" ht="21.6" x14ac:dyDescent="0.65">
      <c r="A156" s="195"/>
      <c r="B156" s="140">
        <v>153</v>
      </c>
      <c r="C156" s="2"/>
      <c r="D156" s="1"/>
      <c r="E156" s="3"/>
      <c r="F156" s="1"/>
      <c r="G156" s="141">
        <f>IF(Basic345678910111213141516171819202122232425[[#This Row],[نوع الخدمة]]="مخالفات", 50,
IF(Basic345678910111213141516171819202122232425[[#This Row],[نوع الخدمة]]="كاش ان",
    IF(F156&lt;=100, 18, IF(F156&lt;=250, 23, IF(F156&lt;=500, 35, IF(F156&lt;=1000, 40, F156*0.04)))),
IF(Basic345678910111213141516171819202122232425[[#This Row],[نوع الخدمة]]="كاش اوت",
    IF(F156&lt;=100, 15, IF(F156&lt;=250, 20, IF(F156&lt;=500, 30, IF(F156&lt;=1000, 35, F156*0.035)))),
0)))</f>
        <v>0</v>
      </c>
      <c r="H156" s="159">
        <f>IF(I156="مخالفات",50,Basic345678910111213141516171819202122232425[[#This Row],[قيمة الرسوم / العموله]]+Basic345678910111213141516171819202122232425[[#This Row],[قيمة الشحنه]])</f>
        <v>0</v>
      </c>
      <c r="I156" s="90"/>
      <c r="J156" s="142" t="str">
        <f t="shared" si="2"/>
        <v>8.5.2026</v>
      </c>
      <c r="L156" s="153">
        <v>145</v>
      </c>
      <c r="M156" s="92"/>
    </row>
    <row r="157" spans="1:13" ht="21.6" x14ac:dyDescent="0.65">
      <c r="A157" s="195"/>
      <c r="B157" s="144">
        <v>154</v>
      </c>
      <c r="C157" s="2"/>
      <c r="D157" s="1"/>
      <c r="E157" s="3"/>
      <c r="F157" s="1"/>
      <c r="G157" s="141">
        <f>IF(Basic345678910111213141516171819202122232425[[#This Row],[نوع الخدمة]]="مخالفات", 50,
IF(Basic345678910111213141516171819202122232425[[#This Row],[نوع الخدمة]]="كاش ان",
    IF(F157&lt;=100, 18, IF(F157&lt;=250, 23, IF(F157&lt;=500, 35, IF(F157&lt;=1000, 40, F157*0.04)))),
IF(Basic345678910111213141516171819202122232425[[#This Row],[نوع الخدمة]]="كاش اوت",
    IF(F157&lt;=100, 15, IF(F157&lt;=250, 20, IF(F157&lt;=500, 30, IF(F157&lt;=1000, 35, F157*0.035)))),
0)))</f>
        <v>0</v>
      </c>
      <c r="H157" s="159">
        <f>IF(I157="مخالفات",50,Basic345678910111213141516171819202122232425[[#This Row],[قيمة الرسوم / العموله]]+Basic345678910111213141516171819202122232425[[#This Row],[قيمة الشحنه]])</f>
        <v>0</v>
      </c>
      <c r="I157" s="90"/>
      <c r="J157" s="142" t="str">
        <f t="shared" si="2"/>
        <v>8.5.2026</v>
      </c>
      <c r="L157" s="153">
        <v>146</v>
      </c>
      <c r="M157" s="92"/>
    </row>
    <row r="158" spans="1:13" ht="21.6" x14ac:dyDescent="0.65">
      <c r="A158" s="195"/>
      <c r="B158" s="140">
        <v>155</v>
      </c>
      <c r="C158" s="2"/>
      <c r="D158" s="1"/>
      <c r="E158" s="3"/>
      <c r="F158" s="1"/>
      <c r="G158" s="141">
        <f>IF(Basic345678910111213141516171819202122232425[[#This Row],[نوع الخدمة]]="مخالفات", 50,
IF(Basic345678910111213141516171819202122232425[[#This Row],[نوع الخدمة]]="كاش ان",
    IF(F158&lt;=100, 18, IF(F158&lt;=250, 23, IF(F158&lt;=500, 35, IF(F158&lt;=1000, 40, F158*0.04)))),
IF(Basic345678910111213141516171819202122232425[[#This Row],[نوع الخدمة]]="كاش اوت",
    IF(F158&lt;=100, 15, IF(F158&lt;=250, 20, IF(F158&lt;=500, 30, IF(F158&lt;=1000, 35, F158*0.035)))),
0)))</f>
        <v>0</v>
      </c>
      <c r="H158" s="159">
        <f>IF(I158="مخالفات",50,Basic345678910111213141516171819202122232425[[#This Row],[قيمة الرسوم / العموله]]+Basic345678910111213141516171819202122232425[[#This Row],[قيمة الشحنه]])</f>
        <v>0</v>
      </c>
      <c r="I158" s="90"/>
      <c r="J158" s="142" t="str">
        <f t="shared" si="2"/>
        <v>8.5.2026</v>
      </c>
      <c r="L158" s="153">
        <v>147</v>
      </c>
      <c r="M158" s="92"/>
    </row>
    <row r="159" spans="1:13" ht="21.6" x14ac:dyDescent="0.65">
      <c r="A159" s="195"/>
      <c r="B159" s="140">
        <v>156</v>
      </c>
      <c r="C159" s="2"/>
      <c r="D159" s="1"/>
      <c r="E159" s="3"/>
      <c r="F159" s="1"/>
      <c r="G159" s="141">
        <f>IF(Basic345678910111213141516171819202122232425[[#This Row],[نوع الخدمة]]="مخالفات", 50,
IF(Basic345678910111213141516171819202122232425[[#This Row],[نوع الخدمة]]="كاش ان",
    IF(F159&lt;=100, 18, IF(F159&lt;=250, 23, IF(F159&lt;=500, 35, IF(F159&lt;=1000, 40, F159*0.04)))),
IF(Basic345678910111213141516171819202122232425[[#This Row],[نوع الخدمة]]="كاش اوت",
    IF(F159&lt;=100, 15, IF(F159&lt;=250, 20, IF(F159&lt;=500, 30, IF(F159&lt;=1000, 35, F159*0.035)))),
0)))</f>
        <v>0</v>
      </c>
      <c r="H159" s="159">
        <f>IF(I159="مخالفات",50,Basic345678910111213141516171819202122232425[[#This Row],[قيمة الرسوم / العموله]]+Basic345678910111213141516171819202122232425[[#This Row],[قيمة الشحنه]])</f>
        <v>0</v>
      </c>
      <c r="I159" s="90"/>
      <c r="J159" s="142" t="str">
        <f t="shared" si="2"/>
        <v>8.5.2026</v>
      </c>
      <c r="L159" s="153">
        <v>148</v>
      </c>
      <c r="M159" s="92"/>
    </row>
    <row r="160" spans="1:13" ht="21.6" x14ac:dyDescent="0.65">
      <c r="A160" s="195"/>
      <c r="B160" s="140">
        <v>157</v>
      </c>
      <c r="C160" s="2"/>
      <c r="D160" s="1"/>
      <c r="E160" s="3"/>
      <c r="F160" s="1"/>
      <c r="G160" s="141">
        <f>IF(Basic345678910111213141516171819202122232425[[#This Row],[نوع الخدمة]]="مخالفات", 50,
IF(Basic345678910111213141516171819202122232425[[#This Row],[نوع الخدمة]]="كاش ان",
    IF(F160&lt;=100, 18, IF(F160&lt;=250, 23, IF(F160&lt;=500, 35, IF(F160&lt;=1000, 40, F160*0.04)))),
IF(Basic345678910111213141516171819202122232425[[#This Row],[نوع الخدمة]]="كاش اوت",
    IF(F160&lt;=100, 15, IF(F160&lt;=250, 20, IF(F160&lt;=500, 30, IF(F160&lt;=1000, 35, F160*0.035)))),
0)))</f>
        <v>0</v>
      </c>
      <c r="H160" s="159">
        <f>IF(I160="مخالفات",50,Basic345678910111213141516171819202122232425[[#This Row],[قيمة الرسوم / العموله]]+Basic345678910111213141516171819202122232425[[#This Row],[قيمة الشحنه]])</f>
        <v>0</v>
      </c>
      <c r="I160" s="90"/>
      <c r="J160" s="142" t="str">
        <f t="shared" si="2"/>
        <v>8.5.2026</v>
      </c>
      <c r="L160" s="153">
        <v>149</v>
      </c>
      <c r="M160" s="92"/>
    </row>
    <row r="161" spans="1:13" ht="21.6" x14ac:dyDescent="0.65">
      <c r="A161" s="195"/>
      <c r="B161" s="144">
        <v>158</v>
      </c>
      <c r="C161" s="2"/>
      <c r="D161" s="1"/>
      <c r="E161" s="3"/>
      <c r="F161" s="1"/>
      <c r="G161" s="141">
        <f>IF(Basic345678910111213141516171819202122232425[[#This Row],[نوع الخدمة]]="مخالفات", 50,
IF(Basic345678910111213141516171819202122232425[[#This Row],[نوع الخدمة]]="كاش ان",
    IF(F161&lt;=100, 18, IF(F161&lt;=250, 23, IF(F161&lt;=500, 35, IF(F161&lt;=1000, 40, F161*0.04)))),
IF(Basic345678910111213141516171819202122232425[[#This Row],[نوع الخدمة]]="كاش اوت",
    IF(F161&lt;=100, 15, IF(F161&lt;=250, 20, IF(F161&lt;=500, 30, IF(F161&lt;=1000, 35, F161*0.035)))),
0)))</f>
        <v>0</v>
      </c>
      <c r="H161" s="159">
        <f>IF(I161="مخالفات",50,Basic345678910111213141516171819202122232425[[#This Row],[قيمة الرسوم / العموله]]+Basic345678910111213141516171819202122232425[[#This Row],[قيمة الشحنه]])</f>
        <v>0</v>
      </c>
      <c r="I161" s="90"/>
      <c r="J161" s="142" t="str">
        <f t="shared" si="2"/>
        <v>8.5.2026</v>
      </c>
      <c r="L161" s="153">
        <v>150</v>
      </c>
      <c r="M161" s="92"/>
    </row>
    <row r="162" spans="1:13" ht="21.6" x14ac:dyDescent="0.65">
      <c r="A162" s="195"/>
      <c r="B162" s="140">
        <v>159</v>
      </c>
      <c r="C162" s="2"/>
      <c r="D162" s="1"/>
      <c r="E162" s="3"/>
      <c r="F162" s="1"/>
      <c r="G162" s="141">
        <f>IF(Basic345678910111213141516171819202122232425[[#This Row],[نوع الخدمة]]="مخالفات", 50,
IF(Basic345678910111213141516171819202122232425[[#This Row],[نوع الخدمة]]="كاش ان",
    IF(F162&lt;=100, 18, IF(F162&lt;=250, 23, IF(F162&lt;=500, 35, IF(F162&lt;=1000, 40, F162*0.04)))),
IF(Basic345678910111213141516171819202122232425[[#This Row],[نوع الخدمة]]="كاش اوت",
    IF(F162&lt;=100, 15, IF(F162&lt;=250, 20, IF(F162&lt;=500, 30, IF(F162&lt;=1000, 35, F162*0.035)))),
0)))</f>
        <v>0</v>
      </c>
      <c r="H162" s="159">
        <f>IF(I162="مخالفات",50,Basic345678910111213141516171819202122232425[[#This Row],[قيمة الرسوم / العموله]]+Basic345678910111213141516171819202122232425[[#This Row],[قيمة الشحنه]])</f>
        <v>0</v>
      </c>
      <c r="I162" s="90"/>
      <c r="J162" s="142" t="str">
        <f t="shared" si="2"/>
        <v>8.5.2026</v>
      </c>
      <c r="L162" s="153">
        <v>151</v>
      </c>
      <c r="M162" s="92"/>
    </row>
    <row r="163" spans="1:13" ht="21.6" x14ac:dyDescent="0.65">
      <c r="A163" s="195"/>
      <c r="B163" s="140">
        <v>160</v>
      </c>
      <c r="C163" s="2"/>
      <c r="D163" s="1"/>
      <c r="E163" s="3"/>
      <c r="F163" s="1"/>
      <c r="G163" s="141">
        <f>IF(Basic345678910111213141516171819202122232425[[#This Row],[نوع الخدمة]]="مخالفات", 50,
IF(Basic345678910111213141516171819202122232425[[#This Row],[نوع الخدمة]]="كاش ان",
    IF(F163&lt;=100, 18, IF(F163&lt;=250, 23, IF(F163&lt;=500, 35, IF(F163&lt;=1000, 40, F163*0.04)))),
IF(Basic345678910111213141516171819202122232425[[#This Row],[نوع الخدمة]]="كاش اوت",
    IF(F163&lt;=100, 15, IF(F163&lt;=250, 20, IF(F163&lt;=500, 30, IF(F163&lt;=1000, 35, F163*0.035)))),
0)))</f>
        <v>0</v>
      </c>
      <c r="H163" s="159">
        <f>IF(I163="مخالفات",50,Basic345678910111213141516171819202122232425[[#This Row],[قيمة الرسوم / العموله]]+Basic345678910111213141516171819202122232425[[#This Row],[قيمة الشحنه]])</f>
        <v>0</v>
      </c>
      <c r="I163" s="90"/>
      <c r="J163" s="142" t="str">
        <f t="shared" si="2"/>
        <v>8.5.2026</v>
      </c>
      <c r="L163" s="153">
        <v>152</v>
      </c>
      <c r="M163" s="92"/>
    </row>
    <row r="164" spans="1:13" ht="21.6" x14ac:dyDescent="0.65">
      <c r="A164" s="195"/>
      <c r="B164" s="140">
        <v>161</v>
      </c>
      <c r="C164" s="2"/>
      <c r="D164" s="1"/>
      <c r="E164" s="3"/>
      <c r="F164" s="1"/>
      <c r="G164" s="141">
        <f>IF(Basic345678910111213141516171819202122232425[[#This Row],[نوع الخدمة]]="مخالفات", 50,
IF(Basic345678910111213141516171819202122232425[[#This Row],[نوع الخدمة]]="كاش ان",
    IF(F164&lt;=100, 18, IF(F164&lt;=250, 23, IF(F164&lt;=500, 35, IF(F164&lt;=1000, 40, F164*0.04)))),
IF(Basic345678910111213141516171819202122232425[[#This Row],[نوع الخدمة]]="كاش اوت",
    IF(F164&lt;=100, 15, IF(F164&lt;=250, 20, IF(F164&lt;=500, 30, IF(F164&lt;=1000, 35, F164*0.035)))),
0)))</f>
        <v>0</v>
      </c>
      <c r="H164" s="159">
        <f>IF(I164="مخالفات",50,Basic345678910111213141516171819202122232425[[#This Row],[قيمة الرسوم / العموله]]+Basic345678910111213141516171819202122232425[[#This Row],[قيمة الشحنه]])</f>
        <v>0</v>
      </c>
      <c r="I164" s="90"/>
      <c r="J164" s="142" t="str">
        <f t="shared" si="2"/>
        <v>8.5.2026</v>
      </c>
      <c r="L164" s="153">
        <v>153</v>
      </c>
      <c r="M164" s="92"/>
    </row>
    <row r="165" spans="1:13" ht="21.6" x14ac:dyDescent="0.65">
      <c r="A165" s="195"/>
      <c r="B165" s="144">
        <v>162</v>
      </c>
      <c r="C165" s="2"/>
      <c r="D165" s="1"/>
      <c r="E165" s="3"/>
      <c r="F165" s="1"/>
      <c r="G165" s="141">
        <f>IF(Basic345678910111213141516171819202122232425[[#This Row],[نوع الخدمة]]="مخالفات", 50,
IF(Basic345678910111213141516171819202122232425[[#This Row],[نوع الخدمة]]="كاش ان",
    IF(F165&lt;=100, 18, IF(F165&lt;=250, 23, IF(F165&lt;=500, 35, IF(F165&lt;=1000, 40, F165*0.04)))),
IF(Basic345678910111213141516171819202122232425[[#This Row],[نوع الخدمة]]="كاش اوت",
    IF(F165&lt;=100, 15, IF(F165&lt;=250, 20, IF(F165&lt;=500, 30, IF(F165&lt;=1000, 35, F165*0.035)))),
0)))</f>
        <v>0</v>
      </c>
      <c r="H165" s="159">
        <f>IF(I165="مخالفات",50,Basic345678910111213141516171819202122232425[[#This Row],[قيمة الرسوم / العموله]]+Basic345678910111213141516171819202122232425[[#This Row],[قيمة الشحنه]])</f>
        <v>0</v>
      </c>
      <c r="I165" s="90"/>
      <c r="J165" s="142" t="str">
        <f t="shared" si="2"/>
        <v>8.5.2026</v>
      </c>
      <c r="L165" s="153">
        <v>154</v>
      </c>
      <c r="M165" s="92"/>
    </row>
    <row r="166" spans="1:13" ht="21.6" x14ac:dyDescent="0.65">
      <c r="A166" s="195"/>
      <c r="B166" s="140">
        <v>163</v>
      </c>
      <c r="C166" s="2"/>
      <c r="D166" s="1"/>
      <c r="E166" s="3"/>
      <c r="F166" s="1"/>
      <c r="G166" s="141">
        <f>IF(Basic345678910111213141516171819202122232425[[#This Row],[نوع الخدمة]]="مخالفات", 50,
IF(Basic345678910111213141516171819202122232425[[#This Row],[نوع الخدمة]]="كاش ان",
    IF(F166&lt;=100, 18, IF(F166&lt;=250, 23, IF(F166&lt;=500, 35, IF(F166&lt;=1000, 40, F166*0.04)))),
IF(Basic345678910111213141516171819202122232425[[#This Row],[نوع الخدمة]]="كاش اوت",
    IF(F166&lt;=100, 15, IF(F166&lt;=250, 20, IF(F166&lt;=500, 30, IF(F166&lt;=1000, 35, F166*0.035)))),
0)))</f>
        <v>0</v>
      </c>
      <c r="H166" s="159">
        <f>IF(I166="مخالفات",50,Basic345678910111213141516171819202122232425[[#This Row],[قيمة الرسوم / العموله]]+Basic345678910111213141516171819202122232425[[#This Row],[قيمة الشحنه]])</f>
        <v>0</v>
      </c>
      <c r="I166" s="90"/>
      <c r="J166" s="142" t="str">
        <f t="shared" si="2"/>
        <v>8.5.2026</v>
      </c>
      <c r="L166" s="153">
        <v>155</v>
      </c>
      <c r="M166" s="92"/>
    </row>
    <row r="167" spans="1:13" ht="21.6" x14ac:dyDescent="0.65">
      <c r="A167" s="195"/>
      <c r="B167" s="140">
        <v>164</v>
      </c>
      <c r="C167" s="2"/>
      <c r="D167" s="1"/>
      <c r="E167" s="3"/>
      <c r="F167" s="1"/>
      <c r="G167" s="141">
        <f>IF(Basic345678910111213141516171819202122232425[[#This Row],[نوع الخدمة]]="مخالفات", 50,
IF(Basic345678910111213141516171819202122232425[[#This Row],[نوع الخدمة]]="كاش ان",
    IF(F167&lt;=100, 18, IF(F167&lt;=250, 23, IF(F167&lt;=500, 35, IF(F167&lt;=1000, 40, F167*0.04)))),
IF(Basic345678910111213141516171819202122232425[[#This Row],[نوع الخدمة]]="كاش اوت",
    IF(F167&lt;=100, 15, IF(F167&lt;=250, 20, IF(F167&lt;=500, 30, IF(F167&lt;=1000, 35, F167*0.035)))),
0)))</f>
        <v>0</v>
      </c>
      <c r="H167" s="159">
        <f>IF(I167="مخالفات",50,Basic345678910111213141516171819202122232425[[#This Row],[قيمة الرسوم / العموله]]+Basic345678910111213141516171819202122232425[[#This Row],[قيمة الشحنه]])</f>
        <v>0</v>
      </c>
      <c r="I167" s="90"/>
      <c r="J167" s="142" t="str">
        <f t="shared" si="2"/>
        <v>8.5.2026</v>
      </c>
      <c r="L167" s="153">
        <v>156</v>
      </c>
      <c r="M167" s="92"/>
    </row>
    <row r="168" spans="1:13" ht="21.6" x14ac:dyDescent="0.65">
      <c r="A168" s="195"/>
      <c r="B168" s="140">
        <v>165</v>
      </c>
      <c r="C168" s="2"/>
      <c r="D168" s="1"/>
      <c r="E168" s="3"/>
      <c r="F168" s="1"/>
      <c r="G168" s="141">
        <f>IF(Basic345678910111213141516171819202122232425[[#This Row],[نوع الخدمة]]="مخالفات", 50,
IF(Basic345678910111213141516171819202122232425[[#This Row],[نوع الخدمة]]="كاش ان",
    IF(F168&lt;=100, 18, IF(F168&lt;=250, 23, IF(F168&lt;=500, 35, IF(F168&lt;=1000, 40, F168*0.04)))),
IF(Basic345678910111213141516171819202122232425[[#This Row],[نوع الخدمة]]="كاش اوت",
    IF(F168&lt;=100, 15, IF(F168&lt;=250, 20, IF(F168&lt;=500, 30, IF(F168&lt;=1000, 35, F168*0.035)))),
0)))</f>
        <v>0</v>
      </c>
      <c r="H168" s="159">
        <f>IF(I168="مخالفات",50,Basic345678910111213141516171819202122232425[[#This Row],[قيمة الرسوم / العموله]]+Basic345678910111213141516171819202122232425[[#This Row],[قيمة الشحنه]])</f>
        <v>0</v>
      </c>
      <c r="I168" s="90"/>
      <c r="J168" s="142" t="str">
        <f t="shared" si="2"/>
        <v>8.5.2026</v>
      </c>
      <c r="L168" s="153">
        <v>157</v>
      </c>
      <c r="M168" s="92"/>
    </row>
    <row r="169" spans="1:13" ht="21.6" x14ac:dyDescent="0.65">
      <c r="A169" s="195"/>
      <c r="B169" s="144">
        <v>166</v>
      </c>
      <c r="C169" s="2"/>
      <c r="D169" s="1"/>
      <c r="E169" s="3"/>
      <c r="F169" s="1"/>
      <c r="G169" s="141">
        <f>IF(Basic345678910111213141516171819202122232425[[#This Row],[نوع الخدمة]]="مخالفات", 50,
IF(Basic345678910111213141516171819202122232425[[#This Row],[نوع الخدمة]]="كاش ان",
    IF(F169&lt;=100, 18, IF(F169&lt;=250, 23, IF(F169&lt;=500, 35, IF(F169&lt;=1000, 40, F169*0.04)))),
IF(Basic345678910111213141516171819202122232425[[#This Row],[نوع الخدمة]]="كاش اوت",
    IF(F169&lt;=100, 15, IF(F169&lt;=250, 20, IF(F169&lt;=500, 30, IF(F169&lt;=1000, 35, F169*0.035)))),
0)))</f>
        <v>0</v>
      </c>
      <c r="H169" s="159">
        <f>IF(I169="مخالفات",50,Basic345678910111213141516171819202122232425[[#This Row],[قيمة الرسوم / العموله]]+Basic345678910111213141516171819202122232425[[#This Row],[قيمة الشحنه]])</f>
        <v>0</v>
      </c>
      <c r="I169" s="90"/>
      <c r="J169" s="142" t="str">
        <f t="shared" si="2"/>
        <v>8.5.2026</v>
      </c>
      <c r="L169" s="153">
        <v>158</v>
      </c>
      <c r="M169" s="92"/>
    </row>
    <row r="170" spans="1:13" ht="21.6" x14ac:dyDescent="0.65">
      <c r="A170" s="195"/>
      <c r="B170" s="140">
        <v>167</v>
      </c>
      <c r="C170" s="2"/>
      <c r="D170" s="1"/>
      <c r="E170" s="3"/>
      <c r="F170" s="1"/>
      <c r="G170" s="141">
        <f>IF(Basic345678910111213141516171819202122232425[[#This Row],[نوع الخدمة]]="مخالفات", 50,
IF(Basic345678910111213141516171819202122232425[[#This Row],[نوع الخدمة]]="كاش ان",
    IF(F170&lt;=100, 18, IF(F170&lt;=250, 23, IF(F170&lt;=500, 35, IF(F170&lt;=1000, 40, F170*0.04)))),
IF(Basic345678910111213141516171819202122232425[[#This Row],[نوع الخدمة]]="كاش اوت",
    IF(F170&lt;=100, 15, IF(F170&lt;=250, 20, IF(F170&lt;=500, 30, IF(F170&lt;=1000, 35, F170*0.035)))),
0)))</f>
        <v>0</v>
      </c>
      <c r="H170" s="159">
        <f>IF(I170="مخالفات",50,Basic345678910111213141516171819202122232425[[#This Row],[قيمة الرسوم / العموله]]+Basic345678910111213141516171819202122232425[[#This Row],[قيمة الشحنه]])</f>
        <v>0</v>
      </c>
      <c r="I170" s="90"/>
      <c r="J170" s="142" t="str">
        <f t="shared" si="2"/>
        <v>8.5.2026</v>
      </c>
      <c r="L170" s="153">
        <v>159</v>
      </c>
      <c r="M170" s="92"/>
    </row>
    <row r="171" spans="1:13" ht="21.6" x14ac:dyDescent="0.65">
      <c r="A171" s="195"/>
      <c r="B171" s="140">
        <v>168</v>
      </c>
      <c r="C171" s="2"/>
      <c r="D171" s="1"/>
      <c r="E171" s="3"/>
      <c r="F171" s="1"/>
      <c r="G171" s="141">
        <f>IF(Basic345678910111213141516171819202122232425[[#This Row],[نوع الخدمة]]="مخالفات", 50,
IF(Basic345678910111213141516171819202122232425[[#This Row],[نوع الخدمة]]="كاش ان",
    IF(F171&lt;=100, 18, IF(F171&lt;=250, 23, IF(F171&lt;=500, 35, IF(F171&lt;=1000, 40, F171*0.04)))),
IF(Basic345678910111213141516171819202122232425[[#This Row],[نوع الخدمة]]="كاش اوت",
    IF(F171&lt;=100, 15, IF(F171&lt;=250, 20, IF(F171&lt;=500, 30, IF(F171&lt;=1000, 35, F171*0.035)))),
0)))</f>
        <v>0</v>
      </c>
      <c r="H171" s="159">
        <f>IF(I171="مخالفات",50,Basic345678910111213141516171819202122232425[[#This Row],[قيمة الرسوم / العموله]]+Basic345678910111213141516171819202122232425[[#This Row],[قيمة الشحنه]])</f>
        <v>0</v>
      </c>
      <c r="I171" s="90"/>
      <c r="J171" s="142" t="str">
        <f t="shared" si="2"/>
        <v>8.5.2026</v>
      </c>
      <c r="L171" s="153">
        <v>160</v>
      </c>
      <c r="M171" s="92"/>
    </row>
    <row r="172" spans="1:13" ht="21.6" x14ac:dyDescent="0.65">
      <c r="A172" s="195"/>
      <c r="B172" s="140">
        <v>169</v>
      </c>
      <c r="C172" s="2"/>
      <c r="D172" s="1"/>
      <c r="E172" s="3"/>
      <c r="F172" s="1"/>
      <c r="G172" s="141">
        <f>IF(Basic345678910111213141516171819202122232425[[#This Row],[نوع الخدمة]]="مخالفات", 50,
IF(Basic345678910111213141516171819202122232425[[#This Row],[نوع الخدمة]]="كاش ان",
    IF(F172&lt;=100, 18, IF(F172&lt;=250, 23, IF(F172&lt;=500, 35, IF(F172&lt;=1000, 40, F172*0.04)))),
IF(Basic345678910111213141516171819202122232425[[#This Row],[نوع الخدمة]]="كاش اوت",
    IF(F172&lt;=100, 15, IF(F172&lt;=250, 20, IF(F172&lt;=500, 30, IF(F172&lt;=1000, 35, F172*0.035)))),
0)))</f>
        <v>0</v>
      </c>
      <c r="H172" s="159">
        <f>IF(I172="مخالفات",50,Basic345678910111213141516171819202122232425[[#This Row],[قيمة الرسوم / العموله]]+Basic345678910111213141516171819202122232425[[#This Row],[قيمة الشحنه]])</f>
        <v>0</v>
      </c>
      <c r="I172" s="90"/>
      <c r="J172" s="142" t="str">
        <f t="shared" si="2"/>
        <v>8.5.2026</v>
      </c>
      <c r="L172" s="153">
        <v>161</v>
      </c>
      <c r="M172" s="92"/>
    </row>
    <row r="173" spans="1:13" ht="21.6" x14ac:dyDescent="0.65">
      <c r="A173" s="195"/>
      <c r="B173" s="144">
        <v>170</v>
      </c>
      <c r="C173" s="2"/>
      <c r="D173" s="1"/>
      <c r="E173" s="3"/>
      <c r="F173" s="1"/>
      <c r="G173" s="141">
        <f>IF(Basic345678910111213141516171819202122232425[[#This Row],[نوع الخدمة]]="مخالفات", 50,
IF(Basic345678910111213141516171819202122232425[[#This Row],[نوع الخدمة]]="كاش ان",
    IF(F173&lt;=100, 18, IF(F173&lt;=250, 23, IF(F173&lt;=500, 35, IF(F173&lt;=1000, 40, F173*0.04)))),
IF(Basic345678910111213141516171819202122232425[[#This Row],[نوع الخدمة]]="كاش اوت",
    IF(F173&lt;=100, 15, IF(F173&lt;=250, 20, IF(F173&lt;=500, 30, IF(F173&lt;=1000, 35, F173*0.035)))),
0)))</f>
        <v>0</v>
      </c>
      <c r="H173" s="159">
        <f>IF(I173="مخالفات",50,Basic345678910111213141516171819202122232425[[#This Row],[قيمة الرسوم / العموله]]+Basic345678910111213141516171819202122232425[[#This Row],[قيمة الشحنه]])</f>
        <v>0</v>
      </c>
      <c r="I173" s="90"/>
      <c r="J173" s="142" t="str">
        <f t="shared" si="2"/>
        <v>8.5.2026</v>
      </c>
      <c r="L173" s="153">
        <v>162</v>
      </c>
      <c r="M173" s="92"/>
    </row>
    <row r="174" spans="1:13" ht="21.6" x14ac:dyDescent="0.65">
      <c r="A174" s="195"/>
      <c r="B174" s="140">
        <v>171</v>
      </c>
      <c r="C174" s="2"/>
      <c r="D174" s="1"/>
      <c r="E174" s="3"/>
      <c r="F174" s="1"/>
      <c r="G174" s="141">
        <f>IF(Basic345678910111213141516171819202122232425[[#This Row],[نوع الخدمة]]="مخالفات", 50,
IF(Basic345678910111213141516171819202122232425[[#This Row],[نوع الخدمة]]="كاش ان",
    IF(F174&lt;=100, 18, IF(F174&lt;=250, 23, IF(F174&lt;=500, 35, IF(F174&lt;=1000, 40, F174*0.04)))),
IF(Basic345678910111213141516171819202122232425[[#This Row],[نوع الخدمة]]="كاش اوت",
    IF(F174&lt;=100, 15, IF(F174&lt;=250, 20, IF(F174&lt;=500, 30, IF(F174&lt;=1000, 35, F174*0.035)))),
0)))</f>
        <v>0</v>
      </c>
      <c r="H174" s="159">
        <f>IF(I174="مخالفات",50,Basic345678910111213141516171819202122232425[[#This Row],[قيمة الرسوم / العموله]]+Basic345678910111213141516171819202122232425[[#This Row],[قيمة الشحنه]])</f>
        <v>0</v>
      </c>
      <c r="I174" s="90"/>
      <c r="J174" s="142" t="str">
        <f t="shared" si="2"/>
        <v>8.5.2026</v>
      </c>
      <c r="L174" s="153">
        <v>163</v>
      </c>
      <c r="M174" s="92"/>
    </row>
    <row r="175" spans="1:13" ht="21.6" x14ac:dyDescent="0.65">
      <c r="A175" s="195"/>
      <c r="B175" s="140">
        <v>172</v>
      </c>
      <c r="C175" s="2"/>
      <c r="D175" s="1"/>
      <c r="E175" s="3"/>
      <c r="F175" s="1"/>
      <c r="G175" s="141">
        <f>IF(Basic345678910111213141516171819202122232425[[#This Row],[نوع الخدمة]]="مخالفات", 50,
IF(Basic345678910111213141516171819202122232425[[#This Row],[نوع الخدمة]]="كاش ان",
    IF(F175&lt;=100, 18, IF(F175&lt;=250, 23, IF(F175&lt;=500, 35, IF(F175&lt;=1000, 40, F175*0.04)))),
IF(Basic345678910111213141516171819202122232425[[#This Row],[نوع الخدمة]]="كاش اوت",
    IF(F175&lt;=100, 15, IF(F175&lt;=250, 20, IF(F175&lt;=500, 30, IF(F175&lt;=1000, 35, F175*0.035)))),
0)))</f>
        <v>0</v>
      </c>
      <c r="H175" s="159">
        <f>IF(I175="مخالفات",50,Basic345678910111213141516171819202122232425[[#This Row],[قيمة الرسوم / العموله]]+Basic345678910111213141516171819202122232425[[#This Row],[قيمة الشحنه]])</f>
        <v>0</v>
      </c>
      <c r="I175" s="90"/>
      <c r="J175" s="142" t="str">
        <f t="shared" si="2"/>
        <v>8.5.2026</v>
      </c>
      <c r="L175" s="153">
        <v>164</v>
      </c>
      <c r="M175" s="92"/>
    </row>
    <row r="176" spans="1:13" ht="21.6" x14ac:dyDescent="0.65">
      <c r="A176" s="195"/>
      <c r="B176" s="140">
        <v>173</v>
      </c>
      <c r="C176" s="2"/>
      <c r="D176" s="1"/>
      <c r="E176" s="3"/>
      <c r="F176" s="1"/>
      <c r="G176" s="141">
        <f>IF(Basic345678910111213141516171819202122232425[[#This Row],[نوع الخدمة]]="مخالفات", 50,
IF(Basic345678910111213141516171819202122232425[[#This Row],[نوع الخدمة]]="كاش ان",
    IF(F176&lt;=100, 18, IF(F176&lt;=250, 23, IF(F176&lt;=500, 35, IF(F176&lt;=1000, 40, F176*0.04)))),
IF(Basic345678910111213141516171819202122232425[[#This Row],[نوع الخدمة]]="كاش اوت",
    IF(F176&lt;=100, 15, IF(F176&lt;=250, 20, IF(F176&lt;=500, 30, IF(F176&lt;=1000, 35, F176*0.035)))),
0)))</f>
        <v>0</v>
      </c>
      <c r="H176" s="159">
        <f>IF(I176="مخالفات",50,Basic345678910111213141516171819202122232425[[#This Row],[قيمة الرسوم / العموله]]+Basic345678910111213141516171819202122232425[[#This Row],[قيمة الشحنه]])</f>
        <v>0</v>
      </c>
      <c r="I176" s="90"/>
      <c r="J176" s="142" t="str">
        <f t="shared" si="2"/>
        <v>8.5.2026</v>
      </c>
      <c r="L176" s="153">
        <v>165</v>
      </c>
      <c r="M176" s="92"/>
    </row>
    <row r="177" spans="1:13" ht="21.6" x14ac:dyDescent="0.65">
      <c r="A177" s="195"/>
      <c r="B177" s="144">
        <v>174</v>
      </c>
      <c r="C177" s="2"/>
      <c r="D177" s="1"/>
      <c r="E177" s="3"/>
      <c r="F177" s="1"/>
      <c r="G177" s="141">
        <f>IF(Basic345678910111213141516171819202122232425[[#This Row],[نوع الخدمة]]="مخالفات", 50,
IF(Basic345678910111213141516171819202122232425[[#This Row],[نوع الخدمة]]="كاش ان",
    IF(F177&lt;=100, 18, IF(F177&lt;=250, 23, IF(F177&lt;=500, 35, IF(F177&lt;=1000, 40, F177*0.04)))),
IF(Basic345678910111213141516171819202122232425[[#This Row],[نوع الخدمة]]="كاش اوت",
    IF(F177&lt;=100, 15, IF(F177&lt;=250, 20, IF(F177&lt;=500, 30, IF(F177&lt;=1000, 35, F177*0.035)))),
0)))</f>
        <v>0</v>
      </c>
      <c r="H177" s="159">
        <f>IF(I177="مخالفات",50,Basic345678910111213141516171819202122232425[[#This Row],[قيمة الرسوم / العموله]]+Basic345678910111213141516171819202122232425[[#This Row],[قيمة الشحنه]])</f>
        <v>0</v>
      </c>
      <c r="I177" s="90"/>
      <c r="J177" s="142" t="str">
        <f t="shared" si="2"/>
        <v>8.5.2026</v>
      </c>
      <c r="L177" s="153">
        <v>166</v>
      </c>
      <c r="M177" s="92"/>
    </row>
    <row r="178" spans="1:13" ht="21.6" x14ac:dyDescent="0.65">
      <c r="A178" s="195"/>
      <c r="B178" s="140">
        <v>175</v>
      </c>
      <c r="C178" s="2"/>
      <c r="D178" s="1"/>
      <c r="E178" s="3"/>
      <c r="F178" s="1"/>
      <c r="G178" s="141">
        <f>IF(Basic345678910111213141516171819202122232425[[#This Row],[نوع الخدمة]]="مخالفات", 50,
IF(Basic345678910111213141516171819202122232425[[#This Row],[نوع الخدمة]]="كاش ان",
    IF(F178&lt;=100, 18, IF(F178&lt;=250, 23, IF(F178&lt;=500, 35, IF(F178&lt;=1000, 40, F178*0.04)))),
IF(Basic345678910111213141516171819202122232425[[#This Row],[نوع الخدمة]]="كاش اوت",
    IF(F178&lt;=100, 15, IF(F178&lt;=250, 20, IF(F178&lt;=500, 30, IF(F178&lt;=1000, 35, F178*0.035)))),
0)))</f>
        <v>0</v>
      </c>
      <c r="H178" s="159">
        <f>IF(I178="مخالفات",50,Basic345678910111213141516171819202122232425[[#This Row],[قيمة الرسوم / العموله]]+Basic345678910111213141516171819202122232425[[#This Row],[قيمة الشحنه]])</f>
        <v>0</v>
      </c>
      <c r="I178" s="90"/>
      <c r="J178" s="142" t="str">
        <f t="shared" si="2"/>
        <v>8.5.2026</v>
      </c>
      <c r="L178" s="153">
        <v>167</v>
      </c>
      <c r="M178" s="92"/>
    </row>
    <row r="179" spans="1:13" ht="21.6" x14ac:dyDescent="0.65">
      <c r="A179" s="195"/>
      <c r="B179" s="140">
        <v>176</v>
      </c>
      <c r="C179" s="2"/>
      <c r="D179" s="1"/>
      <c r="E179" s="3"/>
      <c r="F179" s="1"/>
      <c r="G179" s="141">
        <f>IF(Basic345678910111213141516171819202122232425[[#This Row],[نوع الخدمة]]="مخالفات", 50,
IF(Basic345678910111213141516171819202122232425[[#This Row],[نوع الخدمة]]="كاش ان",
    IF(F179&lt;=100, 18, IF(F179&lt;=250, 23, IF(F179&lt;=500, 35, IF(F179&lt;=1000, 40, F179*0.04)))),
IF(Basic345678910111213141516171819202122232425[[#This Row],[نوع الخدمة]]="كاش اوت",
    IF(F179&lt;=100, 15, IF(F179&lt;=250, 20, IF(F179&lt;=500, 30, IF(F179&lt;=1000, 35, F179*0.035)))),
0)))</f>
        <v>0</v>
      </c>
      <c r="H179" s="159">
        <f>IF(I179="مخالفات",50,Basic345678910111213141516171819202122232425[[#This Row],[قيمة الرسوم / العموله]]+Basic345678910111213141516171819202122232425[[#This Row],[قيمة الشحنه]])</f>
        <v>0</v>
      </c>
      <c r="I179" s="90"/>
      <c r="J179" s="142" t="str">
        <f t="shared" si="2"/>
        <v>8.5.2026</v>
      </c>
      <c r="L179" s="153">
        <v>168</v>
      </c>
      <c r="M179" s="92"/>
    </row>
    <row r="180" spans="1:13" ht="21.6" x14ac:dyDescent="0.65">
      <c r="A180" s="195"/>
      <c r="B180" s="140">
        <v>177</v>
      </c>
      <c r="C180" s="2"/>
      <c r="D180" s="1"/>
      <c r="E180" s="3"/>
      <c r="F180" s="1"/>
      <c r="G180" s="141">
        <f>IF(Basic345678910111213141516171819202122232425[[#This Row],[نوع الخدمة]]="مخالفات", 50,
IF(Basic345678910111213141516171819202122232425[[#This Row],[نوع الخدمة]]="كاش ان",
    IF(F180&lt;=100, 18, IF(F180&lt;=250, 23, IF(F180&lt;=500, 35, IF(F180&lt;=1000, 40, F180*0.04)))),
IF(Basic345678910111213141516171819202122232425[[#This Row],[نوع الخدمة]]="كاش اوت",
    IF(F180&lt;=100, 15, IF(F180&lt;=250, 20, IF(F180&lt;=500, 30, IF(F180&lt;=1000, 35, F180*0.035)))),
0)))</f>
        <v>0</v>
      </c>
      <c r="H180" s="159">
        <f>IF(I180="مخالفات",50,Basic345678910111213141516171819202122232425[[#This Row],[قيمة الرسوم / العموله]]+Basic345678910111213141516171819202122232425[[#This Row],[قيمة الشحنه]])</f>
        <v>0</v>
      </c>
      <c r="I180" s="90"/>
      <c r="J180" s="142" t="str">
        <f t="shared" si="2"/>
        <v>8.5.2026</v>
      </c>
      <c r="L180" s="153">
        <v>169</v>
      </c>
      <c r="M180" s="92"/>
    </row>
    <row r="181" spans="1:13" ht="21.6" x14ac:dyDescent="0.65">
      <c r="A181" s="195"/>
      <c r="B181" s="144">
        <v>178</v>
      </c>
      <c r="C181" s="2"/>
      <c r="D181" s="1"/>
      <c r="E181" s="3"/>
      <c r="F181" s="1"/>
      <c r="G181" s="141">
        <f>IF(Basic345678910111213141516171819202122232425[[#This Row],[نوع الخدمة]]="مخالفات", 50,
IF(Basic345678910111213141516171819202122232425[[#This Row],[نوع الخدمة]]="كاش ان",
    IF(F181&lt;=100, 18, IF(F181&lt;=250, 23, IF(F181&lt;=500, 35, IF(F181&lt;=1000, 40, F181*0.04)))),
IF(Basic345678910111213141516171819202122232425[[#This Row],[نوع الخدمة]]="كاش اوت",
    IF(F181&lt;=100, 15, IF(F181&lt;=250, 20, IF(F181&lt;=500, 30, IF(F181&lt;=1000, 35, F181*0.035)))),
0)))</f>
        <v>0</v>
      </c>
      <c r="H181" s="159">
        <f>IF(I181="مخالفات",50,Basic345678910111213141516171819202122232425[[#This Row],[قيمة الرسوم / العموله]]+Basic345678910111213141516171819202122232425[[#This Row],[قيمة الشحنه]])</f>
        <v>0</v>
      </c>
      <c r="I181" s="90"/>
      <c r="J181" s="142" t="str">
        <f t="shared" si="2"/>
        <v>8.5.2026</v>
      </c>
      <c r="L181" s="153">
        <v>170</v>
      </c>
      <c r="M181" s="92"/>
    </row>
    <row r="182" spans="1:13" ht="21.6" x14ac:dyDescent="0.65">
      <c r="A182" s="195"/>
      <c r="B182" s="140">
        <v>179</v>
      </c>
      <c r="C182" s="2"/>
      <c r="D182" s="1"/>
      <c r="E182" s="3"/>
      <c r="F182" s="1"/>
      <c r="G182" s="141">
        <f>IF(Basic345678910111213141516171819202122232425[[#This Row],[نوع الخدمة]]="مخالفات", 50,
IF(Basic345678910111213141516171819202122232425[[#This Row],[نوع الخدمة]]="كاش ان",
    IF(F182&lt;=100, 18, IF(F182&lt;=250, 23, IF(F182&lt;=500, 35, IF(F182&lt;=1000, 40, F182*0.04)))),
IF(Basic345678910111213141516171819202122232425[[#This Row],[نوع الخدمة]]="كاش اوت",
    IF(F182&lt;=100, 15, IF(F182&lt;=250, 20, IF(F182&lt;=500, 30, IF(F182&lt;=1000, 35, F182*0.035)))),
0)))</f>
        <v>0</v>
      </c>
      <c r="H182" s="159">
        <f>IF(I182="مخالفات",50,Basic345678910111213141516171819202122232425[[#This Row],[قيمة الرسوم / العموله]]+Basic345678910111213141516171819202122232425[[#This Row],[قيمة الشحنه]])</f>
        <v>0</v>
      </c>
      <c r="I182" s="90"/>
      <c r="J182" s="142" t="str">
        <f t="shared" si="2"/>
        <v>8.5.2026</v>
      </c>
      <c r="L182" s="153">
        <v>171</v>
      </c>
      <c r="M182" s="92"/>
    </row>
    <row r="183" spans="1:13" ht="21.6" x14ac:dyDescent="0.65">
      <c r="A183" s="195"/>
      <c r="B183" s="140">
        <v>180</v>
      </c>
      <c r="C183" s="2"/>
      <c r="D183" s="1"/>
      <c r="E183" s="3"/>
      <c r="F183" s="1"/>
      <c r="G183" s="141">
        <f>IF(Basic345678910111213141516171819202122232425[[#This Row],[نوع الخدمة]]="مخالفات", 50,
IF(Basic345678910111213141516171819202122232425[[#This Row],[نوع الخدمة]]="كاش ان",
    IF(F183&lt;=100, 18, IF(F183&lt;=250, 23, IF(F183&lt;=500, 35, IF(F183&lt;=1000, 40, F183*0.04)))),
IF(Basic345678910111213141516171819202122232425[[#This Row],[نوع الخدمة]]="كاش اوت",
    IF(F183&lt;=100, 15, IF(F183&lt;=250, 20, IF(F183&lt;=500, 30, IF(F183&lt;=1000, 35, F183*0.035)))),
0)))</f>
        <v>0</v>
      </c>
      <c r="H183" s="159">
        <f>IF(I183="مخالفات",50,Basic345678910111213141516171819202122232425[[#This Row],[قيمة الرسوم / العموله]]+Basic345678910111213141516171819202122232425[[#This Row],[قيمة الشحنه]])</f>
        <v>0</v>
      </c>
      <c r="I183" s="90"/>
      <c r="J183" s="142" t="str">
        <f t="shared" si="2"/>
        <v>8.5.2026</v>
      </c>
      <c r="L183" s="153">
        <v>172</v>
      </c>
      <c r="M183" s="92"/>
    </row>
    <row r="184" spans="1:13" ht="21.6" x14ac:dyDescent="0.65">
      <c r="A184" s="195"/>
      <c r="B184" s="140">
        <v>181</v>
      </c>
      <c r="C184" s="2"/>
      <c r="D184" s="1"/>
      <c r="E184" s="3"/>
      <c r="F184" s="1"/>
      <c r="G184" s="141">
        <f>IF(Basic345678910111213141516171819202122232425[[#This Row],[نوع الخدمة]]="مخالفات", 50,
IF(Basic345678910111213141516171819202122232425[[#This Row],[نوع الخدمة]]="كاش ان",
    IF(F184&lt;=100, 18, IF(F184&lt;=250, 23, IF(F184&lt;=500, 35, IF(F184&lt;=1000, 40, F184*0.04)))),
IF(Basic345678910111213141516171819202122232425[[#This Row],[نوع الخدمة]]="كاش اوت",
    IF(F184&lt;=100, 15, IF(F184&lt;=250, 20, IF(F184&lt;=500, 30, IF(F184&lt;=1000, 35, F184*0.035)))),
0)))</f>
        <v>0</v>
      </c>
      <c r="H184" s="159">
        <f>IF(I184="مخالفات",50,Basic345678910111213141516171819202122232425[[#This Row],[قيمة الرسوم / العموله]]+Basic345678910111213141516171819202122232425[[#This Row],[قيمة الشحنه]])</f>
        <v>0</v>
      </c>
      <c r="I184" s="90"/>
      <c r="J184" s="142" t="str">
        <f t="shared" si="2"/>
        <v>8.5.2026</v>
      </c>
      <c r="L184" s="153">
        <v>173</v>
      </c>
      <c r="M184" s="92"/>
    </row>
    <row r="185" spans="1:13" ht="21.6" x14ac:dyDescent="0.65">
      <c r="A185" s="195"/>
      <c r="B185" s="144">
        <v>182</v>
      </c>
      <c r="C185" s="2"/>
      <c r="D185" s="1"/>
      <c r="E185" s="3"/>
      <c r="F185" s="1"/>
      <c r="G185" s="141">
        <f>IF(Basic345678910111213141516171819202122232425[[#This Row],[نوع الخدمة]]="مخالفات", 50,
IF(Basic345678910111213141516171819202122232425[[#This Row],[نوع الخدمة]]="كاش ان",
    IF(F185&lt;=100, 18, IF(F185&lt;=250, 23, IF(F185&lt;=500, 35, IF(F185&lt;=1000, 40, F185*0.04)))),
IF(Basic345678910111213141516171819202122232425[[#This Row],[نوع الخدمة]]="كاش اوت",
    IF(F185&lt;=100, 15, IF(F185&lt;=250, 20, IF(F185&lt;=500, 30, IF(F185&lt;=1000, 35, F185*0.035)))),
0)))</f>
        <v>0</v>
      </c>
      <c r="H185" s="159">
        <f>IF(I185="مخالفات",50,Basic345678910111213141516171819202122232425[[#This Row],[قيمة الرسوم / العموله]]+Basic345678910111213141516171819202122232425[[#This Row],[قيمة الشحنه]])</f>
        <v>0</v>
      </c>
      <c r="I185" s="90"/>
      <c r="J185" s="142" t="str">
        <f t="shared" si="2"/>
        <v>8.5.2026</v>
      </c>
      <c r="L185" s="153">
        <v>174</v>
      </c>
      <c r="M185" s="92"/>
    </row>
    <row r="186" spans="1:13" ht="21.6" x14ac:dyDescent="0.65">
      <c r="A186" s="195"/>
      <c r="B186" s="140">
        <v>183</v>
      </c>
      <c r="C186" s="2"/>
      <c r="D186" s="1"/>
      <c r="E186" s="3"/>
      <c r="F186" s="1"/>
      <c r="G186" s="141">
        <f>IF(Basic345678910111213141516171819202122232425[[#This Row],[نوع الخدمة]]="مخالفات", 50,
IF(Basic345678910111213141516171819202122232425[[#This Row],[نوع الخدمة]]="كاش ان",
    IF(F186&lt;=100, 18, IF(F186&lt;=250, 23, IF(F186&lt;=500, 35, IF(F186&lt;=1000, 40, F186*0.04)))),
IF(Basic345678910111213141516171819202122232425[[#This Row],[نوع الخدمة]]="كاش اوت",
    IF(F186&lt;=100, 15, IF(F186&lt;=250, 20, IF(F186&lt;=500, 30, IF(F186&lt;=1000, 35, F186*0.035)))),
0)))</f>
        <v>0</v>
      </c>
      <c r="H186" s="159">
        <f>IF(I186="مخالفات",50,Basic345678910111213141516171819202122232425[[#This Row],[قيمة الرسوم / العموله]]+Basic345678910111213141516171819202122232425[[#This Row],[قيمة الشحنه]])</f>
        <v>0</v>
      </c>
      <c r="I186" s="90"/>
      <c r="J186" s="142" t="str">
        <f t="shared" si="2"/>
        <v>8.5.2026</v>
      </c>
      <c r="L186" s="153">
        <v>175</v>
      </c>
      <c r="M186" s="92"/>
    </row>
    <row r="187" spans="1:13" ht="21.6" x14ac:dyDescent="0.65">
      <c r="A187" s="195"/>
      <c r="B187" s="140">
        <v>184</v>
      </c>
      <c r="C187" s="2"/>
      <c r="D187" s="1"/>
      <c r="E187" s="3"/>
      <c r="F187" s="1"/>
      <c r="G187" s="141">
        <f>IF(Basic345678910111213141516171819202122232425[[#This Row],[نوع الخدمة]]="مخالفات", 50,
IF(Basic345678910111213141516171819202122232425[[#This Row],[نوع الخدمة]]="كاش ان",
    IF(F187&lt;=100, 18, IF(F187&lt;=250, 23, IF(F187&lt;=500, 35, IF(F187&lt;=1000, 40, F187*0.04)))),
IF(Basic345678910111213141516171819202122232425[[#This Row],[نوع الخدمة]]="كاش اوت",
    IF(F187&lt;=100, 15, IF(F187&lt;=250, 20, IF(F187&lt;=500, 30, IF(F187&lt;=1000, 35, F187*0.035)))),
0)))</f>
        <v>0</v>
      </c>
      <c r="H187" s="159">
        <f>IF(I187="مخالفات",50,Basic345678910111213141516171819202122232425[[#This Row],[قيمة الرسوم / العموله]]+Basic345678910111213141516171819202122232425[[#This Row],[قيمة الشحنه]])</f>
        <v>0</v>
      </c>
      <c r="I187" s="90"/>
      <c r="J187" s="142" t="str">
        <f t="shared" si="2"/>
        <v>8.5.2026</v>
      </c>
      <c r="L187" s="153">
        <v>176</v>
      </c>
      <c r="M187" s="92"/>
    </row>
    <row r="188" spans="1:13" ht="21.6" x14ac:dyDescent="0.65">
      <c r="A188" s="195"/>
      <c r="B188" s="140">
        <v>185</v>
      </c>
      <c r="C188" s="2"/>
      <c r="D188" s="1"/>
      <c r="E188" s="3"/>
      <c r="F188" s="1"/>
      <c r="G188" s="141">
        <f>IF(Basic345678910111213141516171819202122232425[[#This Row],[نوع الخدمة]]="مخالفات", 50,
IF(Basic345678910111213141516171819202122232425[[#This Row],[نوع الخدمة]]="كاش ان",
    IF(F188&lt;=100, 18, IF(F188&lt;=250, 23, IF(F188&lt;=500, 35, IF(F188&lt;=1000, 40, F188*0.04)))),
IF(Basic345678910111213141516171819202122232425[[#This Row],[نوع الخدمة]]="كاش اوت",
    IF(F188&lt;=100, 15, IF(F188&lt;=250, 20, IF(F188&lt;=500, 30, IF(F188&lt;=1000, 35, F188*0.035)))),
0)))</f>
        <v>0</v>
      </c>
      <c r="H188" s="159">
        <f>IF(I188="مخالفات",50,Basic345678910111213141516171819202122232425[[#This Row],[قيمة الرسوم / العموله]]+Basic345678910111213141516171819202122232425[[#This Row],[قيمة الشحنه]])</f>
        <v>0</v>
      </c>
      <c r="I188" s="90"/>
      <c r="J188" s="142" t="str">
        <f t="shared" si="2"/>
        <v>8.5.2026</v>
      </c>
      <c r="L188" s="153">
        <v>177</v>
      </c>
      <c r="M188" s="92"/>
    </row>
    <row r="189" spans="1:13" ht="21.6" x14ac:dyDescent="0.65">
      <c r="A189" s="195"/>
      <c r="B189" s="144">
        <v>186</v>
      </c>
      <c r="C189" s="2"/>
      <c r="D189" s="1"/>
      <c r="E189" s="3"/>
      <c r="F189" s="1"/>
      <c r="G189" s="141">
        <f>IF(Basic345678910111213141516171819202122232425[[#This Row],[نوع الخدمة]]="مخالفات", 50,
IF(Basic345678910111213141516171819202122232425[[#This Row],[نوع الخدمة]]="كاش ان",
    IF(F189&lt;=100, 18, IF(F189&lt;=250, 23, IF(F189&lt;=500, 35, IF(F189&lt;=1000, 40, F189*0.04)))),
IF(Basic345678910111213141516171819202122232425[[#This Row],[نوع الخدمة]]="كاش اوت",
    IF(F189&lt;=100, 15, IF(F189&lt;=250, 20, IF(F189&lt;=500, 30, IF(F189&lt;=1000, 35, F189*0.035)))),
0)))</f>
        <v>0</v>
      </c>
      <c r="H189" s="159">
        <f>IF(I189="مخالفات",50,Basic345678910111213141516171819202122232425[[#This Row],[قيمة الرسوم / العموله]]+Basic345678910111213141516171819202122232425[[#This Row],[قيمة الشحنه]])</f>
        <v>0</v>
      </c>
      <c r="I189" s="90"/>
      <c r="J189" s="142" t="str">
        <f t="shared" si="2"/>
        <v>8.5.2026</v>
      </c>
      <c r="L189" s="153">
        <v>178</v>
      </c>
      <c r="M189" s="92"/>
    </row>
    <row r="190" spans="1:13" ht="21.6" x14ac:dyDescent="0.65">
      <c r="A190" s="195"/>
      <c r="B190" s="140">
        <v>187</v>
      </c>
      <c r="C190" s="2"/>
      <c r="D190" s="1"/>
      <c r="E190" s="3"/>
      <c r="F190" s="1"/>
      <c r="G190" s="141">
        <f>IF(Basic345678910111213141516171819202122232425[[#This Row],[نوع الخدمة]]="مخالفات", 50,
IF(Basic345678910111213141516171819202122232425[[#This Row],[نوع الخدمة]]="كاش ان",
    IF(F190&lt;=100, 18, IF(F190&lt;=250, 23, IF(F190&lt;=500, 35, IF(F190&lt;=1000, 40, F190*0.04)))),
IF(Basic345678910111213141516171819202122232425[[#This Row],[نوع الخدمة]]="كاش اوت",
    IF(F190&lt;=100, 15, IF(F190&lt;=250, 20, IF(F190&lt;=500, 30, IF(F190&lt;=1000, 35, F190*0.035)))),
0)))</f>
        <v>0</v>
      </c>
      <c r="H190" s="159">
        <f>IF(I190="مخالفات",50,Basic345678910111213141516171819202122232425[[#This Row],[قيمة الرسوم / العموله]]+Basic345678910111213141516171819202122232425[[#This Row],[قيمة الشحنه]])</f>
        <v>0</v>
      </c>
      <c r="I190" s="90"/>
      <c r="J190" s="142" t="str">
        <f t="shared" si="2"/>
        <v>8.5.2026</v>
      </c>
      <c r="L190" s="153">
        <v>179</v>
      </c>
      <c r="M190" s="92"/>
    </row>
    <row r="191" spans="1:13" ht="21.6" x14ac:dyDescent="0.65">
      <c r="A191" s="195"/>
      <c r="B191" s="140">
        <v>188</v>
      </c>
      <c r="C191" s="2"/>
      <c r="D191" s="1"/>
      <c r="E191" s="3"/>
      <c r="F191" s="1"/>
      <c r="G191" s="141">
        <f>IF(Basic345678910111213141516171819202122232425[[#This Row],[نوع الخدمة]]="مخالفات", 50,
IF(Basic345678910111213141516171819202122232425[[#This Row],[نوع الخدمة]]="كاش ان",
    IF(F191&lt;=100, 18, IF(F191&lt;=250, 23, IF(F191&lt;=500, 35, IF(F191&lt;=1000, 40, F191*0.04)))),
IF(Basic345678910111213141516171819202122232425[[#This Row],[نوع الخدمة]]="كاش اوت",
    IF(F191&lt;=100, 15, IF(F191&lt;=250, 20, IF(F191&lt;=500, 30, IF(F191&lt;=1000, 35, F191*0.035)))),
0)))</f>
        <v>0</v>
      </c>
      <c r="H191" s="159">
        <f>IF(I191="مخالفات",50,Basic345678910111213141516171819202122232425[[#This Row],[قيمة الرسوم / العموله]]+Basic345678910111213141516171819202122232425[[#This Row],[قيمة الشحنه]])</f>
        <v>0</v>
      </c>
      <c r="I191" s="90"/>
      <c r="J191" s="142" t="str">
        <f t="shared" si="2"/>
        <v>8.5.2026</v>
      </c>
      <c r="L191" s="153">
        <v>180</v>
      </c>
      <c r="M191" s="92"/>
    </row>
    <row r="192" spans="1:13" ht="21.6" x14ac:dyDescent="0.65">
      <c r="A192" s="195"/>
      <c r="B192" s="140">
        <v>189</v>
      </c>
      <c r="C192" s="2"/>
      <c r="D192" s="1"/>
      <c r="E192" s="3"/>
      <c r="F192" s="1"/>
      <c r="G192" s="141">
        <f>IF(Basic345678910111213141516171819202122232425[[#This Row],[نوع الخدمة]]="مخالفات", 50,
IF(Basic345678910111213141516171819202122232425[[#This Row],[نوع الخدمة]]="كاش ان",
    IF(F192&lt;=100, 18, IF(F192&lt;=250, 23, IF(F192&lt;=500, 35, IF(F192&lt;=1000, 40, F192*0.04)))),
IF(Basic345678910111213141516171819202122232425[[#This Row],[نوع الخدمة]]="كاش اوت",
    IF(F192&lt;=100, 15, IF(F192&lt;=250, 20, IF(F192&lt;=500, 30, IF(F192&lt;=1000, 35, F192*0.035)))),
0)))</f>
        <v>0</v>
      </c>
      <c r="H192" s="159">
        <f>IF(I192="مخالفات",50,Basic345678910111213141516171819202122232425[[#This Row],[قيمة الرسوم / العموله]]+Basic345678910111213141516171819202122232425[[#This Row],[قيمة الشحنه]])</f>
        <v>0</v>
      </c>
      <c r="I192" s="90"/>
      <c r="J192" s="142" t="str">
        <f t="shared" si="2"/>
        <v>8.5.2026</v>
      </c>
      <c r="L192" s="153">
        <v>181</v>
      </c>
      <c r="M192" s="92"/>
    </row>
    <row r="193" spans="1:13" ht="21.6" x14ac:dyDescent="0.65">
      <c r="A193" s="195"/>
      <c r="B193" s="144">
        <v>190</v>
      </c>
      <c r="C193" s="2"/>
      <c r="D193" s="1"/>
      <c r="E193" s="3"/>
      <c r="F193" s="1"/>
      <c r="G193" s="141">
        <f>IF(Basic345678910111213141516171819202122232425[[#This Row],[نوع الخدمة]]="مخالفات", 50,
IF(Basic345678910111213141516171819202122232425[[#This Row],[نوع الخدمة]]="كاش ان",
    IF(F193&lt;=100, 18, IF(F193&lt;=250, 23, IF(F193&lt;=500, 35, IF(F193&lt;=1000, 40, F193*0.04)))),
IF(Basic345678910111213141516171819202122232425[[#This Row],[نوع الخدمة]]="كاش اوت",
    IF(F193&lt;=100, 15, IF(F193&lt;=250, 20, IF(F193&lt;=500, 30, IF(F193&lt;=1000, 35, F193*0.035)))),
0)))</f>
        <v>0</v>
      </c>
      <c r="H193" s="159">
        <f>IF(I193="مخالفات",50,Basic345678910111213141516171819202122232425[[#This Row],[قيمة الرسوم / العموله]]+Basic345678910111213141516171819202122232425[[#This Row],[قيمة الشحنه]])</f>
        <v>0</v>
      </c>
      <c r="I193" s="90"/>
      <c r="J193" s="142" t="str">
        <f t="shared" si="2"/>
        <v>8.5.2026</v>
      </c>
      <c r="L193" s="153">
        <v>182</v>
      </c>
      <c r="M193" s="92"/>
    </row>
    <row r="194" spans="1:13" ht="21.6" x14ac:dyDescent="0.65">
      <c r="A194" s="195"/>
      <c r="B194" s="140">
        <v>191</v>
      </c>
      <c r="C194" s="2"/>
      <c r="D194" s="1"/>
      <c r="E194" s="3"/>
      <c r="F194" s="1"/>
      <c r="G194" s="141">
        <f>IF(Basic345678910111213141516171819202122232425[[#This Row],[نوع الخدمة]]="مخالفات", 50,
IF(Basic345678910111213141516171819202122232425[[#This Row],[نوع الخدمة]]="كاش ان",
    IF(F194&lt;=100, 18, IF(F194&lt;=250, 23, IF(F194&lt;=500, 35, IF(F194&lt;=1000, 40, F194*0.04)))),
IF(Basic345678910111213141516171819202122232425[[#This Row],[نوع الخدمة]]="كاش اوت",
    IF(F194&lt;=100, 15, IF(F194&lt;=250, 20, IF(F194&lt;=500, 30, IF(F194&lt;=1000, 35, F194*0.035)))),
0)))</f>
        <v>0</v>
      </c>
      <c r="H194" s="159">
        <f>IF(I194="مخالفات",50,Basic345678910111213141516171819202122232425[[#This Row],[قيمة الرسوم / العموله]]+Basic345678910111213141516171819202122232425[[#This Row],[قيمة الشحنه]])</f>
        <v>0</v>
      </c>
      <c r="I194" s="90"/>
      <c r="J194" s="142" t="str">
        <f t="shared" si="2"/>
        <v>8.5.2026</v>
      </c>
      <c r="L194" s="153">
        <v>183</v>
      </c>
      <c r="M194" s="92"/>
    </row>
    <row r="195" spans="1:13" ht="21.6" x14ac:dyDescent="0.65">
      <c r="A195" s="195"/>
      <c r="B195" s="140">
        <v>192</v>
      </c>
      <c r="C195" s="2"/>
      <c r="D195" s="1"/>
      <c r="E195" s="3"/>
      <c r="F195" s="1"/>
      <c r="G195" s="141">
        <f>IF(Basic345678910111213141516171819202122232425[[#This Row],[نوع الخدمة]]="مخالفات", 50,
IF(Basic345678910111213141516171819202122232425[[#This Row],[نوع الخدمة]]="كاش ان",
    IF(F195&lt;=100, 18, IF(F195&lt;=250, 23, IF(F195&lt;=500, 35, IF(F195&lt;=1000, 40, F195*0.04)))),
IF(Basic345678910111213141516171819202122232425[[#This Row],[نوع الخدمة]]="كاش اوت",
    IF(F195&lt;=100, 15, IF(F195&lt;=250, 20, IF(F195&lt;=500, 30, IF(F195&lt;=1000, 35, F195*0.035)))),
0)))</f>
        <v>0</v>
      </c>
      <c r="H195" s="159">
        <f>IF(I195="مخالفات",50,Basic345678910111213141516171819202122232425[[#This Row],[قيمة الرسوم / العموله]]+Basic345678910111213141516171819202122232425[[#This Row],[قيمة الشحنه]])</f>
        <v>0</v>
      </c>
      <c r="I195" s="90"/>
      <c r="J195" s="142" t="str">
        <f t="shared" si="2"/>
        <v>8.5.2026</v>
      </c>
      <c r="L195" s="153">
        <v>184</v>
      </c>
      <c r="M195" s="92"/>
    </row>
    <row r="196" spans="1:13" ht="21.6" x14ac:dyDescent="0.65">
      <c r="A196" s="195"/>
      <c r="B196" s="140">
        <v>193</v>
      </c>
      <c r="C196" s="2"/>
      <c r="D196" s="1"/>
      <c r="E196" s="3"/>
      <c r="F196" s="1"/>
      <c r="G196" s="141">
        <f>IF(Basic345678910111213141516171819202122232425[[#This Row],[نوع الخدمة]]="مخالفات", 50,
IF(Basic345678910111213141516171819202122232425[[#This Row],[نوع الخدمة]]="كاش ان",
    IF(F196&lt;=100, 18, IF(F196&lt;=250, 23, IF(F196&lt;=500, 35, IF(F196&lt;=1000, 40, F196*0.04)))),
IF(Basic345678910111213141516171819202122232425[[#This Row],[نوع الخدمة]]="كاش اوت",
    IF(F196&lt;=100, 15, IF(F196&lt;=250, 20, IF(F196&lt;=500, 30, IF(F196&lt;=1000, 35, F196*0.035)))),
0)))</f>
        <v>0</v>
      </c>
      <c r="H196" s="159">
        <f>IF(I196="مخالفات",50,Basic345678910111213141516171819202122232425[[#This Row],[قيمة الرسوم / العموله]]+Basic345678910111213141516171819202122232425[[#This Row],[قيمة الشحنه]])</f>
        <v>0</v>
      </c>
      <c r="I196" s="90"/>
      <c r="J196" s="142" t="str">
        <f t="shared" ref="J196:J226" si="3">M$3</f>
        <v>8.5.2026</v>
      </c>
      <c r="L196" s="153">
        <v>185</v>
      </c>
      <c r="M196" s="92"/>
    </row>
    <row r="197" spans="1:13" ht="21.6" x14ac:dyDescent="0.65">
      <c r="A197" s="195"/>
      <c r="B197" s="144">
        <v>194</v>
      </c>
      <c r="C197" s="2"/>
      <c r="D197" s="1"/>
      <c r="E197" s="3"/>
      <c r="F197" s="1"/>
      <c r="G197" s="141">
        <f>IF(Basic345678910111213141516171819202122232425[[#This Row],[نوع الخدمة]]="مخالفات", 50,
IF(Basic345678910111213141516171819202122232425[[#This Row],[نوع الخدمة]]="كاش ان",
    IF(F197&lt;=100, 18, IF(F197&lt;=250, 23, IF(F197&lt;=500, 35, IF(F197&lt;=1000, 40, F197*0.04)))),
IF(Basic345678910111213141516171819202122232425[[#This Row],[نوع الخدمة]]="كاش اوت",
    IF(F197&lt;=100, 15, IF(F197&lt;=250, 20, IF(F197&lt;=500, 30, IF(F197&lt;=1000, 35, F197*0.035)))),
0)))</f>
        <v>0</v>
      </c>
      <c r="H197" s="159">
        <f>IF(I197="مخالفات",50,Basic345678910111213141516171819202122232425[[#This Row],[قيمة الرسوم / العموله]]+Basic345678910111213141516171819202122232425[[#This Row],[قيمة الشحنه]])</f>
        <v>0</v>
      </c>
      <c r="I197" s="90"/>
      <c r="J197" s="142" t="str">
        <f t="shared" si="3"/>
        <v>8.5.2026</v>
      </c>
      <c r="L197" s="153">
        <v>186</v>
      </c>
      <c r="M197" s="92"/>
    </row>
    <row r="198" spans="1:13" ht="21.6" x14ac:dyDescent="0.65">
      <c r="A198" s="195"/>
      <c r="B198" s="140">
        <v>195</v>
      </c>
      <c r="C198" s="2"/>
      <c r="D198" s="1"/>
      <c r="E198" s="3"/>
      <c r="F198" s="1"/>
      <c r="G198" s="141">
        <f>IF(Basic345678910111213141516171819202122232425[[#This Row],[نوع الخدمة]]="مخالفات", 50,
IF(Basic345678910111213141516171819202122232425[[#This Row],[نوع الخدمة]]="كاش ان",
    IF(F198&lt;=100, 18, IF(F198&lt;=250, 23, IF(F198&lt;=500, 35, IF(F198&lt;=1000, 40, F198*0.04)))),
IF(Basic345678910111213141516171819202122232425[[#This Row],[نوع الخدمة]]="كاش اوت",
    IF(F198&lt;=100, 15, IF(F198&lt;=250, 20, IF(F198&lt;=500, 30, IF(F198&lt;=1000, 35, F198*0.035)))),
0)))</f>
        <v>0</v>
      </c>
      <c r="H198" s="159">
        <f>IF(I198="مخالفات",50,Basic345678910111213141516171819202122232425[[#This Row],[قيمة الرسوم / العموله]]+Basic345678910111213141516171819202122232425[[#This Row],[قيمة الشحنه]])</f>
        <v>0</v>
      </c>
      <c r="I198" s="90"/>
      <c r="J198" s="142" t="str">
        <f t="shared" si="3"/>
        <v>8.5.2026</v>
      </c>
      <c r="L198" s="153">
        <v>187</v>
      </c>
      <c r="M198" s="92"/>
    </row>
    <row r="199" spans="1:13" ht="21.6" x14ac:dyDescent="0.65">
      <c r="A199" s="195"/>
      <c r="B199" s="140">
        <v>196</v>
      </c>
      <c r="C199" s="2"/>
      <c r="D199" s="1"/>
      <c r="E199" s="3"/>
      <c r="F199" s="1"/>
      <c r="G199" s="141">
        <f>IF(Basic345678910111213141516171819202122232425[[#This Row],[نوع الخدمة]]="مخالفات", 50,
IF(Basic345678910111213141516171819202122232425[[#This Row],[نوع الخدمة]]="كاش ان",
    IF(F199&lt;=100, 18, IF(F199&lt;=250, 23, IF(F199&lt;=500, 35, IF(F199&lt;=1000, 40, F199*0.04)))),
IF(Basic345678910111213141516171819202122232425[[#This Row],[نوع الخدمة]]="كاش اوت",
    IF(F199&lt;=100, 15, IF(F199&lt;=250, 20, IF(F199&lt;=500, 30, IF(F199&lt;=1000, 35, F199*0.035)))),
0)))</f>
        <v>0</v>
      </c>
      <c r="H199" s="159">
        <f>IF(I199="مخالفات",50,Basic345678910111213141516171819202122232425[[#This Row],[قيمة الرسوم / العموله]]+Basic345678910111213141516171819202122232425[[#This Row],[قيمة الشحنه]])</f>
        <v>0</v>
      </c>
      <c r="I199" s="90"/>
      <c r="J199" s="142" t="str">
        <f t="shared" si="3"/>
        <v>8.5.2026</v>
      </c>
      <c r="L199" s="153">
        <v>188</v>
      </c>
      <c r="M199" s="92"/>
    </row>
    <row r="200" spans="1:13" ht="21.6" x14ac:dyDescent="0.65">
      <c r="A200" s="195"/>
      <c r="B200" s="140">
        <v>197</v>
      </c>
      <c r="C200" s="2"/>
      <c r="D200" s="1"/>
      <c r="E200" s="3"/>
      <c r="F200" s="1"/>
      <c r="G200" s="141">
        <f>IF(Basic345678910111213141516171819202122232425[[#This Row],[نوع الخدمة]]="مخالفات", 50,
IF(Basic345678910111213141516171819202122232425[[#This Row],[نوع الخدمة]]="كاش ان",
    IF(F200&lt;=100, 18, IF(F200&lt;=250, 23, IF(F200&lt;=500, 35, IF(F200&lt;=1000, 40, F200*0.04)))),
IF(Basic345678910111213141516171819202122232425[[#This Row],[نوع الخدمة]]="كاش اوت",
    IF(F200&lt;=100, 15, IF(F200&lt;=250, 20, IF(F200&lt;=500, 30, IF(F200&lt;=1000, 35, F200*0.035)))),
0)))</f>
        <v>0</v>
      </c>
      <c r="H200" s="159">
        <f>IF(I200="مخالفات",50,Basic345678910111213141516171819202122232425[[#This Row],[قيمة الرسوم / العموله]]+Basic345678910111213141516171819202122232425[[#This Row],[قيمة الشحنه]])</f>
        <v>0</v>
      </c>
      <c r="I200" s="90"/>
      <c r="J200" s="142" t="str">
        <f t="shared" si="3"/>
        <v>8.5.2026</v>
      </c>
      <c r="L200" s="153">
        <v>189</v>
      </c>
      <c r="M200" s="92"/>
    </row>
    <row r="201" spans="1:13" ht="21.6" x14ac:dyDescent="0.65">
      <c r="A201" s="195"/>
      <c r="B201" s="144">
        <v>198</v>
      </c>
      <c r="C201" s="2"/>
      <c r="D201" s="1"/>
      <c r="E201" s="3"/>
      <c r="F201" s="1"/>
      <c r="G201" s="141">
        <f>IF(Basic345678910111213141516171819202122232425[[#This Row],[نوع الخدمة]]="مخالفات", 50,
IF(Basic345678910111213141516171819202122232425[[#This Row],[نوع الخدمة]]="كاش ان",
    IF(F201&lt;=100, 18, IF(F201&lt;=250, 23, IF(F201&lt;=500, 35, IF(F201&lt;=1000, 40, F201*0.04)))),
IF(Basic345678910111213141516171819202122232425[[#This Row],[نوع الخدمة]]="كاش اوت",
    IF(F201&lt;=100, 15, IF(F201&lt;=250, 20, IF(F201&lt;=500, 30, IF(F201&lt;=1000, 35, F201*0.035)))),
0)))</f>
        <v>0</v>
      </c>
      <c r="H201" s="159">
        <f>IF(I201="مخالفات",50,Basic345678910111213141516171819202122232425[[#This Row],[قيمة الرسوم / العموله]]+Basic345678910111213141516171819202122232425[[#This Row],[قيمة الشحنه]])</f>
        <v>0</v>
      </c>
      <c r="I201" s="90"/>
      <c r="J201" s="142" t="str">
        <f t="shared" si="3"/>
        <v>8.5.2026</v>
      </c>
      <c r="L201" s="153">
        <v>190</v>
      </c>
      <c r="M201" s="92"/>
    </row>
    <row r="202" spans="1:13" ht="21.6" x14ac:dyDescent="0.65">
      <c r="A202" s="195"/>
      <c r="B202" s="140">
        <v>199</v>
      </c>
      <c r="C202" s="2"/>
      <c r="D202" s="1"/>
      <c r="E202" s="3"/>
      <c r="F202" s="1"/>
      <c r="G202" s="141">
        <f>IF(Basic345678910111213141516171819202122232425[[#This Row],[نوع الخدمة]]="مخالفات", 50,
IF(Basic345678910111213141516171819202122232425[[#This Row],[نوع الخدمة]]="كاش ان",
    IF(F202&lt;=100, 18, IF(F202&lt;=250, 23, IF(F202&lt;=500, 35, IF(F202&lt;=1000, 40, F202*0.04)))),
IF(Basic345678910111213141516171819202122232425[[#This Row],[نوع الخدمة]]="كاش اوت",
    IF(F202&lt;=100, 15, IF(F202&lt;=250, 20, IF(F202&lt;=500, 30, IF(F202&lt;=1000, 35, F202*0.035)))),
0)))</f>
        <v>0</v>
      </c>
      <c r="H202" s="159">
        <f>IF(I202="مخالفات",50,Basic345678910111213141516171819202122232425[[#This Row],[قيمة الرسوم / العموله]]+Basic345678910111213141516171819202122232425[[#This Row],[قيمة الشحنه]])</f>
        <v>0</v>
      </c>
      <c r="I202" s="90"/>
      <c r="J202" s="142" t="str">
        <f t="shared" si="3"/>
        <v>8.5.2026</v>
      </c>
      <c r="L202" s="153">
        <v>191</v>
      </c>
      <c r="M202" s="92"/>
    </row>
    <row r="203" spans="1:13" ht="21.6" x14ac:dyDescent="0.65">
      <c r="A203" s="195"/>
      <c r="B203" s="140">
        <v>200</v>
      </c>
      <c r="C203" s="2"/>
      <c r="D203" s="1"/>
      <c r="E203" s="3"/>
      <c r="F203" s="1"/>
      <c r="G203" s="141">
        <f>IF(Basic345678910111213141516171819202122232425[[#This Row],[نوع الخدمة]]="مخالفات", 50,
IF(Basic345678910111213141516171819202122232425[[#This Row],[نوع الخدمة]]="كاش ان",
    IF(F203&lt;=100, 18, IF(F203&lt;=250, 23, IF(F203&lt;=500, 35, IF(F203&lt;=1000, 40, F203*0.04)))),
IF(Basic345678910111213141516171819202122232425[[#This Row],[نوع الخدمة]]="كاش اوت",
    IF(F203&lt;=100, 15, IF(F203&lt;=250, 20, IF(F203&lt;=500, 30, IF(F203&lt;=1000, 35, F203*0.035)))),
0)))</f>
        <v>0</v>
      </c>
      <c r="H203" s="159">
        <f>IF(I203="مخالفات",50,Basic345678910111213141516171819202122232425[[#This Row],[قيمة الرسوم / العموله]]+Basic345678910111213141516171819202122232425[[#This Row],[قيمة الشحنه]])</f>
        <v>0</v>
      </c>
      <c r="I203" s="90"/>
      <c r="J203" s="142" t="str">
        <f t="shared" si="3"/>
        <v>8.5.2026</v>
      </c>
      <c r="L203" s="153">
        <v>192</v>
      </c>
      <c r="M203" s="92"/>
    </row>
    <row r="204" spans="1:13" ht="21.6" x14ac:dyDescent="0.65">
      <c r="A204" s="195"/>
      <c r="B204" s="140">
        <v>201</v>
      </c>
      <c r="C204" s="2"/>
      <c r="D204" s="1"/>
      <c r="E204" s="3"/>
      <c r="F204" s="1"/>
      <c r="G204" s="141">
        <f>IF(Basic345678910111213141516171819202122232425[[#This Row],[نوع الخدمة]]="مخالفات", 50,
IF(Basic345678910111213141516171819202122232425[[#This Row],[نوع الخدمة]]="كاش ان",
    IF(F204&lt;=100, 18, IF(F204&lt;=250, 23, IF(F204&lt;=500, 35, IF(F204&lt;=1000, 40, F204*0.04)))),
IF(Basic345678910111213141516171819202122232425[[#This Row],[نوع الخدمة]]="كاش اوت",
    IF(F204&lt;=100, 15, IF(F204&lt;=250, 20, IF(F204&lt;=500, 30, IF(F204&lt;=1000, 35, F204*0.035)))),
0)))</f>
        <v>0</v>
      </c>
      <c r="H204" s="159">
        <f>IF(I204="مخالفات",50,Basic345678910111213141516171819202122232425[[#This Row],[قيمة الرسوم / العموله]]+Basic345678910111213141516171819202122232425[[#This Row],[قيمة الشحنه]])</f>
        <v>0</v>
      </c>
      <c r="I204" s="90"/>
      <c r="J204" s="142" t="str">
        <f t="shared" si="3"/>
        <v>8.5.2026</v>
      </c>
      <c r="L204" s="153">
        <v>193</v>
      </c>
      <c r="M204" s="92"/>
    </row>
    <row r="205" spans="1:13" ht="21.6" x14ac:dyDescent="0.65">
      <c r="A205" s="195"/>
      <c r="B205" s="144">
        <v>202</v>
      </c>
      <c r="C205" s="2"/>
      <c r="D205" s="1"/>
      <c r="E205" s="3"/>
      <c r="F205" s="1"/>
      <c r="G205" s="141">
        <f>IF(Basic345678910111213141516171819202122232425[[#This Row],[نوع الخدمة]]="مخالفات", 50,
IF(Basic345678910111213141516171819202122232425[[#This Row],[نوع الخدمة]]="كاش ان",
    IF(F205&lt;=100, 18, IF(F205&lt;=250, 23, IF(F205&lt;=500, 35, IF(F205&lt;=1000, 40, F205*0.04)))),
IF(Basic345678910111213141516171819202122232425[[#This Row],[نوع الخدمة]]="كاش اوت",
    IF(F205&lt;=100, 15, IF(F205&lt;=250, 20, IF(F205&lt;=500, 30, IF(F205&lt;=1000, 35, F205*0.035)))),
0)))</f>
        <v>0</v>
      </c>
      <c r="H205" s="159">
        <f>IF(I205="مخالفات",50,Basic345678910111213141516171819202122232425[[#This Row],[قيمة الرسوم / العموله]]+Basic345678910111213141516171819202122232425[[#This Row],[قيمة الشحنه]])</f>
        <v>0</v>
      </c>
      <c r="I205" s="90"/>
      <c r="J205" s="142" t="str">
        <f t="shared" si="3"/>
        <v>8.5.2026</v>
      </c>
      <c r="L205" s="153">
        <v>194</v>
      </c>
      <c r="M205" s="92"/>
    </row>
    <row r="206" spans="1:13" ht="21.6" x14ac:dyDescent="0.65">
      <c r="A206" s="195"/>
      <c r="B206" s="140">
        <v>203</v>
      </c>
      <c r="C206" s="2"/>
      <c r="D206" s="1"/>
      <c r="E206" s="3"/>
      <c r="F206" s="1"/>
      <c r="G206" s="141">
        <f>IF(Basic345678910111213141516171819202122232425[[#This Row],[نوع الخدمة]]="مخالفات", 50,
IF(Basic345678910111213141516171819202122232425[[#This Row],[نوع الخدمة]]="كاش ان",
    IF(F206&lt;=100, 18, IF(F206&lt;=250, 23, IF(F206&lt;=500, 35, IF(F206&lt;=1000, 40, F206*0.04)))),
IF(Basic345678910111213141516171819202122232425[[#This Row],[نوع الخدمة]]="كاش اوت",
    IF(F206&lt;=100, 15, IF(F206&lt;=250, 20, IF(F206&lt;=500, 30, IF(F206&lt;=1000, 35, F206*0.035)))),
0)))</f>
        <v>0</v>
      </c>
      <c r="H206" s="159">
        <f>IF(I206="مخالفات",50,Basic345678910111213141516171819202122232425[[#This Row],[قيمة الرسوم / العموله]]+Basic345678910111213141516171819202122232425[[#This Row],[قيمة الشحنه]])</f>
        <v>0</v>
      </c>
      <c r="I206" s="90"/>
      <c r="J206" s="142" t="str">
        <f t="shared" si="3"/>
        <v>8.5.2026</v>
      </c>
      <c r="L206" s="153">
        <v>195</v>
      </c>
      <c r="M206" s="92"/>
    </row>
    <row r="207" spans="1:13" ht="21.6" x14ac:dyDescent="0.65">
      <c r="A207" s="195"/>
      <c r="B207" s="140">
        <v>204</v>
      </c>
      <c r="C207" s="2"/>
      <c r="D207" s="1"/>
      <c r="E207" s="3"/>
      <c r="F207" s="1"/>
      <c r="G207" s="141">
        <f>IF(Basic345678910111213141516171819202122232425[[#This Row],[نوع الخدمة]]="مخالفات", 50,
IF(Basic345678910111213141516171819202122232425[[#This Row],[نوع الخدمة]]="كاش ان",
    IF(F207&lt;=100, 18, IF(F207&lt;=250, 23, IF(F207&lt;=500, 35, IF(F207&lt;=1000, 40, F207*0.04)))),
IF(Basic345678910111213141516171819202122232425[[#This Row],[نوع الخدمة]]="كاش اوت",
    IF(F207&lt;=100, 15, IF(F207&lt;=250, 20, IF(F207&lt;=500, 30, IF(F207&lt;=1000, 35, F207*0.035)))),
0)))</f>
        <v>0</v>
      </c>
      <c r="H207" s="159">
        <f>IF(I207="مخالفات",50,Basic345678910111213141516171819202122232425[[#This Row],[قيمة الرسوم / العموله]]+Basic345678910111213141516171819202122232425[[#This Row],[قيمة الشحنه]])</f>
        <v>0</v>
      </c>
      <c r="I207" s="90"/>
      <c r="J207" s="142" t="str">
        <f t="shared" si="3"/>
        <v>8.5.2026</v>
      </c>
      <c r="L207" s="153">
        <v>196</v>
      </c>
      <c r="M207" s="92"/>
    </row>
    <row r="208" spans="1:13" ht="21.6" x14ac:dyDescent="0.65">
      <c r="A208" s="195"/>
      <c r="B208" s="140">
        <v>205</v>
      </c>
      <c r="C208" s="2"/>
      <c r="D208" s="1"/>
      <c r="E208" s="3"/>
      <c r="F208" s="1"/>
      <c r="G208" s="141">
        <f>IF(Basic345678910111213141516171819202122232425[[#This Row],[نوع الخدمة]]="مخالفات", 50,
IF(Basic345678910111213141516171819202122232425[[#This Row],[نوع الخدمة]]="كاش ان",
    IF(F208&lt;=100, 18, IF(F208&lt;=250, 23, IF(F208&lt;=500, 35, IF(F208&lt;=1000, 40, F208*0.04)))),
IF(Basic345678910111213141516171819202122232425[[#This Row],[نوع الخدمة]]="كاش اوت",
    IF(F208&lt;=100, 15, IF(F208&lt;=250, 20, IF(F208&lt;=500, 30, IF(F208&lt;=1000, 35, F208*0.035)))),
0)))</f>
        <v>0</v>
      </c>
      <c r="H208" s="159">
        <f>IF(I208="مخالفات",50,Basic345678910111213141516171819202122232425[[#This Row],[قيمة الرسوم / العموله]]+Basic345678910111213141516171819202122232425[[#This Row],[قيمة الشحنه]])</f>
        <v>0</v>
      </c>
      <c r="I208" s="90"/>
      <c r="J208" s="142" t="str">
        <f t="shared" si="3"/>
        <v>8.5.2026</v>
      </c>
      <c r="L208" s="153">
        <v>197</v>
      </c>
      <c r="M208" s="92"/>
    </row>
    <row r="209" spans="1:13" ht="21.6" x14ac:dyDescent="0.65">
      <c r="A209" s="195"/>
      <c r="B209" s="144">
        <v>206</v>
      </c>
      <c r="C209" s="2"/>
      <c r="D209" s="1"/>
      <c r="E209" s="3"/>
      <c r="F209" s="1"/>
      <c r="G209" s="141">
        <f>IF(Basic345678910111213141516171819202122232425[[#This Row],[نوع الخدمة]]="مخالفات", 50,
IF(Basic345678910111213141516171819202122232425[[#This Row],[نوع الخدمة]]="كاش ان",
    IF(F209&lt;=100, 18, IF(F209&lt;=250, 23, IF(F209&lt;=500, 35, IF(F209&lt;=1000, 40, F209*0.04)))),
IF(Basic345678910111213141516171819202122232425[[#This Row],[نوع الخدمة]]="كاش اوت",
    IF(F209&lt;=100, 15, IF(F209&lt;=250, 20, IF(F209&lt;=500, 30, IF(F209&lt;=1000, 35, F209*0.035)))),
0)))</f>
        <v>0</v>
      </c>
      <c r="H209" s="159">
        <f>IF(I209="مخالفات",50,Basic345678910111213141516171819202122232425[[#This Row],[قيمة الرسوم / العموله]]+Basic345678910111213141516171819202122232425[[#This Row],[قيمة الشحنه]])</f>
        <v>0</v>
      </c>
      <c r="I209" s="90"/>
      <c r="J209" s="142" t="str">
        <f t="shared" si="3"/>
        <v>8.5.2026</v>
      </c>
      <c r="L209" s="153">
        <v>198</v>
      </c>
      <c r="M209" s="92"/>
    </row>
    <row r="210" spans="1:13" ht="21.6" x14ac:dyDescent="0.65">
      <c r="A210" s="195"/>
      <c r="B210" s="140">
        <v>207</v>
      </c>
      <c r="C210" s="2"/>
      <c r="D210" s="1"/>
      <c r="E210" s="3"/>
      <c r="F210" s="1"/>
      <c r="G210" s="141">
        <f>IF(Basic345678910111213141516171819202122232425[[#This Row],[نوع الخدمة]]="مخالفات", 50,
IF(Basic345678910111213141516171819202122232425[[#This Row],[نوع الخدمة]]="كاش ان",
    IF(F210&lt;=100, 18, IF(F210&lt;=250, 23, IF(F210&lt;=500, 35, IF(F210&lt;=1000, 40, F210*0.04)))),
IF(Basic345678910111213141516171819202122232425[[#This Row],[نوع الخدمة]]="كاش اوت",
    IF(F210&lt;=100, 15, IF(F210&lt;=250, 20, IF(F210&lt;=500, 30, IF(F210&lt;=1000, 35, F210*0.035)))),
0)))</f>
        <v>0</v>
      </c>
      <c r="H210" s="159">
        <f>IF(I210="مخالفات",50,Basic345678910111213141516171819202122232425[[#This Row],[قيمة الرسوم / العموله]]+Basic345678910111213141516171819202122232425[[#This Row],[قيمة الشحنه]])</f>
        <v>0</v>
      </c>
      <c r="I210" s="90"/>
      <c r="J210" s="142" t="str">
        <f t="shared" si="3"/>
        <v>8.5.2026</v>
      </c>
      <c r="L210" s="153">
        <v>199</v>
      </c>
      <c r="M210" s="92"/>
    </row>
    <row r="211" spans="1:13" ht="21.6" x14ac:dyDescent="0.65">
      <c r="A211" s="195"/>
      <c r="B211" s="140">
        <v>208</v>
      </c>
      <c r="C211" s="2"/>
      <c r="D211" s="1"/>
      <c r="E211" s="3"/>
      <c r="F211" s="1"/>
      <c r="G211" s="141">
        <f>IF(Basic345678910111213141516171819202122232425[[#This Row],[نوع الخدمة]]="مخالفات", 50,
IF(Basic345678910111213141516171819202122232425[[#This Row],[نوع الخدمة]]="كاش ان",
    IF(F211&lt;=100, 18, IF(F211&lt;=250, 23, IF(F211&lt;=500, 35, IF(F211&lt;=1000, 40, F211*0.04)))),
IF(Basic345678910111213141516171819202122232425[[#This Row],[نوع الخدمة]]="كاش اوت",
    IF(F211&lt;=100, 15, IF(F211&lt;=250, 20, IF(F211&lt;=500, 30, IF(F211&lt;=1000, 35, F211*0.035)))),
0)))</f>
        <v>0</v>
      </c>
      <c r="H211" s="159">
        <f>IF(I211="مخالفات",50,Basic345678910111213141516171819202122232425[[#This Row],[قيمة الرسوم / العموله]]+Basic345678910111213141516171819202122232425[[#This Row],[قيمة الشحنه]])</f>
        <v>0</v>
      </c>
      <c r="I211" s="90"/>
      <c r="J211" s="142" t="str">
        <f t="shared" si="3"/>
        <v>8.5.2026</v>
      </c>
      <c r="L211" s="153">
        <v>200</v>
      </c>
      <c r="M211" s="92"/>
    </row>
    <row r="212" spans="1:13" ht="21.6" x14ac:dyDescent="0.65">
      <c r="A212" s="195"/>
      <c r="B212" s="140">
        <v>209</v>
      </c>
      <c r="C212" s="2"/>
      <c r="D212" s="1"/>
      <c r="E212" s="3"/>
      <c r="F212" s="1"/>
      <c r="G212" s="141">
        <f>IF(Basic345678910111213141516171819202122232425[[#This Row],[نوع الخدمة]]="مخالفات", 50,
IF(Basic345678910111213141516171819202122232425[[#This Row],[نوع الخدمة]]="كاش ان",
    IF(F212&lt;=100, 18, IF(F212&lt;=250, 23, IF(F212&lt;=500, 35, IF(F212&lt;=1000, 40, F212*0.04)))),
IF(Basic345678910111213141516171819202122232425[[#This Row],[نوع الخدمة]]="كاش اوت",
    IF(F212&lt;=100, 15, IF(F212&lt;=250, 20, IF(F212&lt;=500, 30, IF(F212&lt;=1000, 35, F212*0.035)))),
0)))</f>
        <v>0</v>
      </c>
      <c r="H212" s="159">
        <f>IF(I212="مخالفات",50,Basic345678910111213141516171819202122232425[[#This Row],[قيمة الرسوم / العموله]]+Basic345678910111213141516171819202122232425[[#This Row],[قيمة الشحنه]])</f>
        <v>0</v>
      </c>
      <c r="I212" s="90"/>
      <c r="J212" s="142" t="str">
        <f t="shared" si="3"/>
        <v>8.5.2026</v>
      </c>
      <c r="L212" s="153">
        <v>201</v>
      </c>
      <c r="M212" s="92"/>
    </row>
    <row r="213" spans="1:13" ht="21.6" x14ac:dyDescent="0.65">
      <c r="A213" s="195"/>
      <c r="B213" s="144">
        <v>210</v>
      </c>
      <c r="C213" s="2"/>
      <c r="D213" s="1"/>
      <c r="E213" s="3"/>
      <c r="F213" s="1"/>
      <c r="G213" s="141">
        <f>IF(Basic345678910111213141516171819202122232425[[#This Row],[نوع الخدمة]]="مخالفات", 50,
IF(Basic345678910111213141516171819202122232425[[#This Row],[نوع الخدمة]]="كاش ان",
    IF(F213&lt;=100, 18, IF(F213&lt;=250, 23, IF(F213&lt;=500, 35, IF(F213&lt;=1000, 40, F213*0.04)))),
IF(Basic345678910111213141516171819202122232425[[#This Row],[نوع الخدمة]]="كاش اوت",
    IF(F213&lt;=100, 15, IF(F213&lt;=250, 20, IF(F213&lt;=500, 30, IF(F213&lt;=1000, 35, F213*0.035)))),
0)))</f>
        <v>0</v>
      </c>
      <c r="H213" s="159">
        <f>IF(I213="مخالفات",50,Basic345678910111213141516171819202122232425[[#This Row],[قيمة الرسوم / العموله]]+Basic345678910111213141516171819202122232425[[#This Row],[قيمة الشحنه]])</f>
        <v>0</v>
      </c>
      <c r="I213" s="90"/>
      <c r="J213" s="142" t="str">
        <f t="shared" si="3"/>
        <v>8.5.2026</v>
      </c>
      <c r="L213" s="153">
        <v>202</v>
      </c>
      <c r="M213" s="92"/>
    </row>
    <row r="214" spans="1:13" ht="21.6" x14ac:dyDescent="0.65">
      <c r="A214" s="195"/>
      <c r="B214" s="140">
        <v>211</v>
      </c>
      <c r="C214" s="2"/>
      <c r="D214" s="1"/>
      <c r="E214" s="3"/>
      <c r="F214" s="1"/>
      <c r="G214" s="141">
        <f>IF(Basic345678910111213141516171819202122232425[[#This Row],[نوع الخدمة]]="مخالفات", 50,
IF(Basic345678910111213141516171819202122232425[[#This Row],[نوع الخدمة]]="كاش ان",
    IF(F214&lt;=100, 18, IF(F214&lt;=250, 23, IF(F214&lt;=500, 35, IF(F214&lt;=1000, 40, F214*0.04)))),
IF(Basic345678910111213141516171819202122232425[[#This Row],[نوع الخدمة]]="كاش اوت",
    IF(F214&lt;=100, 15, IF(F214&lt;=250, 20, IF(F214&lt;=500, 30, IF(F214&lt;=1000, 35, F214*0.035)))),
0)))</f>
        <v>0</v>
      </c>
      <c r="H214" s="159">
        <f>IF(I214="مخالفات",50,Basic345678910111213141516171819202122232425[[#This Row],[قيمة الرسوم / العموله]]+Basic345678910111213141516171819202122232425[[#This Row],[قيمة الشحنه]])</f>
        <v>0</v>
      </c>
      <c r="I214" s="90"/>
      <c r="J214" s="142" t="str">
        <f t="shared" si="3"/>
        <v>8.5.2026</v>
      </c>
      <c r="L214" s="153">
        <v>203</v>
      </c>
      <c r="M214" s="92"/>
    </row>
    <row r="215" spans="1:13" ht="21.6" x14ac:dyDescent="0.65">
      <c r="A215" s="195"/>
      <c r="B215" s="140">
        <v>212</v>
      </c>
      <c r="C215" s="2"/>
      <c r="D215" s="1"/>
      <c r="E215" s="3"/>
      <c r="F215" s="1"/>
      <c r="G215" s="141">
        <f>IF(Basic345678910111213141516171819202122232425[[#This Row],[نوع الخدمة]]="مخالفات", 50,
IF(Basic345678910111213141516171819202122232425[[#This Row],[نوع الخدمة]]="كاش ان",
    IF(F215&lt;=100, 18, IF(F215&lt;=250, 23, IF(F215&lt;=500, 35, IF(F215&lt;=1000, 40, F215*0.04)))),
IF(Basic345678910111213141516171819202122232425[[#This Row],[نوع الخدمة]]="كاش اوت",
    IF(F215&lt;=100, 15, IF(F215&lt;=250, 20, IF(F215&lt;=500, 30, IF(F215&lt;=1000, 35, F215*0.035)))),
0)))</f>
        <v>0</v>
      </c>
      <c r="H215" s="159">
        <f>IF(I215="مخالفات",50,Basic345678910111213141516171819202122232425[[#This Row],[قيمة الرسوم / العموله]]+Basic345678910111213141516171819202122232425[[#This Row],[قيمة الشحنه]])</f>
        <v>0</v>
      </c>
      <c r="I215" s="90"/>
      <c r="J215" s="142" t="str">
        <f t="shared" si="3"/>
        <v>8.5.2026</v>
      </c>
      <c r="L215" s="153">
        <v>204</v>
      </c>
      <c r="M215" s="92"/>
    </row>
    <row r="216" spans="1:13" ht="21.6" x14ac:dyDescent="0.65">
      <c r="A216" s="195"/>
      <c r="B216" s="140">
        <v>213</v>
      </c>
      <c r="C216" s="2"/>
      <c r="D216" s="1"/>
      <c r="E216" s="3"/>
      <c r="F216" s="1"/>
      <c r="G216" s="141">
        <f>IF(Basic345678910111213141516171819202122232425[[#This Row],[نوع الخدمة]]="مخالفات", 50,
IF(Basic345678910111213141516171819202122232425[[#This Row],[نوع الخدمة]]="كاش ان",
    IF(F216&lt;=100, 18, IF(F216&lt;=250, 23, IF(F216&lt;=500, 35, IF(F216&lt;=1000, 40, F216*0.04)))),
IF(Basic345678910111213141516171819202122232425[[#This Row],[نوع الخدمة]]="كاش اوت",
    IF(F216&lt;=100, 15, IF(F216&lt;=250, 20, IF(F216&lt;=500, 30, IF(F216&lt;=1000, 35, F216*0.035)))),
0)))</f>
        <v>0</v>
      </c>
      <c r="H216" s="159">
        <f>IF(I216="مخالفات",50,Basic345678910111213141516171819202122232425[[#This Row],[قيمة الرسوم / العموله]]+Basic345678910111213141516171819202122232425[[#This Row],[قيمة الشحنه]])</f>
        <v>0</v>
      </c>
      <c r="I216" s="90"/>
      <c r="J216" s="142" t="str">
        <f t="shared" si="3"/>
        <v>8.5.2026</v>
      </c>
      <c r="L216" s="153">
        <v>205</v>
      </c>
      <c r="M216" s="92"/>
    </row>
    <row r="217" spans="1:13" ht="21.6" x14ac:dyDescent="0.65">
      <c r="A217" s="195"/>
      <c r="B217" s="144">
        <v>214</v>
      </c>
      <c r="C217" s="2"/>
      <c r="D217" s="1"/>
      <c r="E217" s="3"/>
      <c r="F217" s="1"/>
      <c r="G217" s="141">
        <f>IF(Basic345678910111213141516171819202122232425[[#This Row],[نوع الخدمة]]="مخالفات", 50,
IF(Basic345678910111213141516171819202122232425[[#This Row],[نوع الخدمة]]="كاش ان",
    IF(F217&lt;=100, 18, IF(F217&lt;=250, 23, IF(F217&lt;=500, 35, IF(F217&lt;=1000, 40, F217*0.04)))),
IF(Basic345678910111213141516171819202122232425[[#This Row],[نوع الخدمة]]="كاش اوت",
    IF(F217&lt;=100, 15, IF(F217&lt;=250, 20, IF(F217&lt;=500, 30, IF(F217&lt;=1000, 35, F217*0.035)))),
0)))</f>
        <v>0</v>
      </c>
      <c r="H217" s="159">
        <f>IF(I217="مخالفات",50,Basic345678910111213141516171819202122232425[[#This Row],[قيمة الرسوم / العموله]]+Basic345678910111213141516171819202122232425[[#This Row],[قيمة الشحنه]])</f>
        <v>0</v>
      </c>
      <c r="I217" s="90"/>
      <c r="J217" s="142" t="str">
        <f t="shared" si="3"/>
        <v>8.5.2026</v>
      </c>
      <c r="L217" s="153">
        <v>206</v>
      </c>
      <c r="M217" s="92"/>
    </row>
    <row r="218" spans="1:13" ht="21.6" x14ac:dyDescent="0.65">
      <c r="A218" s="195"/>
      <c r="B218" s="140">
        <v>215</v>
      </c>
      <c r="C218" s="2"/>
      <c r="D218" s="1"/>
      <c r="E218" s="3"/>
      <c r="F218" s="1"/>
      <c r="G218" s="141">
        <f>IF(Basic345678910111213141516171819202122232425[[#This Row],[نوع الخدمة]]="مخالفات", 50,
IF(Basic345678910111213141516171819202122232425[[#This Row],[نوع الخدمة]]="كاش ان",
    IF(F218&lt;=100, 18, IF(F218&lt;=250, 23, IF(F218&lt;=500, 35, IF(F218&lt;=1000, 40, F218*0.04)))),
IF(Basic345678910111213141516171819202122232425[[#This Row],[نوع الخدمة]]="كاش اوت",
    IF(F218&lt;=100, 15, IF(F218&lt;=250, 20, IF(F218&lt;=500, 30, IF(F218&lt;=1000, 35, F218*0.035)))),
0)))</f>
        <v>0</v>
      </c>
      <c r="H218" s="159">
        <f>IF(I218="مخالفات",50,Basic345678910111213141516171819202122232425[[#This Row],[قيمة الرسوم / العموله]]+Basic345678910111213141516171819202122232425[[#This Row],[قيمة الشحنه]])</f>
        <v>0</v>
      </c>
      <c r="I218" s="90"/>
      <c r="J218" s="142" t="str">
        <f t="shared" si="3"/>
        <v>8.5.2026</v>
      </c>
      <c r="L218" s="153">
        <v>207</v>
      </c>
      <c r="M218" s="92"/>
    </row>
    <row r="219" spans="1:13" ht="21.6" x14ac:dyDescent="0.65">
      <c r="A219" s="195"/>
      <c r="B219" s="140">
        <v>216</v>
      </c>
      <c r="C219" s="2"/>
      <c r="D219" s="1"/>
      <c r="E219" s="3"/>
      <c r="F219" s="1"/>
      <c r="G219" s="141">
        <f>IF(Basic345678910111213141516171819202122232425[[#This Row],[نوع الخدمة]]="مخالفات", 50,
IF(Basic345678910111213141516171819202122232425[[#This Row],[نوع الخدمة]]="كاش ان",
    IF(F219&lt;=100, 18, IF(F219&lt;=250, 23, IF(F219&lt;=500, 35, IF(F219&lt;=1000, 40, F219*0.04)))),
IF(Basic345678910111213141516171819202122232425[[#This Row],[نوع الخدمة]]="كاش اوت",
    IF(F219&lt;=100, 15, IF(F219&lt;=250, 20, IF(F219&lt;=500, 30, IF(F219&lt;=1000, 35, F219*0.035)))),
0)))</f>
        <v>0</v>
      </c>
      <c r="H219" s="159">
        <f>IF(I219="مخالفات",50,Basic345678910111213141516171819202122232425[[#This Row],[قيمة الرسوم / العموله]]+Basic345678910111213141516171819202122232425[[#This Row],[قيمة الشحنه]])</f>
        <v>0</v>
      </c>
      <c r="I219" s="90"/>
      <c r="J219" s="142" t="str">
        <f t="shared" si="3"/>
        <v>8.5.2026</v>
      </c>
      <c r="L219" s="153">
        <v>208</v>
      </c>
      <c r="M219" s="92"/>
    </row>
    <row r="220" spans="1:13" ht="21.6" x14ac:dyDescent="0.65">
      <c r="A220" s="195"/>
      <c r="B220" s="140">
        <v>217</v>
      </c>
      <c r="C220" s="2"/>
      <c r="D220" s="1"/>
      <c r="E220" s="3"/>
      <c r="F220" s="1"/>
      <c r="G220" s="141">
        <f>IF(Basic345678910111213141516171819202122232425[[#This Row],[نوع الخدمة]]="مخالفات", 50,
IF(Basic345678910111213141516171819202122232425[[#This Row],[نوع الخدمة]]="كاش ان",
    IF(F220&lt;=100, 18, IF(F220&lt;=250, 23, IF(F220&lt;=500, 35, IF(F220&lt;=1000, 40, F220*0.04)))),
IF(Basic345678910111213141516171819202122232425[[#This Row],[نوع الخدمة]]="كاش اوت",
    IF(F220&lt;=100, 15, IF(F220&lt;=250, 20, IF(F220&lt;=500, 30, IF(F220&lt;=1000, 35, F220*0.035)))),
0)))</f>
        <v>0</v>
      </c>
      <c r="H220" s="159">
        <f>IF(I220="مخالفات",50,Basic345678910111213141516171819202122232425[[#This Row],[قيمة الرسوم / العموله]]+Basic345678910111213141516171819202122232425[[#This Row],[قيمة الشحنه]])</f>
        <v>0</v>
      </c>
      <c r="I220" s="90"/>
      <c r="J220" s="142" t="str">
        <f t="shared" si="3"/>
        <v>8.5.2026</v>
      </c>
      <c r="L220" s="153">
        <v>209</v>
      </c>
      <c r="M220" s="92"/>
    </row>
    <row r="221" spans="1:13" ht="21.6" x14ac:dyDescent="0.65">
      <c r="A221" s="195"/>
      <c r="B221" s="144">
        <v>218</v>
      </c>
      <c r="C221" s="2"/>
      <c r="D221" s="1"/>
      <c r="E221" s="3"/>
      <c r="F221" s="1"/>
      <c r="G221" s="141">
        <f>IF(Basic345678910111213141516171819202122232425[[#This Row],[نوع الخدمة]]="مخالفات", 50,
IF(Basic345678910111213141516171819202122232425[[#This Row],[نوع الخدمة]]="كاش ان",
    IF(F221&lt;=100, 18, IF(F221&lt;=250, 23, IF(F221&lt;=500, 35, IF(F221&lt;=1000, 40, F221*0.04)))),
IF(Basic345678910111213141516171819202122232425[[#This Row],[نوع الخدمة]]="كاش اوت",
    IF(F221&lt;=100, 15, IF(F221&lt;=250, 20, IF(F221&lt;=500, 30, IF(F221&lt;=1000, 35, F221*0.035)))),
0)))</f>
        <v>0</v>
      </c>
      <c r="H221" s="159">
        <f>IF(I221="مخالفات",50,Basic345678910111213141516171819202122232425[[#This Row],[قيمة الرسوم / العموله]]+Basic345678910111213141516171819202122232425[[#This Row],[قيمة الشحنه]])</f>
        <v>0</v>
      </c>
      <c r="I221" s="90"/>
      <c r="J221" s="142" t="str">
        <f t="shared" si="3"/>
        <v>8.5.2026</v>
      </c>
      <c r="L221" s="153">
        <v>210</v>
      </c>
      <c r="M221" s="92"/>
    </row>
    <row r="222" spans="1:13" ht="21.6" x14ac:dyDescent="0.65">
      <c r="A222" s="195"/>
      <c r="B222" s="140">
        <v>219</v>
      </c>
      <c r="C222" s="2"/>
      <c r="D222" s="1"/>
      <c r="E222" s="3"/>
      <c r="F222" s="1"/>
      <c r="G222" s="141">
        <f>IF(Basic345678910111213141516171819202122232425[[#This Row],[نوع الخدمة]]="مخالفات", 50,
IF(Basic345678910111213141516171819202122232425[[#This Row],[نوع الخدمة]]="كاش ان",
    IF(F222&lt;=100, 18, IF(F222&lt;=250, 23, IF(F222&lt;=500, 35, IF(F222&lt;=1000, 40, F222*0.04)))),
IF(Basic345678910111213141516171819202122232425[[#This Row],[نوع الخدمة]]="كاش اوت",
    IF(F222&lt;=100, 15, IF(F222&lt;=250, 20, IF(F222&lt;=500, 30, IF(F222&lt;=1000, 35, F222*0.035)))),
0)))</f>
        <v>0</v>
      </c>
      <c r="H222" s="159">
        <f>IF(I222="مخالفات",50,Basic345678910111213141516171819202122232425[[#This Row],[قيمة الرسوم / العموله]]+Basic345678910111213141516171819202122232425[[#This Row],[قيمة الشحنه]])</f>
        <v>0</v>
      </c>
      <c r="I222" s="90"/>
      <c r="J222" s="142" t="str">
        <f t="shared" si="3"/>
        <v>8.5.2026</v>
      </c>
      <c r="L222" s="153">
        <v>211</v>
      </c>
      <c r="M222" s="92"/>
    </row>
    <row r="223" spans="1:13" ht="21.6" x14ac:dyDescent="0.65">
      <c r="A223" s="195"/>
      <c r="B223" s="140">
        <v>220</v>
      </c>
      <c r="C223" s="2"/>
      <c r="D223" s="1"/>
      <c r="E223" s="3"/>
      <c r="F223" s="1"/>
      <c r="G223" s="141">
        <f>IF(Basic345678910111213141516171819202122232425[[#This Row],[نوع الخدمة]]="مخالفات", 50,
IF(Basic345678910111213141516171819202122232425[[#This Row],[نوع الخدمة]]="كاش ان",
    IF(F223&lt;=100, 18, IF(F223&lt;=250, 23, IF(F223&lt;=500, 35, IF(F223&lt;=1000, 40, F223*0.04)))),
IF(Basic345678910111213141516171819202122232425[[#This Row],[نوع الخدمة]]="كاش اوت",
    IF(F223&lt;=100, 15, IF(F223&lt;=250, 20, IF(F223&lt;=500, 30, IF(F223&lt;=1000, 35, F223*0.035)))),
0)))</f>
        <v>0</v>
      </c>
      <c r="H223" s="159">
        <f>IF(I223="مخالفات",50,Basic345678910111213141516171819202122232425[[#This Row],[قيمة الرسوم / العموله]]+Basic345678910111213141516171819202122232425[[#This Row],[قيمة الشحنه]])</f>
        <v>0</v>
      </c>
      <c r="I223" s="90"/>
      <c r="J223" s="142" t="str">
        <f t="shared" si="3"/>
        <v>8.5.2026</v>
      </c>
      <c r="L223" s="153">
        <v>212</v>
      </c>
      <c r="M223" s="92"/>
    </row>
    <row r="224" spans="1:13" ht="21.6" x14ac:dyDescent="0.65">
      <c r="A224" s="195"/>
      <c r="B224" s="140">
        <v>221</v>
      </c>
      <c r="C224" s="2"/>
      <c r="D224" s="1"/>
      <c r="E224" s="3"/>
      <c r="F224" s="1"/>
      <c r="G224" s="141">
        <f>IF(Basic345678910111213141516171819202122232425[[#This Row],[نوع الخدمة]]="مخالفات", 50,
IF(Basic345678910111213141516171819202122232425[[#This Row],[نوع الخدمة]]="كاش ان",
    IF(F224&lt;=100, 18, IF(F224&lt;=250, 23, IF(F224&lt;=500, 35, IF(F224&lt;=1000, 40, F224*0.04)))),
IF(Basic345678910111213141516171819202122232425[[#This Row],[نوع الخدمة]]="كاش اوت",
    IF(F224&lt;=100, 15, IF(F224&lt;=250, 20, IF(F224&lt;=500, 30, IF(F224&lt;=1000, 35, F224*0.035)))),
0)))</f>
        <v>0</v>
      </c>
      <c r="H224" s="159">
        <f>IF(I224="مخالفات",50,Basic345678910111213141516171819202122232425[[#This Row],[قيمة الرسوم / العموله]]+Basic345678910111213141516171819202122232425[[#This Row],[قيمة الشحنه]])</f>
        <v>0</v>
      </c>
      <c r="I224" s="90"/>
      <c r="J224" s="142" t="str">
        <f t="shared" si="3"/>
        <v>8.5.2026</v>
      </c>
      <c r="L224" s="153">
        <v>213</v>
      </c>
      <c r="M224" s="92"/>
    </row>
    <row r="225" spans="1:13" ht="21.6" x14ac:dyDescent="0.65">
      <c r="A225" s="195"/>
      <c r="B225" s="144">
        <v>222</v>
      </c>
      <c r="C225" s="2"/>
      <c r="D225" s="1"/>
      <c r="E225" s="3"/>
      <c r="F225" s="1"/>
      <c r="G225" s="141">
        <f>IF(Basic345678910111213141516171819202122232425[[#This Row],[نوع الخدمة]]="مخالفات", 50,
IF(Basic345678910111213141516171819202122232425[[#This Row],[نوع الخدمة]]="كاش ان",
    IF(F225&lt;=100, 18, IF(F225&lt;=250, 23, IF(F225&lt;=500, 35, IF(F225&lt;=1000, 40, F225*0.04)))),
IF(Basic345678910111213141516171819202122232425[[#This Row],[نوع الخدمة]]="كاش اوت",
    IF(F225&lt;=100, 15, IF(F225&lt;=250, 20, IF(F225&lt;=500, 30, IF(F225&lt;=1000, 35, F225*0.035)))),
0)))</f>
        <v>0</v>
      </c>
      <c r="H225" s="159">
        <f>IF(I225="مخالفات",50,Basic345678910111213141516171819202122232425[[#This Row],[قيمة الرسوم / العموله]]+Basic345678910111213141516171819202122232425[[#This Row],[قيمة الشحنه]])</f>
        <v>0</v>
      </c>
      <c r="I225" s="90"/>
      <c r="J225" s="142" t="str">
        <f t="shared" si="3"/>
        <v>8.5.2026</v>
      </c>
      <c r="L225" s="153">
        <v>214</v>
      </c>
      <c r="M225" s="92"/>
    </row>
    <row r="226" spans="1:13" ht="21.6" x14ac:dyDescent="0.65">
      <c r="A226" s="195"/>
      <c r="B226" s="140">
        <v>223</v>
      </c>
      <c r="C226" s="4"/>
      <c r="D226" s="5"/>
      <c r="E226" s="6"/>
      <c r="F226" s="5"/>
      <c r="G226" s="141">
        <f>IF(Basic345678910111213141516171819202122232425[[#This Row],[نوع الخدمة]]="مخالفات", 50,
IF(Basic345678910111213141516171819202122232425[[#This Row],[نوع الخدمة]]="كاش ان",
    IF(F226&lt;=100, 18, IF(F226&lt;=250, 23, IF(F226&lt;=500, 35, IF(F226&lt;=1000, 40, F226*0.04)))),
IF(Basic345678910111213141516171819202122232425[[#This Row],[نوع الخدمة]]="كاش اوت",
    IF(F226&lt;=100, 15, IF(F226&lt;=250, 20, IF(F226&lt;=500, 30, IF(F226&lt;=1000, 35, F226*0.035)))),
0)))</f>
        <v>0</v>
      </c>
      <c r="H226" s="160">
        <f>IF(I226="مخالفات",50,Basic345678910111213141516171819202122232425[[#This Row],[قيمة الرسوم / العموله]]+Basic345678910111213141516171819202122232425[[#This Row],[قيمة الشحنه]])</f>
        <v>0</v>
      </c>
      <c r="I226" s="90"/>
      <c r="J226" s="142" t="str">
        <f t="shared" si="3"/>
        <v>8.5.2026</v>
      </c>
      <c r="L226" s="156">
        <v>215</v>
      </c>
      <c r="M226" s="93"/>
    </row>
  </sheetData>
  <sheetProtection algorithmName="SHA-512" hashValue="zv1ZhM5v/H00xYBfWi4FUpqeJe1PLfBR0qwLpdbFxyuu1BvfuJ4xgrulc/YeYzxEY32z0oA8IARUNGXYXprNZw==" saltValue="14Dj7bZ/5VJvgxEQXdevhA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95" priority="16" operator="equal">
      <formula>$BH$10</formula>
    </cfRule>
    <cfRule type="cellIs" dxfId="94" priority="17" operator="equal">
      <formula>$BH$9</formula>
    </cfRule>
    <cfRule type="cellIs" dxfId="93" priority="18" operator="equal">
      <formula>$BH$8</formula>
    </cfRule>
  </conditionalFormatting>
  <conditionalFormatting sqref="P11">
    <cfRule type="cellIs" dxfId="92" priority="1" operator="lessThan">
      <formula>0</formula>
    </cfRule>
  </conditionalFormatting>
  <conditionalFormatting sqref="R10">
    <cfRule type="dataBar" priority="3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{566478FE-E8F4-40C4-B81B-0869B408A08E}</x14:id>
        </ext>
      </extLst>
    </cfRule>
  </conditionalFormatting>
  <conditionalFormatting sqref="T9">
    <cfRule type="dataBar" priority="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{0B3358C6-2A98-4AE3-BA35-121B570DA020}</x14:id>
        </ext>
      </extLst>
    </cfRule>
  </conditionalFormatting>
  <conditionalFormatting sqref="W9">
    <cfRule type="dataBar" priority="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{BA83DD12-6E4A-421F-B9A5-5FF1FC651496}</x14:id>
        </ext>
      </extLst>
    </cfRule>
  </conditionalFormatting>
  <dataValidations count="2">
    <dataValidation type="textLength" operator="equal" allowBlank="1" showInputMessage="1" showErrorMessage="1" errorTitle="يجب إخال رقم IPN صحيح 13 رقم" sqref="C1:C1048576" xr:uid="{00000000-0002-0000-0700-000000000000}">
      <formula1>13</formula1>
    </dataValidation>
    <dataValidation type="list" allowBlank="1" showInputMessage="1" showErrorMessage="1" sqref="I4:I226" xr:uid="{00000000-0002-0000-0700-000001000000}">
      <formula1>$BH$8:$BH$10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66478FE-E8F4-40C4-B81B-0869B408A08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0B3358C6-2A98-4AE3-BA35-121B570DA020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BA83DD12-6E4A-421F-B9A5-5FF1FC651496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H226"/>
  <sheetViews>
    <sheetView showGridLines="0" showRowColHeaders="0" rightToLeft="1" zoomScale="80" zoomScaleNormal="80" workbookViewId="0">
      <selection activeCell="G8" sqref="G8"/>
    </sheetView>
  </sheetViews>
  <sheetFormatPr defaultColWidth="9.109375" defaultRowHeight="14.4" x14ac:dyDescent="0.3"/>
  <cols>
    <col min="1" max="1" width="4.109375" style="124" customWidth="1"/>
    <col min="2" max="2" width="6.5546875" style="125" bestFit="1" customWidth="1"/>
    <col min="3" max="3" width="27" style="126" customWidth="1"/>
    <col min="4" max="4" width="15.6640625" style="124" customWidth="1"/>
    <col min="5" max="5" width="17.5546875" style="157" customWidth="1"/>
    <col min="6" max="6" width="12.88671875" style="124" bestFit="1" customWidth="1"/>
    <col min="7" max="7" width="19" style="124" bestFit="1" customWidth="1"/>
    <col min="8" max="8" width="19" style="124" customWidth="1"/>
    <col min="9" max="9" width="12.44140625" style="128" bestFit="1" customWidth="1"/>
    <col min="10" max="10" width="15.44140625" style="129" customWidth="1"/>
    <col min="11" max="11" width="3.5546875" style="124" customWidth="1"/>
    <col min="12" max="12" width="8.5546875" style="124" bestFit="1" customWidth="1"/>
    <col min="13" max="13" width="23" style="124" customWidth="1"/>
    <col min="14" max="14" width="3.109375" style="124" customWidth="1"/>
    <col min="15" max="15" width="26.5546875" style="124" bestFit="1" customWidth="1"/>
    <col min="16" max="16" width="14.44140625" style="124" customWidth="1"/>
    <col min="17" max="17" width="4" style="124" customWidth="1"/>
    <col min="18" max="19" width="16.88671875" style="128" customWidth="1"/>
    <col min="20" max="20" width="11.5546875" style="128" bestFit="1" customWidth="1"/>
    <col min="21" max="21" width="10.5546875" style="128" bestFit="1" customWidth="1"/>
    <col min="22" max="22" width="10.109375" style="128" bestFit="1" customWidth="1"/>
    <col min="23" max="23" width="9.5546875" style="128" customWidth="1"/>
    <col min="24" max="24" width="12.6640625" style="124" customWidth="1"/>
    <col min="25" max="16384" width="9.109375" style="124"/>
  </cols>
  <sheetData>
    <row r="1" spans="1:60" x14ac:dyDescent="0.3">
      <c r="E1" s="127">
        <f>Total!F5</f>
        <v>69</v>
      </c>
      <c r="F1" s="192" t="str">
        <f>Total!G5</f>
        <v>العبور</v>
      </c>
      <c r="G1" s="192"/>
      <c r="H1" s="192"/>
    </row>
    <row r="3" spans="1:60" ht="15.6" x14ac:dyDescent="0.3">
      <c r="B3" s="130" t="s">
        <v>0</v>
      </c>
      <c r="C3" s="131" t="s">
        <v>1</v>
      </c>
      <c r="D3" s="132" t="s">
        <v>2</v>
      </c>
      <c r="E3" s="133" t="s">
        <v>3</v>
      </c>
      <c r="F3" s="132" t="s">
        <v>4</v>
      </c>
      <c r="G3" s="132" t="s">
        <v>5</v>
      </c>
      <c r="H3" s="158" t="s">
        <v>76</v>
      </c>
      <c r="I3" s="132" t="s">
        <v>6</v>
      </c>
      <c r="J3" s="134" t="s">
        <v>7</v>
      </c>
      <c r="L3" s="135" t="s">
        <v>7</v>
      </c>
      <c r="M3" s="7" t="s">
        <v>94</v>
      </c>
      <c r="O3" s="137" t="s">
        <v>17</v>
      </c>
      <c r="P3" s="138">
        <f>M5+M6</f>
        <v>0</v>
      </c>
      <c r="T3" s="173"/>
      <c r="U3" s="173"/>
      <c r="V3" s="173"/>
      <c r="W3" s="173"/>
      <c r="X3" s="139"/>
    </row>
    <row r="4" spans="1:60" ht="21.6" x14ac:dyDescent="0.65">
      <c r="A4" s="195"/>
      <c r="B4" s="140">
        <v>1</v>
      </c>
      <c r="C4" s="8"/>
      <c r="D4" s="9"/>
      <c r="E4" s="10"/>
      <c r="F4" s="9"/>
      <c r="G4" s="141">
        <f>IF(Basic3456789101112131415161718192021222324[[#This Row],[نوع الخدمة]]="مخالفات", 50,
IF(Basic3456789101112131415161718192021222324[[#This Row],[نوع الخدمة]]="كاش ان",
    IF(F4&lt;=100, 18, IF(F4&lt;=250, 23, IF(F4&lt;=500, 35, IF(F4&lt;=1000, 40, F4*0.04)))),
IF(Basic3456789101112131415161718192021222324[[#This Row],[نوع الخدمة]]="كاش اوت",
    IF(F4&lt;=100, 15, IF(F4&lt;=250, 20, IF(F4&lt;=500, 30, IF(F4&lt;=1000, 35, F4*0.035)))),
0)))</f>
        <v>0</v>
      </c>
      <c r="H4" s="141">
        <f>IF(I4="مخالفات",50,Basic3456789101112131415161718192021222324[[#This Row],[قيمة الرسوم / العموله]]+Basic3456789101112131415161718192021222324[[#This Row],[قيمة الشحنه]])</f>
        <v>0</v>
      </c>
      <c r="I4" s="90"/>
      <c r="J4" s="142" t="str">
        <f t="shared" ref="J4:J67" si="0">M$3</f>
        <v>9.5.2026</v>
      </c>
      <c r="L4" s="135" t="s">
        <v>26</v>
      </c>
      <c r="M4" s="90"/>
      <c r="O4" s="137" t="s">
        <v>18</v>
      </c>
      <c r="P4" s="138">
        <f>M4</f>
        <v>0</v>
      </c>
      <c r="S4" s="143" t="s">
        <v>22</v>
      </c>
      <c r="T4" s="143" t="s">
        <v>23</v>
      </c>
      <c r="U4" s="173"/>
      <c r="V4" s="173"/>
      <c r="W4" s="173"/>
      <c r="X4" s="139"/>
    </row>
    <row r="5" spans="1:60" ht="21.6" x14ac:dyDescent="0.65">
      <c r="A5" s="195"/>
      <c r="B5" s="144">
        <v>2</v>
      </c>
      <c r="C5" s="8"/>
      <c r="D5" s="9"/>
      <c r="E5" s="10"/>
      <c r="F5" s="9"/>
      <c r="G5" s="141">
        <f>IF(Basic3456789101112131415161718192021222324[[#This Row],[نوع الخدمة]]="مخالفات", 50,
IF(Basic3456789101112131415161718192021222324[[#This Row],[نوع الخدمة]]="كاش ان",
    IF(F5&lt;=100, 18, IF(F5&lt;=250, 23, IF(F5&lt;=500, 35, IF(F5&lt;=1000, 40, F5*0.04)))),
IF(Basic3456789101112131415161718192021222324[[#This Row],[نوع الخدمة]]="كاش اوت",
    IF(F5&lt;=100, 15, IF(F5&lt;=250, 20, IF(F5&lt;=500, 30, IF(F5&lt;=1000, 35, F5*0.035)))),
0)))</f>
        <v>0</v>
      </c>
      <c r="H5" s="141">
        <f>IF(I5="مخالفات",50,Basic3456789101112131415161718192021222324[[#This Row],[قيمة الرسوم / العموله]]+Basic3456789101112131415161718192021222324[[#This Row],[قيمة الشحنه]])</f>
        <v>0</v>
      </c>
      <c r="I5" s="90"/>
      <c r="J5" s="142" t="str">
        <f t="shared" si="0"/>
        <v>9.5.2026</v>
      </c>
      <c r="L5" s="135" t="s">
        <v>27</v>
      </c>
      <c r="M5" s="90"/>
      <c r="O5" s="137" t="s">
        <v>19</v>
      </c>
      <c r="P5" s="138">
        <f>SUMIF(Basic3456789101112131415161718192021222324[نوع الخدمة],"كاش ان",Basic3456789101112131415161718192021222324[قيمة الشحنه])</f>
        <v>0</v>
      </c>
      <c r="S5" s="145">
        <f>P5+P9+P12+P7</f>
        <v>0</v>
      </c>
      <c r="T5" s="145">
        <f>P3</f>
        <v>0</v>
      </c>
    </row>
    <row r="6" spans="1:60" ht="21.6" x14ac:dyDescent="0.65">
      <c r="A6" s="195"/>
      <c r="B6" s="140">
        <v>3</v>
      </c>
      <c r="C6" s="8"/>
      <c r="D6" s="9"/>
      <c r="E6" s="10"/>
      <c r="F6" s="9"/>
      <c r="G6" s="141">
        <f>IF(Basic3456789101112131415161718192021222324[[#This Row],[نوع الخدمة]]="مخالفات", 50,
IF(Basic3456789101112131415161718192021222324[[#This Row],[نوع الخدمة]]="كاش ان",
    IF(F6&lt;=100, 18, IF(F6&lt;=250, 23, IF(F6&lt;=500, 35, IF(F6&lt;=1000, 40, F6*0.04)))),
IF(Basic3456789101112131415161718192021222324[[#This Row],[نوع الخدمة]]="كاش اوت",
    IF(F6&lt;=100, 15, IF(F6&lt;=250, 20, IF(F6&lt;=500, 30, IF(F6&lt;=1000, 35, F6*0.035)))),
0)))</f>
        <v>0</v>
      </c>
      <c r="H6" s="141">
        <f>IF(I6="مخالفات",50,Basic3456789101112131415161718192021222324[[#This Row],[قيمة الرسوم / العموله]]+Basic3456789101112131415161718192021222324[[#This Row],[قيمة الشحنه]])</f>
        <v>0</v>
      </c>
      <c r="I6" s="90"/>
      <c r="J6" s="142" t="str">
        <f t="shared" si="0"/>
        <v>9.5.2026</v>
      </c>
      <c r="L6" s="135" t="s">
        <v>28</v>
      </c>
      <c r="M6" s="90"/>
      <c r="O6" s="146" t="s">
        <v>12</v>
      </c>
      <c r="P6" s="138">
        <f>P3*150</f>
        <v>0</v>
      </c>
    </row>
    <row r="7" spans="1:60" ht="21.6" x14ac:dyDescent="0.65">
      <c r="A7" s="195"/>
      <c r="B7" s="140">
        <v>4</v>
      </c>
      <c r="C7" s="8"/>
      <c r="D7" s="9"/>
      <c r="E7" s="10"/>
      <c r="F7" s="9"/>
      <c r="G7" s="141">
        <f>IF(Basic3456789101112131415161718192021222324[[#This Row],[نوع الخدمة]]="مخالفات", 50,
IF(Basic3456789101112131415161718192021222324[[#This Row],[نوع الخدمة]]="كاش ان",
    IF(F7&lt;=100, 18, IF(F7&lt;=250, 23, IF(F7&lt;=500, 35, IF(F7&lt;=1000, 40, F7*0.04)))),
IF(Basic3456789101112131415161718192021222324[[#This Row],[نوع الخدمة]]="كاش اوت",
    IF(F7&lt;=100, 15, IF(F7&lt;=250, 20, IF(F7&lt;=500, 30, IF(F7&lt;=1000, 35, F7*0.035)))),
0)))</f>
        <v>0</v>
      </c>
      <c r="H7" s="141">
        <f>IF(I7="مخالفات",50,Basic3456789101112131415161718192021222324[[#This Row],[قيمة الرسوم / العموله]]+Basic3456789101112131415161718192021222324[[#This Row],[قيمة الشحنه]])</f>
        <v>0</v>
      </c>
      <c r="I7" s="90"/>
      <c r="J7" s="142" t="str">
        <f t="shared" si="0"/>
        <v>9.5.2026</v>
      </c>
      <c r="L7" s="137" t="s">
        <v>11</v>
      </c>
      <c r="M7" s="165"/>
      <c r="O7" s="146" t="s">
        <v>75</v>
      </c>
      <c r="P7" s="138">
        <f>SUMIF(Basic3456789101112131415161718192021222324[نوع الخدمة],"مخالفات",Basic3456789101112131415161718192021222324[الاجمــــــــــالي])</f>
        <v>0</v>
      </c>
      <c r="R7" s="173"/>
      <c r="S7" s="173"/>
    </row>
    <row r="8" spans="1:60" ht="21.6" x14ac:dyDescent="0.65">
      <c r="A8" s="195"/>
      <c r="B8" s="140">
        <v>5</v>
      </c>
      <c r="C8" s="8"/>
      <c r="D8" s="9"/>
      <c r="E8" s="10"/>
      <c r="F8" s="9"/>
      <c r="G8" s="141">
        <f>IF(Basic3456789101112131415161718192021222324[[#This Row],[نوع الخدمة]]="مخالفات", 50,
IF(Basic3456789101112131415161718192021222324[[#This Row],[نوع الخدمة]]="كاش ان",
    IF(F8&lt;=100, 18, IF(F8&lt;=250, 23, IF(F8&lt;=500, 35, IF(F8&lt;=1000, 40, F8*0.04)))),
IF(Basic3456789101112131415161718192021222324[[#This Row],[نوع الخدمة]]="كاش اوت",
    IF(F8&lt;=100, 15, IF(F8&lt;=250, 20, IF(F8&lt;=500, 30, IF(F8&lt;=1000, 35, F8*0.035)))),
0)))</f>
        <v>0</v>
      </c>
      <c r="H8" s="141">
        <f>IF(I8="مخالفات",50,Basic3456789101112131415161718192021222324[[#This Row],[قيمة الرسوم / العموله]]+Basic3456789101112131415161718192021222324[[#This Row],[قيمة الشحنه]])</f>
        <v>0</v>
      </c>
      <c r="I8" s="90"/>
      <c r="J8" s="142" t="str">
        <f t="shared" si="0"/>
        <v>9.5.2026</v>
      </c>
      <c r="L8" s="166" t="s">
        <v>79</v>
      </c>
      <c r="M8" s="167"/>
      <c r="O8" s="137" t="s">
        <v>11</v>
      </c>
      <c r="P8" s="138">
        <f>M7</f>
        <v>0</v>
      </c>
      <c r="R8" s="143" t="s">
        <v>72</v>
      </c>
      <c r="S8" s="143" t="s">
        <v>25</v>
      </c>
      <c r="T8" s="143" t="s">
        <v>24</v>
      </c>
      <c r="U8" s="143" t="s">
        <v>73</v>
      </c>
      <c r="V8" s="143" t="s">
        <v>25</v>
      </c>
      <c r="W8" s="143" t="s">
        <v>24</v>
      </c>
      <c r="BH8" s="148" t="s">
        <v>8</v>
      </c>
    </row>
    <row r="9" spans="1:60" ht="18" customHeight="1" x14ac:dyDescent="0.65">
      <c r="A9" s="195"/>
      <c r="B9" s="144">
        <v>6</v>
      </c>
      <c r="C9" s="8"/>
      <c r="D9" s="9"/>
      <c r="E9" s="10"/>
      <c r="F9" s="9"/>
      <c r="G9" s="141">
        <f>IF(Basic3456789101112131415161718192021222324[[#This Row],[نوع الخدمة]]="مخالفات", 50,
IF(Basic3456789101112131415161718192021222324[[#This Row],[نوع الخدمة]]="كاش ان",
    IF(F9&lt;=100, 18, IF(F9&lt;=250, 23, IF(F9&lt;=500, 35, IF(F9&lt;=1000, 40, F9*0.04)))),
IF(Basic3456789101112131415161718192021222324[[#This Row],[نوع الخدمة]]="كاش اوت",
    IF(F9&lt;=100, 15, IF(F9&lt;=250, 20, IF(F9&lt;=500, 30, IF(F9&lt;=1000, 35, F9*0.035)))),
0)))</f>
        <v>0</v>
      </c>
      <c r="H9" s="141">
        <f>IF(I9="مخالفات",50,Basic3456789101112131415161718192021222324[[#This Row],[قيمة الرسوم / العموله]]+Basic3456789101112131415161718192021222324[[#This Row],[قيمة الشحنه]])</f>
        <v>0</v>
      </c>
      <c r="I9" s="90"/>
      <c r="J9" s="142" t="str">
        <f t="shared" si="0"/>
        <v>9.5.2026</v>
      </c>
      <c r="L9" s="166" t="s">
        <v>80</v>
      </c>
      <c r="M9" s="167"/>
      <c r="O9" s="137" t="s">
        <v>20</v>
      </c>
      <c r="P9" s="138">
        <f>SUMIF(Basic3456789101112131415161718192021222324[نوع الخدمة],"كاش ان",Basic3456789101112131415161718192021222324[قيمة الرسوم / العموله])</f>
        <v>0</v>
      </c>
      <c r="R9" s="149">
        <f>Total!H5/24</f>
        <v>29166.666666666668</v>
      </c>
      <c r="S9" s="149">
        <f>S5</f>
        <v>0</v>
      </c>
      <c r="T9" s="150">
        <f>S9/R9</f>
        <v>0</v>
      </c>
      <c r="U9" s="149">
        <f>Total!K5/24</f>
        <v>2.9166666666666665</v>
      </c>
      <c r="V9" s="149">
        <f>T5</f>
        <v>0</v>
      </c>
      <c r="W9" s="150">
        <f>V9/U9</f>
        <v>0</v>
      </c>
      <c r="BH9" s="148" t="s">
        <v>9</v>
      </c>
    </row>
    <row r="10" spans="1:60" ht="21.6" x14ac:dyDescent="0.65">
      <c r="A10" s="195"/>
      <c r="B10" s="140">
        <v>7</v>
      </c>
      <c r="C10" s="8"/>
      <c r="D10" s="9"/>
      <c r="E10" s="10"/>
      <c r="F10" s="9"/>
      <c r="G10" s="141">
        <f>IF(Basic3456789101112131415161718192021222324[[#This Row],[نوع الخدمة]]="مخالفات", 50,
IF(Basic3456789101112131415161718192021222324[[#This Row],[نوع الخدمة]]="كاش ان",
    IF(F10&lt;=100, 18, IF(F10&lt;=250, 23, IF(F10&lt;=500, 35, IF(F10&lt;=1000, 40, F10*0.04)))),
IF(Basic3456789101112131415161718192021222324[[#This Row],[نوع الخدمة]]="كاش اوت",
    IF(F10&lt;=100, 15, IF(F10&lt;=250, 20, IF(F10&lt;=500, 30, IF(F10&lt;=1000, 35, F10*0.035)))),
0)))</f>
        <v>0</v>
      </c>
      <c r="H10" s="141">
        <f>IF(I10="مخالفات",50,Basic3456789101112131415161718192021222324[[#This Row],[قيمة الرسوم / العموله]]+Basic3456789101112131415161718192021222324[[#This Row],[قيمة الشحنه]])</f>
        <v>0</v>
      </c>
      <c r="I10" s="90"/>
      <c r="J10" s="142" t="str">
        <f t="shared" si="0"/>
        <v>9.5.2026</v>
      </c>
      <c r="O10" s="137" t="s">
        <v>16</v>
      </c>
      <c r="P10" s="138">
        <f>SUMIF(Basic3456789101112131415161718192021222324[نوع الخدمة],"كاش اوت",Basic3456789101112131415161718192021222324[قيمة الشحنه])</f>
        <v>0</v>
      </c>
      <c r="R10" s="191">
        <f>(W9+T9)/2</f>
        <v>0</v>
      </c>
      <c r="S10" s="191"/>
      <c r="T10" s="191"/>
      <c r="U10" s="191"/>
      <c r="V10" s="191"/>
      <c r="W10" s="191"/>
      <c r="BH10" s="148" t="s">
        <v>10</v>
      </c>
    </row>
    <row r="11" spans="1:60" ht="21.6" x14ac:dyDescent="0.65">
      <c r="A11" s="195"/>
      <c r="B11" s="140">
        <v>8</v>
      </c>
      <c r="C11" s="8"/>
      <c r="D11" s="9"/>
      <c r="E11" s="10"/>
      <c r="F11" s="9"/>
      <c r="G11" s="141">
        <f>IF(Basic3456789101112131415161718192021222324[[#This Row],[نوع الخدمة]]="مخالفات", 50,
IF(Basic3456789101112131415161718192021222324[[#This Row],[نوع الخدمة]]="كاش ان",
    IF(F11&lt;=100, 18, IF(F11&lt;=250, 23, IF(F11&lt;=500, 35, IF(F11&lt;=1000, 40, F11*0.04)))),
IF(Basic3456789101112131415161718192021222324[[#This Row],[نوع الخدمة]]="كاش اوت",
    IF(F11&lt;=100, 15, IF(F11&lt;=250, 20, IF(F11&lt;=500, 30, IF(F11&lt;=1000, 35, F11*0.035)))),
0)))</f>
        <v>0</v>
      </c>
      <c r="H11" s="141">
        <f>IF(I11="مخالفات",50,Basic3456789101112131415161718192021222324[[#This Row],[قيمة الرسوم / العموله]]+Basic3456789101112131415161718192021222324[[#This Row],[قيمة الشحنه]])</f>
        <v>0</v>
      </c>
      <c r="I11" s="90"/>
      <c r="J11" s="142" t="str">
        <f t="shared" si="0"/>
        <v>9.5.2026</v>
      </c>
      <c r="L11" s="169" t="s">
        <v>77</v>
      </c>
      <c r="M11" s="168" t="s">
        <v>78</v>
      </c>
      <c r="O11" s="151" t="s">
        <v>21</v>
      </c>
      <c r="P11" s="152">
        <f>(P5+P6+P9+P7+P4)-P10-P8</f>
        <v>0</v>
      </c>
      <c r="T11" s="173"/>
    </row>
    <row r="12" spans="1:60" ht="21.6" x14ac:dyDescent="0.65">
      <c r="A12" s="195"/>
      <c r="B12" s="140">
        <v>9</v>
      </c>
      <c r="C12" s="8"/>
      <c r="D12" s="9"/>
      <c r="E12" s="10"/>
      <c r="F12" s="9"/>
      <c r="G12" s="141">
        <f>IF(Basic3456789101112131415161718192021222324[[#This Row],[نوع الخدمة]]="مخالفات", 50,
IF(Basic3456789101112131415161718192021222324[[#This Row],[نوع الخدمة]]="كاش ان",
    IF(F12&lt;=100, 18, IF(F12&lt;=250, 23, IF(F12&lt;=500, 35, IF(F12&lt;=1000, 40, F12*0.04)))),
IF(Basic3456789101112131415161718192021222324[[#This Row],[نوع الخدمة]]="كاش اوت",
    IF(F12&lt;=100, 15, IF(F12&lt;=250, 20, IF(F12&lt;=500, 30, IF(F12&lt;=1000, 35, F12*0.035)))),
0)))</f>
        <v>0</v>
      </c>
      <c r="H12" s="141">
        <f>IF(I12="مخالفات",50,Basic3456789101112131415161718192021222324[[#This Row],[قيمة الرسوم / العموله]]+Basic3456789101112131415161718192021222324[[#This Row],[قيمة الشحنه]])</f>
        <v>0</v>
      </c>
      <c r="I12" s="90"/>
      <c r="J12" s="142" t="str">
        <f t="shared" si="0"/>
        <v>9.5.2026</v>
      </c>
      <c r="L12" s="153">
        <v>1</v>
      </c>
      <c r="M12" s="91"/>
      <c r="O12" s="146" t="s">
        <v>29</v>
      </c>
      <c r="P12" s="138">
        <f>SUMIF(Basic3456789101112131415161718192021222324[نوع الخدمة],"كاش اوت",Basic3456789101112131415161718192021222324[الاجمــــــــــالي])</f>
        <v>0</v>
      </c>
    </row>
    <row r="13" spans="1:60" ht="21.6" x14ac:dyDescent="0.65">
      <c r="A13" s="195"/>
      <c r="B13" s="144">
        <v>10</v>
      </c>
      <c r="C13" s="8"/>
      <c r="D13" s="9"/>
      <c r="E13" s="10"/>
      <c r="F13" s="9"/>
      <c r="G13" s="141">
        <f>IF(Basic3456789101112131415161718192021222324[[#This Row],[نوع الخدمة]]="مخالفات", 50,
IF(Basic3456789101112131415161718192021222324[[#This Row],[نوع الخدمة]]="كاش ان",
    IF(F13&lt;=100, 18, IF(F13&lt;=250, 23, IF(F13&lt;=500, 35, IF(F13&lt;=1000, 40, F13*0.04)))),
IF(Basic3456789101112131415161718192021222324[[#This Row],[نوع الخدمة]]="كاش اوت",
    IF(F13&lt;=100, 15, IF(F13&lt;=250, 20, IF(F13&lt;=500, 30, IF(F13&lt;=1000, 35, F13*0.035)))),
0)))</f>
        <v>0</v>
      </c>
      <c r="H13" s="141">
        <f>IF(I13="مخالفات",50,Basic3456789101112131415161718192021222324[[#This Row],[قيمة الرسوم / العموله]]+Basic3456789101112131415161718192021222324[[#This Row],[قيمة الشحنه]])</f>
        <v>0</v>
      </c>
      <c r="I13" s="90"/>
      <c r="J13" s="142" t="str">
        <f t="shared" si="0"/>
        <v>9.5.2026</v>
      </c>
      <c r="L13" s="153">
        <v>2</v>
      </c>
      <c r="M13" s="92"/>
    </row>
    <row r="14" spans="1:60" ht="21.6" x14ac:dyDescent="0.65">
      <c r="A14" s="195"/>
      <c r="B14" s="140">
        <v>11</v>
      </c>
      <c r="C14" s="2"/>
      <c r="D14" s="1"/>
      <c r="E14" s="3"/>
      <c r="F14" s="1"/>
      <c r="G14" s="141">
        <f>IF(Basic3456789101112131415161718192021222324[[#This Row],[نوع الخدمة]]="مخالفات", 50,
IF(Basic3456789101112131415161718192021222324[[#This Row],[نوع الخدمة]]="كاش ان",
    IF(F14&lt;=100, 18, IF(F14&lt;=250, 23, IF(F14&lt;=500, 35, IF(F14&lt;=1000, 40, F14*0.04)))),
IF(Basic3456789101112131415161718192021222324[[#This Row],[نوع الخدمة]]="كاش اوت",
    IF(F14&lt;=100, 15, IF(F14&lt;=250, 20, IF(F14&lt;=500, 30, IF(F14&lt;=1000, 35, F14*0.035)))),
0)))</f>
        <v>0</v>
      </c>
      <c r="H14" s="159">
        <f>IF(I14="مخالفات",50,Basic3456789101112131415161718192021222324[[#This Row],[قيمة الرسوم / العموله]]+Basic3456789101112131415161718192021222324[[#This Row],[قيمة الشحنه]])</f>
        <v>0</v>
      </c>
      <c r="I14" s="90"/>
      <c r="J14" s="142" t="str">
        <f t="shared" si="0"/>
        <v>9.5.2026</v>
      </c>
      <c r="L14" s="153">
        <v>3</v>
      </c>
      <c r="M14" s="92"/>
    </row>
    <row r="15" spans="1:60" ht="21.6" x14ac:dyDescent="0.65">
      <c r="A15" s="195"/>
      <c r="B15" s="140">
        <v>12</v>
      </c>
      <c r="C15" s="2"/>
      <c r="D15" s="1"/>
      <c r="E15" s="3"/>
      <c r="F15" s="1"/>
      <c r="G15" s="141">
        <f>IF(Basic3456789101112131415161718192021222324[[#This Row],[نوع الخدمة]]="مخالفات", 50,
IF(Basic3456789101112131415161718192021222324[[#This Row],[نوع الخدمة]]="كاش ان",
    IF(F15&lt;=100, 18, IF(F15&lt;=250, 23, IF(F15&lt;=500, 35, IF(F15&lt;=1000, 40, F15*0.04)))),
IF(Basic3456789101112131415161718192021222324[[#This Row],[نوع الخدمة]]="كاش اوت",
    IF(F15&lt;=100, 15, IF(F15&lt;=250, 20, IF(F15&lt;=500, 30, IF(F15&lt;=1000, 35, F15*0.035)))),
0)))</f>
        <v>0</v>
      </c>
      <c r="H15" s="159">
        <f>IF(I15="مخالفات",50,Basic3456789101112131415161718192021222324[[#This Row],[قيمة الرسوم / العموله]]+Basic3456789101112131415161718192021222324[[#This Row],[قيمة الشحنه]])</f>
        <v>0</v>
      </c>
      <c r="I15" s="90"/>
      <c r="J15" s="142" t="str">
        <f t="shared" si="0"/>
        <v>9.5.2026</v>
      </c>
      <c r="L15" s="153">
        <v>4</v>
      </c>
      <c r="M15" s="92"/>
      <c r="O15" s="154" t="s">
        <v>10</v>
      </c>
      <c r="P15" s="155">
        <f>COUNTIF(Basic3456789101112131415161718192021222324[نوع الخدمة],"مخالفات")</f>
        <v>0</v>
      </c>
    </row>
    <row r="16" spans="1:60" ht="21.6" x14ac:dyDescent="0.65">
      <c r="A16" s="195"/>
      <c r="B16" s="140">
        <v>13</v>
      </c>
      <c r="C16" s="2"/>
      <c r="D16" s="1"/>
      <c r="E16" s="3"/>
      <c r="F16" s="1"/>
      <c r="G16" s="141">
        <f>IF(Basic3456789101112131415161718192021222324[[#This Row],[نوع الخدمة]]="مخالفات", 50,
IF(Basic3456789101112131415161718192021222324[[#This Row],[نوع الخدمة]]="كاش ان",
    IF(F16&lt;=100, 18, IF(F16&lt;=250, 23, IF(F16&lt;=500, 35, IF(F16&lt;=1000, 40, F16*0.04)))),
IF(Basic3456789101112131415161718192021222324[[#This Row],[نوع الخدمة]]="كاش اوت",
    IF(F16&lt;=100, 15, IF(F16&lt;=250, 20, IF(F16&lt;=500, 30, IF(F16&lt;=1000, 35, F16*0.035)))),
0)))</f>
        <v>0</v>
      </c>
      <c r="H16" s="159">
        <f>IF(I16="مخالفات",50,Basic3456789101112131415161718192021222324[[#This Row],[قيمة الرسوم / العموله]]+Basic3456789101112131415161718192021222324[[#This Row],[قيمة الشحنه]])</f>
        <v>0</v>
      </c>
      <c r="I16" s="90"/>
      <c r="J16" s="142" t="str">
        <f t="shared" si="0"/>
        <v>9.5.2026</v>
      </c>
      <c r="L16" s="153">
        <v>5</v>
      </c>
      <c r="M16" s="92"/>
      <c r="O16" s="154" t="s">
        <v>13</v>
      </c>
      <c r="P16" s="155">
        <f>COUNTIF(Basic3456789101112131415161718192021222324[نوع الخدمة],"كاش ان")</f>
        <v>0</v>
      </c>
    </row>
    <row r="17" spans="1:21" ht="21.6" x14ac:dyDescent="0.65">
      <c r="A17" s="195"/>
      <c r="B17" s="144">
        <v>14</v>
      </c>
      <c r="C17" s="2"/>
      <c r="D17" s="1"/>
      <c r="E17" s="3"/>
      <c r="F17" s="1"/>
      <c r="G17" s="141">
        <f>IF(Basic3456789101112131415161718192021222324[[#This Row],[نوع الخدمة]]="مخالفات", 50,
IF(Basic3456789101112131415161718192021222324[[#This Row],[نوع الخدمة]]="كاش ان",
    IF(F17&lt;=100, 18, IF(F17&lt;=250, 23, IF(F17&lt;=500, 35, IF(F17&lt;=1000, 40, F17*0.04)))),
IF(Basic3456789101112131415161718192021222324[[#This Row],[نوع الخدمة]]="كاش اوت",
    IF(F17&lt;=100, 15, IF(F17&lt;=250, 20, IF(F17&lt;=500, 30, IF(F17&lt;=1000, 35, F17*0.035)))),
0)))</f>
        <v>0</v>
      </c>
      <c r="H17" s="159">
        <f>IF(I17="مخالفات",50,Basic3456789101112131415161718192021222324[[#This Row],[قيمة الرسوم / العموله]]+Basic3456789101112131415161718192021222324[[#This Row],[قيمة الشحنه]])</f>
        <v>0</v>
      </c>
      <c r="I17" s="90"/>
      <c r="J17" s="142" t="str">
        <f t="shared" si="0"/>
        <v>9.5.2026</v>
      </c>
      <c r="L17" s="153">
        <v>6</v>
      </c>
      <c r="M17" s="92"/>
      <c r="O17" s="154" t="s">
        <v>14</v>
      </c>
      <c r="P17" s="155">
        <f>COUNTIF(Basic3456789101112131415161718192021222324[نوع الخدمة],"كاش اوت")</f>
        <v>0</v>
      </c>
    </row>
    <row r="18" spans="1:21" ht="21.6" x14ac:dyDescent="0.65">
      <c r="A18" s="195"/>
      <c r="B18" s="140">
        <v>15</v>
      </c>
      <c r="C18" s="2"/>
      <c r="D18" s="1"/>
      <c r="E18" s="3"/>
      <c r="F18" s="1"/>
      <c r="G18" s="141">
        <f>IF(Basic3456789101112131415161718192021222324[[#This Row],[نوع الخدمة]]="مخالفات", 50,
IF(Basic3456789101112131415161718192021222324[[#This Row],[نوع الخدمة]]="كاش ان",
    IF(F18&lt;=100, 18, IF(F18&lt;=250, 23, IF(F18&lt;=500, 35, IF(F18&lt;=1000, 40, F18*0.04)))),
IF(Basic3456789101112131415161718192021222324[[#This Row],[نوع الخدمة]]="كاش اوت",
    IF(F18&lt;=100, 15, IF(F18&lt;=250, 20, IF(F18&lt;=500, 30, IF(F18&lt;=1000, 35, F18*0.035)))),
0)))</f>
        <v>0</v>
      </c>
      <c r="H18" s="159">
        <f>IF(I18="مخالفات",50,Basic3456789101112131415161718192021222324[[#This Row],[قيمة الرسوم / العموله]]+Basic3456789101112131415161718192021222324[[#This Row],[قيمة الشحنه]])</f>
        <v>0</v>
      </c>
      <c r="I18" s="90"/>
      <c r="J18" s="142" t="str">
        <f t="shared" si="0"/>
        <v>9.5.2026</v>
      </c>
      <c r="L18" s="153">
        <v>7</v>
      </c>
      <c r="M18" s="92"/>
      <c r="O18" s="154" t="s">
        <v>15</v>
      </c>
      <c r="P18" s="155">
        <f>P16+P17</f>
        <v>0</v>
      </c>
    </row>
    <row r="19" spans="1:21" ht="21.6" x14ac:dyDescent="0.65">
      <c r="A19" s="195"/>
      <c r="B19" s="140">
        <v>16</v>
      </c>
      <c r="C19" s="2"/>
      <c r="D19" s="1"/>
      <c r="E19" s="3"/>
      <c r="F19" s="1"/>
      <c r="G19" s="141">
        <f>IF(Basic3456789101112131415161718192021222324[[#This Row],[نوع الخدمة]]="مخالفات", 50,
IF(Basic3456789101112131415161718192021222324[[#This Row],[نوع الخدمة]]="كاش ان",
    IF(F19&lt;=100, 18, IF(F19&lt;=250, 23, IF(F19&lt;=500, 35, IF(F19&lt;=1000, 40, F19*0.04)))),
IF(Basic3456789101112131415161718192021222324[[#This Row],[نوع الخدمة]]="كاش اوت",
    IF(F19&lt;=100, 15, IF(F19&lt;=250, 20, IF(F19&lt;=500, 30, IF(F19&lt;=1000, 35, F19*0.035)))),
0)))</f>
        <v>0</v>
      </c>
      <c r="H19" s="159">
        <f>IF(I19="مخالفات",50,Basic3456789101112131415161718192021222324[[#This Row],[قيمة الرسوم / العموله]]+Basic3456789101112131415161718192021222324[[#This Row],[قيمة الشحنه]])</f>
        <v>0</v>
      </c>
      <c r="I19" s="90"/>
      <c r="J19" s="142" t="str">
        <f t="shared" si="0"/>
        <v>9.5.2026</v>
      </c>
      <c r="L19" s="153">
        <v>8</v>
      </c>
      <c r="M19" s="92"/>
    </row>
    <row r="20" spans="1:21" ht="21.6" x14ac:dyDescent="0.65">
      <c r="A20" s="195"/>
      <c r="B20" s="140">
        <v>17</v>
      </c>
      <c r="C20" s="2"/>
      <c r="D20" s="1"/>
      <c r="E20" s="3"/>
      <c r="F20" s="1"/>
      <c r="G20" s="141">
        <f>IF(Basic3456789101112131415161718192021222324[[#This Row],[نوع الخدمة]]="مخالفات", 50,
IF(Basic3456789101112131415161718192021222324[[#This Row],[نوع الخدمة]]="كاش ان",
    IF(F20&lt;=100, 18, IF(F20&lt;=250, 23, IF(F20&lt;=500, 35, IF(F20&lt;=1000, 40, F20*0.04)))),
IF(Basic3456789101112131415161718192021222324[[#This Row],[نوع الخدمة]]="كاش اوت",
    IF(F20&lt;=100, 15, IF(F20&lt;=250, 20, IF(F20&lt;=500, 30, IF(F20&lt;=1000, 35, F20*0.035)))),
0)))</f>
        <v>0</v>
      </c>
      <c r="H20" s="159">
        <f>IF(I20="مخالفات",50,Basic3456789101112131415161718192021222324[[#This Row],[قيمة الرسوم / العموله]]+Basic3456789101112131415161718192021222324[[#This Row],[قيمة الشحنه]])</f>
        <v>0</v>
      </c>
      <c r="I20" s="90"/>
      <c r="J20" s="142" t="str">
        <f t="shared" si="0"/>
        <v>9.5.2026</v>
      </c>
      <c r="L20" s="153">
        <v>9</v>
      </c>
      <c r="M20" s="92"/>
      <c r="O20" s="193" t="s">
        <v>30</v>
      </c>
      <c r="P20" s="194"/>
    </row>
    <row r="21" spans="1:21" ht="21.6" x14ac:dyDescent="0.65">
      <c r="A21" s="195"/>
      <c r="B21" s="144">
        <v>18</v>
      </c>
      <c r="C21" s="2"/>
      <c r="D21" s="1"/>
      <c r="E21" s="3"/>
      <c r="F21" s="1"/>
      <c r="G21" s="141">
        <f>IF(Basic3456789101112131415161718192021222324[[#This Row],[نوع الخدمة]]="مخالفات", 50,
IF(Basic3456789101112131415161718192021222324[[#This Row],[نوع الخدمة]]="كاش ان",
    IF(F21&lt;=100, 18, IF(F21&lt;=250, 23, IF(F21&lt;=500, 35, IF(F21&lt;=1000, 40, F21*0.04)))),
IF(Basic3456789101112131415161718192021222324[[#This Row],[نوع الخدمة]]="كاش اوت",
    IF(F21&lt;=100, 15, IF(F21&lt;=250, 20, IF(F21&lt;=500, 30, IF(F21&lt;=1000, 35, F21*0.035)))),
0)))</f>
        <v>0</v>
      </c>
      <c r="H21" s="159">
        <f>IF(I21="مخالفات",50,Basic3456789101112131415161718192021222324[[#This Row],[قيمة الرسوم / العموله]]+Basic3456789101112131415161718192021222324[[#This Row],[قيمة الشحنه]])</f>
        <v>0</v>
      </c>
      <c r="I21" s="90"/>
      <c r="J21" s="142" t="str">
        <f t="shared" si="0"/>
        <v>9.5.2026</v>
      </c>
      <c r="L21" s="153">
        <v>10</v>
      </c>
      <c r="M21" s="92"/>
      <c r="O21" s="196" t="s">
        <v>31</v>
      </c>
      <c r="P21" s="197"/>
    </row>
    <row r="22" spans="1:21" ht="21.6" x14ac:dyDescent="0.65">
      <c r="A22" s="195"/>
      <c r="B22" s="140">
        <v>19</v>
      </c>
      <c r="C22" s="2"/>
      <c r="D22" s="1"/>
      <c r="E22" s="3"/>
      <c r="F22" s="1"/>
      <c r="G22" s="141">
        <f>IF(Basic3456789101112131415161718192021222324[[#This Row],[نوع الخدمة]]="مخالفات", 50,
IF(Basic3456789101112131415161718192021222324[[#This Row],[نوع الخدمة]]="كاش ان",
    IF(F22&lt;=100, 18, IF(F22&lt;=250, 23, IF(F22&lt;=500, 35, IF(F22&lt;=1000, 40, F22*0.04)))),
IF(Basic3456789101112131415161718192021222324[[#This Row],[نوع الخدمة]]="كاش اوت",
    IF(F22&lt;=100, 15, IF(F22&lt;=250, 20, IF(F22&lt;=500, 30, IF(F22&lt;=1000, 35, F22*0.035)))),
0)))</f>
        <v>0</v>
      </c>
      <c r="H22" s="159">
        <f>IF(I22="مخالفات",50,Basic3456789101112131415161718192021222324[[#This Row],[قيمة الرسوم / العموله]]+Basic3456789101112131415161718192021222324[[#This Row],[قيمة الشحنه]])</f>
        <v>0</v>
      </c>
      <c r="I22" s="90"/>
      <c r="J22" s="142" t="str">
        <f t="shared" si="0"/>
        <v>9.5.2026</v>
      </c>
      <c r="L22" s="153">
        <v>11</v>
      </c>
      <c r="M22" s="92"/>
      <c r="O22" s="147" t="s">
        <v>27</v>
      </c>
      <c r="P22" s="135">
        <f>M8+'8'!P28</f>
        <v>-4</v>
      </c>
    </row>
    <row r="23" spans="1:21" ht="21.6" x14ac:dyDescent="0.65">
      <c r="A23" s="195"/>
      <c r="B23" s="140">
        <v>20</v>
      </c>
      <c r="C23" s="2"/>
      <c r="D23" s="1"/>
      <c r="E23" s="3"/>
      <c r="F23" s="1"/>
      <c r="G23" s="141">
        <f>IF(Basic3456789101112131415161718192021222324[[#This Row],[نوع الخدمة]]="مخالفات", 50,
IF(Basic3456789101112131415161718192021222324[[#This Row],[نوع الخدمة]]="كاش ان",
    IF(F23&lt;=100, 18, IF(F23&lt;=250, 23, IF(F23&lt;=500, 35, IF(F23&lt;=1000, 40, F23*0.04)))),
IF(Basic3456789101112131415161718192021222324[[#This Row],[نوع الخدمة]]="كاش اوت",
    IF(F23&lt;=100, 15, IF(F23&lt;=250, 20, IF(F23&lt;=500, 30, IF(F23&lt;=1000, 35, F23*0.035)))),
0)))</f>
        <v>0</v>
      </c>
      <c r="H23" s="159">
        <f>IF(I23="مخالفات",50,Basic3456789101112131415161718192021222324[[#This Row],[قيمة الرسوم / العموله]]+Basic3456789101112131415161718192021222324[[#This Row],[قيمة الشحنه]])</f>
        <v>0</v>
      </c>
      <c r="I23" s="90"/>
      <c r="J23" s="142" t="str">
        <f t="shared" si="0"/>
        <v>9.5.2026</v>
      </c>
      <c r="L23" s="153">
        <v>12</v>
      </c>
      <c r="M23" s="92"/>
      <c r="O23" s="147" t="s">
        <v>28</v>
      </c>
      <c r="P23" s="135">
        <f>M9+'8'!P29</f>
        <v>0</v>
      </c>
      <c r="T23" s="173"/>
      <c r="U23" s="173"/>
    </row>
    <row r="24" spans="1:21" ht="21.6" x14ac:dyDescent="0.65">
      <c r="A24" s="195"/>
      <c r="B24" s="140">
        <v>21</v>
      </c>
      <c r="C24" s="2"/>
      <c r="D24" s="1"/>
      <c r="E24" s="3"/>
      <c r="F24" s="1"/>
      <c r="G24" s="141">
        <f>IF(Basic3456789101112131415161718192021222324[[#This Row],[نوع الخدمة]]="مخالفات", 50,
IF(Basic3456789101112131415161718192021222324[[#This Row],[نوع الخدمة]]="كاش ان",
    IF(F24&lt;=100, 18, IF(F24&lt;=250, 23, IF(F24&lt;=500, 35, IF(F24&lt;=1000, 40, F24*0.04)))),
IF(Basic3456789101112131415161718192021222324[[#This Row],[نوع الخدمة]]="كاش اوت",
    IF(F24&lt;=100, 15, IF(F24&lt;=250, 20, IF(F24&lt;=500, 30, IF(F24&lt;=1000, 35, F24*0.035)))),
0)))</f>
        <v>0</v>
      </c>
      <c r="H24" s="159">
        <f>IF(I24="مخالفات",50,Basic3456789101112131415161718192021222324[[#This Row],[قيمة الرسوم / العموله]]+Basic3456789101112131415161718192021222324[[#This Row],[قيمة الشحنه]])</f>
        <v>0</v>
      </c>
      <c r="I24" s="90"/>
      <c r="J24" s="142" t="str">
        <f t="shared" si="0"/>
        <v>9.5.2026</v>
      </c>
      <c r="L24" s="153">
        <v>13</v>
      </c>
      <c r="M24" s="92"/>
      <c r="O24" s="196" t="s">
        <v>32</v>
      </c>
      <c r="P24" s="197"/>
    </row>
    <row r="25" spans="1:21" ht="21.6" x14ac:dyDescent="0.65">
      <c r="A25" s="195"/>
      <c r="B25" s="144">
        <v>22</v>
      </c>
      <c r="C25" s="2"/>
      <c r="D25" s="1"/>
      <c r="E25" s="3"/>
      <c r="F25" s="1"/>
      <c r="G25" s="141">
        <f>IF(Basic3456789101112131415161718192021222324[[#This Row],[نوع الخدمة]]="مخالفات", 50,
IF(Basic3456789101112131415161718192021222324[[#This Row],[نوع الخدمة]]="كاش ان",
    IF(F25&lt;=100, 18, IF(F25&lt;=250, 23, IF(F25&lt;=500, 35, IF(F25&lt;=1000, 40, F25*0.04)))),
IF(Basic3456789101112131415161718192021222324[[#This Row],[نوع الخدمة]]="كاش اوت",
    IF(F25&lt;=100, 15, IF(F25&lt;=250, 20, IF(F25&lt;=500, 30, IF(F25&lt;=1000, 35, F25*0.035)))),
0)))</f>
        <v>0</v>
      </c>
      <c r="H25" s="159">
        <f>IF(I25="مخالفات",50,Basic3456789101112131415161718192021222324[[#This Row],[قيمة الرسوم / العموله]]+Basic3456789101112131415161718192021222324[[#This Row],[قيمة الشحنه]])</f>
        <v>0</v>
      </c>
      <c r="I25" s="90"/>
      <c r="J25" s="142" t="str">
        <f t="shared" si="0"/>
        <v>9.5.2026</v>
      </c>
      <c r="L25" s="153">
        <v>14</v>
      </c>
      <c r="M25" s="92"/>
      <c r="O25" s="147" t="s">
        <v>27</v>
      </c>
      <c r="P25" s="135">
        <f>M5</f>
        <v>0</v>
      </c>
    </row>
    <row r="26" spans="1:21" ht="21.6" x14ac:dyDescent="0.65">
      <c r="A26" s="195"/>
      <c r="B26" s="140">
        <v>23</v>
      </c>
      <c r="C26" s="2"/>
      <c r="D26" s="1"/>
      <c r="E26" s="3"/>
      <c r="F26" s="1"/>
      <c r="G26" s="141">
        <f>IF(Basic3456789101112131415161718192021222324[[#This Row],[نوع الخدمة]]="مخالفات", 50,
IF(Basic3456789101112131415161718192021222324[[#This Row],[نوع الخدمة]]="كاش ان",
    IF(F26&lt;=100, 18, IF(F26&lt;=250, 23, IF(F26&lt;=500, 35, IF(F26&lt;=1000, 40, F26*0.04)))),
IF(Basic3456789101112131415161718192021222324[[#This Row],[نوع الخدمة]]="كاش اوت",
    IF(F26&lt;=100, 15, IF(F26&lt;=250, 20, IF(F26&lt;=500, 30, IF(F26&lt;=1000, 35, F26*0.035)))),
0)))</f>
        <v>0</v>
      </c>
      <c r="H26" s="159">
        <f>IF(I26="مخالفات",50,Basic3456789101112131415161718192021222324[[#This Row],[قيمة الرسوم / العموله]]+Basic3456789101112131415161718192021222324[[#This Row],[قيمة الشحنه]])</f>
        <v>0</v>
      </c>
      <c r="I26" s="90"/>
      <c r="J26" s="142" t="str">
        <f t="shared" si="0"/>
        <v>9.5.2026</v>
      </c>
      <c r="L26" s="153">
        <v>15</v>
      </c>
      <c r="M26" s="92"/>
      <c r="O26" s="147" t="s">
        <v>28</v>
      </c>
      <c r="P26" s="135">
        <f>M6</f>
        <v>0</v>
      </c>
    </row>
    <row r="27" spans="1:21" ht="21.6" x14ac:dyDescent="0.65">
      <c r="A27" s="195"/>
      <c r="B27" s="140">
        <v>24</v>
      </c>
      <c r="C27" s="2"/>
      <c r="D27" s="1"/>
      <c r="E27" s="3"/>
      <c r="F27" s="1"/>
      <c r="G27" s="141">
        <f>IF(Basic3456789101112131415161718192021222324[[#This Row],[نوع الخدمة]]="مخالفات", 50,
IF(Basic3456789101112131415161718192021222324[[#This Row],[نوع الخدمة]]="كاش ان",
    IF(F27&lt;=100, 18, IF(F27&lt;=250, 23, IF(F27&lt;=500, 35, IF(F27&lt;=1000, 40, F27*0.04)))),
IF(Basic3456789101112131415161718192021222324[[#This Row],[نوع الخدمة]]="كاش اوت",
    IF(F27&lt;=100, 15, IF(F27&lt;=250, 20, IF(F27&lt;=500, 30, IF(F27&lt;=1000, 35, F27*0.035)))),
0)))</f>
        <v>0</v>
      </c>
      <c r="H27" s="159">
        <f>IF(I27="مخالفات",50,Basic3456789101112131415161718192021222324[[#This Row],[قيمة الرسوم / العموله]]+Basic3456789101112131415161718192021222324[[#This Row],[قيمة الشحنه]])</f>
        <v>0</v>
      </c>
      <c r="I27" s="90"/>
      <c r="J27" s="142" t="str">
        <f t="shared" si="0"/>
        <v>9.5.2026</v>
      </c>
      <c r="L27" s="153">
        <v>16</v>
      </c>
      <c r="M27" s="92"/>
      <c r="O27" s="196" t="s">
        <v>33</v>
      </c>
      <c r="P27" s="197"/>
    </row>
    <row r="28" spans="1:21" ht="21.6" x14ac:dyDescent="0.65">
      <c r="A28" s="195"/>
      <c r="B28" s="140">
        <v>25</v>
      </c>
      <c r="C28" s="2"/>
      <c r="D28" s="1"/>
      <c r="E28" s="3"/>
      <c r="F28" s="1"/>
      <c r="G28" s="141">
        <f>IF(Basic3456789101112131415161718192021222324[[#This Row],[نوع الخدمة]]="مخالفات", 50,
IF(Basic3456789101112131415161718192021222324[[#This Row],[نوع الخدمة]]="كاش ان",
    IF(F28&lt;=100, 18, IF(F28&lt;=250, 23, IF(F28&lt;=500, 35, IF(F28&lt;=1000, 40, F28*0.04)))),
IF(Basic3456789101112131415161718192021222324[[#This Row],[نوع الخدمة]]="كاش اوت",
    IF(F28&lt;=100, 15, IF(F28&lt;=250, 20, IF(F28&lt;=500, 30, IF(F28&lt;=1000, 35, F28*0.035)))),
0)))</f>
        <v>0</v>
      </c>
      <c r="H28" s="159">
        <f>IF(I28="مخالفات",50,Basic3456789101112131415161718192021222324[[#This Row],[قيمة الرسوم / العموله]]+Basic3456789101112131415161718192021222324[[#This Row],[قيمة الشحنه]])</f>
        <v>0</v>
      </c>
      <c r="I28" s="90"/>
      <c r="J28" s="142" t="str">
        <f t="shared" si="0"/>
        <v>9.5.2026</v>
      </c>
      <c r="L28" s="153">
        <v>17</v>
      </c>
      <c r="M28" s="92"/>
      <c r="O28" s="147" t="s">
        <v>27</v>
      </c>
      <c r="P28" s="135">
        <f>P22-P25</f>
        <v>-4</v>
      </c>
    </row>
    <row r="29" spans="1:21" ht="21.6" x14ac:dyDescent="0.65">
      <c r="A29" s="195"/>
      <c r="B29" s="144">
        <v>26</v>
      </c>
      <c r="C29" s="2"/>
      <c r="D29" s="1"/>
      <c r="E29" s="3"/>
      <c r="F29" s="1"/>
      <c r="G29" s="141">
        <f>IF(Basic3456789101112131415161718192021222324[[#This Row],[نوع الخدمة]]="مخالفات", 50,
IF(Basic3456789101112131415161718192021222324[[#This Row],[نوع الخدمة]]="كاش ان",
    IF(F29&lt;=100, 18, IF(F29&lt;=250, 23, IF(F29&lt;=500, 35, IF(F29&lt;=1000, 40, F29*0.04)))),
IF(Basic3456789101112131415161718192021222324[[#This Row],[نوع الخدمة]]="كاش اوت",
    IF(F29&lt;=100, 15, IF(F29&lt;=250, 20, IF(F29&lt;=500, 30, IF(F29&lt;=1000, 35, F29*0.035)))),
0)))</f>
        <v>0</v>
      </c>
      <c r="H29" s="159">
        <f>IF(I29="مخالفات",50,Basic3456789101112131415161718192021222324[[#This Row],[قيمة الرسوم / العموله]]+Basic3456789101112131415161718192021222324[[#This Row],[قيمة الشحنه]])</f>
        <v>0</v>
      </c>
      <c r="I29" s="90"/>
      <c r="J29" s="142" t="str">
        <f t="shared" si="0"/>
        <v>9.5.2026</v>
      </c>
      <c r="L29" s="153">
        <v>18</v>
      </c>
      <c r="M29" s="92"/>
      <c r="O29" s="147" t="s">
        <v>28</v>
      </c>
      <c r="P29" s="135">
        <f>P23-P26</f>
        <v>0</v>
      </c>
    </row>
    <row r="30" spans="1:21" ht="21.6" x14ac:dyDescent="0.65">
      <c r="A30" s="195"/>
      <c r="B30" s="140">
        <v>27</v>
      </c>
      <c r="C30" s="2"/>
      <c r="D30" s="1"/>
      <c r="E30" s="3"/>
      <c r="F30" s="1"/>
      <c r="G30" s="141">
        <f>IF(Basic3456789101112131415161718192021222324[[#This Row],[نوع الخدمة]]="مخالفات", 50,
IF(Basic3456789101112131415161718192021222324[[#This Row],[نوع الخدمة]]="كاش ان",
    IF(F30&lt;=100, 18, IF(F30&lt;=250, 23, IF(F30&lt;=500, 35, IF(F30&lt;=1000, 40, F30*0.04)))),
IF(Basic3456789101112131415161718192021222324[[#This Row],[نوع الخدمة]]="كاش اوت",
    IF(F30&lt;=100, 15, IF(F30&lt;=250, 20, IF(F30&lt;=500, 30, IF(F30&lt;=1000, 35, F30*0.035)))),
0)))</f>
        <v>0</v>
      </c>
      <c r="H30" s="159">
        <f>IF(I30="مخالفات",50,Basic3456789101112131415161718192021222324[[#This Row],[قيمة الرسوم / العموله]]+Basic3456789101112131415161718192021222324[[#This Row],[قيمة الشحنه]])</f>
        <v>0</v>
      </c>
      <c r="I30" s="90"/>
      <c r="J30" s="142" t="str">
        <f t="shared" si="0"/>
        <v>9.5.2026</v>
      </c>
      <c r="L30" s="153">
        <v>19</v>
      </c>
      <c r="M30" s="92"/>
    </row>
    <row r="31" spans="1:21" ht="21.6" x14ac:dyDescent="0.65">
      <c r="A31" s="195"/>
      <c r="B31" s="140">
        <v>28</v>
      </c>
      <c r="C31" s="2"/>
      <c r="D31" s="1"/>
      <c r="E31" s="3"/>
      <c r="F31" s="1"/>
      <c r="G31" s="141">
        <f>IF(Basic3456789101112131415161718192021222324[[#This Row],[نوع الخدمة]]="مخالفات", 50,
IF(Basic3456789101112131415161718192021222324[[#This Row],[نوع الخدمة]]="كاش ان",
    IF(F31&lt;=100, 18, IF(F31&lt;=250, 23, IF(F31&lt;=500, 35, IF(F31&lt;=1000, 40, F31*0.04)))),
IF(Basic3456789101112131415161718192021222324[[#This Row],[نوع الخدمة]]="كاش اوت",
    IF(F31&lt;=100, 15, IF(F31&lt;=250, 20, IF(F31&lt;=500, 30, IF(F31&lt;=1000, 35, F31*0.035)))),
0)))</f>
        <v>0</v>
      </c>
      <c r="H31" s="159">
        <f>IF(I31="مخالفات",50,Basic3456789101112131415161718192021222324[[#This Row],[قيمة الرسوم / العموله]]+Basic3456789101112131415161718192021222324[[#This Row],[قيمة الشحنه]])</f>
        <v>0</v>
      </c>
      <c r="I31" s="90"/>
      <c r="J31" s="142" t="str">
        <f t="shared" si="0"/>
        <v>9.5.2026</v>
      </c>
      <c r="L31" s="153">
        <v>20</v>
      </c>
      <c r="M31" s="92"/>
    </row>
    <row r="32" spans="1:21" ht="21.6" x14ac:dyDescent="0.65">
      <c r="A32" s="195"/>
      <c r="B32" s="140">
        <v>29</v>
      </c>
      <c r="C32" s="2"/>
      <c r="D32" s="1"/>
      <c r="E32" s="3"/>
      <c r="F32" s="1"/>
      <c r="G32" s="141">
        <f>IF(Basic3456789101112131415161718192021222324[[#This Row],[نوع الخدمة]]="مخالفات", 50,
IF(Basic3456789101112131415161718192021222324[[#This Row],[نوع الخدمة]]="كاش ان",
    IF(F32&lt;=100, 18, IF(F32&lt;=250, 23, IF(F32&lt;=500, 35, IF(F32&lt;=1000, 40, F32*0.04)))),
IF(Basic3456789101112131415161718192021222324[[#This Row],[نوع الخدمة]]="كاش اوت",
    IF(F32&lt;=100, 15, IF(F32&lt;=250, 20, IF(F32&lt;=500, 30, IF(F32&lt;=1000, 35, F32*0.035)))),
0)))</f>
        <v>0</v>
      </c>
      <c r="H32" s="159">
        <f>IF(I32="مخالفات",50,Basic3456789101112131415161718192021222324[[#This Row],[قيمة الرسوم / العموله]]+Basic3456789101112131415161718192021222324[[#This Row],[قيمة الشحنه]])</f>
        <v>0</v>
      </c>
      <c r="I32" s="90"/>
      <c r="J32" s="142" t="str">
        <f t="shared" si="0"/>
        <v>9.5.2026</v>
      </c>
      <c r="L32" s="153">
        <v>21</v>
      </c>
      <c r="M32" s="92"/>
    </row>
    <row r="33" spans="1:13" ht="21.6" x14ac:dyDescent="0.65">
      <c r="A33" s="195"/>
      <c r="B33" s="144">
        <v>30</v>
      </c>
      <c r="C33" s="2"/>
      <c r="D33" s="1"/>
      <c r="E33" s="3"/>
      <c r="F33" s="1"/>
      <c r="G33" s="141">
        <f>IF(Basic3456789101112131415161718192021222324[[#This Row],[نوع الخدمة]]="مخالفات", 50,
IF(Basic3456789101112131415161718192021222324[[#This Row],[نوع الخدمة]]="كاش ان",
    IF(F33&lt;=100, 18, IF(F33&lt;=250, 23, IF(F33&lt;=500, 35, IF(F33&lt;=1000, 40, F33*0.04)))),
IF(Basic3456789101112131415161718192021222324[[#This Row],[نوع الخدمة]]="كاش اوت",
    IF(F33&lt;=100, 15, IF(F33&lt;=250, 20, IF(F33&lt;=500, 30, IF(F33&lt;=1000, 35, F33*0.035)))),
0)))</f>
        <v>0</v>
      </c>
      <c r="H33" s="159">
        <f>IF(I33="مخالفات",50,Basic3456789101112131415161718192021222324[[#This Row],[قيمة الرسوم / العموله]]+Basic3456789101112131415161718192021222324[[#This Row],[قيمة الشحنه]])</f>
        <v>0</v>
      </c>
      <c r="I33" s="90"/>
      <c r="J33" s="142" t="str">
        <f t="shared" si="0"/>
        <v>9.5.2026</v>
      </c>
      <c r="L33" s="153">
        <v>22</v>
      </c>
      <c r="M33" s="92"/>
    </row>
    <row r="34" spans="1:13" ht="21.6" x14ac:dyDescent="0.65">
      <c r="A34" s="195"/>
      <c r="B34" s="140">
        <v>31</v>
      </c>
      <c r="C34" s="2"/>
      <c r="D34" s="1"/>
      <c r="E34" s="3"/>
      <c r="F34" s="1"/>
      <c r="G34" s="141">
        <f>IF(Basic3456789101112131415161718192021222324[[#This Row],[نوع الخدمة]]="مخالفات", 50,
IF(Basic3456789101112131415161718192021222324[[#This Row],[نوع الخدمة]]="كاش ان",
    IF(F34&lt;=100, 18, IF(F34&lt;=250, 23, IF(F34&lt;=500, 35, IF(F34&lt;=1000, 40, F34*0.04)))),
IF(Basic3456789101112131415161718192021222324[[#This Row],[نوع الخدمة]]="كاش اوت",
    IF(F34&lt;=100, 15, IF(F34&lt;=250, 20, IF(F34&lt;=500, 30, IF(F34&lt;=1000, 35, F34*0.035)))),
0)))</f>
        <v>0</v>
      </c>
      <c r="H34" s="159">
        <f>IF(I34="مخالفات",50,Basic3456789101112131415161718192021222324[[#This Row],[قيمة الرسوم / العموله]]+Basic3456789101112131415161718192021222324[[#This Row],[قيمة الشحنه]])</f>
        <v>0</v>
      </c>
      <c r="I34" s="90"/>
      <c r="J34" s="142" t="str">
        <f t="shared" si="0"/>
        <v>9.5.2026</v>
      </c>
      <c r="L34" s="153">
        <v>23</v>
      </c>
      <c r="M34" s="92"/>
    </row>
    <row r="35" spans="1:13" ht="21.6" x14ac:dyDescent="0.65">
      <c r="A35" s="195"/>
      <c r="B35" s="140">
        <v>32</v>
      </c>
      <c r="C35" s="2"/>
      <c r="D35" s="1"/>
      <c r="E35" s="3"/>
      <c r="F35" s="1"/>
      <c r="G35" s="141">
        <f>IF(Basic3456789101112131415161718192021222324[[#This Row],[نوع الخدمة]]="مخالفات", 50,
IF(Basic3456789101112131415161718192021222324[[#This Row],[نوع الخدمة]]="كاش ان",
    IF(F35&lt;=100, 18, IF(F35&lt;=250, 23, IF(F35&lt;=500, 35, IF(F35&lt;=1000, 40, F35*0.04)))),
IF(Basic3456789101112131415161718192021222324[[#This Row],[نوع الخدمة]]="كاش اوت",
    IF(F35&lt;=100, 15, IF(F35&lt;=250, 20, IF(F35&lt;=500, 30, IF(F35&lt;=1000, 35, F35*0.035)))),
0)))</f>
        <v>0</v>
      </c>
      <c r="H35" s="159">
        <f>IF(I35="مخالفات",50,Basic3456789101112131415161718192021222324[[#This Row],[قيمة الرسوم / العموله]]+Basic3456789101112131415161718192021222324[[#This Row],[قيمة الشحنه]])</f>
        <v>0</v>
      </c>
      <c r="I35" s="90"/>
      <c r="J35" s="142" t="str">
        <f t="shared" si="0"/>
        <v>9.5.2026</v>
      </c>
      <c r="L35" s="153">
        <v>24</v>
      </c>
      <c r="M35" s="92"/>
    </row>
    <row r="36" spans="1:13" ht="21.6" x14ac:dyDescent="0.65">
      <c r="A36" s="195"/>
      <c r="B36" s="140">
        <v>33</v>
      </c>
      <c r="C36" s="2"/>
      <c r="D36" s="1"/>
      <c r="E36" s="3"/>
      <c r="F36" s="1"/>
      <c r="G36" s="141">
        <f>IF(Basic3456789101112131415161718192021222324[[#This Row],[نوع الخدمة]]="مخالفات", 50,
IF(Basic3456789101112131415161718192021222324[[#This Row],[نوع الخدمة]]="كاش ان",
    IF(F36&lt;=100, 18, IF(F36&lt;=250, 23, IF(F36&lt;=500, 35, IF(F36&lt;=1000, 40, F36*0.04)))),
IF(Basic3456789101112131415161718192021222324[[#This Row],[نوع الخدمة]]="كاش اوت",
    IF(F36&lt;=100, 15, IF(F36&lt;=250, 20, IF(F36&lt;=500, 30, IF(F36&lt;=1000, 35, F36*0.035)))),
0)))</f>
        <v>0</v>
      </c>
      <c r="H36" s="159">
        <f>IF(I36="مخالفات",50,Basic3456789101112131415161718192021222324[[#This Row],[قيمة الرسوم / العموله]]+Basic3456789101112131415161718192021222324[[#This Row],[قيمة الشحنه]])</f>
        <v>0</v>
      </c>
      <c r="I36" s="90"/>
      <c r="J36" s="142" t="str">
        <f t="shared" si="0"/>
        <v>9.5.2026</v>
      </c>
      <c r="L36" s="153">
        <v>25</v>
      </c>
      <c r="M36" s="92"/>
    </row>
    <row r="37" spans="1:13" ht="21.6" x14ac:dyDescent="0.65">
      <c r="A37" s="195"/>
      <c r="B37" s="144">
        <v>34</v>
      </c>
      <c r="C37" s="2"/>
      <c r="D37" s="1"/>
      <c r="E37" s="3"/>
      <c r="F37" s="1"/>
      <c r="G37" s="141">
        <f>IF(Basic3456789101112131415161718192021222324[[#This Row],[نوع الخدمة]]="مخالفات", 50,
IF(Basic3456789101112131415161718192021222324[[#This Row],[نوع الخدمة]]="كاش ان",
    IF(F37&lt;=100, 18, IF(F37&lt;=250, 23, IF(F37&lt;=500, 35, IF(F37&lt;=1000, 40, F37*0.04)))),
IF(Basic3456789101112131415161718192021222324[[#This Row],[نوع الخدمة]]="كاش اوت",
    IF(F37&lt;=100, 15, IF(F37&lt;=250, 20, IF(F37&lt;=500, 30, IF(F37&lt;=1000, 35, F37*0.035)))),
0)))</f>
        <v>0</v>
      </c>
      <c r="H37" s="159">
        <f>IF(I37="مخالفات",50,Basic3456789101112131415161718192021222324[[#This Row],[قيمة الرسوم / العموله]]+Basic3456789101112131415161718192021222324[[#This Row],[قيمة الشحنه]])</f>
        <v>0</v>
      </c>
      <c r="I37" s="90"/>
      <c r="J37" s="142" t="str">
        <f t="shared" si="0"/>
        <v>9.5.2026</v>
      </c>
      <c r="L37" s="153">
        <v>26</v>
      </c>
      <c r="M37" s="92"/>
    </row>
    <row r="38" spans="1:13" ht="21.6" x14ac:dyDescent="0.65">
      <c r="A38" s="195"/>
      <c r="B38" s="140">
        <v>35</v>
      </c>
      <c r="C38" s="2"/>
      <c r="D38" s="1"/>
      <c r="E38" s="3"/>
      <c r="F38" s="1"/>
      <c r="G38" s="141">
        <f>IF(Basic3456789101112131415161718192021222324[[#This Row],[نوع الخدمة]]="مخالفات", 50,
IF(Basic3456789101112131415161718192021222324[[#This Row],[نوع الخدمة]]="كاش ان",
    IF(F38&lt;=100, 18, IF(F38&lt;=250, 23, IF(F38&lt;=500, 35, IF(F38&lt;=1000, 40, F38*0.04)))),
IF(Basic3456789101112131415161718192021222324[[#This Row],[نوع الخدمة]]="كاش اوت",
    IF(F38&lt;=100, 15, IF(F38&lt;=250, 20, IF(F38&lt;=500, 30, IF(F38&lt;=1000, 35, F38*0.035)))),
0)))</f>
        <v>0</v>
      </c>
      <c r="H38" s="159">
        <f>IF(I38="مخالفات",50,Basic3456789101112131415161718192021222324[[#This Row],[قيمة الرسوم / العموله]]+Basic3456789101112131415161718192021222324[[#This Row],[قيمة الشحنه]])</f>
        <v>0</v>
      </c>
      <c r="I38" s="90"/>
      <c r="J38" s="142" t="str">
        <f t="shared" si="0"/>
        <v>9.5.2026</v>
      </c>
      <c r="L38" s="153">
        <v>27</v>
      </c>
      <c r="M38" s="92"/>
    </row>
    <row r="39" spans="1:13" ht="21.6" x14ac:dyDescent="0.65">
      <c r="A39" s="195"/>
      <c r="B39" s="140">
        <v>36</v>
      </c>
      <c r="C39" s="2"/>
      <c r="D39" s="1"/>
      <c r="E39" s="3"/>
      <c r="F39" s="1"/>
      <c r="G39" s="141">
        <f>IF(Basic3456789101112131415161718192021222324[[#This Row],[نوع الخدمة]]="مخالفات", 50,
IF(Basic3456789101112131415161718192021222324[[#This Row],[نوع الخدمة]]="كاش ان",
    IF(F39&lt;=100, 18, IF(F39&lt;=250, 23, IF(F39&lt;=500, 35, IF(F39&lt;=1000, 40, F39*0.04)))),
IF(Basic3456789101112131415161718192021222324[[#This Row],[نوع الخدمة]]="كاش اوت",
    IF(F39&lt;=100, 15, IF(F39&lt;=250, 20, IF(F39&lt;=500, 30, IF(F39&lt;=1000, 35, F39*0.035)))),
0)))</f>
        <v>0</v>
      </c>
      <c r="H39" s="159">
        <f>IF(I39="مخالفات",50,Basic3456789101112131415161718192021222324[[#This Row],[قيمة الرسوم / العموله]]+Basic3456789101112131415161718192021222324[[#This Row],[قيمة الشحنه]])</f>
        <v>0</v>
      </c>
      <c r="I39" s="90"/>
      <c r="J39" s="142" t="str">
        <f t="shared" si="0"/>
        <v>9.5.2026</v>
      </c>
      <c r="L39" s="153">
        <v>28</v>
      </c>
      <c r="M39" s="92"/>
    </row>
    <row r="40" spans="1:13" ht="21.6" x14ac:dyDescent="0.65">
      <c r="A40" s="195"/>
      <c r="B40" s="140">
        <v>37</v>
      </c>
      <c r="C40" s="2"/>
      <c r="D40" s="1"/>
      <c r="E40" s="3"/>
      <c r="F40" s="1"/>
      <c r="G40" s="141">
        <f>IF(Basic3456789101112131415161718192021222324[[#This Row],[نوع الخدمة]]="مخالفات", 50,
IF(Basic3456789101112131415161718192021222324[[#This Row],[نوع الخدمة]]="كاش ان",
    IF(F40&lt;=100, 18, IF(F40&lt;=250, 23, IF(F40&lt;=500, 35, IF(F40&lt;=1000, 40, F40*0.04)))),
IF(Basic3456789101112131415161718192021222324[[#This Row],[نوع الخدمة]]="كاش اوت",
    IF(F40&lt;=100, 15, IF(F40&lt;=250, 20, IF(F40&lt;=500, 30, IF(F40&lt;=1000, 35, F40*0.035)))),
0)))</f>
        <v>0</v>
      </c>
      <c r="H40" s="159">
        <f>IF(I40="مخالفات",50,Basic3456789101112131415161718192021222324[[#This Row],[قيمة الرسوم / العموله]]+Basic3456789101112131415161718192021222324[[#This Row],[قيمة الشحنه]])</f>
        <v>0</v>
      </c>
      <c r="I40" s="90"/>
      <c r="J40" s="142" t="str">
        <f t="shared" si="0"/>
        <v>9.5.2026</v>
      </c>
      <c r="L40" s="153">
        <v>29</v>
      </c>
      <c r="M40" s="92"/>
    </row>
    <row r="41" spans="1:13" ht="21.6" x14ac:dyDescent="0.65">
      <c r="A41" s="195"/>
      <c r="B41" s="144">
        <v>38</v>
      </c>
      <c r="C41" s="2"/>
      <c r="D41" s="1"/>
      <c r="E41" s="3"/>
      <c r="F41" s="1"/>
      <c r="G41" s="141">
        <f>IF(Basic3456789101112131415161718192021222324[[#This Row],[نوع الخدمة]]="مخالفات", 50,
IF(Basic3456789101112131415161718192021222324[[#This Row],[نوع الخدمة]]="كاش ان",
    IF(F41&lt;=100, 18, IF(F41&lt;=250, 23, IF(F41&lt;=500, 35, IF(F41&lt;=1000, 40, F41*0.04)))),
IF(Basic3456789101112131415161718192021222324[[#This Row],[نوع الخدمة]]="كاش اوت",
    IF(F41&lt;=100, 15, IF(F41&lt;=250, 20, IF(F41&lt;=500, 30, IF(F41&lt;=1000, 35, F41*0.035)))),
0)))</f>
        <v>0</v>
      </c>
      <c r="H41" s="159">
        <f>IF(I41="مخالفات",50,Basic3456789101112131415161718192021222324[[#This Row],[قيمة الرسوم / العموله]]+Basic3456789101112131415161718192021222324[[#This Row],[قيمة الشحنه]])</f>
        <v>0</v>
      </c>
      <c r="I41" s="90"/>
      <c r="J41" s="142" t="str">
        <f t="shared" si="0"/>
        <v>9.5.2026</v>
      </c>
      <c r="L41" s="153">
        <v>30</v>
      </c>
      <c r="M41" s="92"/>
    </row>
    <row r="42" spans="1:13" ht="21.6" x14ac:dyDescent="0.65">
      <c r="A42" s="195"/>
      <c r="B42" s="140">
        <v>39</v>
      </c>
      <c r="C42" s="2"/>
      <c r="D42" s="1"/>
      <c r="E42" s="3"/>
      <c r="F42" s="1"/>
      <c r="G42" s="141">
        <f>IF(Basic3456789101112131415161718192021222324[[#This Row],[نوع الخدمة]]="مخالفات", 50,
IF(Basic3456789101112131415161718192021222324[[#This Row],[نوع الخدمة]]="كاش ان",
    IF(F42&lt;=100, 18, IF(F42&lt;=250, 23, IF(F42&lt;=500, 35, IF(F42&lt;=1000, 40, F42*0.04)))),
IF(Basic3456789101112131415161718192021222324[[#This Row],[نوع الخدمة]]="كاش اوت",
    IF(F42&lt;=100, 15, IF(F42&lt;=250, 20, IF(F42&lt;=500, 30, IF(F42&lt;=1000, 35, F42*0.035)))),
0)))</f>
        <v>0</v>
      </c>
      <c r="H42" s="159">
        <f>IF(I42="مخالفات",50,Basic3456789101112131415161718192021222324[[#This Row],[قيمة الرسوم / العموله]]+Basic3456789101112131415161718192021222324[[#This Row],[قيمة الشحنه]])</f>
        <v>0</v>
      </c>
      <c r="I42" s="90"/>
      <c r="J42" s="142" t="str">
        <f t="shared" si="0"/>
        <v>9.5.2026</v>
      </c>
      <c r="L42" s="153">
        <v>31</v>
      </c>
      <c r="M42" s="92"/>
    </row>
    <row r="43" spans="1:13" ht="21.6" x14ac:dyDescent="0.65">
      <c r="A43" s="195"/>
      <c r="B43" s="140">
        <v>40</v>
      </c>
      <c r="C43" s="2"/>
      <c r="D43" s="1"/>
      <c r="E43" s="3"/>
      <c r="F43" s="1"/>
      <c r="G43" s="141">
        <f>IF(Basic3456789101112131415161718192021222324[[#This Row],[نوع الخدمة]]="مخالفات", 50,
IF(Basic3456789101112131415161718192021222324[[#This Row],[نوع الخدمة]]="كاش ان",
    IF(F43&lt;=100, 18, IF(F43&lt;=250, 23, IF(F43&lt;=500, 35, IF(F43&lt;=1000, 40, F43*0.04)))),
IF(Basic3456789101112131415161718192021222324[[#This Row],[نوع الخدمة]]="كاش اوت",
    IF(F43&lt;=100, 15, IF(F43&lt;=250, 20, IF(F43&lt;=500, 30, IF(F43&lt;=1000, 35, F43*0.035)))),
0)))</f>
        <v>0</v>
      </c>
      <c r="H43" s="159">
        <f>IF(I43="مخالفات",50,Basic3456789101112131415161718192021222324[[#This Row],[قيمة الرسوم / العموله]]+Basic3456789101112131415161718192021222324[[#This Row],[قيمة الشحنه]])</f>
        <v>0</v>
      </c>
      <c r="I43" s="90"/>
      <c r="J43" s="142" t="str">
        <f t="shared" si="0"/>
        <v>9.5.2026</v>
      </c>
      <c r="L43" s="153">
        <v>32</v>
      </c>
      <c r="M43" s="92"/>
    </row>
    <row r="44" spans="1:13" ht="21.6" x14ac:dyDescent="0.65">
      <c r="A44" s="195"/>
      <c r="B44" s="140">
        <v>41</v>
      </c>
      <c r="C44" s="2"/>
      <c r="D44" s="1"/>
      <c r="E44" s="3"/>
      <c r="F44" s="1"/>
      <c r="G44" s="141">
        <f>IF(Basic3456789101112131415161718192021222324[[#This Row],[نوع الخدمة]]="مخالفات", 50,
IF(Basic3456789101112131415161718192021222324[[#This Row],[نوع الخدمة]]="كاش ان",
    IF(F44&lt;=100, 18, IF(F44&lt;=250, 23, IF(F44&lt;=500, 35, IF(F44&lt;=1000, 40, F44*0.04)))),
IF(Basic3456789101112131415161718192021222324[[#This Row],[نوع الخدمة]]="كاش اوت",
    IF(F44&lt;=100, 15, IF(F44&lt;=250, 20, IF(F44&lt;=500, 30, IF(F44&lt;=1000, 35, F44*0.035)))),
0)))</f>
        <v>0</v>
      </c>
      <c r="H44" s="159">
        <f>IF(I44="مخالفات",50,Basic3456789101112131415161718192021222324[[#This Row],[قيمة الرسوم / العموله]]+Basic3456789101112131415161718192021222324[[#This Row],[قيمة الشحنه]])</f>
        <v>0</v>
      </c>
      <c r="I44" s="90"/>
      <c r="J44" s="142" t="str">
        <f t="shared" si="0"/>
        <v>9.5.2026</v>
      </c>
      <c r="L44" s="153">
        <v>33</v>
      </c>
      <c r="M44" s="92"/>
    </row>
    <row r="45" spans="1:13" ht="21.6" x14ac:dyDescent="0.65">
      <c r="A45" s="195"/>
      <c r="B45" s="144">
        <v>42</v>
      </c>
      <c r="C45" s="2"/>
      <c r="D45" s="1"/>
      <c r="E45" s="3"/>
      <c r="F45" s="1"/>
      <c r="G45" s="141">
        <f>IF(Basic3456789101112131415161718192021222324[[#This Row],[نوع الخدمة]]="مخالفات", 50,
IF(Basic3456789101112131415161718192021222324[[#This Row],[نوع الخدمة]]="كاش ان",
    IF(F45&lt;=100, 18, IF(F45&lt;=250, 23, IF(F45&lt;=500, 35, IF(F45&lt;=1000, 40, F45*0.04)))),
IF(Basic3456789101112131415161718192021222324[[#This Row],[نوع الخدمة]]="كاش اوت",
    IF(F45&lt;=100, 15, IF(F45&lt;=250, 20, IF(F45&lt;=500, 30, IF(F45&lt;=1000, 35, F45*0.035)))),
0)))</f>
        <v>0</v>
      </c>
      <c r="H45" s="159">
        <f>IF(I45="مخالفات",50,Basic3456789101112131415161718192021222324[[#This Row],[قيمة الرسوم / العموله]]+Basic3456789101112131415161718192021222324[[#This Row],[قيمة الشحنه]])</f>
        <v>0</v>
      </c>
      <c r="I45" s="90"/>
      <c r="J45" s="142" t="str">
        <f t="shared" si="0"/>
        <v>9.5.2026</v>
      </c>
      <c r="L45" s="153">
        <v>34</v>
      </c>
      <c r="M45" s="92"/>
    </row>
    <row r="46" spans="1:13" ht="21.6" x14ac:dyDescent="0.65">
      <c r="A46" s="195"/>
      <c r="B46" s="140">
        <v>43</v>
      </c>
      <c r="C46" s="2"/>
      <c r="D46" s="1"/>
      <c r="E46" s="3"/>
      <c r="F46" s="1"/>
      <c r="G46" s="141">
        <f>IF(Basic3456789101112131415161718192021222324[[#This Row],[نوع الخدمة]]="مخالفات", 50,
IF(Basic3456789101112131415161718192021222324[[#This Row],[نوع الخدمة]]="كاش ان",
    IF(F46&lt;=100, 18, IF(F46&lt;=250, 23, IF(F46&lt;=500, 35, IF(F46&lt;=1000, 40, F46*0.04)))),
IF(Basic3456789101112131415161718192021222324[[#This Row],[نوع الخدمة]]="كاش اوت",
    IF(F46&lt;=100, 15, IF(F46&lt;=250, 20, IF(F46&lt;=500, 30, IF(F46&lt;=1000, 35, F46*0.035)))),
0)))</f>
        <v>0</v>
      </c>
      <c r="H46" s="159">
        <f>IF(I46="مخالفات",50,Basic3456789101112131415161718192021222324[[#This Row],[قيمة الرسوم / العموله]]+Basic3456789101112131415161718192021222324[[#This Row],[قيمة الشحنه]])</f>
        <v>0</v>
      </c>
      <c r="I46" s="90"/>
      <c r="J46" s="142" t="str">
        <f t="shared" si="0"/>
        <v>9.5.2026</v>
      </c>
      <c r="L46" s="153">
        <v>35</v>
      </c>
      <c r="M46" s="92"/>
    </row>
    <row r="47" spans="1:13" ht="21.6" x14ac:dyDescent="0.65">
      <c r="A47" s="195"/>
      <c r="B47" s="140">
        <v>44</v>
      </c>
      <c r="C47" s="2"/>
      <c r="D47" s="1"/>
      <c r="E47" s="3"/>
      <c r="F47" s="1"/>
      <c r="G47" s="141">
        <f>IF(Basic3456789101112131415161718192021222324[[#This Row],[نوع الخدمة]]="مخالفات", 50,
IF(Basic3456789101112131415161718192021222324[[#This Row],[نوع الخدمة]]="كاش ان",
    IF(F47&lt;=100, 18, IF(F47&lt;=250, 23, IF(F47&lt;=500, 35, IF(F47&lt;=1000, 40, F47*0.04)))),
IF(Basic3456789101112131415161718192021222324[[#This Row],[نوع الخدمة]]="كاش اوت",
    IF(F47&lt;=100, 15, IF(F47&lt;=250, 20, IF(F47&lt;=500, 30, IF(F47&lt;=1000, 35, F47*0.035)))),
0)))</f>
        <v>0</v>
      </c>
      <c r="H47" s="159">
        <f>IF(I47="مخالفات",50,Basic3456789101112131415161718192021222324[[#This Row],[قيمة الرسوم / العموله]]+Basic3456789101112131415161718192021222324[[#This Row],[قيمة الشحنه]])</f>
        <v>0</v>
      </c>
      <c r="I47" s="90"/>
      <c r="J47" s="142" t="str">
        <f t="shared" si="0"/>
        <v>9.5.2026</v>
      </c>
      <c r="L47" s="153">
        <v>36</v>
      </c>
      <c r="M47" s="92"/>
    </row>
    <row r="48" spans="1:13" ht="21.6" x14ac:dyDescent="0.65">
      <c r="A48" s="195"/>
      <c r="B48" s="140">
        <v>45</v>
      </c>
      <c r="C48" s="2"/>
      <c r="D48" s="1"/>
      <c r="E48" s="3"/>
      <c r="F48" s="1"/>
      <c r="G48" s="141">
        <f>IF(Basic3456789101112131415161718192021222324[[#This Row],[نوع الخدمة]]="مخالفات", 50,
IF(Basic3456789101112131415161718192021222324[[#This Row],[نوع الخدمة]]="كاش ان",
    IF(F48&lt;=100, 18, IF(F48&lt;=250, 23, IF(F48&lt;=500, 35, IF(F48&lt;=1000, 40, F48*0.04)))),
IF(Basic3456789101112131415161718192021222324[[#This Row],[نوع الخدمة]]="كاش اوت",
    IF(F48&lt;=100, 15, IF(F48&lt;=250, 20, IF(F48&lt;=500, 30, IF(F48&lt;=1000, 35, F48*0.035)))),
0)))</f>
        <v>0</v>
      </c>
      <c r="H48" s="159">
        <f>IF(I48="مخالفات",50,Basic3456789101112131415161718192021222324[[#This Row],[قيمة الرسوم / العموله]]+Basic3456789101112131415161718192021222324[[#This Row],[قيمة الشحنه]])</f>
        <v>0</v>
      </c>
      <c r="I48" s="90"/>
      <c r="J48" s="142" t="str">
        <f t="shared" si="0"/>
        <v>9.5.2026</v>
      </c>
      <c r="L48" s="153">
        <v>37</v>
      </c>
      <c r="M48" s="92"/>
    </row>
    <row r="49" spans="1:13" ht="21.6" x14ac:dyDescent="0.65">
      <c r="A49" s="195"/>
      <c r="B49" s="144">
        <v>46</v>
      </c>
      <c r="C49" s="2"/>
      <c r="D49" s="1"/>
      <c r="E49" s="3"/>
      <c r="F49" s="1"/>
      <c r="G49" s="141">
        <f>IF(Basic3456789101112131415161718192021222324[[#This Row],[نوع الخدمة]]="مخالفات", 50,
IF(Basic3456789101112131415161718192021222324[[#This Row],[نوع الخدمة]]="كاش ان",
    IF(F49&lt;=100, 18, IF(F49&lt;=250, 23, IF(F49&lt;=500, 35, IF(F49&lt;=1000, 40, F49*0.04)))),
IF(Basic3456789101112131415161718192021222324[[#This Row],[نوع الخدمة]]="كاش اوت",
    IF(F49&lt;=100, 15, IF(F49&lt;=250, 20, IF(F49&lt;=500, 30, IF(F49&lt;=1000, 35, F49*0.035)))),
0)))</f>
        <v>0</v>
      </c>
      <c r="H49" s="159">
        <f>IF(I49="مخالفات",50,Basic3456789101112131415161718192021222324[[#This Row],[قيمة الرسوم / العموله]]+Basic3456789101112131415161718192021222324[[#This Row],[قيمة الشحنه]])</f>
        <v>0</v>
      </c>
      <c r="I49" s="90"/>
      <c r="J49" s="142" t="str">
        <f t="shared" si="0"/>
        <v>9.5.2026</v>
      </c>
      <c r="L49" s="153">
        <v>38</v>
      </c>
      <c r="M49" s="92"/>
    </row>
    <row r="50" spans="1:13" ht="21.6" x14ac:dyDescent="0.65">
      <c r="A50" s="195"/>
      <c r="B50" s="140">
        <v>47</v>
      </c>
      <c r="C50" s="2"/>
      <c r="D50" s="1"/>
      <c r="E50" s="3"/>
      <c r="F50" s="1"/>
      <c r="G50" s="141">
        <f>IF(Basic3456789101112131415161718192021222324[[#This Row],[نوع الخدمة]]="مخالفات", 50,
IF(Basic3456789101112131415161718192021222324[[#This Row],[نوع الخدمة]]="كاش ان",
    IF(F50&lt;=100, 18, IF(F50&lt;=250, 23, IF(F50&lt;=500, 35, IF(F50&lt;=1000, 40, F50*0.04)))),
IF(Basic3456789101112131415161718192021222324[[#This Row],[نوع الخدمة]]="كاش اوت",
    IF(F50&lt;=100, 15, IF(F50&lt;=250, 20, IF(F50&lt;=500, 30, IF(F50&lt;=1000, 35, F50*0.035)))),
0)))</f>
        <v>0</v>
      </c>
      <c r="H50" s="159">
        <f>IF(I50="مخالفات",50,Basic3456789101112131415161718192021222324[[#This Row],[قيمة الرسوم / العموله]]+Basic3456789101112131415161718192021222324[[#This Row],[قيمة الشحنه]])</f>
        <v>0</v>
      </c>
      <c r="I50" s="90"/>
      <c r="J50" s="142" t="str">
        <f t="shared" si="0"/>
        <v>9.5.2026</v>
      </c>
      <c r="L50" s="153">
        <v>39</v>
      </c>
      <c r="M50" s="92"/>
    </row>
    <row r="51" spans="1:13" ht="21.6" x14ac:dyDescent="0.65">
      <c r="A51" s="195"/>
      <c r="B51" s="140">
        <v>48</v>
      </c>
      <c r="C51" s="2"/>
      <c r="D51" s="1"/>
      <c r="E51" s="3"/>
      <c r="F51" s="1"/>
      <c r="G51" s="141">
        <f>IF(Basic3456789101112131415161718192021222324[[#This Row],[نوع الخدمة]]="مخالفات", 50,
IF(Basic3456789101112131415161718192021222324[[#This Row],[نوع الخدمة]]="كاش ان",
    IF(F51&lt;=100, 18, IF(F51&lt;=250, 23, IF(F51&lt;=500, 35, IF(F51&lt;=1000, 40, F51*0.04)))),
IF(Basic3456789101112131415161718192021222324[[#This Row],[نوع الخدمة]]="كاش اوت",
    IF(F51&lt;=100, 15, IF(F51&lt;=250, 20, IF(F51&lt;=500, 30, IF(F51&lt;=1000, 35, F51*0.035)))),
0)))</f>
        <v>0</v>
      </c>
      <c r="H51" s="159">
        <f>IF(I51="مخالفات",50,Basic3456789101112131415161718192021222324[[#This Row],[قيمة الرسوم / العموله]]+Basic3456789101112131415161718192021222324[[#This Row],[قيمة الشحنه]])</f>
        <v>0</v>
      </c>
      <c r="I51" s="90"/>
      <c r="J51" s="142" t="str">
        <f t="shared" si="0"/>
        <v>9.5.2026</v>
      </c>
      <c r="L51" s="153">
        <v>40</v>
      </c>
      <c r="M51" s="92"/>
    </row>
    <row r="52" spans="1:13" ht="21.6" x14ac:dyDescent="0.65">
      <c r="A52" s="195"/>
      <c r="B52" s="140">
        <v>49</v>
      </c>
      <c r="C52" s="2"/>
      <c r="D52" s="1"/>
      <c r="E52" s="3"/>
      <c r="F52" s="1"/>
      <c r="G52" s="141">
        <f>IF(Basic3456789101112131415161718192021222324[[#This Row],[نوع الخدمة]]="مخالفات", 50,
IF(Basic3456789101112131415161718192021222324[[#This Row],[نوع الخدمة]]="كاش ان",
    IF(F52&lt;=100, 18, IF(F52&lt;=250, 23, IF(F52&lt;=500, 35, IF(F52&lt;=1000, 40, F52*0.04)))),
IF(Basic3456789101112131415161718192021222324[[#This Row],[نوع الخدمة]]="كاش اوت",
    IF(F52&lt;=100, 15, IF(F52&lt;=250, 20, IF(F52&lt;=500, 30, IF(F52&lt;=1000, 35, F52*0.035)))),
0)))</f>
        <v>0</v>
      </c>
      <c r="H52" s="159">
        <f>IF(I52="مخالفات",50,Basic3456789101112131415161718192021222324[[#This Row],[قيمة الرسوم / العموله]]+Basic3456789101112131415161718192021222324[[#This Row],[قيمة الشحنه]])</f>
        <v>0</v>
      </c>
      <c r="I52" s="90"/>
      <c r="J52" s="142" t="str">
        <f t="shared" si="0"/>
        <v>9.5.2026</v>
      </c>
      <c r="L52" s="153">
        <v>41</v>
      </c>
      <c r="M52" s="92"/>
    </row>
    <row r="53" spans="1:13" ht="21.6" x14ac:dyDescent="0.65">
      <c r="A53" s="195"/>
      <c r="B53" s="144">
        <v>50</v>
      </c>
      <c r="C53" s="2"/>
      <c r="D53" s="1"/>
      <c r="E53" s="3"/>
      <c r="F53" s="1"/>
      <c r="G53" s="141">
        <f>IF(Basic3456789101112131415161718192021222324[[#This Row],[نوع الخدمة]]="مخالفات", 50,
IF(Basic3456789101112131415161718192021222324[[#This Row],[نوع الخدمة]]="كاش ان",
    IF(F53&lt;=100, 18, IF(F53&lt;=250, 23, IF(F53&lt;=500, 35, IF(F53&lt;=1000, 40, F53*0.04)))),
IF(Basic3456789101112131415161718192021222324[[#This Row],[نوع الخدمة]]="كاش اوت",
    IF(F53&lt;=100, 15, IF(F53&lt;=250, 20, IF(F53&lt;=500, 30, IF(F53&lt;=1000, 35, F53*0.035)))),
0)))</f>
        <v>0</v>
      </c>
      <c r="H53" s="159">
        <f>IF(I53="مخالفات",50,Basic3456789101112131415161718192021222324[[#This Row],[قيمة الرسوم / العموله]]+Basic3456789101112131415161718192021222324[[#This Row],[قيمة الشحنه]])</f>
        <v>0</v>
      </c>
      <c r="I53" s="90"/>
      <c r="J53" s="142" t="str">
        <f t="shared" si="0"/>
        <v>9.5.2026</v>
      </c>
      <c r="L53" s="153">
        <v>42</v>
      </c>
      <c r="M53" s="92"/>
    </row>
    <row r="54" spans="1:13" ht="21.6" x14ac:dyDescent="0.65">
      <c r="A54" s="195"/>
      <c r="B54" s="140">
        <v>51</v>
      </c>
      <c r="C54" s="2"/>
      <c r="D54" s="1"/>
      <c r="E54" s="3"/>
      <c r="F54" s="1"/>
      <c r="G54" s="141">
        <f>IF(Basic3456789101112131415161718192021222324[[#This Row],[نوع الخدمة]]="مخالفات", 50,
IF(Basic3456789101112131415161718192021222324[[#This Row],[نوع الخدمة]]="كاش ان",
    IF(F54&lt;=100, 18, IF(F54&lt;=250, 23, IF(F54&lt;=500, 35, IF(F54&lt;=1000, 40, F54*0.04)))),
IF(Basic3456789101112131415161718192021222324[[#This Row],[نوع الخدمة]]="كاش اوت",
    IF(F54&lt;=100, 15, IF(F54&lt;=250, 20, IF(F54&lt;=500, 30, IF(F54&lt;=1000, 35, F54*0.035)))),
0)))</f>
        <v>0</v>
      </c>
      <c r="H54" s="159">
        <f>IF(I54="مخالفات",50,Basic3456789101112131415161718192021222324[[#This Row],[قيمة الرسوم / العموله]]+Basic3456789101112131415161718192021222324[[#This Row],[قيمة الشحنه]])</f>
        <v>0</v>
      </c>
      <c r="I54" s="90"/>
      <c r="J54" s="142" t="str">
        <f t="shared" si="0"/>
        <v>9.5.2026</v>
      </c>
      <c r="L54" s="153">
        <v>43</v>
      </c>
      <c r="M54" s="92"/>
    </row>
    <row r="55" spans="1:13" ht="21.6" x14ac:dyDescent="0.65">
      <c r="A55" s="195"/>
      <c r="B55" s="140">
        <v>52</v>
      </c>
      <c r="C55" s="2"/>
      <c r="D55" s="1"/>
      <c r="E55" s="3"/>
      <c r="F55" s="1"/>
      <c r="G55" s="141">
        <f>IF(Basic3456789101112131415161718192021222324[[#This Row],[نوع الخدمة]]="مخالفات", 50,
IF(Basic3456789101112131415161718192021222324[[#This Row],[نوع الخدمة]]="كاش ان",
    IF(F55&lt;=100, 18, IF(F55&lt;=250, 23, IF(F55&lt;=500, 35, IF(F55&lt;=1000, 40, F55*0.04)))),
IF(Basic3456789101112131415161718192021222324[[#This Row],[نوع الخدمة]]="كاش اوت",
    IF(F55&lt;=100, 15, IF(F55&lt;=250, 20, IF(F55&lt;=500, 30, IF(F55&lt;=1000, 35, F55*0.035)))),
0)))</f>
        <v>0</v>
      </c>
      <c r="H55" s="159">
        <f>IF(I55="مخالفات",50,Basic3456789101112131415161718192021222324[[#This Row],[قيمة الرسوم / العموله]]+Basic3456789101112131415161718192021222324[[#This Row],[قيمة الشحنه]])</f>
        <v>0</v>
      </c>
      <c r="I55" s="90"/>
      <c r="J55" s="142" t="str">
        <f t="shared" si="0"/>
        <v>9.5.2026</v>
      </c>
      <c r="L55" s="153">
        <v>44</v>
      </c>
      <c r="M55" s="92"/>
    </row>
    <row r="56" spans="1:13" ht="21.6" x14ac:dyDescent="0.65">
      <c r="A56" s="195"/>
      <c r="B56" s="140">
        <v>53</v>
      </c>
      <c r="C56" s="2"/>
      <c r="D56" s="1"/>
      <c r="E56" s="3"/>
      <c r="F56" s="1"/>
      <c r="G56" s="141">
        <f>IF(Basic3456789101112131415161718192021222324[[#This Row],[نوع الخدمة]]="مخالفات", 50,
IF(Basic3456789101112131415161718192021222324[[#This Row],[نوع الخدمة]]="كاش ان",
    IF(F56&lt;=100, 18, IF(F56&lt;=250, 23, IF(F56&lt;=500, 35, IF(F56&lt;=1000, 40, F56*0.04)))),
IF(Basic3456789101112131415161718192021222324[[#This Row],[نوع الخدمة]]="كاش اوت",
    IF(F56&lt;=100, 15, IF(F56&lt;=250, 20, IF(F56&lt;=500, 30, IF(F56&lt;=1000, 35, F56*0.035)))),
0)))</f>
        <v>0</v>
      </c>
      <c r="H56" s="159">
        <f>IF(I56="مخالفات",50,Basic3456789101112131415161718192021222324[[#This Row],[قيمة الرسوم / العموله]]+Basic3456789101112131415161718192021222324[[#This Row],[قيمة الشحنه]])</f>
        <v>0</v>
      </c>
      <c r="I56" s="90"/>
      <c r="J56" s="142" t="str">
        <f t="shared" si="0"/>
        <v>9.5.2026</v>
      </c>
      <c r="L56" s="153">
        <v>45</v>
      </c>
      <c r="M56" s="92"/>
    </row>
    <row r="57" spans="1:13" ht="21.6" x14ac:dyDescent="0.65">
      <c r="A57" s="195"/>
      <c r="B57" s="144">
        <v>54</v>
      </c>
      <c r="C57" s="2"/>
      <c r="D57" s="1"/>
      <c r="E57" s="3"/>
      <c r="F57" s="1"/>
      <c r="G57" s="141">
        <f>IF(Basic3456789101112131415161718192021222324[[#This Row],[نوع الخدمة]]="مخالفات", 50,
IF(Basic3456789101112131415161718192021222324[[#This Row],[نوع الخدمة]]="كاش ان",
    IF(F57&lt;=100, 18, IF(F57&lt;=250, 23, IF(F57&lt;=500, 35, IF(F57&lt;=1000, 40, F57*0.04)))),
IF(Basic3456789101112131415161718192021222324[[#This Row],[نوع الخدمة]]="كاش اوت",
    IF(F57&lt;=100, 15, IF(F57&lt;=250, 20, IF(F57&lt;=500, 30, IF(F57&lt;=1000, 35, F57*0.035)))),
0)))</f>
        <v>0</v>
      </c>
      <c r="H57" s="159">
        <f>IF(I57="مخالفات",50,Basic3456789101112131415161718192021222324[[#This Row],[قيمة الرسوم / العموله]]+Basic3456789101112131415161718192021222324[[#This Row],[قيمة الشحنه]])</f>
        <v>0</v>
      </c>
      <c r="I57" s="90"/>
      <c r="J57" s="142" t="str">
        <f t="shared" si="0"/>
        <v>9.5.2026</v>
      </c>
      <c r="L57" s="153">
        <v>46</v>
      </c>
      <c r="M57" s="92"/>
    </row>
    <row r="58" spans="1:13" ht="21.6" x14ac:dyDescent="0.65">
      <c r="A58" s="195"/>
      <c r="B58" s="140">
        <v>55</v>
      </c>
      <c r="C58" s="2"/>
      <c r="D58" s="1"/>
      <c r="E58" s="3"/>
      <c r="F58" s="1"/>
      <c r="G58" s="141">
        <f>IF(Basic3456789101112131415161718192021222324[[#This Row],[نوع الخدمة]]="مخالفات", 50,
IF(Basic3456789101112131415161718192021222324[[#This Row],[نوع الخدمة]]="كاش ان",
    IF(F58&lt;=100, 18, IF(F58&lt;=250, 23, IF(F58&lt;=500, 35, IF(F58&lt;=1000, 40, F58*0.04)))),
IF(Basic3456789101112131415161718192021222324[[#This Row],[نوع الخدمة]]="كاش اوت",
    IF(F58&lt;=100, 15, IF(F58&lt;=250, 20, IF(F58&lt;=500, 30, IF(F58&lt;=1000, 35, F58*0.035)))),
0)))</f>
        <v>0</v>
      </c>
      <c r="H58" s="159">
        <f>IF(I58="مخالفات",50,Basic3456789101112131415161718192021222324[[#This Row],[قيمة الرسوم / العموله]]+Basic3456789101112131415161718192021222324[[#This Row],[قيمة الشحنه]])</f>
        <v>0</v>
      </c>
      <c r="I58" s="90"/>
      <c r="J58" s="142" t="str">
        <f t="shared" si="0"/>
        <v>9.5.2026</v>
      </c>
      <c r="L58" s="153">
        <v>47</v>
      </c>
      <c r="M58" s="92"/>
    </row>
    <row r="59" spans="1:13" ht="21.6" x14ac:dyDescent="0.65">
      <c r="A59" s="195"/>
      <c r="B59" s="140">
        <v>56</v>
      </c>
      <c r="C59" s="2"/>
      <c r="D59" s="1"/>
      <c r="E59" s="3"/>
      <c r="F59" s="1"/>
      <c r="G59" s="141">
        <f>IF(Basic3456789101112131415161718192021222324[[#This Row],[نوع الخدمة]]="مخالفات", 50,
IF(Basic3456789101112131415161718192021222324[[#This Row],[نوع الخدمة]]="كاش ان",
    IF(F59&lt;=100, 18, IF(F59&lt;=250, 23, IF(F59&lt;=500, 35, IF(F59&lt;=1000, 40, F59*0.04)))),
IF(Basic3456789101112131415161718192021222324[[#This Row],[نوع الخدمة]]="كاش اوت",
    IF(F59&lt;=100, 15, IF(F59&lt;=250, 20, IF(F59&lt;=500, 30, IF(F59&lt;=1000, 35, F59*0.035)))),
0)))</f>
        <v>0</v>
      </c>
      <c r="H59" s="159">
        <f>IF(I59="مخالفات",50,Basic3456789101112131415161718192021222324[[#This Row],[قيمة الرسوم / العموله]]+Basic3456789101112131415161718192021222324[[#This Row],[قيمة الشحنه]])</f>
        <v>0</v>
      </c>
      <c r="I59" s="90"/>
      <c r="J59" s="142" t="str">
        <f t="shared" si="0"/>
        <v>9.5.2026</v>
      </c>
      <c r="L59" s="153">
        <v>48</v>
      </c>
      <c r="M59" s="92"/>
    </row>
    <row r="60" spans="1:13" ht="21.6" x14ac:dyDescent="0.65">
      <c r="A60" s="195"/>
      <c r="B60" s="140">
        <v>57</v>
      </c>
      <c r="C60" s="2"/>
      <c r="D60" s="1"/>
      <c r="E60" s="3"/>
      <c r="F60" s="1"/>
      <c r="G60" s="141">
        <f>IF(Basic3456789101112131415161718192021222324[[#This Row],[نوع الخدمة]]="مخالفات", 50,
IF(Basic3456789101112131415161718192021222324[[#This Row],[نوع الخدمة]]="كاش ان",
    IF(F60&lt;=100, 18, IF(F60&lt;=250, 23, IF(F60&lt;=500, 35, IF(F60&lt;=1000, 40, F60*0.04)))),
IF(Basic3456789101112131415161718192021222324[[#This Row],[نوع الخدمة]]="كاش اوت",
    IF(F60&lt;=100, 15, IF(F60&lt;=250, 20, IF(F60&lt;=500, 30, IF(F60&lt;=1000, 35, F60*0.035)))),
0)))</f>
        <v>0</v>
      </c>
      <c r="H60" s="159">
        <f>IF(I60="مخالفات",50,Basic3456789101112131415161718192021222324[[#This Row],[قيمة الرسوم / العموله]]+Basic3456789101112131415161718192021222324[[#This Row],[قيمة الشحنه]])</f>
        <v>0</v>
      </c>
      <c r="I60" s="90"/>
      <c r="J60" s="142" t="str">
        <f t="shared" si="0"/>
        <v>9.5.2026</v>
      </c>
      <c r="L60" s="153">
        <v>49</v>
      </c>
      <c r="M60" s="92"/>
    </row>
    <row r="61" spans="1:13" ht="21.6" x14ac:dyDescent="0.65">
      <c r="A61" s="195"/>
      <c r="B61" s="144">
        <v>58</v>
      </c>
      <c r="C61" s="2"/>
      <c r="D61" s="1"/>
      <c r="E61" s="3"/>
      <c r="F61" s="1"/>
      <c r="G61" s="141">
        <f>IF(Basic3456789101112131415161718192021222324[[#This Row],[نوع الخدمة]]="مخالفات", 50,
IF(Basic3456789101112131415161718192021222324[[#This Row],[نوع الخدمة]]="كاش ان",
    IF(F61&lt;=100, 18, IF(F61&lt;=250, 23, IF(F61&lt;=500, 35, IF(F61&lt;=1000, 40, F61*0.04)))),
IF(Basic3456789101112131415161718192021222324[[#This Row],[نوع الخدمة]]="كاش اوت",
    IF(F61&lt;=100, 15, IF(F61&lt;=250, 20, IF(F61&lt;=500, 30, IF(F61&lt;=1000, 35, F61*0.035)))),
0)))</f>
        <v>0</v>
      </c>
      <c r="H61" s="159">
        <f>IF(I61="مخالفات",50,Basic3456789101112131415161718192021222324[[#This Row],[قيمة الرسوم / العموله]]+Basic3456789101112131415161718192021222324[[#This Row],[قيمة الشحنه]])</f>
        <v>0</v>
      </c>
      <c r="I61" s="90"/>
      <c r="J61" s="142" t="str">
        <f t="shared" si="0"/>
        <v>9.5.2026</v>
      </c>
      <c r="L61" s="153">
        <v>50</v>
      </c>
      <c r="M61" s="92"/>
    </row>
    <row r="62" spans="1:13" ht="21.6" x14ac:dyDescent="0.65">
      <c r="A62" s="195"/>
      <c r="B62" s="140">
        <v>59</v>
      </c>
      <c r="C62" s="2"/>
      <c r="D62" s="1"/>
      <c r="E62" s="3"/>
      <c r="F62" s="1"/>
      <c r="G62" s="141">
        <f>IF(Basic3456789101112131415161718192021222324[[#This Row],[نوع الخدمة]]="مخالفات", 50,
IF(Basic3456789101112131415161718192021222324[[#This Row],[نوع الخدمة]]="كاش ان",
    IF(F62&lt;=100, 18, IF(F62&lt;=250, 23, IF(F62&lt;=500, 35, IF(F62&lt;=1000, 40, F62*0.04)))),
IF(Basic3456789101112131415161718192021222324[[#This Row],[نوع الخدمة]]="كاش اوت",
    IF(F62&lt;=100, 15, IF(F62&lt;=250, 20, IF(F62&lt;=500, 30, IF(F62&lt;=1000, 35, F62*0.035)))),
0)))</f>
        <v>0</v>
      </c>
      <c r="H62" s="159">
        <f>IF(I62="مخالفات",50,Basic3456789101112131415161718192021222324[[#This Row],[قيمة الرسوم / العموله]]+Basic3456789101112131415161718192021222324[[#This Row],[قيمة الشحنه]])</f>
        <v>0</v>
      </c>
      <c r="I62" s="90"/>
      <c r="J62" s="142" t="str">
        <f t="shared" si="0"/>
        <v>9.5.2026</v>
      </c>
      <c r="L62" s="153">
        <v>51</v>
      </c>
      <c r="M62" s="92"/>
    </row>
    <row r="63" spans="1:13" ht="21.6" x14ac:dyDescent="0.65">
      <c r="A63" s="195"/>
      <c r="B63" s="140">
        <v>60</v>
      </c>
      <c r="C63" s="2"/>
      <c r="D63" s="1"/>
      <c r="E63" s="3"/>
      <c r="F63" s="1"/>
      <c r="G63" s="141">
        <f>IF(Basic3456789101112131415161718192021222324[[#This Row],[نوع الخدمة]]="مخالفات", 50,
IF(Basic3456789101112131415161718192021222324[[#This Row],[نوع الخدمة]]="كاش ان",
    IF(F63&lt;=100, 18, IF(F63&lt;=250, 23, IF(F63&lt;=500, 35, IF(F63&lt;=1000, 40, F63*0.04)))),
IF(Basic3456789101112131415161718192021222324[[#This Row],[نوع الخدمة]]="كاش اوت",
    IF(F63&lt;=100, 15, IF(F63&lt;=250, 20, IF(F63&lt;=500, 30, IF(F63&lt;=1000, 35, F63*0.035)))),
0)))</f>
        <v>0</v>
      </c>
      <c r="H63" s="159">
        <f>IF(I63="مخالفات",50,Basic3456789101112131415161718192021222324[[#This Row],[قيمة الرسوم / العموله]]+Basic3456789101112131415161718192021222324[[#This Row],[قيمة الشحنه]])</f>
        <v>0</v>
      </c>
      <c r="I63" s="90"/>
      <c r="J63" s="142" t="str">
        <f t="shared" si="0"/>
        <v>9.5.2026</v>
      </c>
      <c r="L63" s="153">
        <v>52</v>
      </c>
      <c r="M63" s="92"/>
    </row>
    <row r="64" spans="1:13" ht="21.6" x14ac:dyDescent="0.65">
      <c r="A64" s="195"/>
      <c r="B64" s="140">
        <v>61</v>
      </c>
      <c r="C64" s="2"/>
      <c r="D64" s="1"/>
      <c r="E64" s="3"/>
      <c r="F64" s="1"/>
      <c r="G64" s="141">
        <f>IF(Basic3456789101112131415161718192021222324[[#This Row],[نوع الخدمة]]="مخالفات", 50,
IF(Basic3456789101112131415161718192021222324[[#This Row],[نوع الخدمة]]="كاش ان",
    IF(F64&lt;=100, 18, IF(F64&lt;=250, 23, IF(F64&lt;=500, 35, IF(F64&lt;=1000, 40, F64*0.04)))),
IF(Basic3456789101112131415161718192021222324[[#This Row],[نوع الخدمة]]="كاش اوت",
    IF(F64&lt;=100, 15, IF(F64&lt;=250, 20, IF(F64&lt;=500, 30, IF(F64&lt;=1000, 35, F64*0.035)))),
0)))</f>
        <v>0</v>
      </c>
      <c r="H64" s="159">
        <f>IF(I64="مخالفات",50,Basic3456789101112131415161718192021222324[[#This Row],[قيمة الرسوم / العموله]]+Basic3456789101112131415161718192021222324[[#This Row],[قيمة الشحنه]])</f>
        <v>0</v>
      </c>
      <c r="I64" s="90"/>
      <c r="J64" s="142" t="str">
        <f t="shared" si="0"/>
        <v>9.5.2026</v>
      </c>
      <c r="L64" s="153">
        <v>53</v>
      </c>
      <c r="M64" s="92"/>
    </row>
    <row r="65" spans="1:13" ht="21.6" x14ac:dyDescent="0.65">
      <c r="A65" s="195"/>
      <c r="B65" s="144">
        <v>62</v>
      </c>
      <c r="C65" s="2"/>
      <c r="D65" s="1"/>
      <c r="E65" s="3"/>
      <c r="F65" s="1"/>
      <c r="G65" s="141">
        <f>IF(Basic3456789101112131415161718192021222324[[#This Row],[نوع الخدمة]]="مخالفات", 50,
IF(Basic3456789101112131415161718192021222324[[#This Row],[نوع الخدمة]]="كاش ان",
    IF(F65&lt;=100, 18, IF(F65&lt;=250, 23, IF(F65&lt;=500, 35, IF(F65&lt;=1000, 40, F65*0.04)))),
IF(Basic3456789101112131415161718192021222324[[#This Row],[نوع الخدمة]]="كاش اوت",
    IF(F65&lt;=100, 15, IF(F65&lt;=250, 20, IF(F65&lt;=500, 30, IF(F65&lt;=1000, 35, F65*0.035)))),
0)))</f>
        <v>0</v>
      </c>
      <c r="H65" s="159">
        <f>IF(I65="مخالفات",50,Basic3456789101112131415161718192021222324[[#This Row],[قيمة الرسوم / العموله]]+Basic3456789101112131415161718192021222324[[#This Row],[قيمة الشحنه]])</f>
        <v>0</v>
      </c>
      <c r="I65" s="90"/>
      <c r="J65" s="142" t="str">
        <f t="shared" si="0"/>
        <v>9.5.2026</v>
      </c>
      <c r="L65" s="153">
        <v>54</v>
      </c>
      <c r="M65" s="92"/>
    </row>
    <row r="66" spans="1:13" ht="21.6" x14ac:dyDescent="0.65">
      <c r="A66" s="195"/>
      <c r="B66" s="140">
        <v>63</v>
      </c>
      <c r="C66" s="2"/>
      <c r="D66" s="1"/>
      <c r="E66" s="3"/>
      <c r="F66" s="1"/>
      <c r="G66" s="141">
        <f>IF(Basic3456789101112131415161718192021222324[[#This Row],[نوع الخدمة]]="مخالفات", 50,
IF(Basic3456789101112131415161718192021222324[[#This Row],[نوع الخدمة]]="كاش ان",
    IF(F66&lt;=100, 18, IF(F66&lt;=250, 23, IF(F66&lt;=500, 35, IF(F66&lt;=1000, 40, F66*0.04)))),
IF(Basic3456789101112131415161718192021222324[[#This Row],[نوع الخدمة]]="كاش اوت",
    IF(F66&lt;=100, 15, IF(F66&lt;=250, 20, IF(F66&lt;=500, 30, IF(F66&lt;=1000, 35, F66*0.035)))),
0)))</f>
        <v>0</v>
      </c>
      <c r="H66" s="159">
        <f>IF(I66="مخالفات",50,Basic3456789101112131415161718192021222324[[#This Row],[قيمة الرسوم / العموله]]+Basic3456789101112131415161718192021222324[[#This Row],[قيمة الشحنه]])</f>
        <v>0</v>
      </c>
      <c r="I66" s="90"/>
      <c r="J66" s="142" t="str">
        <f t="shared" si="0"/>
        <v>9.5.2026</v>
      </c>
      <c r="L66" s="153">
        <v>55</v>
      </c>
      <c r="M66" s="92"/>
    </row>
    <row r="67" spans="1:13" ht="21.6" x14ac:dyDescent="0.65">
      <c r="A67" s="195"/>
      <c r="B67" s="140">
        <v>64</v>
      </c>
      <c r="C67" s="2"/>
      <c r="D67" s="1"/>
      <c r="E67" s="3"/>
      <c r="F67" s="1"/>
      <c r="G67" s="141">
        <f>IF(Basic3456789101112131415161718192021222324[[#This Row],[نوع الخدمة]]="مخالفات", 50,
IF(Basic3456789101112131415161718192021222324[[#This Row],[نوع الخدمة]]="كاش ان",
    IF(F67&lt;=100, 18, IF(F67&lt;=250, 23, IF(F67&lt;=500, 35, IF(F67&lt;=1000, 40, F67*0.04)))),
IF(Basic3456789101112131415161718192021222324[[#This Row],[نوع الخدمة]]="كاش اوت",
    IF(F67&lt;=100, 15, IF(F67&lt;=250, 20, IF(F67&lt;=500, 30, IF(F67&lt;=1000, 35, F67*0.035)))),
0)))</f>
        <v>0</v>
      </c>
      <c r="H67" s="159">
        <f>IF(I67="مخالفات",50,Basic3456789101112131415161718192021222324[[#This Row],[قيمة الرسوم / العموله]]+Basic3456789101112131415161718192021222324[[#This Row],[قيمة الشحنه]])</f>
        <v>0</v>
      </c>
      <c r="I67" s="90"/>
      <c r="J67" s="142" t="str">
        <f t="shared" si="0"/>
        <v>9.5.2026</v>
      </c>
      <c r="L67" s="153">
        <v>56</v>
      </c>
      <c r="M67" s="92"/>
    </row>
    <row r="68" spans="1:13" ht="21.6" x14ac:dyDescent="0.65">
      <c r="A68" s="195"/>
      <c r="B68" s="140">
        <v>65</v>
      </c>
      <c r="C68" s="2"/>
      <c r="D68" s="1"/>
      <c r="E68" s="3"/>
      <c r="F68" s="1"/>
      <c r="G68" s="141">
        <f>IF(Basic3456789101112131415161718192021222324[[#This Row],[نوع الخدمة]]="مخالفات", 50,
IF(Basic3456789101112131415161718192021222324[[#This Row],[نوع الخدمة]]="كاش ان",
    IF(F68&lt;=100, 18, IF(F68&lt;=250, 23, IF(F68&lt;=500, 35, IF(F68&lt;=1000, 40, F68*0.04)))),
IF(Basic3456789101112131415161718192021222324[[#This Row],[نوع الخدمة]]="كاش اوت",
    IF(F68&lt;=100, 15, IF(F68&lt;=250, 20, IF(F68&lt;=500, 30, IF(F68&lt;=1000, 35, F68*0.035)))),
0)))</f>
        <v>0</v>
      </c>
      <c r="H68" s="159">
        <f>IF(I68="مخالفات",50,Basic3456789101112131415161718192021222324[[#This Row],[قيمة الرسوم / العموله]]+Basic3456789101112131415161718192021222324[[#This Row],[قيمة الشحنه]])</f>
        <v>0</v>
      </c>
      <c r="I68" s="90"/>
      <c r="J68" s="142" t="str">
        <f t="shared" ref="J68:J131" si="1">M$3</f>
        <v>9.5.2026</v>
      </c>
      <c r="L68" s="153">
        <v>57</v>
      </c>
      <c r="M68" s="92"/>
    </row>
    <row r="69" spans="1:13" ht="21.6" x14ac:dyDescent="0.65">
      <c r="A69" s="195"/>
      <c r="B69" s="144">
        <v>66</v>
      </c>
      <c r="C69" s="2"/>
      <c r="D69" s="1"/>
      <c r="E69" s="3"/>
      <c r="F69" s="1"/>
      <c r="G69" s="141">
        <f>IF(Basic3456789101112131415161718192021222324[[#This Row],[نوع الخدمة]]="مخالفات", 50,
IF(Basic3456789101112131415161718192021222324[[#This Row],[نوع الخدمة]]="كاش ان",
    IF(F69&lt;=100, 18, IF(F69&lt;=250, 23, IF(F69&lt;=500, 35, IF(F69&lt;=1000, 40, F69*0.04)))),
IF(Basic3456789101112131415161718192021222324[[#This Row],[نوع الخدمة]]="كاش اوت",
    IF(F69&lt;=100, 15, IF(F69&lt;=250, 20, IF(F69&lt;=500, 30, IF(F69&lt;=1000, 35, F69*0.035)))),
0)))</f>
        <v>0</v>
      </c>
      <c r="H69" s="159">
        <f>IF(I69="مخالفات",50,Basic3456789101112131415161718192021222324[[#This Row],[قيمة الرسوم / العموله]]+Basic3456789101112131415161718192021222324[[#This Row],[قيمة الشحنه]])</f>
        <v>0</v>
      </c>
      <c r="I69" s="90"/>
      <c r="J69" s="142" t="str">
        <f t="shared" si="1"/>
        <v>9.5.2026</v>
      </c>
      <c r="L69" s="153">
        <v>58</v>
      </c>
      <c r="M69" s="92"/>
    </row>
    <row r="70" spans="1:13" ht="21.6" x14ac:dyDescent="0.65">
      <c r="A70" s="195"/>
      <c r="B70" s="140">
        <v>67</v>
      </c>
      <c r="C70" s="2"/>
      <c r="D70" s="1"/>
      <c r="E70" s="3"/>
      <c r="F70" s="1"/>
      <c r="G70" s="141">
        <f>IF(Basic3456789101112131415161718192021222324[[#This Row],[نوع الخدمة]]="مخالفات", 50,
IF(Basic3456789101112131415161718192021222324[[#This Row],[نوع الخدمة]]="كاش ان",
    IF(F70&lt;=100, 18, IF(F70&lt;=250, 23, IF(F70&lt;=500, 35, IF(F70&lt;=1000, 40, F70*0.04)))),
IF(Basic3456789101112131415161718192021222324[[#This Row],[نوع الخدمة]]="كاش اوت",
    IF(F70&lt;=100, 15, IF(F70&lt;=250, 20, IF(F70&lt;=500, 30, IF(F70&lt;=1000, 35, F70*0.035)))),
0)))</f>
        <v>0</v>
      </c>
      <c r="H70" s="159">
        <f>IF(I70="مخالفات",50,Basic3456789101112131415161718192021222324[[#This Row],[قيمة الرسوم / العموله]]+Basic3456789101112131415161718192021222324[[#This Row],[قيمة الشحنه]])</f>
        <v>0</v>
      </c>
      <c r="I70" s="90"/>
      <c r="J70" s="142" t="str">
        <f t="shared" si="1"/>
        <v>9.5.2026</v>
      </c>
      <c r="L70" s="153">
        <v>59</v>
      </c>
      <c r="M70" s="92"/>
    </row>
    <row r="71" spans="1:13" ht="21.6" x14ac:dyDescent="0.65">
      <c r="A71" s="195"/>
      <c r="B71" s="140">
        <v>68</v>
      </c>
      <c r="C71" s="2"/>
      <c r="D71" s="1"/>
      <c r="E71" s="3"/>
      <c r="F71" s="1"/>
      <c r="G71" s="141">
        <f>IF(Basic3456789101112131415161718192021222324[[#This Row],[نوع الخدمة]]="مخالفات", 50,
IF(Basic3456789101112131415161718192021222324[[#This Row],[نوع الخدمة]]="كاش ان",
    IF(F71&lt;=100, 18, IF(F71&lt;=250, 23, IF(F71&lt;=500, 35, IF(F71&lt;=1000, 40, F71*0.04)))),
IF(Basic3456789101112131415161718192021222324[[#This Row],[نوع الخدمة]]="كاش اوت",
    IF(F71&lt;=100, 15, IF(F71&lt;=250, 20, IF(F71&lt;=500, 30, IF(F71&lt;=1000, 35, F71*0.035)))),
0)))</f>
        <v>0</v>
      </c>
      <c r="H71" s="159">
        <f>IF(I71="مخالفات",50,Basic3456789101112131415161718192021222324[[#This Row],[قيمة الرسوم / العموله]]+Basic3456789101112131415161718192021222324[[#This Row],[قيمة الشحنه]])</f>
        <v>0</v>
      </c>
      <c r="I71" s="90"/>
      <c r="J71" s="142" t="str">
        <f t="shared" si="1"/>
        <v>9.5.2026</v>
      </c>
      <c r="L71" s="153">
        <v>60</v>
      </c>
      <c r="M71" s="92"/>
    </row>
    <row r="72" spans="1:13" ht="21.6" x14ac:dyDescent="0.65">
      <c r="A72" s="195"/>
      <c r="B72" s="140">
        <v>69</v>
      </c>
      <c r="C72" s="2"/>
      <c r="D72" s="1"/>
      <c r="E72" s="3"/>
      <c r="F72" s="1"/>
      <c r="G72" s="141">
        <f>IF(Basic3456789101112131415161718192021222324[[#This Row],[نوع الخدمة]]="مخالفات", 50,
IF(Basic3456789101112131415161718192021222324[[#This Row],[نوع الخدمة]]="كاش ان",
    IF(F72&lt;=100, 18, IF(F72&lt;=250, 23, IF(F72&lt;=500, 35, IF(F72&lt;=1000, 40, F72*0.04)))),
IF(Basic3456789101112131415161718192021222324[[#This Row],[نوع الخدمة]]="كاش اوت",
    IF(F72&lt;=100, 15, IF(F72&lt;=250, 20, IF(F72&lt;=500, 30, IF(F72&lt;=1000, 35, F72*0.035)))),
0)))</f>
        <v>0</v>
      </c>
      <c r="H72" s="159">
        <f>IF(I72="مخالفات",50,Basic3456789101112131415161718192021222324[[#This Row],[قيمة الرسوم / العموله]]+Basic3456789101112131415161718192021222324[[#This Row],[قيمة الشحنه]])</f>
        <v>0</v>
      </c>
      <c r="I72" s="90"/>
      <c r="J72" s="142" t="str">
        <f t="shared" si="1"/>
        <v>9.5.2026</v>
      </c>
      <c r="L72" s="153">
        <v>61</v>
      </c>
      <c r="M72" s="92"/>
    </row>
    <row r="73" spans="1:13" ht="21.6" x14ac:dyDescent="0.65">
      <c r="A73" s="195"/>
      <c r="B73" s="144">
        <v>70</v>
      </c>
      <c r="C73" s="2"/>
      <c r="D73" s="1"/>
      <c r="E73" s="3"/>
      <c r="F73" s="1"/>
      <c r="G73" s="141">
        <f>IF(Basic3456789101112131415161718192021222324[[#This Row],[نوع الخدمة]]="مخالفات", 50,
IF(Basic3456789101112131415161718192021222324[[#This Row],[نوع الخدمة]]="كاش ان",
    IF(F73&lt;=100, 18, IF(F73&lt;=250, 23, IF(F73&lt;=500, 35, IF(F73&lt;=1000, 40, F73*0.04)))),
IF(Basic3456789101112131415161718192021222324[[#This Row],[نوع الخدمة]]="كاش اوت",
    IF(F73&lt;=100, 15, IF(F73&lt;=250, 20, IF(F73&lt;=500, 30, IF(F73&lt;=1000, 35, F73*0.035)))),
0)))</f>
        <v>0</v>
      </c>
      <c r="H73" s="159">
        <f>IF(I73="مخالفات",50,Basic3456789101112131415161718192021222324[[#This Row],[قيمة الرسوم / العموله]]+Basic3456789101112131415161718192021222324[[#This Row],[قيمة الشحنه]])</f>
        <v>0</v>
      </c>
      <c r="I73" s="90"/>
      <c r="J73" s="142" t="str">
        <f t="shared" si="1"/>
        <v>9.5.2026</v>
      </c>
      <c r="L73" s="153">
        <v>62</v>
      </c>
      <c r="M73" s="92"/>
    </row>
    <row r="74" spans="1:13" ht="21.6" x14ac:dyDescent="0.65">
      <c r="A74" s="195"/>
      <c r="B74" s="140">
        <v>71</v>
      </c>
      <c r="C74" s="2"/>
      <c r="D74" s="1"/>
      <c r="E74" s="3"/>
      <c r="F74" s="1"/>
      <c r="G74" s="141">
        <f>IF(Basic3456789101112131415161718192021222324[[#This Row],[نوع الخدمة]]="مخالفات", 50,
IF(Basic3456789101112131415161718192021222324[[#This Row],[نوع الخدمة]]="كاش ان",
    IF(F74&lt;=100, 18, IF(F74&lt;=250, 23, IF(F74&lt;=500, 35, IF(F74&lt;=1000, 40, F74*0.04)))),
IF(Basic3456789101112131415161718192021222324[[#This Row],[نوع الخدمة]]="كاش اوت",
    IF(F74&lt;=100, 15, IF(F74&lt;=250, 20, IF(F74&lt;=500, 30, IF(F74&lt;=1000, 35, F74*0.035)))),
0)))</f>
        <v>0</v>
      </c>
      <c r="H74" s="159">
        <f>IF(I74="مخالفات",50,Basic3456789101112131415161718192021222324[[#This Row],[قيمة الرسوم / العموله]]+Basic3456789101112131415161718192021222324[[#This Row],[قيمة الشحنه]])</f>
        <v>0</v>
      </c>
      <c r="I74" s="90"/>
      <c r="J74" s="142" t="str">
        <f t="shared" si="1"/>
        <v>9.5.2026</v>
      </c>
      <c r="L74" s="153">
        <v>63</v>
      </c>
      <c r="M74" s="92"/>
    </row>
    <row r="75" spans="1:13" ht="21.6" x14ac:dyDescent="0.65">
      <c r="A75" s="195"/>
      <c r="B75" s="140">
        <v>72</v>
      </c>
      <c r="C75" s="2"/>
      <c r="D75" s="1"/>
      <c r="E75" s="3"/>
      <c r="F75" s="1"/>
      <c r="G75" s="141">
        <f>IF(Basic3456789101112131415161718192021222324[[#This Row],[نوع الخدمة]]="مخالفات", 50,
IF(Basic3456789101112131415161718192021222324[[#This Row],[نوع الخدمة]]="كاش ان",
    IF(F75&lt;=100, 18, IF(F75&lt;=250, 23, IF(F75&lt;=500, 35, IF(F75&lt;=1000, 40, F75*0.04)))),
IF(Basic3456789101112131415161718192021222324[[#This Row],[نوع الخدمة]]="كاش اوت",
    IF(F75&lt;=100, 15, IF(F75&lt;=250, 20, IF(F75&lt;=500, 30, IF(F75&lt;=1000, 35, F75*0.035)))),
0)))</f>
        <v>0</v>
      </c>
      <c r="H75" s="159">
        <f>IF(I75="مخالفات",50,Basic3456789101112131415161718192021222324[[#This Row],[قيمة الرسوم / العموله]]+Basic3456789101112131415161718192021222324[[#This Row],[قيمة الشحنه]])</f>
        <v>0</v>
      </c>
      <c r="I75" s="90"/>
      <c r="J75" s="142" t="str">
        <f t="shared" si="1"/>
        <v>9.5.2026</v>
      </c>
      <c r="L75" s="153">
        <v>64</v>
      </c>
      <c r="M75" s="92"/>
    </row>
    <row r="76" spans="1:13" ht="21.6" x14ac:dyDescent="0.65">
      <c r="A76" s="195"/>
      <c r="B76" s="140">
        <v>73</v>
      </c>
      <c r="C76" s="2"/>
      <c r="D76" s="1"/>
      <c r="E76" s="3"/>
      <c r="F76" s="1"/>
      <c r="G76" s="141">
        <f>IF(Basic3456789101112131415161718192021222324[[#This Row],[نوع الخدمة]]="مخالفات", 50,
IF(Basic3456789101112131415161718192021222324[[#This Row],[نوع الخدمة]]="كاش ان",
    IF(F76&lt;=100, 18, IF(F76&lt;=250, 23, IF(F76&lt;=500, 35, IF(F76&lt;=1000, 40, F76*0.04)))),
IF(Basic3456789101112131415161718192021222324[[#This Row],[نوع الخدمة]]="كاش اوت",
    IF(F76&lt;=100, 15, IF(F76&lt;=250, 20, IF(F76&lt;=500, 30, IF(F76&lt;=1000, 35, F76*0.035)))),
0)))</f>
        <v>0</v>
      </c>
      <c r="H76" s="159">
        <f>IF(I76="مخالفات",50,Basic3456789101112131415161718192021222324[[#This Row],[قيمة الرسوم / العموله]]+Basic3456789101112131415161718192021222324[[#This Row],[قيمة الشحنه]])</f>
        <v>0</v>
      </c>
      <c r="I76" s="90"/>
      <c r="J76" s="142" t="str">
        <f t="shared" si="1"/>
        <v>9.5.2026</v>
      </c>
      <c r="L76" s="153">
        <v>65</v>
      </c>
      <c r="M76" s="92"/>
    </row>
    <row r="77" spans="1:13" ht="21.6" x14ac:dyDescent="0.65">
      <c r="A77" s="195"/>
      <c r="B77" s="144">
        <v>74</v>
      </c>
      <c r="C77" s="2"/>
      <c r="D77" s="1"/>
      <c r="E77" s="3"/>
      <c r="F77" s="1"/>
      <c r="G77" s="141">
        <f>IF(Basic3456789101112131415161718192021222324[[#This Row],[نوع الخدمة]]="مخالفات", 50,
IF(Basic3456789101112131415161718192021222324[[#This Row],[نوع الخدمة]]="كاش ان",
    IF(F77&lt;=100, 18, IF(F77&lt;=250, 23, IF(F77&lt;=500, 35, IF(F77&lt;=1000, 40, F77*0.04)))),
IF(Basic3456789101112131415161718192021222324[[#This Row],[نوع الخدمة]]="كاش اوت",
    IF(F77&lt;=100, 15, IF(F77&lt;=250, 20, IF(F77&lt;=500, 30, IF(F77&lt;=1000, 35, F77*0.035)))),
0)))</f>
        <v>0</v>
      </c>
      <c r="H77" s="159">
        <f>IF(I77="مخالفات",50,Basic3456789101112131415161718192021222324[[#This Row],[قيمة الرسوم / العموله]]+Basic3456789101112131415161718192021222324[[#This Row],[قيمة الشحنه]])</f>
        <v>0</v>
      </c>
      <c r="I77" s="90"/>
      <c r="J77" s="142" t="str">
        <f t="shared" si="1"/>
        <v>9.5.2026</v>
      </c>
      <c r="L77" s="153">
        <v>66</v>
      </c>
      <c r="M77" s="92"/>
    </row>
    <row r="78" spans="1:13" ht="21.6" x14ac:dyDescent="0.65">
      <c r="A78" s="195"/>
      <c r="B78" s="140">
        <v>75</v>
      </c>
      <c r="C78" s="2"/>
      <c r="D78" s="1"/>
      <c r="E78" s="3"/>
      <c r="F78" s="1"/>
      <c r="G78" s="141">
        <f>IF(Basic3456789101112131415161718192021222324[[#This Row],[نوع الخدمة]]="مخالفات", 50,
IF(Basic3456789101112131415161718192021222324[[#This Row],[نوع الخدمة]]="كاش ان",
    IF(F78&lt;=100, 18, IF(F78&lt;=250, 23, IF(F78&lt;=500, 35, IF(F78&lt;=1000, 40, F78*0.04)))),
IF(Basic3456789101112131415161718192021222324[[#This Row],[نوع الخدمة]]="كاش اوت",
    IF(F78&lt;=100, 15, IF(F78&lt;=250, 20, IF(F78&lt;=500, 30, IF(F78&lt;=1000, 35, F78*0.035)))),
0)))</f>
        <v>0</v>
      </c>
      <c r="H78" s="159">
        <f>IF(I78="مخالفات",50,Basic3456789101112131415161718192021222324[[#This Row],[قيمة الرسوم / العموله]]+Basic3456789101112131415161718192021222324[[#This Row],[قيمة الشحنه]])</f>
        <v>0</v>
      </c>
      <c r="I78" s="90"/>
      <c r="J78" s="142" t="str">
        <f t="shared" si="1"/>
        <v>9.5.2026</v>
      </c>
      <c r="L78" s="153">
        <v>67</v>
      </c>
      <c r="M78" s="92"/>
    </row>
    <row r="79" spans="1:13" ht="21.6" x14ac:dyDescent="0.65">
      <c r="A79" s="195"/>
      <c r="B79" s="140">
        <v>76</v>
      </c>
      <c r="C79" s="2"/>
      <c r="D79" s="1"/>
      <c r="E79" s="3"/>
      <c r="F79" s="1"/>
      <c r="G79" s="141">
        <f>IF(Basic3456789101112131415161718192021222324[[#This Row],[نوع الخدمة]]="مخالفات", 50,
IF(Basic3456789101112131415161718192021222324[[#This Row],[نوع الخدمة]]="كاش ان",
    IF(F79&lt;=100, 18, IF(F79&lt;=250, 23, IF(F79&lt;=500, 35, IF(F79&lt;=1000, 40, F79*0.04)))),
IF(Basic3456789101112131415161718192021222324[[#This Row],[نوع الخدمة]]="كاش اوت",
    IF(F79&lt;=100, 15, IF(F79&lt;=250, 20, IF(F79&lt;=500, 30, IF(F79&lt;=1000, 35, F79*0.035)))),
0)))</f>
        <v>0</v>
      </c>
      <c r="H79" s="159">
        <f>IF(I79="مخالفات",50,Basic3456789101112131415161718192021222324[[#This Row],[قيمة الرسوم / العموله]]+Basic3456789101112131415161718192021222324[[#This Row],[قيمة الشحنه]])</f>
        <v>0</v>
      </c>
      <c r="I79" s="90"/>
      <c r="J79" s="142" t="str">
        <f t="shared" si="1"/>
        <v>9.5.2026</v>
      </c>
      <c r="L79" s="153">
        <v>68</v>
      </c>
      <c r="M79" s="92"/>
    </row>
    <row r="80" spans="1:13" ht="21.6" x14ac:dyDescent="0.65">
      <c r="A80" s="195"/>
      <c r="B80" s="140">
        <v>77</v>
      </c>
      <c r="C80" s="2"/>
      <c r="D80" s="1"/>
      <c r="E80" s="3"/>
      <c r="F80" s="1"/>
      <c r="G80" s="141">
        <f>IF(Basic3456789101112131415161718192021222324[[#This Row],[نوع الخدمة]]="مخالفات", 50,
IF(Basic3456789101112131415161718192021222324[[#This Row],[نوع الخدمة]]="كاش ان",
    IF(F80&lt;=100, 18, IF(F80&lt;=250, 23, IF(F80&lt;=500, 35, IF(F80&lt;=1000, 40, F80*0.04)))),
IF(Basic3456789101112131415161718192021222324[[#This Row],[نوع الخدمة]]="كاش اوت",
    IF(F80&lt;=100, 15, IF(F80&lt;=250, 20, IF(F80&lt;=500, 30, IF(F80&lt;=1000, 35, F80*0.035)))),
0)))</f>
        <v>0</v>
      </c>
      <c r="H80" s="159">
        <f>IF(I80="مخالفات",50,Basic3456789101112131415161718192021222324[[#This Row],[قيمة الرسوم / العموله]]+Basic3456789101112131415161718192021222324[[#This Row],[قيمة الشحنه]])</f>
        <v>0</v>
      </c>
      <c r="I80" s="90"/>
      <c r="J80" s="142" t="str">
        <f t="shared" si="1"/>
        <v>9.5.2026</v>
      </c>
      <c r="L80" s="153">
        <v>69</v>
      </c>
      <c r="M80" s="92"/>
    </row>
    <row r="81" spans="1:13" ht="21.6" x14ac:dyDescent="0.65">
      <c r="A81" s="195"/>
      <c r="B81" s="144">
        <v>78</v>
      </c>
      <c r="C81" s="2"/>
      <c r="D81" s="1"/>
      <c r="E81" s="3"/>
      <c r="F81" s="1"/>
      <c r="G81" s="141">
        <f>IF(Basic3456789101112131415161718192021222324[[#This Row],[نوع الخدمة]]="مخالفات", 50,
IF(Basic3456789101112131415161718192021222324[[#This Row],[نوع الخدمة]]="كاش ان",
    IF(F81&lt;=100, 18, IF(F81&lt;=250, 23, IF(F81&lt;=500, 35, IF(F81&lt;=1000, 40, F81*0.04)))),
IF(Basic3456789101112131415161718192021222324[[#This Row],[نوع الخدمة]]="كاش اوت",
    IF(F81&lt;=100, 15, IF(F81&lt;=250, 20, IF(F81&lt;=500, 30, IF(F81&lt;=1000, 35, F81*0.035)))),
0)))</f>
        <v>0</v>
      </c>
      <c r="H81" s="159">
        <f>IF(I81="مخالفات",50,Basic3456789101112131415161718192021222324[[#This Row],[قيمة الرسوم / العموله]]+Basic3456789101112131415161718192021222324[[#This Row],[قيمة الشحنه]])</f>
        <v>0</v>
      </c>
      <c r="I81" s="90"/>
      <c r="J81" s="142" t="str">
        <f t="shared" si="1"/>
        <v>9.5.2026</v>
      </c>
      <c r="L81" s="153">
        <v>70</v>
      </c>
      <c r="M81" s="92"/>
    </row>
    <row r="82" spans="1:13" ht="21.6" x14ac:dyDescent="0.65">
      <c r="A82" s="195"/>
      <c r="B82" s="140">
        <v>79</v>
      </c>
      <c r="C82" s="2"/>
      <c r="D82" s="1"/>
      <c r="E82" s="3"/>
      <c r="F82" s="1"/>
      <c r="G82" s="141">
        <f>IF(Basic3456789101112131415161718192021222324[[#This Row],[نوع الخدمة]]="مخالفات", 50,
IF(Basic3456789101112131415161718192021222324[[#This Row],[نوع الخدمة]]="كاش ان",
    IF(F82&lt;=100, 18, IF(F82&lt;=250, 23, IF(F82&lt;=500, 35, IF(F82&lt;=1000, 40, F82*0.04)))),
IF(Basic3456789101112131415161718192021222324[[#This Row],[نوع الخدمة]]="كاش اوت",
    IF(F82&lt;=100, 15, IF(F82&lt;=250, 20, IF(F82&lt;=500, 30, IF(F82&lt;=1000, 35, F82*0.035)))),
0)))</f>
        <v>0</v>
      </c>
      <c r="H82" s="159">
        <f>IF(I82="مخالفات",50,Basic3456789101112131415161718192021222324[[#This Row],[قيمة الرسوم / العموله]]+Basic3456789101112131415161718192021222324[[#This Row],[قيمة الشحنه]])</f>
        <v>0</v>
      </c>
      <c r="I82" s="90"/>
      <c r="J82" s="142" t="str">
        <f t="shared" si="1"/>
        <v>9.5.2026</v>
      </c>
      <c r="L82" s="153">
        <v>71</v>
      </c>
      <c r="M82" s="92"/>
    </row>
    <row r="83" spans="1:13" ht="21.6" x14ac:dyDescent="0.65">
      <c r="A83" s="195"/>
      <c r="B83" s="140">
        <v>80</v>
      </c>
      <c r="C83" s="2"/>
      <c r="D83" s="1"/>
      <c r="E83" s="3"/>
      <c r="F83" s="1"/>
      <c r="G83" s="141">
        <f>IF(Basic3456789101112131415161718192021222324[[#This Row],[نوع الخدمة]]="مخالفات", 50,
IF(Basic3456789101112131415161718192021222324[[#This Row],[نوع الخدمة]]="كاش ان",
    IF(F83&lt;=100, 18, IF(F83&lt;=250, 23, IF(F83&lt;=500, 35, IF(F83&lt;=1000, 40, F83*0.04)))),
IF(Basic3456789101112131415161718192021222324[[#This Row],[نوع الخدمة]]="كاش اوت",
    IF(F83&lt;=100, 15, IF(F83&lt;=250, 20, IF(F83&lt;=500, 30, IF(F83&lt;=1000, 35, F83*0.035)))),
0)))</f>
        <v>0</v>
      </c>
      <c r="H83" s="159">
        <f>IF(I83="مخالفات",50,Basic3456789101112131415161718192021222324[[#This Row],[قيمة الرسوم / العموله]]+Basic3456789101112131415161718192021222324[[#This Row],[قيمة الشحنه]])</f>
        <v>0</v>
      </c>
      <c r="I83" s="90"/>
      <c r="J83" s="142" t="str">
        <f t="shared" si="1"/>
        <v>9.5.2026</v>
      </c>
      <c r="L83" s="153">
        <v>72</v>
      </c>
      <c r="M83" s="92"/>
    </row>
    <row r="84" spans="1:13" ht="21.6" x14ac:dyDescent="0.65">
      <c r="A84" s="195"/>
      <c r="B84" s="140">
        <v>81</v>
      </c>
      <c r="C84" s="2"/>
      <c r="D84" s="1"/>
      <c r="E84" s="3"/>
      <c r="F84" s="1"/>
      <c r="G84" s="141">
        <f>IF(Basic3456789101112131415161718192021222324[[#This Row],[نوع الخدمة]]="مخالفات", 50,
IF(Basic3456789101112131415161718192021222324[[#This Row],[نوع الخدمة]]="كاش ان",
    IF(F84&lt;=100, 18, IF(F84&lt;=250, 23, IF(F84&lt;=500, 35, IF(F84&lt;=1000, 40, F84*0.04)))),
IF(Basic3456789101112131415161718192021222324[[#This Row],[نوع الخدمة]]="كاش اوت",
    IF(F84&lt;=100, 15, IF(F84&lt;=250, 20, IF(F84&lt;=500, 30, IF(F84&lt;=1000, 35, F84*0.035)))),
0)))</f>
        <v>0</v>
      </c>
      <c r="H84" s="159">
        <f>IF(I84="مخالفات",50,Basic3456789101112131415161718192021222324[[#This Row],[قيمة الرسوم / العموله]]+Basic3456789101112131415161718192021222324[[#This Row],[قيمة الشحنه]])</f>
        <v>0</v>
      </c>
      <c r="I84" s="90"/>
      <c r="J84" s="142" t="str">
        <f t="shared" si="1"/>
        <v>9.5.2026</v>
      </c>
      <c r="L84" s="153">
        <v>73</v>
      </c>
      <c r="M84" s="92"/>
    </row>
    <row r="85" spans="1:13" ht="21.6" x14ac:dyDescent="0.65">
      <c r="A85" s="195"/>
      <c r="B85" s="144">
        <v>82</v>
      </c>
      <c r="C85" s="2"/>
      <c r="D85" s="1"/>
      <c r="E85" s="3"/>
      <c r="F85" s="1"/>
      <c r="G85" s="141">
        <f>IF(Basic3456789101112131415161718192021222324[[#This Row],[نوع الخدمة]]="مخالفات", 50,
IF(Basic3456789101112131415161718192021222324[[#This Row],[نوع الخدمة]]="كاش ان",
    IF(F85&lt;=100, 18, IF(F85&lt;=250, 23, IF(F85&lt;=500, 35, IF(F85&lt;=1000, 40, F85*0.04)))),
IF(Basic3456789101112131415161718192021222324[[#This Row],[نوع الخدمة]]="كاش اوت",
    IF(F85&lt;=100, 15, IF(F85&lt;=250, 20, IF(F85&lt;=500, 30, IF(F85&lt;=1000, 35, F85*0.035)))),
0)))</f>
        <v>0</v>
      </c>
      <c r="H85" s="159">
        <f>IF(I85="مخالفات",50,Basic3456789101112131415161718192021222324[[#This Row],[قيمة الرسوم / العموله]]+Basic3456789101112131415161718192021222324[[#This Row],[قيمة الشحنه]])</f>
        <v>0</v>
      </c>
      <c r="I85" s="90"/>
      <c r="J85" s="142" t="str">
        <f t="shared" si="1"/>
        <v>9.5.2026</v>
      </c>
      <c r="L85" s="153">
        <v>74</v>
      </c>
      <c r="M85" s="92"/>
    </row>
    <row r="86" spans="1:13" ht="21.6" x14ac:dyDescent="0.65">
      <c r="A86" s="195"/>
      <c r="B86" s="140">
        <v>83</v>
      </c>
      <c r="C86" s="2"/>
      <c r="D86" s="1"/>
      <c r="E86" s="3"/>
      <c r="F86" s="1"/>
      <c r="G86" s="141">
        <f>IF(Basic3456789101112131415161718192021222324[[#This Row],[نوع الخدمة]]="مخالفات", 50,
IF(Basic3456789101112131415161718192021222324[[#This Row],[نوع الخدمة]]="كاش ان",
    IF(F86&lt;=100, 18, IF(F86&lt;=250, 23, IF(F86&lt;=500, 35, IF(F86&lt;=1000, 40, F86*0.04)))),
IF(Basic3456789101112131415161718192021222324[[#This Row],[نوع الخدمة]]="كاش اوت",
    IF(F86&lt;=100, 15, IF(F86&lt;=250, 20, IF(F86&lt;=500, 30, IF(F86&lt;=1000, 35, F86*0.035)))),
0)))</f>
        <v>0</v>
      </c>
      <c r="H86" s="159">
        <f>IF(I86="مخالفات",50,Basic3456789101112131415161718192021222324[[#This Row],[قيمة الرسوم / العموله]]+Basic3456789101112131415161718192021222324[[#This Row],[قيمة الشحنه]])</f>
        <v>0</v>
      </c>
      <c r="I86" s="90"/>
      <c r="J86" s="142" t="str">
        <f t="shared" si="1"/>
        <v>9.5.2026</v>
      </c>
      <c r="L86" s="153">
        <v>75</v>
      </c>
      <c r="M86" s="92"/>
    </row>
    <row r="87" spans="1:13" ht="21.6" x14ac:dyDescent="0.65">
      <c r="A87" s="195"/>
      <c r="B87" s="140">
        <v>84</v>
      </c>
      <c r="C87" s="2"/>
      <c r="D87" s="1"/>
      <c r="E87" s="3"/>
      <c r="F87" s="1"/>
      <c r="G87" s="141">
        <f>IF(Basic3456789101112131415161718192021222324[[#This Row],[نوع الخدمة]]="مخالفات", 50,
IF(Basic3456789101112131415161718192021222324[[#This Row],[نوع الخدمة]]="كاش ان",
    IF(F87&lt;=100, 18, IF(F87&lt;=250, 23, IF(F87&lt;=500, 35, IF(F87&lt;=1000, 40, F87*0.04)))),
IF(Basic3456789101112131415161718192021222324[[#This Row],[نوع الخدمة]]="كاش اوت",
    IF(F87&lt;=100, 15, IF(F87&lt;=250, 20, IF(F87&lt;=500, 30, IF(F87&lt;=1000, 35, F87*0.035)))),
0)))</f>
        <v>0</v>
      </c>
      <c r="H87" s="159">
        <f>IF(I87="مخالفات",50,Basic3456789101112131415161718192021222324[[#This Row],[قيمة الرسوم / العموله]]+Basic3456789101112131415161718192021222324[[#This Row],[قيمة الشحنه]])</f>
        <v>0</v>
      </c>
      <c r="I87" s="90"/>
      <c r="J87" s="142" t="str">
        <f t="shared" si="1"/>
        <v>9.5.2026</v>
      </c>
      <c r="L87" s="153">
        <v>76</v>
      </c>
      <c r="M87" s="92"/>
    </row>
    <row r="88" spans="1:13" ht="21.6" x14ac:dyDescent="0.65">
      <c r="A88" s="195"/>
      <c r="B88" s="140">
        <v>85</v>
      </c>
      <c r="C88" s="2"/>
      <c r="D88" s="1"/>
      <c r="E88" s="3"/>
      <c r="F88" s="1"/>
      <c r="G88" s="141">
        <f>IF(Basic3456789101112131415161718192021222324[[#This Row],[نوع الخدمة]]="مخالفات", 50,
IF(Basic3456789101112131415161718192021222324[[#This Row],[نوع الخدمة]]="كاش ان",
    IF(F88&lt;=100, 18, IF(F88&lt;=250, 23, IF(F88&lt;=500, 35, IF(F88&lt;=1000, 40, F88*0.04)))),
IF(Basic3456789101112131415161718192021222324[[#This Row],[نوع الخدمة]]="كاش اوت",
    IF(F88&lt;=100, 15, IF(F88&lt;=250, 20, IF(F88&lt;=500, 30, IF(F88&lt;=1000, 35, F88*0.035)))),
0)))</f>
        <v>0</v>
      </c>
      <c r="H88" s="159">
        <f>IF(I88="مخالفات",50,Basic3456789101112131415161718192021222324[[#This Row],[قيمة الرسوم / العموله]]+Basic3456789101112131415161718192021222324[[#This Row],[قيمة الشحنه]])</f>
        <v>0</v>
      </c>
      <c r="I88" s="90"/>
      <c r="J88" s="142" t="str">
        <f t="shared" si="1"/>
        <v>9.5.2026</v>
      </c>
      <c r="L88" s="153">
        <v>77</v>
      </c>
      <c r="M88" s="92"/>
    </row>
    <row r="89" spans="1:13" ht="21.6" x14ac:dyDescent="0.65">
      <c r="A89" s="195"/>
      <c r="B89" s="144">
        <v>86</v>
      </c>
      <c r="C89" s="2"/>
      <c r="D89" s="1"/>
      <c r="E89" s="3"/>
      <c r="F89" s="1"/>
      <c r="G89" s="141">
        <f>IF(Basic3456789101112131415161718192021222324[[#This Row],[نوع الخدمة]]="مخالفات", 50,
IF(Basic3456789101112131415161718192021222324[[#This Row],[نوع الخدمة]]="كاش ان",
    IF(F89&lt;=100, 18, IF(F89&lt;=250, 23, IF(F89&lt;=500, 35, IF(F89&lt;=1000, 40, F89*0.04)))),
IF(Basic3456789101112131415161718192021222324[[#This Row],[نوع الخدمة]]="كاش اوت",
    IF(F89&lt;=100, 15, IF(F89&lt;=250, 20, IF(F89&lt;=500, 30, IF(F89&lt;=1000, 35, F89*0.035)))),
0)))</f>
        <v>0</v>
      </c>
      <c r="H89" s="159">
        <f>IF(I89="مخالفات",50,Basic3456789101112131415161718192021222324[[#This Row],[قيمة الرسوم / العموله]]+Basic3456789101112131415161718192021222324[[#This Row],[قيمة الشحنه]])</f>
        <v>0</v>
      </c>
      <c r="I89" s="90"/>
      <c r="J89" s="142" t="str">
        <f t="shared" si="1"/>
        <v>9.5.2026</v>
      </c>
      <c r="L89" s="153">
        <v>78</v>
      </c>
      <c r="M89" s="92"/>
    </row>
    <row r="90" spans="1:13" ht="21.6" x14ac:dyDescent="0.65">
      <c r="A90" s="195"/>
      <c r="B90" s="140">
        <v>87</v>
      </c>
      <c r="C90" s="2"/>
      <c r="D90" s="1"/>
      <c r="E90" s="3"/>
      <c r="F90" s="1"/>
      <c r="G90" s="141">
        <f>IF(Basic3456789101112131415161718192021222324[[#This Row],[نوع الخدمة]]="مخالفات", 50,
IF(Basic3456789101112131415161718192021222324[[#This Row],[نوع الخدمة]]="كاش ان",
    IF(F90&lt;=100, 18, IF(F90&lt;=250, 23, IF(F90&lt;=500, 35, IF(F90&lt;=1000, 40, F90*0.04)))),
IF(Basic3456789101112131415161718192021222324[[#This Row],[نوع الخدمة]]="كاش اوت",
    IF(F90&lt;=100, 15, IF(F90&lt;=250, 20, IF(F90&lt;=500, 30, IF(F90&lt;=1000, 35, F90*0.035)))),
0)))</f>
        <v>0</v>
      </c>
      <c r="H90" s="159">
        <f>IF(I90="مخالفات",50,Basic3456789101112131415161718192021222324[[#This Row],[قيمة الرسوم / العموله]]+Basic3456789101112131415161718192021222324[[#This Row],[قيمة الشحنه]])</f>
        <v>0</v>
      </c>
      <c r="I90" s="90"/>
      <c r="J90" s="142" t="str">
        <f t="shared" si="1"/>
        <v>9.5.2026</v>
      </c>
      <c r="L90" s="153">
        <v>79</v>
      </c>
      <c r="M90" s="92"/>
    </row>
    <row r="91" spans="1:13" ht="21.6" x14ac:dyDescent="0.65">
      <c r="A91" s="195"/>
      <c r="B91" s="140">
        <v>88</v>
      </c>
      <c r="C91" s="2"/>
      <c r="D91" s="1"/>
      <c r="E91" s="3"/>
      <c r="F91" s="1"/>
      <c r="G91" s="141">
        <f>IF(Basic3456789101112131415161718192021222324[[#This Row],[نوع الخدمة]]="مخالفات", 50,
IF(Basic3456789101112131415161718192021222324[[#This Row],[نوع الخدمة]]="كاش ان",
    IF(F91&lt;=100, 18, IF(F91&lt;=250, 23, IF(F91&lt;=500, 35, IF(F91&lt;=1000, 40, F91*0.04)))),
IF(Basic3456789101112131415161718192021222324[[#This Row],[نوع الخدمة]]="كاش اوت",
    IF(F91&lt;=100, 15, IF(F91&lt;=250, 20, IF(F91&lt;=500, 30, IF(F91&lt;=1000, 35, F91*0.035)))),
0)))</f>
        <v>0</v>
      </c>
      <c r="H91" s="159">
        <f>IF(I91="مخالفات",50,Basic3456789101112131415161718192021222324[[#This Row],[قيمة الرسوم / العموله]]+Basic3456789101112131415161718192021222324[[#This Row],[قيمة الشحنه]])</f>
        <v>0</v>
      </c>
      <c r="I91" s="90"/>
      <c r="J91" s="142" t="str">
        <f t="shared" si="1"/>
        <v>9.5.2026</v>
      </c>
      <c r="L91" s="153">
        <v>80</v>
      </c>
      <c r="M91" s="92"/>
    </row>
    <row r="92" spans="1:13" ht="21.6" x14ac:dyDescent="0.65">
      <c r="A92" s="195"/>
      <c r="B92" s="140">
        <v>89</v>
      </c>
      <c r="C92" s="2"/>
      <c r="D92" s="1"/>
      <c r="E92" s="3"/>
      <c r="F92" s="1"/>
      <c r="G92" s="141">
        <f>IF(Basic3456789101112131415161718192021222324[[#This Row],[نوع الخدمة]]="مخالفات", 50,
IF(Basic3456789101112131415161718192021222324[[#This Row],[نوع الخدمة]]="كاش ان",
    IF(F92&lt;=100, 18, IF(F92&lt;=250, 23, IF(F92&lt;=500, 35, IF(F92&lt;=1000, 40, F92*0.04)))),
IF(Basic3456789101112131415161718192021222324[[#This Row],[نوع الخدمة]]="كاش اوت",
    IF(F92&lt;=100, 15, IF(F92&lt;=250, 20, IF(F92&lt;=500, 30, IF(F92&lt;=1000, 35, F92*0.035)))),
0)))</f>
        <v>0</v>
      </c>
      <c r="H92" s="159">
        <f>IF(I92="مخالفات",50,Basic3456789101112131415161718192021222324[[#This Row],[قيمة الرسوم / العموله]]+Basic3456789101112131415161718192021222324[[#This Row],[قيمة الشحنه]])</f>
        <v>0</v>
      </c>
      <c r="I92" s="90"/>
      <c r="J92" s="142" t="str">
        <f t="shared" si="1"/>
        <v>9.5.2026</v>
      </c>
      <c r="L92" s="153">
        <v>81</v>
      </c>
      <c r="M92" s="92"/>
    </row>
    <row r="93" spans="1:13" ht="21.6" x14ac:dyDescent="0.65">
      <c r="A93" s="195"/>
      <c r="B93" s="144">
        <v>90</v>
      </c>
      <c r="C93" s="2"/>
      <c r="D93" s="1"/>
      <c r="E93" s="3"/>
      <c r="F93" s="1"/>
      <c r="G93" s="141">
        <f>IF(Basic3456789101112131415161718192021222324[[#This Row],[نوع الخدمة]]="مخالفات", 50,
IF(Basic3456789101112131415161718192021222324[[#This Row],[نوع الخدمة]]="كاش ان",
    IF(F93&lt;=100, 18, IF(F93&lt;=250, 23, IF(F93&lt;=500, 35, IF(F93&lt;=1000, 40, F93*0.04)))),
IF(Basic3456789101112131415161718192021222324[[#This Row],[نوع الخدمة]]="كاش اوت",
    IF(F93&lt;=100, 15, IF(F93&lt;=250, 20, IF(F93&lt;=500, 30, IF(F93&lt;=1000, 35, F93*0.035)))),
0)))</f>
        <v>0</v>
      </c>
      <c r="H93" s="159">
        <f>IF(I93="مخالفات",50,Basic3456789101112131415161718192021222324[[#This Row],[قيمة الرسوم / العموله]]+Basic3456789101112131415161718192021222324[[#This Row],[قيمة الشحنه]])</f>
        <v>0</v>
      </c>
      <c r="I93" s="90"/>
      <c r="J93" s="142" t="str">
        <f t="shared" si="1"/>
        <v>9.5.2026</v>
      </c>
      <c r="L93" s="153">
        <v>82</v>
      </c>
      <c r="M93" s="92"/>
    </row>
    <row r="94" spans="1:13" ht="21.6" x14ac:dyDescent="0.65">
      <c r="A94" s="195"/>
      <c r="B94" s="140">
        <v>91</v>
      </c>
      <c r="C94" s="2"/>
      <c r="D94" s="1"/>
      <c r="E94" s="3"/>
      <c r="F94" s="1"/>
      <c r="G94" s="141">
        <f>IF(Basic3456789101112131415161718192021222324[[#This Row],[نوع الخدمة]]="مخالفات", 50,
IF(Basic3456789101112131415161718192021222324[[#This Row],[نوع الخدمة]]="كاش ان",
    IF(F94&lt;=100, 18, IF(F94&lt;=250, 23, IF(F94&lt;=500, 35, IF(F94&lt;=1000, 40, F94*0.04)))),
IF(Basic3456789101112131415161718192021222324[[#This Row],[نوع الخدمة]]="كاش اوت",
    IF(F94&lt;=100, 15, IF(F94&lt;=250, 20, IF(F94&lt;=500, 30, IF(F94&lt;=1000, 35, F94*0.035)))),
0)))</f>
        <v>0</v>
      </c>
      <c r="H94" s="159">
        <f>IF(I94="مخالفات",50,Basic3456789101112131415161718192021222324[[#This Row],[قيمة الرسوم / العموله]]+Basic3456789101112131415161718192021222324[[#This Row],[قيمة الشحنه]])</f>
        <v>0</v>
      </c>
      <c r="I94" s="90"/>
      <c r="J94" s="142" t="str">
        <f t="shared" si="1"/>
        <v>9.5.2026</v>
      </c>
      <c r="L94" s="153">
        <v>83</v>
      </c>
      <c r="M94" s="92"/>
    </row>
    <row r="95" spans="1:13" ht="21.6" x14ac:dyDescent="0.65">
      <c r="A95" s="195"/>
      <c r="B95" s="140">
        <v>92</v>
      </c>
      <c r="C95" s="2"/>
      <c r="D95" s="1"/>
      <c r="E95" s="3"/>
      <c r="F95" s="1"/>
      <c r="G95" s="141">
        <f>IF(Basic3456789101112131415161718192021222324[[#This Row],[نوع الخدمة]]="مخالفات", 50,
IF(Basic3456789101112131415161718192021222324[[#This Row],[نوع الخدمة]]="كاش ان",
    IF(F95&lt;=100, 18, IF(F95&lt;=250, 23, IF(F95&lt;=500, 35, IF(F95&lt;=1000, 40, F95*0.04)))),
IF(Basic3456789101112131415161718192021222324[[#This Row],[نوع الخدمة]]="كاش اوت",
    IF(F95&lt;=100, 15, IF(F95&lt;=250, 20, IF(F95&lt;=500, 30, IF(F95&lt;=1000, 35, F95*0.035)))),
0)))</f>
        <v>0</v>
      </c>
      <c r="H95" s="159">
        <f>IF(I95="مخالفات",50,Basic3456789101112131415161718192021222324[[#This Row],[قيمة الرسوم / العموله]]+Basic3456789101112131415161718192021222324[[#This Row],[قيمة الشحنه]])</f>
        <v>0</v>
      </c>
      <c r="I95" s="90"/>
      <c r="J95" s="142" t="str">
        <f t="shared" si="1"/>
        <v>9.5.2026</v>
      </c>
      <c r="L95" s="153">
        <v>84</v>
      </c>
      <c r="M95" s="92"/>
    </row>
    <row r="96" spans="1:13" ht="21.6" x14ac:dyDescent="0.65">
      <c r="A96" s="195"/>
      <c r="B96" s="140">
        <v>93</v>
      </c>
      <c r="C96" s="2"/>
      <c r="D96" s="1"/>
      <c r="E96" s="3"/>
      <c r="F96" s="1"/>
      <c r="G96" s="141">
        <f>IF(Basic3456789101112131415161718192021222324[[#This Row],[نوع الخدمة]]="مخالفات", 50,
IF(Basic3456789101112131415161718192021222324[[#This Row],[نوع الخدمة]]="كاش ان",
    IF(F96&lt;=100, 18, IF(F96&lt;=250, 23, IF(F96&lt;=500, 35, IF(F96&lt;=1000, 40, F96*0.04)))),
IF(Basic3456789101112131415161718192021222324[[#This Row],[نوع الخدمة]]="كاش اوت",
    IF(F96&lt;=100, 15, IF(F96&lt;=250, 20, IF(F96&lt;=500, 30, IF(F96&lt;=1000, 35, F96*0.035)))),
0)))</f>
        <v>0</v>
      </c>
      <c r="H96" s="159">
        <f>IF(I96="مخالفات",50,Basic3456789101112131415161718192021222324[[#This Row],[قيمة الرسوم / العموله]]+Basic3456789101112131415161718192021222324[[#This Row],[قيمة الشحنه]])</f>
        <v>0</v>
      </c>
      <c r="I96" s="90"/>
      <c r="J96" s="142" t="str">
        <f t="shared" si="1"/>
        <v>9.5.2026</v>
      </c>
      <c r="L96" s="153">
        <v>85</v>
      </c>
      <c r="M96" s="92"/>
    </row>
    <row r="97" spans="1:13" ht="21.6" x14ac:dyDescent="0.65">
      <c r="A97" s="195"/>
      <c r="B97" s="144">
        <v>94</v>
      </c>
      <c r="C97" s="2"/>
      <c r="D97" s="1"/>
      <c r="E97" s="3"/>
      <c r="F97" s="1"/>
      <c r="G97" s="141">
        <f>IF(Basic3456789101112131415161718192021222324[[#This Row],[نوع الخدمة]]="مخالفات", 50,
IF(Basic3456789101112131415161718192021222324[[#This Row],[نوع الخدمة]]="كاش ان",
    IF(F97&lt;=100, 18, IF(F97&lt;=250, 23, IF(F97&lt;=500, 35, IF(F97&lt;=1000, 40, F97*0.04)))),
IF(Basic3456789101112131415161718192021222324[[#This Row],[نوع الخدمة]]="كاش اوت",
    IF(F97&lt;=100, 15, IF(F97&lt;=250, 20, IF(F97&lt;=500, 30, IF(F97&lt;=1000, 35, F97*0.035)))),
0)))</f>
        <v>0</v>
      </c>
      <c r="H97" s="159">
        <f>IF(I97="مخالفات",50,Basic3456789101112131415161718192021222324[[#This Row],[قيمة الرسوم / العموله]]+Basic3456789101112131415161718192021222324[[#This Row],[قيمة الشحنه]])</f>
        <v>0</v>
      </c>
      <c r="I97" s="90"/>
      <c r="J97" s="142" t="str">
        <f t="shared" si="1"/>
        <v>9.5.2026</v>
      </c>
      <c r="L97" s="153">
        <v>86</v>
      </c>
      <c r="M97" s="92"/>
    </row>
    <row r="98" spans="1:13" ht="21.6" x14ac:dyDescent="0.65">
      <c r="A98" s="195"/>
      <c r="B98" s="140">
        <v>95</v>
      </c>
      <c r="C98" s="2"/>
      <c r="D98" s="1"/>
      <c r="E98" s="3"/>
      <c r="F98" s="1"/>
      <c r="G98" s="141">
        <f>IF(Basic3456789101112131415161718192021222324[[#This Row],[نوع الخدمة]]="مخالفات", 50,
IF(Basic3456789101112131415161718192021222324[[#This Row],[نوع الخدمة]]="كاش ان",
    IF(F98&lt;=100, 18, IF(F98&lt;=250, 23, IF(F98&lt;=500, 35, IF(F98&lt;=1000, 40, F98*0.04)))),
IF(Basic3456789101112131415161718192021222324[[#This Row],[نوع الخدمة]]="كاش اوت",
    IF(F98&lt;=100, 15, IF(F98&lt;=250, 20, IF(F98&lt;=500, 30, IF(F98&lt;=1000, 35, F98*0.035)))),
0)))</f>
        <v>0</v>
      </c>
      <c r="H98" s="159">
        <f>IF(I98="مخالفات",50,Basic3456789101112131415161718192021222324[[#This Row],[قيمة الرسوم / العموله]]+Basic3456789101112131415161718192021222324[[#This Row],[قيمة الشحنه]])</f>
        <v>0</v>
      </c>
      <c r="I98" s="90"/>
      <c r="J98" s="142" t="str">
        <f t="shared" si="1"/>
        <v>9.5.2026</v>
      </c>
      <c r="L98" s="153">
        <v>87</v>
      </c>
      <c r="M98" s="92"/>
    </row>
    <row r="99" spans="1:13" ht="21.6" x14ac:dyDescent="0.65">
      <c r="A99" s="195"/>
      <c r="B99" s="140">
        <v>96</v>
      </c>
      <c r="C99" s="2"/>
      <c r="D99" s="1"/>
      <c r="E99" s="3"/>
      <c r="F99" s="1"/>
      <c r="G99" s="141">
        <f>IF(Basic3456789101112131415161718192021222324[[#This Row],[نوع الخدمة]]="مخالفات", 50,
IF(Basic3456789101112131415161718192021222324[[#This Row],[نوع الخدمة]]="كاش ان",
    IF(F99&lt;=100, 18, IF(F99&lt;=250, 23, IF(F99&lt;=500, 35, IF(F99&lt;=1000, 40, F99*0.04)))),
IF(Basic3456789101112131415161718192021222324[[#This Row],[نوع الخدمة]]="كاش اوت",
    IF(F99&lt;=100, 15, IF(F99&lt;=250, 20, IF(F99&lt;=500, 30, IF(F99&lt;=1000, 35, F99*0.035)))),
0)))</f>
        <v>0</v>
      </c>
      <c r="H99" s="159">
        <f>IF(I99="مخالفات",50,Basic3456789101112131415161718192021222324[[#This Row],[قيمة الرسوم / العموله]]+Basic3456789101112131415161718192021222324[[#This Row],[قيمة الشحنه]])</f>
        <v>0</v>
      </c>
      <c r="I99" s="90"/>
      <c r="J99" s="142" t="str">
        <f t="shared" si="1"/>
        <v>9.5.2026</v>
      </c>
      <c r="L99" s="153">
        <v>88</v>
      </c>
      <c r="M99" s="92"/>
    </row>
    <row r="100" spans="1:13" ht="21.6" x14ac:dyDescent="0.65">
      <c r="A100" s="195"/>
      <c r="B100" s="140">
        <v>97</v>
      </c>
      <c r="C100" s="2"/>
      <c r="D100" s="1"/>
      <c r="E100" s="3"/>
      <c r="F100" s="1"/>
      <c r="G100" s="141">
        <f>IF(Basic3456789101112131415161718192021222324[[#This Row],[نوع الخدمة]]="مخالفات", 50,
IF(Basic3456789101112131415161718192021222324[[#This Row],[نوع الخدمة]]="كاش ان",
    IF(F100&lt;=100, 18, IF(F100&lt;=250, 23, IF(F100&lt;=500, 35, IF(F100&lt;=1000, 40, F100*0.04)))),
IF(Basic3456789101112131415161718192021222324[[#This Row],[نوع الخدمة]]="كاش اوت",
    IF(F100&lt;=100, 15, IF(F100&lt;=250, 20, IF(F100&lt;=500, 30, IF(F100&lt;=1000, 35, F100*0.035)))),
0)))</f>
        <v>0</v>
      </c>
      <c r="H100" s="159">
        <f>IF(I100="مخالفات",50,Basic3456789101112131415161718192021222324[[#This Row],[قيمة الرسوم / العموله]]+Basic3456789101112131415161718192021222324[[#This Row],[قيمة الشحنه]])</f>
        <v>0</v>
      </c>
      <c r="I100" s="90"/>
      <c r="J100" s="142" t="str">
        <f t="shared" si="1"/>
        <v>9.5.2026</v>
      </c>
      <c r="L100" s="153">
        <v>89</v>
      </c>
      <c r="M100" s="92"/>
    </row>
    <row r="101" spans="1:13" ht="21.6" x14ac:dyDescent="0.65">
      <c r="A101" s="195"/>
      <c r="B101" s="144">
        <v>98</v>
      </c>
      <c r="C101" s="2"/>
      <c r="D101" s="1"/>
      <c r="E101" s="3"/>
      <c r="F101" s="1"/>
      <c r="G101" s="141">
        <f>IF(Basic3456789101112131415161718192021222324[[#This Row],[نوع الخدمة]]="مخالفات", 50,
IF(Basic3456789101112131415161718192021222324[[#This Row],[نوع الخدمة]]="كاش ان",
    IF(F101&lt;=100, 18, IF(F101&lt;=250, 23, IF(F101&lt;=500, 35, IF(F101&lt;=1000, 40, F101*0.04)))),
IF(Basic3456789101112131415161718192021222324[[#This Row],[نوع الخدمة]]="كاش اوت",
    IF(F101&lt;=100, 15, IF(F101&lt;=250, 20, IF(F101&lt;=500, 30, IF(F101&lt;=1000, 35, F101*0.035)))),
0)))</f>
        <v>0</v>
      </c>
      <c r="H101" s="159">
        <f>IF(I101="مخالفات",50,Basic3456789101112131415161718192021222324[[#This Row],[قيمة الرسوم / العموله]]+Basic3456789101112131415161718192021222324[[#This Row],[قيمة الشحنه]])</f>
        <v>0</v>
      </c>
      <c r="I101" s="90"/>
      <c r="J101" s="142" t="str">
        <f t="shared" si="1"/>
        <v>9.5.2026</v>
      </c>
      <c r="L101" s="153">
        <v>90</v>
      </c>
      <c r="M101" s="92"/>
    </row>
    <row r="102" spans="1:13" ht="21.6" x14ac:dyDescent="0.65">
      <c r="A102" s="195"/>
      <c r="B102" s="140">
        <v>99</v>
      </c>
      <c r="C102" s="2"/>
      <c r="D102" s="1"/>
      <c r="E102" s="3"/>
      <c r="F102" s="1"/>
      <c r="G102" s="141">
        <f>IF(Basic3456789101112131415161718192021222324[[#This Row],[نوع الخدمة]]="مخالفات", 50,
IF(Basic3456789101112131415161718192021222324[[#This Row],[نوع الخدمة]]="كاش ان",
    IF(F102&lt;=100, 18, IF(F102&lt;=250, 23, IF(F102&lt;=500, 35, IF(F102&lt;=1000, 40, F102*0.04)))),
IF(Basic3456789101112131415161718192021222324[[#This Row],[نوع الخدمة]]="كاش اوت",
    IF(F102&lt;=100, 15, IF(F102&lt;=250, 20, IF(F102&lt;=500, 30, IF(F102&lt;=1000, 35, F102*0.035)))),
0)))</f>
        <v>0</v>
      </c>
      <c r="H102" s="159">
        <f>IF(I102="مخالفات",50,Basic3456789101112131415161718192021222324[[#This Row],[قيمة الرسوم / العموله]]+Basic3456789101112131415161718192021222324[[#This Row],[قيمة الشحنه]])</f>
        <v>0</v>
      </c>
      <c r="I102" s="90"/>
      <c r="J102" s="142" t="str">
        <f t="shared" si="1"/>
        <v>9.5.2026</v>
      </c>
      <c r="L102" s="153">
        <v>91</v>
      </c>
      <c r="M102" s="92"/>
    </row>
    <row r="103" spans="1:13" ht="21.6" x14ac:dyDescent="0.65">
      <c r="A103" s="195"/>
      <c r="B103" s="140">
        <v>100</v>
      </c>
      <c r="C103" s="2"/>
      <c r="D103" s="1"/>
      <c r="E103" s="3"/>
      <c r="F103" s="1"/>
      <c r="G103" s="141">
        <f>IF(Basic3456789101112131415161718192021222324[[#This Row],[نوع الخدمة]]="مخالفات", 50,
IF(Basic3456789101112131415161718192021222324[[#This Row],[نوع الخدمة]]="كاش ان",
    IF(F103&lt;=100, 18, IF(F103&lt;=250, 23, IF(F103&lt;=500, 35, IF(F103&lt;=1000, 40, F103*0.04)))),
IF(Basic3456789101112131415161718192021222324[[#This Row],[نوع الخدمة]]="كاش اوت",
    IF(F103&lt;=100, 15, IF(F103&lt;=250, 20, IF(F103&lt;=500, 30, IF(F103&lt;=1000, 35, F103*0.035)))),
0)))</f>
        <v>0</v>
      </c>
      <c r="H103" s="159">
        <f>IF(I103="مخالفات",50,Basic3456789101112131415161718192021222324[[#This Row],[قيمة الرسوم / العموله]]+Basic3456789101112131415161718192021222324[[#This Row],[قيمة الشحنه]])</f>
        <v>0</v>
      </c>
      <c r="I103" s="90"/>
      <c r="J103" s="142" t="str">
        <f t="shared" si="1"/>
        <v>9.5.2026</v>
      </c>
      <c r="L103" s="153">
        <v>92</v>
      </c>
      <c r="M103" s="92"/>
    </row>
    <row r="104" spans="1:13" ht="21.6" x14ac:dyDescent="0.65">
      <c r="A104" s="195"/>
      <c r="B104" s="140">
        <v>101</v>
      </c>
      <c r="C104" s="2"/>
      <c r="D104" s="1"/>
      <c r="E104" s="3"/>
      <c r="F104" s="1"/>
      <c r="G104" s="141">
        <f>IF(Basic3456789101112131415161718192021222324[[#This Row],[نوع الخدمة]]="مخالفات", 50,
IF(Basic3456789101112131415161718192021222324[[#This Row],[نوع الخدمة]]="كاش ان",
    IF(F104&lt;=100, 18, IF(F104&lt;=250, 23, IF(F104&lt;=500, 35, IF(F104&lt;=1000, 40, F104*0.04)))),
IF(Basic3456789101112131415161718192021222324[[#This Row],[نوع الخدمة]]="كاش اوت",
    IF(F104&lt;=100, 15, IF(F104&lt;=250, 20, IF(F104&lt;=500, 30, IF(F104&lt;=1000, 35, F104*0.035)))),
0)))</f>
        <v>0</v>
      </c>
      <c r="H104" s="159">
        <f>IF(I104="مخالفات",50,Basic3456789101112131415161718192021222324[[#This Row],[قيمة الرسوم / العموله]]+Basic3456789101112131415161718192021222324[[#This Row],[قيمة الشحنه]])</f>
        <v>0</v>
      </c>
      <c r="I104" s="90"/>
      <c r="J104" s="142" t="str">
        <f t="shared" si="1"/>
        <v>9.5.2026</v>
      </c>
      <c r="L104" s="153">
        <v>93</v>
      </c>
      <c r="M104" s="92"/>
    </row>
    <row r="105" spans="1:13" ht="21.6" x14ac:dyDescent="0.65">
      <c r="A105" s="195"/>
      <c r="B105" s="144">
        <v>102</v>
      </c>
      <c r="C105" s="2"/>
      <c r="D105" s="1"/>
      <c r="E105" s="3"/>
      <c r="F105" s="1"/>
      <c r="G105" s="141">
        <f>IF(Basic3456789101112131415161718192021222324[[#This Row],[نوع الخدمة]]="مخالفات", 50,
IF(Basic3456789101112131415161718192021222324[[#This Row],[نوع الخدمة]]="كاش ان",
    IF(F105&lt;=100, 18, IF(F105&lt;=250, 23, IF(F105&lt;=500, 35, IF(F105&lt;=1000, 40, F105*0.04)))),
IF(Basic3456789101112131415161718192021222324[[#This Row],[نوع الخدمة]]="كاش اوت",
    IF(F105&lt;=100, 15, IF(F105&lt;=250, 20, IF(F105&lt;=500, 30, IF(F105&lt;=1000, 35, F105*0.035)))),
0)))</f>
        <v>0</v>
      </c>
      <c r="H105" s="159">
        <f>IF(I105="مخالفات",50,Basic3456789101112131415161718192021222324[[#This Row],[قيمة الرسوم / العموله]]+Basic3456789101112131415161718192021222324[[#This Row],[قيمة الشحنه]])</f>
        <v>0</v>
      </c>
      <c r="I105" s="90"/>
      <c r="J105" s="142" t="str">
        <f t="shared" si="1"/>
        <v>9.5.2026</v>
      </c>
      <c r="L105" s="153">
        <v>94</v>
      </c>
      <c r="M105" s="92"/>
    </row>
    <row r="106" spans="1:13" ht="21.6" x14ac:dyDescent="0.65">
      <c r="A106" s="195"/>
      <c r="B106" s="140">
        <v>103</v>
      </c>
      <c r="C106" s="2"/>
      <c r="D106" s="1"/>
      <c r="E106" s="3"/>
      <c r="F106" s="1"/>
      <c r="G106" s="141">
        <f>IF(Basic3456789101112131415161718192021222324[[#This Row],[نوع الخدمة]]="مخالفات", 50,
IF(Basic3456789101112131415161718192021222324[[#This Row],[نوع الخدمة]]="كاش ان",
    IF(F106&lt;=100, 18, IF(F106&lt;=250, 23, IF(F106&lt;=500, 35, IF(F106&lt;=1000, 40, F106*0.04)))),
IF(Basic3456789101112131415161718192021222324[[#This Row],[نوع الخدمة]]="كاش اوت",
    IF(F106&lt;=100, 15, IF(F106&lt;=250, 20, IF(F106&lt;=500, 30, IF(F106&lt;=1000, 35, F106*0.035)))),
0)))</f>
        <v>0</v>
      </c>
      <c r="H106" s="159">
        <f>IF(I106="مخالفات",50,Basic3456789101112131415161718192021222324[[#This Row],[قيمة الرسوم / العموله]]+Basic3456789101112131415161718192021222324[[#This Row],[قيمة الشحنه]])</f>
        <v>0</v>
      </c>
      <c r="I106" s="90"/>
      <c r="J106" s="142" t="str">
        <f t="shared" si="1"/>
        <v>9.5.2026</v>
      </c>
      <c r="L106" s="153">
        <v>95</v>
      </c>
      <c r="M106" s="92"/>
    </row>
    <row r="107" spans="1:13" ht="21.6" x14ac:dyDescent="0.65">
      <c r="A107" s="195"/>
      <c r="B107" s="140">
        <v>104</v>
      </c>
      <c r="C107" s="2"/>
      <c r="D107" s="1"/>
      <c r="E107" s="3"/>
      <c r="F107" s="1"/>
      <c r="G107" s="141">
        <f>IF(Basic3456789101112131415161718192021222324[[#This Row],[نوع الخدمة]]="مخالفات", 50,
IF(Basic3456789101112131415161718192021222324[[#This Row],[نوع الخدمة]]="كاش ان",
    IF(F107&lt;=100, 18, IF(F107&lt;=250, 23, IF(F107&lt;=500, 35, IF(F107&lt;=1000, 40, F107*0.04)))),
IF(Basic3456789101112131415161718192021222324[[#This Row],[نوع الخدمة]]="كاش اوت",
    IF(F107&lt;=100, 15, IF(F107&lt;=250, 20, IF(F107&lt;=500, 30, IF(F107&lt;=1000, 35, F107*0.035)))),
0)))</f>
        <v>0</v>
      </c>
      <c r="H107" s="159">
        <f>IF(I107="مخالفات",50,Basic3456789101112131415161718192021222324[[#This Row],[قيمة الرسوم / العموله]]+Basic3456789101112131415161718192021222324[[#This Row],[قيمة الشحنه]])</f>
        <v>0</v>
      </c>
      <c r="I107" s="90"/>
      <c r="J107" s="142" t="str">
        <f t="shared" si="1"/>
        <v>9.5.2026</v>
      </c>
      <c r="L107" s="153">
        <v>96</v>
      </c>
      <c r="M107" s="92"/>
    </row>
    <row r="108" spans="1:13" ht="21.6" x14ac:dyDescent="0.65">
      <c r="A108" s="195"/>
      <c r="B108" s="140">
        <v>105</v>
      </c>
      <c r="C108" s="2"/>
      <c r="D108" s="1"/>
      <c r="E108" s="3"/>
      <c r="F108" s="1"/>
      <c r="G108" s="141">
        <f>IF(Basic3456789101112131415161718192021222324[[#This Row],[نوع الخدمة]]="مخالفات", 50,
IF(Basic3456789101112131415161718192021222324[[#This Row],[نوع الخدمة]]="كاش ان",
    IF(F108&lt;=100, 18, IF(F108&lt;=250, 23, IF(F108&lt;=500, 35, IF(F108&lt;=1000, 40, F108*0.04)))),
IF(Basic3456789101112131415161718192021222324[[#This Row],[نوع الخدمة]]="كاش اوت",
    IF(F108&lt;=100, 15, IF(F108&lt;=250, 20, IF(F108&lt;=500, 30, IF(F108&lt;=1000, 35, F108*0.035)))),
0)))</f>
        <v>0</v>
      </c>
      <c r="H108" s="159">
        <f>IF(I108="مخالفات",50,Basic3456789101112131415161718192021222324[[#This Row],[قيمة الرسوم / العموله]]+Basic3456789101112131415161718192021222324[[#This Row],[قيمة الشحنه]])</f>
        <v>0</v>
      </c>
      <c r="I108" s="90"/>
      <c r="J108" s="142" t="str">
        <f t="shared" si="1"/>
        <v>9.5.2026</v>
      </c>
      <c r="L108" s="153">
        <v>97</v>
      </c>
      <c r="M108" s="92"/>
    </row>
    <row r="109" spans="1:13" ht="21.6" x14ac:dyDescent="0.65">
      <c r="A109" s="195"/>
      <c r="B109" s="144">
        <v>106</v>
      </c>
      <c r="C109" s="2"/>
      <c r="D109" s="1"/>
      <c r="E109" s="3"/>
      <c r="F109" s="1"/>
      <c r="G109" s="141">
        <f>IF(Basic3456789101112131415161718192021222324[[#This Row],[نوع الخدمة]]="مخالفات", 50,
IF(Basic3456789101112131415161718192021222324[[#This Row],[نوع الخدمة]]="كاش ان",
    IF(F109&lt;=100, 18, IF(F109&lt;=250, 23, IF(F109&lt;=500, 35, IF(F109&lt;=1000, 40, F109*0.04)))),
IF(Basic3456789101112131415161718192021222324[[#This Row],[نوع الخدمة]]="كاش اوت",
    IF(F109&lt;=100, 15, IF(F109&lt;=250, 20, IF(F109&lt;=500, 30, IF(F109&lt;=1000, 35, F109*0.035)))),
0)))</f>
        <v>0</v>
      </c>
      <c r="H109" s="159">
        <f>IF(I109="مخالفات",50,Basic3456789101112131415161718192021222324[[#This Row],[قيمة الرسوم / العموله]]+Basic3456789101112131415161718192021222324[[#This Row],[قيمة الشحنه]])</f>
        <v>0</v>
      </c>
      <c r="I109" s="90"/>
      <c r="J109" s="142" t="str">
        <f t="shared" si="1"/>
        <v>9.5.2026</v>
      </c>
      <c r="L109" s="153">
        <v>98</v>
      </c>
      <c r="M109" s="92"/>
    </row>
    <row r="110" spans="1:13" ht="21.6" x14ac:dyDescent="0.65">
      <c r="A110" s="195"/>
      <c r="B110" s="140">
        <v>107</v>
      </c>
      <c r="C110" s="2"/>
      <c r="D110" s="1"/>
      <c r="E110" s="3"/>
      <c r="F110" s="1"/>
      <c r="G110" s="141">
        <f>IF(Basic3456789101112131415161718192021222324[[#This Row],[نوع الخدمة]]="مخالفات", 50,
IF(Basic3456789101112131415161718192021222324[[#This Row],[نوع الخدمة]]="كاش ان",
    IF(F110&lt;=100, 18, IF(F110&lt;=250, 23, IF(F110&lt;=500, 35, IF(F110&lt;=1000, 40, F110*0.04)))),
IF(Basic3456789101112131415161718192021222324[[#This Row],[نوع الخدمة]]="كاش اوت",
    IF(F110&lt;=100, 15, IF(F110&lt;=250, 20, IF(F110&lt;=500, 30, IF(F110&lt;=1000, 35, F110*0.035)))),
0)))</f>
        <v>0</v>
      </c>
      <c r="H110" s="159">
        <f>IF(I110="مخالفات",50,Basic3456789101112131415161718192021222324[[#This Row],[قيمة الرسوم / العموله]]+Basic3456789101112131415161718192021222324[[#This Row],[قيمة الشحنه]])</f>
        <v>0</v>
      </c>
      <c r="I110" s="90"/>
      <c r="J110" s="142" t="str">
        <f t="shared" si="1"/>
        <v>9.5.2026</v>
      </c>
      <c r="L110" s="153">
        <v>99</v>
      </c>
      <c r="M110" s="92"/>
    </row>
    <row r="111" spans="1:13" ht="21.6" x14ac:dyDescent="0.65">
      <c r="A111" s="195"/>
      <c r="B111" s="140">
        <v>108</v>
      </c>
      <c r="C111" s="2"/>
      <c r="D111" s="1"/>
      <c r="E111" s="3"/>
      <c r="F111" s="1"/>
      <c r="G111" s="141">
        <f>IF(Basic3456789101112131415161718192021222324[[#This Row],[نوع الخدمة]]="مخالفات", 50,
IF(Basic3456789101112131415161718192021222324[[#This Row],[نوع الخدمة]]="كاش ان",
    IF(F111&lt;=100, 18, IF(F111&lt;=250, 23, IF(F111&lt;=500, 35, IF(F111&lt;=1000, 40, F111*0.04)))),
IF(Basic3456789101112131415161718192021222324[[#This Row],[نوع الخدمة]]="كاش اوت",
    IF(F111&lt;=100, 15, IF(F111&lt;=250, 20, IF(F111&lt;=500, 30, IF(F111&lt;=1000, 35, F111*0.035)))),
0)))</f>
        <v>0</v>
      </c>
      <c r="H111" s="159">
        <f>IF(I111="مخالفات",50,Basic3456789101112131415161718192021222324[[#This Row],[قيمة الرسوم / العموله]]+Basic3456789101112131415161718192021222324[[#This Row],[قيمة الشحنه]])</f>
        <v>0</v>
      </c>
      <c r="I111" s="90"/>
      <c r="J111" s="142" t="str">
        <f t="shared" si="1"/>
        <v>9.5.2026</v>
      </c>
      <c r="L111" s="153">
        <v>100</v>
      </c>
      <c r="M111" s="92"/>
    </row>
    <row r="112" spans="1:13" ht="21.6" x14ac:dyDescent="0.65">
      <c r="A112" s="195"/>
      <c r="B112" s="140">
        <v>109</v>
      </c>
      <c r="C112" s="2"/>
      <c r="D112" s="1"/>
      <c r="E112" s="3"/>
      <c r="F112" s="1"/>
      <c r="G112" s="141">
        <f>IF(Basic3456789101112131415161718192021222324[[#This Row],[نوع الخدمة]]="مخالفات", 50,
IF(Basic3456789101112131415161718192021222324[[#This Row],[نوع الخدمة]]="كاش ان",
    IF(F112&lt;=100, 18, IF(F112&lt;=250, 23, IF(F112&lt;=500, 35, IF(F112&lt;=1000, 40, F112*0.04)))),
IF(Basic3456789101112131415161718192021222324[[#This Row],[نوع الخدمة]]="كاش اوت",
    IF(F112&lt;=100, 15, IF(F112&lt;=250, 20, IF(F112&lt;=500, 30, IF(F112&lt;=1000, 35, F112*0.035)))),
0)))</f>
        <v>0</v>
      </c>
      <c r="H112" s="159">
        <f>IF(I112="مخالفات",50,Basic3456789101112131415161718192021222324[[#This Row],[قيمة الرسوم / العموله]]+Basic3456789101112131415161718192021222324[[#This Row],[قيمة الشحنه]])</f>
        <v>0</v>
      </c>
      <c r="I112" s="90"/>
      <c r="J112" s="142" t="str">
        <f t="shared" si="1"/>
        <v>9.5.2026</v>
      </c>
      <c r="L112" s="153">
        <v>101</v>
      </c>
      <c r="M112" s="92"/>
    </row>
    <row r="113" spans="1:13" ht="21.6" x14ac:dyDescent="0.65">
      <c r="A113" s="195"/>
      <c r="B113" s="144">
        <v>110</v>
      </c>
      <c r="C113" s="2"/>
      <c r="D113" s="1"/>
      <c r="E113" s="3"/>
      <c r="F113" s="1"/>
      <c r="G113" s="141">
        <f>IF(Basic3456789101112131415161718192021222324[[#This Row],[نوع الخدمة]]="مخالفات", 50,
IF(Basic3456789101112131415161718192021222324[[#This Row],[نوع الخدمة]]="كاش ان",
    IF(F113&lt;=100, 18, IF(F113&lt;=250, 23, IF(F113&lt;=500, 35, IF(F113&lt;=1000, 40, F113*0.04)))),
IF(Basic3456789101112131415161718192021222324[[#This Row],[نوع الخدمة]]="كاش اوت",
    IF(F113&lt;=100, 15, IF(F113&lt;=250, 20, IF(F113&lt;=500, 30, IF(F113&lt;=1000, 35, F113*0.035)))),
0)))</f>
        <v>0</v>
      </c>
      <c r="H113" s="159">
        <f>IF(I113="مخالفات",50,Basic3456789101112131415161718192021222324[[#This Row],[قيمة الرسوم / العموله]]+Basic3456789101112131415161718192021222324[[#This Row],[قيمة الشحنه]])</f>
        <v>0</v>
      </c>
      <c r="I113" s="90"/>
      <c r="J113" s="142" t="str">
        <f t="shared" si="1"/>
        <v>9.5.2026</v>
      </c>
      <c r="L113" s="153">
        <v>102</v>
      </c>
      <c r="M113" s="92"/>
    </row>
    <row r="114" spans="1:13" ht="21.6" x14ac:dyDescent="0.65">
      <c r="A114" s="195"/>
      <c r="B114" s="140">
        <v>111</v>
      </c>
      <c r="C114" s="2"/>
      <c r="D114" s="1"/>
      <c r="E114" s="3"/>
      <c r="F114" s="1"/>
      <c r="G114" s="141">
        <f>IF(Basic3456789101112131415161718192021222324[[#This Row],[نوع الخدمة]]="مخالفات", 50,
IF(Basic3456789101112131415161718192021222324[[#This Row],[نوع الخدمة]]="كاش ان",
    IF(F114&lt;=100, 18, IF(F114&lt;=250, 23, IF(F114&lt;=500, 35, IF(F114&lt;=1000, 40, F114*0.04)))),
IF(Basic3456789101112131415161718192021222324[[#This Row],[نوع الخدمة]]="كاش اوت",
    IF(F114&lt;=100, 15, IF(F114&lt;=250, 20, IF(F114&lt;=500, 30, IF(F114&lt;=1000, 35, F114*0.035)))),
0)))</f>
        <v>0</v>
      </c>
      <c r="H114" s="159">
        <f>IF(I114="مخالفات",50,Basic3456789101112131415161718192021222324[[#This Row],[قيمة الرسوم / العموله]]+Basic3456789101112131415161718192021222324[[#This Row],[قيمة الشحنه]])</f>
        <v>0</v>
      </c>
      <c r="I114" s="90"/>
      <c r="J114" s="142" t="str">
        <f t="shared" si="1"/>
        <v>9.5.2026</v>
      </c>
      <c r="L114" s="153">
        <v>103</v>
      </c>
      <c r="M114" s="92"/>
    </row>
    <row r="115" spans="1:13" ht="21.6" x14ac:dyDescent="0.65">
      <c r="A115" s="195"/>
      <c r="B115" s="140">
        <v>112</v>
      </c>
      <c r="C115" s="2"/>
      <c r="D115" s="1"/>
      <c r="E115" s="3"/>
      <c r="F115" s="1"/>
      <c r="G115" s="141">
        <f>IF(Basic3456789101112131415161718192021222324[[#This Row],[نوع الخدمة]]="مخالفات", 50,
IF(Basic3456789101112131415161718192021222324[[#This Row],[نوع الخدمة]]="كاش ان",
    IF(F115&lt;=100, 18, IF(F115&lt;=250, 23, IF(F115&lt;=500, 35, IF(F115&lt;=1000, 40, F115*0.04)))),
IF(Basic3456789101112131415161718192021222324[[#This Row],[نوع الخدمة]]="كاش اوت",
    IF(F115&lt;=100, 15, IF(F115&lt;=250, 20, IF(F115&lt;=500, 30, IF(F115&lt;=1000, 35, F115*0.035)))),
0)))</f>
        <v>0</v>
      </c>
      <c r="H115" s="159">
        <f>IF(I115="مخالفات",50,Basic3456789101112131415161718192021222324[[#This Row],[قيمة الرسوم / العموله]]+Basic3456789101112131415161718192021222324[[#This Row],[قيمة الشحنه]])</f>
        <v>0</v>
      </c>
      <c r="I115" s="90"/>
      <c r="J115" s="142" t="str">
        <f t="shared" si="1"/>
        <v>9.5.2026</v>
      </c>
      <c r="L115" s="153">
        <v>104</v>
      </c>
      <c r="M115" s="92"/>
    </row>
    <row r="116" spans="1:13" ht="21.6" x14ac:dyDescent="0.65">
      <c r="A116" s="195"/>
      <c r="B116" s="140">
        <v>113</v>
      </c>
      <c r="C116" s="2"/>
      <c r="D116" s="1"/>
      <c r="E116" s="3"/>
      <c r="F116" s="1"/>
      <c r="G116" s="141">
        <f>IF(Basic3456789101112131415161718192021222324[[#This Row],[نوع الخدمة]]="مخالفات", 50,
IF(Basic3456789101112131415161718192021222324[[#This Row],[نوع الخدمة]]="كاش ان",
    IF(F116&lt;=100, 18, IF(F116&lt;=250, 23, IF(F116&lt;=500, 35, IF(F116&lt;=1000, 40, F116*0.04)))),
IF(Basic3456789101112131415161718192021222324[[#This Row],[نوع الخدمة]]="كاش اوت",
    IF(F116&lt;=100, 15, IF(F116&lt;=250, 20, IF(F116&lt;=500, 30, IF(F116&lt;=1000, 35, F116*0.035)))),
0)))</f>
        <v>0</v>
      </c>
      <c r="H116" s="159">
        <f>IF(I116="مخالفات",50,Basic3456789101112131415161718192021222324[[#This Row],[قيمة الرسوم / العموله]]+Basic3456789101112131415161718192021222324[[#This Row],[قيمة الشحنه]])</f>
        <v>0</v>
      </c>
      <c r="I116" s="90"/>
      <c r="J116" s="142" t="str">
        <f t="shared" si="1"/>
        <v>9.5.2026</v>
      </c>
      <c r="L116" s="153">
        <v>105</v>
      </c>
      <c r="M116" s="92"/>
    </row>
    <row r="117" spans="1:13" ht="21.6" x14ac:dyDescent="0.65">
      <c r="A117" s="195"/>
      <c r="B117" s="144">
        <v>114</v>
      </c>
      <c r="C117" s="2"/>
      <c r="D117" s="1"/>
      <c r="E117" s="3"/>
      <c r="F117" s="1"/>
      <c r="G117" s="141">
        <f>IF(Basic3456789101112131415161718192021222324[[#This Row],[نوع الخدمة]]="مخالفات", 50,
IF(Basic3456789101112131415161718192021222324[[#This Row],[نوع الخدمة]]="كاش ان",
    IF(F117&lt;=100, 18, IF(F117&lt;=250, 23, IF(F117&lt;=500, 35, IF(F117&lt;=1000, 40, F117*0.04)))),
IF(Basic3456789101112131415161718192021222324[[#This Row],[نوع الخدمة]]="كاش اوت",
    IF(F117&lt;=100, 15, IF(F117&lt;=250, 20, IF(F117&lt;=500, 30, IF(F117&lt;=1000, 35, F117*0.035)))),
0)))</f>
        <v>0</v>
      </c>
      <c r="H117" s="159">
        <f>IF(I117="مخالفات",50,Basic3456789101112131415161718192021222324[[#This Row],[قيمة الرسوم / العموله]]+Basic3456789101112131415161718192021222324[[#This Row],[قيمة الشحنه]])</f>
        <v>0</v>
      </c>
      <c r="I117" s="90"/>
      <c r="J117" s="142" t="str">
        <f t="shared" si="1"/>
        <v>9.5.2026</v>
      </c>
      <c r="L117" s="153">
        <v>106</v>
      </c>
      <c r="M117" s="92"/>
    </row>
    <row r="118" spans="1:13" ht="21.6" x14ac:dyDescent="0.65">
      <c r="A118" s="195"/>
      <c r="B118" s="140">
        <v>115</v>
      </c>
      <c r="C118" s="2"/>
      <c r="D118" s="1"/>
      <c r="E118" s="3"/>
      <c r="F118" s="1"/>
      <c r="G118" s="141">
        <f>IF(Basic3456789101112131415161718192021222324[[#This Row],[نوع الخدمة]]="مخالفات", 50,
IF(Basic3456789101112131415161718192021222324[[#This Row],[نوع الخدمة]]="كاش ان",
    IF(F118&lt;=100, 18, IF(F118&lt;=250, 23, IF(F118&lt;=500, 35, IF(F118&lt;=1000, 40, F118*0.04)))),
IF(Basic3456789101112131415161718192021222324[[#This Row],[نوع الخدمة]]="كاش اوت",
    IF(F118&lt;=100, 15, IF(F118&lt;=250, 20, IF(F118&lt;=500, 30, IF(F118&lt;=1000, 35, F118*0.035)))),
0)))</f>
        <v>0</v>
      </c>
      <c r="H118" s="159">
        <f>IF(I118="مخالفات",50,Basic3456789101112131415161718192021222324[[#This Row],[قيمة الرسوم / العموله]]+Basic3456789101112131415161718192021222324[[#This Row],[قيمة الشحنه]])</f>
        <v>0</v>
      </c>
      <c r="I118" s="90"/>
      <c r="J118" s="142" t="str">
        <f t="shared" si="1"/>
        <v>9.5.2026</v>
      </c>
      <c r="L118" s="153">
        <v>107</v>
      </c>
      <c r="M118" s="92"/>
    </row>
    <row r="119" spans="1:13" ht="21.6" x14ac:dyDescent="0.65">
      <c r="A119" s="195"/>
      <c r="B119" s="140">
        <v>116</v>
      </c>
      <c r="C119" s="2"/>
      <c r="D119" s="1"/>
      <c r="E119" s="3"/>
      <c r="F119" s="1"/>
      <c r="G119" s="141">
        <f>IF(Basic3456789101112131415161718192021222324[[#This Row],[نوع الخدمة]]="مخالفات", 50,
IF(Basic3456789101112131415161718192021222324[[#This Row],[نوع الخدمة]]="كاش ان",
    IF(F119&lt;=100, 18, IF(F119&lt;=250, 23, IF(F119&lt;=500, 35, IF(F119&lt;=1000, 40, F119*0.04)))),
IF(Basic3456789101112131415161718192021222324[[#This Row],[نوع الخدمة]]="كاش اوت",
    IF(F119&lt;=100, 15, IF(F119&lt;=250, 20, IF(F119&lt;=500, 30, IF(F119&lt;=1000, 35, F119*0.035)))),
0)))</f>
        <v>0</v>
      </c>
      <c r="H119" s="159">
        <f>IF(I119="مخالفات",50,Basic3456789101112131415161718192021222324[[#This Row],[قيمة الرسوم / العموله]]+Basic3456789101112131415161718192021222324[[#This Row],[قيمة الشحنه]])</f>
        <v>0</v>
      </c>
      <c r="I119" s="90"/>
      <c r="J119" s="142" t="str">
        <f t="shared" si="1"/>
        <v>9.5.2026</v>
      </c>
      <c r="L119" s="153">
        <v>108</v>
      </c>
      <c r="M119" s="92"/>
    </row>
    <row r="120" spans="1:13" ht="21.6" x14ac:dyDescent="0.65">
      <c r="A120" s="195"/>
      <c r="B120" s="140">
        <v>117</v>
      </c>
      <c r="C120" s="2"/>
      <c r="D120" s="1"/>
      <c r="E120" s="3"/>
      <c r="F120" s="1"/>
      <c r="G120" s="141">
        <f>IF(Basic3456789101112131415161718192021222324[[#This Row],[نوع الخدمة]]="مخالفات", 50,
IF(Basic3456789101112131415161718192021222324[[#This Row],[نوع الخدمة]]="كاش ان",
    IF(F120&lt;=100, 18, IF(F120&lt;=250, 23, IF(F120&lt;=500, 35, IF(F120&lt;=1000, 40, F120*0.04)))),
IF(Basic3456789101112131415161718192021222324[[#This Row],[نوع الخدمة]]="كاش اوت",
    IF(F120&lt;=100, 15, IF(F120&lt;=250, 20, IF(F120&lt;=500, 30, IF(F120&lt;=1000, 35, F120*0.035)))),
0)))</f>
        <v>0</v>
      </c>
      <c r="H120" s="159">
        <f>IF(I120="مخالفات",50,Basic3456789101112131415161718192021222324[[#This Row],[قيمة الرسوم / العموله]]+Basic3456789101112131415161718192021222324[[#This Row],[قيمة الشحنه]])</f>
        <v>0</v>
      </c>
      <c r="I120" s="90"/>
      <c r="J120" s="142" t="str">
        <f t="shared" si="1"/>
        <v>9.5.2026</v>
      </c>
      <c r="L120" s="153">
        <v>109</v>
      </c>
      <c r="M120" s="92"/>
    </row>
    <row r="121" spans="1:13" ht="21.6" x14ac:dyDescent="0.65">
      <c r="A121" s="195"/>
      <c r="B121" s="144">
        <v>118</v>
      </c>
      <c r="C121" s="2"/>
      <c r="D121" s="1"/>
      <c r="E121" s="3"/>
      <c r="F121" s="1"/>
      <c r="G121" s="141">
        <f>IF(Basic3456789101112131415161718192021222324[[#This Row],[نوع الخدمة]]="مخالفات", 50,
IF(Basic3456789101112131415161718192021222324[[#This Row],[نوع الخدمة]]="كاش ان",
    IF(F121&lt;=100, 18, IF(F121&lt;=250, 23, IF(F121&lt;=500, 35, IF(F121&lt;=1000, 40, F121*0.04)))),
IF(Basic3456789101112131415161718192021222324[[#This Row],[نوع الخدمة]]="كاش اوت",
    IF(F121&lt;=100, 15, IF(F121&lt;=250, 20, IF(F121&lt;=500, 30, IF(F121&lt;=1000, 35, F121*0.035)))),
0)))</f>
        <v>0</v>
      </c>
      <c r="H121" s="159">
        <f>IF(I121="مخالفات",50,Basic3456789101112131415161718192021222324[[#This Row],[قيمة الرسوم / العموله]]+Basic3456789101112131415161718192021222324[[#This Row],[قيمة الشحنه]])</f>
        <v>0</v>
      </c>
      <c r="I121" s="90"/>
      <c r="J121" s="142" t="str">
        <f t="shared" si="1"/>
        <v>9.5.2026</v>
      </c>
      <c r="L121" s="153">
        <v>110</v>
      </c>
      <c r="M121" s="92"/>
    </row>
    <row r="122" spans="1:13" ht="21.6" x14ac:dyDescent="0.65">
      <c r="A122" s="195"/>
      <c r="B122" s="140">
        <v>119</v>
      </c>
      <c r="C122" s="2"/>
      <c r="D122" s="1"/>
      <c r="E122" s="3"/>
      <c r="F122" s="1"/>
      <c r="G122" s="141">
        <f>IF(Basic3456789101112131415161718192021222324[[#This Row],[نوع الخدمة]]="مخالفات", 50,
IF(Basic3456789101112131415161718192021222324[[#This Row],[نوع الخدمة]]="كاش ان",
    IF(F122&lt;=100, 18, IF(F122&lt;=250, 23, IF(F122&lt;=500, 35, IF(F122&lt;=1000, 40, F122*0.04)))),
IF(Basic3456789101112131415161718192021222324[[#This Row],[نوع الخدمة]]="كاش اوت",
    IF(F122&lt;=100, 15, IF(F122&lt;=250, 20, IF(F122&lt;=500, 30, IF(F122&lt;=1000, 35, F122*0.035)))),
0)))</f>
        <v>0</v>
      </c>
      <c r="H122" s="159">
        <f>IF(I122="مخالفات",50,Basic3456789101112131415161718192021222324[[#This Row],[قيمة الرسوم / العموله]]+Basic3456789101112131415161718192021222324[[#This Row],[قيمة الشحنه]])</f>
        <v>0</v>
      </c>
      <c r="I122" s="90"/>
      <c r="J122" s="142" t="str">
        <f t="shared" si="1"/>
        <v>9.5.2026</v>
      </c>
      <c r="L122" s="153">
        <v>111</v>
      </c>
      <c r="M122" s="92"/>
    </row>
    <row r="123" spans="1:13" ht="21.6" x14ac:dyDescent="0.65">
      <c r="A123" s="195"/>
      <c r="B123" s="140">
        <v>120</v>
      </c>
      <c r="C123" s="2"/>
      <c r="D123" s="1"/>
      <c r="E123" s="3"/>
      <c r="F123" s="1"/>
      <c r="G123" s="141">
        <f>IF(Basic3456789101112131415161718192021222324[[#This Row],[نوع الخدمة]]="مخالفات", 50,
IF(Basic3456789101112131415161718192021222324[[#This Row],[نوع الخدمة]]="كاش ان",
    IF(F123&lt;=100, 18, IF(F123&lt;=250, 23, IF(F123&lt;=500, 35, IF(F123&lt;=1000, 40, F123*0.04)))),
IF(Basic3456789101112131415161718192021222324[[#This Row],[نوع الخدمة]]="كاش اوت",
    IF(F123&lt;=100, 15, IF(F123&lt;=250, 20, IF(F123&lt;=500, 30, IF(F123&lt;=1000, 35, F123*0.035)))),
0)))</f>
        <v>0</v>
      </c>
      <c r="H123" s="159">
        <f>IF(I123="مخالفات",50,Basic3456789101112131415161718192021222324[[#This Row],[قيمة الرسوم / العموله]]+Basic3456789101112131415161718192021222324[[#This Row],[قيمة الشحنه]])</f>
        <v>0</v>
      </c>
      <c r="I123" s="90"/>
      <c r="J123" s="142" t="str">
        <f t="shared" si="1"/>
        <v>9.5.2026</v>
      </c>
      <c r="L123" s="153">
        <v>112</v>
      </c>
      <c r="M123" s="92"/>
    </row>
    <row r="124" spans="1:13" ht="21.6" x14ac:dyDescent="0.65">
      <c r="A124" s="195"/>
      <c r="B124" s="140">
        <v>121</v>
      </c>
      <c r="C124" s="2"/>
      <c r="D124" s="1"/>
      <c r="E124" s="3"/>
      <c r="F124" s="1"/>
      <c r="G124" s="141">
        <f>IF(Basic3456789101112131415161718192021222324[[#This Row],[نوع الخدمة]]="مخالفات", 50,
IF(Basic3456789101112131415161718192021222324[[#This Row],[نوع الخدمة]]="كاش ان",
    IF(F124&lt;=100, 18, IF(F124&lt;=250, 23, IF(F124&lt;=500, 35, IF(F124&lt;=1000, 40, F124*0.04)))),
IF(Basic3456789101112131415161718192021222324[[#This Row],[نوع الخدمة]]="كاش اوت",
    IF(F124&lt;=100, 15, IF(F124&lt;=250, 20, IF(F124&lt;=500, 30, IF(F124&lt;=1000, 35, F124*0.035)))),
0)))</f>
        <v>0</v>
      </c>
      <c r="H124" s="159">
        <f>IF(I124="مخالفات",50,Basic3456789101112131415161718192021222324[[#This Row],[قيمة الرسوم / العموله]]+Basic3456789101112131415161718192021222324[[#This Row],[قيمة الشحنه]])</f>
        <v>0</v>
      </c>
      <c r="I124" s="90"/>
      <c r="J124" s="142" t="str">
        <f t="shared" si="1"/>
        <v>9.5.2026</v>
      </c>
      <c r="L124" s="153">
        <v>113</v>
      </c>
      <c r="M124" s="92"/>
    </row>
    <row r="125" spans="1:13" ht="21.6" x14ac:dyDescent="0.65">
      <c r="A125" s="195"/>
      <c r="B125" s="144">
        <v>122</v>
      </c>
      <c r="C125" s="2"/>
      <c r="D125" s="1"/>
      <c r="E125" s="3"/>
      <c r="F125" s="1"/>
      <c r="G125" s="141">
        <f>IF(Basic3456789101112131415161718192021222324[[#This Row],[نوع الخدمة]]="مخالفات", 50,
IF(Basic3456789101112131415161718192021222324[[#This Row],[نوع الخدمة]]="كاش ان",
    IF(F125&lt;=100, 18, IF(F125&lt;=250, 23, IF(F125&lt;=500, 35, IF(F125&lt;=1000, 40, F125*0.04)))),
IF(Basic3456789101112131415161718192021222324[[#This Row],[نوع الخدمة]]="كاش اوت",
    IF(F125&lt;=100, 15, IF(F125&lt;=250, 20, IF(F125&lt;=500, 30, IF(F125&lt;=1000, 35, F125*0.035)))),
0)))</f>
        <v>0</v>
      </c>
      <c r="H125" s="159">
        <f>IF(I125="مخالفات",50,Basic3456789101112131415161718192021222324[[#This Row],[قيمة الرسوم / العموله]]+Basic3456789101112131415161718192021222324[[#This Row],[قيمة الشحنه]])</f>
        <v>0</v>
      </c>
      <c r="I125" s="90"/>
      <c r="J125" s="142" t="str">
        <f t="shared" si="1"/>
        <v>9.5.2026</v>
      </c>
      <c r="L125" s="153">
        <v>114</v>
      </c>
      <c r="M125" s="92"/>
    </row>
    <row r="126" spans="1:13" ht="21.6" x14ac:dyDescent="0.65">
      <c r="A126" s="195"/>
      <c r="B126" s="140">
        <v>123</v>
      </c>
      <c r="C126" s="2"/>
      <c r="D126" s="1"/>
      <c r="E126" s="3"/>
      <c r="F126" s="1"/>
      <c r="G126" s="141">
        <f>IF(Basic3456789101112131415161718192021222324[[#This Row],[نوع الخدمة]]="مخالفات", 50,
IF(Basic3456789101112131415161718192021222324[[#This Row],[نوع الخدمة]]="كاش ان",
    IF(F126&lt;=100, 18, IF(F126&lt;=250, 23, IF(F126&lt;=500, 35, IF(F126&lt;=1000, 40, F126*0.04)))),
IF(Basic3456789101112131415161718192021222324[[#This Row],[نوع الخدمة]]="كاش اوت",
    IF(F126&lt;=100, 15, IF(F126&lt;=250, 20, IF(F126&lt;=500, 30, IF(F126&lt;=1000, 35, F126*0.035)))),
0)))</f>
        <v>0</v>
      </c>
      <c r="H126" s="159">
        <f>IF(I126="مخالفات",50,Basic3456789101112131415161718192021222324[[#This Row],[قيمة الرسوم / العموله]]+Basic3456789101112131415161718192021222324[[#This Row],[قيمة الشحنه]])</f>
        <v>0</v>
      </c>
      <c r="I126" s="90"/>
      <c r="J126" s="142" t="str">
        <f t="shared" si="1"/>
        <v>9.5.2026</v>
      </c>
      <c r="L126" s="153">
        <v>115</v>
      </c>
      <c r="M126" s="92"/>
    </row>
    <row r="127" spans="1:13" ht="21.6" x14ac:dyDescent="0.65">
      <c r="A127" s="195"/>
      <c r="B127" s="140">
        <v>124</v>
      </c>
      <c r="C127" s="2"/>
      <c r="D127" s="1"/>
      <c r="E127" s="3"/>
      <c r="F127" s="1"/>
      <c r="G127" s="141">
        <f>IF(Basic3456789101112131415161718192021222324[[#This Row],[نوع الخدمة]]="مخالفات", 50,
IF(Basic3456789101112131415161718192021222324[[#This Row],[نوع الخدمة]]="كاش ان",
    IF(F127&lt;=100, 18, IF(F127&lt;=250, 23, IF(F127&lt;=500, 35, IF(F127&lt;=1000, 40, F127*0.04)))),
IF(Basic3456789101112131415161718192021222324[[#This Row],[نوع الخدمة]]="كاش اوت",
    IF(F127&lt;=100, 15, IF(F127&lt;=250, 20, IF(F127&lt;=500, 30, IF(F127&lt;=1000, 35, F127*0.035)))),
0)))</f>
        <v>0</v>
      </c>
      <c r="H127" s="159">
        <f>IF(I127="مخالفات",50,Basic3456789101112131415161718192021222324[[#This Row],[قيمة الرسوم / العموله]]+Basic3456789101112131415161718192021222324[[#This Row],[قيمة الشحنه]])</f>
        <v>0</v>
      </c>
      <c r="I127" s="90"/>
      <c r="J127" s="142" t="str">
        <f t="shared" si="1"/>
        <v>9.5.2026</v>
      </c>
      <c r="L127" s="153">
        <v>116</v>
      </c>
      <c r="M127" s="92"/>
    </row>
    <row r="128" spans="1:13" ht="21.6" x14ac:dyDescent="0.65">
      <c r="A128" s="195"/>
      <c r="B128" s="140">
        <v>125</v>
      </c>
      <c r="C128" s="2"/>
      <c r="D128" s="1"/>
      <c r="E128" s="3"/>
      <c r="F128" s="1"/>
      <c r="G128" s="141">
        <f>IF(Basic3456789101112131415161718192021222324[[#This Row],[نوع الخدمة]]="مخالفات", 50,
IF(Basic3456789101112131415161718192021222324[[#This Row],[نوع الخدمة]]="كاش ان",
    IF(F128&lt;=100, 18, IF(F128&lt;=250, 23, IF(F128&lt;=500, 35, IF(F128&lt;=1000, 40, F128*0.04)))),
IF(Basic3456789101112131415161718192021222324[[#This Row],[نوع الخدمة]]="كاش اوت",
    IF(F128&lt;=100, 15, IF(F128&lt;=250, 20, IF(F128&lt;=500, 30, IF(F128&lt;=1000, 35, F128*0.035)))),
0)))</f>
        <v>0</v>
      </c>
      <c r="H128" s="159">
        <f>IF(I128="مخالفات",50,Basic3456789101112131415161718192021222324[[#This Row],[قيمة الرسوم / العموله]]+Basic3456789101112131415161718192021222324[[#This Row],[قيمة الشحنه]])</f>
        <v>0</v>
      </c>
      <c r="I128" s="90"/>
      <c r="J128" s="142" t="str">
        <f t="shared" si="1"/>
        <v>9.5.2026</v>
      </c>
      <c r="L128" s="153">
        <v>117</v>
      </c>
      <c r="M128" s="92"/>
    </row>
    <row r="129" spans="1:13" ht="21.6" x14ac:dyDescent="0.65">
      <c r="A129" s="195"/>
      <c r="B129" s="144">
        <v>126</v>
      </c>
      <c r="C129" s="2"/>
      <c r="D129" s="1"/>
      <c r="E129" s="3"/>
      <c r="F129" s="1"/>
      <c r="G129" s="141">
        <f>IF(Basic3456789101112131415161718192021222324[[#This Row],[نوع الخدمة]]="مخالفات", 50,
IF(Basic3456789101112131415161718192021222324[[#This Row],[نوع الخدمة]]="كاش ان",
    IF(F129&lt;=100, 18, IF(F129&lt;=250, 23, IF(F129&lt;=500, 35, IF(F129&lt;=1000, 40, F129*0.04)))),
IF(Basic3456789101112131415161718192021222324[[#This Row],[نوع الخدمة]]="كاش اوت",
    IF(F129&lt;=100, 15, IF(F129&lt;=250, 20, IF(F129&lt;=500, 30, IF(F129&lt;=1000, 35, F129*0.035)))),
0)))</f>
        <v>0</v>
      </c>
      <c r="H129" s="159">
        <f>IF(I129="مخالفات",50,Basic3456789101112131415161718192021222324[[#This Row],[قيمة الرسوم / العموله]]+Basic3456789101112131415161718192021222324[[#This Row],[قيمة الشحنه]])</f>
        <v>0</v>
      </c>
      <c r="I129" s="90"/>
      <c r="J129" s="142" t="str">
        <f t="shared" si="1"/>
        <v>9.5.2026</v>
      </c>
      <c r="L129" s="153">
        <v>118</v>
      </c>
      <c r="M129" s="92"/>
    </row>
    <row r="130" spans="1:13" ht="21.6" x14ac:dyDescent="0.65">
      <c r="A130" s="195"/>
      <c r="B130" s="140">
        <v>127</v>
      </c>
      <c r="C130" s="2"/>
      <c r="D130" s="1"/>
      <c r="E130" s="3"/>
      <c r="F130" s="1"/>
      <c r="G130" s="141">
        <f>IF(Basic3456789101112131415161718192021222324[[#This Row],[نوع الخدمة]]="مخالفات", 50,
IF(Basic3456789101112131415161718192021222324[[#This Row],[نوع الخدمة]]="كاش ان",
    IF(F130&lt;=100, 18, IF(F130&lt;=250, 23, IF(F130&lt;=500, 35, IF(F130&lt;=1000, 40, F130*0.04)))),
IF(Basic3456789101112131415161718192021222324[[#This Row],[نوع الخدمة]]="كاش اوت",
    IF(F130&lt;=100, 15, IF(F130&lt;=250, 20, IF(F130&lt;=500, 30, IF(F130&lt;=1000, 35, F130*0.035)))),
0)))</f>
        <v>0</v>
      </c>
      <c r="H130" s="159">
        <f>IF(I130="مخالفات",50,Basic3456789101112131415161718192021222324[[#This Row],[قيمة الرسوم / العموله]]+Basic3456789101112131415161718192021222324[[#This Row],[قيمة الشحنه]])</f>
        <v>0</v>
      </c>
      <c r="I130" s="90"/>
      <c r="J130" s="142" t="str">
        <f t="shared" si="1"/>
        <v>9.5.2026</v>
      </c>
      <c r="L130" s="153">
        <v>119</v>
      </c>
      <c r="M130" s="92"/>
    </row>
    <row r="131" spans="1:13" ht="21.6" x14ac:dyDescent="0.65">
      <c r="A131" s="195"/>
      <c r="B131" s="140">
        <v>128</v>
      </c>
      <c r="C131" s="2"/>
      <c r="D131" s="1"/>
      <c r="E131" s="3"/>
      <c r="F131" s="1"/>
      <c r="G131" s="141">
        <f>IF(Basic3456789101112131415161718192021222324[[#This Row],[نوع الخدمة]]="مخالفات", 50,
IF(Basic3456789101112131415161718192021222324[[#This Row],[نوع الخدمة]]="كاش ان",
    IF(F131&lt;=100, 18, IF(F131&lt;=250, 23, IF(F131&lt;=500, 35, IF(F131&lt;=1000, 40, F131*0.04)))),
IF(Basic3456789101112131415161718192021222324[[#This Row],[نوع الخدمة]]="كاش اوت",
    IF(F131&lt;=100, 15, IF(F131&lt;=250, 20, IF(F131&lt;=500, 30, IF(F131&lt;=1000, 35, F131*0.035)))),
0)))</f>
        <v>0</v>
      </c>
      <c r="H131" s="159">
        <f>IF(I131="مخالفات",50,Basic3456789101112131415161718192021222324[[#This Row],[قيمة الرسوم / العموله]]+Basic3456789101112131415161718192021222324[[#This Row],[قيمة الشحنه]])</f>
        <v>0</v>
      </c>
      <c r="I131" s="90"/>
      <c r="J131" s="142" t="str">
        <f t="shared" si="1"/>
        <v>9.5.2026</v>
      </c>
      <c r="L131" s="153">
        <v>120</v>
      </c>
      <c r="M131" s="92"/>
    </row>
    <row r="132" spans="1:13" ht="21.6" x14ac:dyDescent="0.65">
      <c r="A132" s="195"/>
      <c r="B132" s="140">
        <v>129</v>
      </c>
      <c r="C132" s="2"/>
      <c r="D132" s="1"/>
      <c r="E132" s="3"/>
      <c r="F132" s="1"/>
      <c r="G132" s="141">
        <f>IF(Basic3456789101112131415161718192021222324[[#This Row],[نوع الخدمة]]="مخالفات", 50,
IF(Basic3456789101112131415161718192021222324[[#This Row],[نوع الخدمة]]="كاش ان",
    IF(F132&lt;=100, 18, IF(F132&lt;=250, 23, IF(F132&lt;=500, 35, IF(F132&lt;=1000, 40, F132*0.04)))),
IF(Basic3456789101112131415161718192021222324[[#This Row],[نوع الخدمة]]="كاش اوت",
    IF(F132&lt;=100, 15, IF(F132&lt;=250, 20, IF(F132&lt;=500, 30, IF(F132&lt;=1000, 35, F132*0.035)))),
0)))</f>
        <v>0</v>
      </c>
      <c r="H132" s="159">
        <f>IF(I132="مخالفات",50,Basic3456789101112131415161718192021222324[[#This Row],[قيمة الرسوم / العموله]]+Basic3456789101112131415161718192021222324[[#This Row],[قيمة الشحنه]])</f>
        <v>0</v>
      </c>
      <c r="I132" s="90"/>
      <c r="J132" s="142" t="str">
        <f t="shared" ref="J132:J195" si="2">M$3</f>
        <v>9.5.2026</v>
      </c>
      <c r="L132" s="153">
        <v>121</v>
      </c>
      <c r="M132" s="92"/>
    </row>
    <row r="133" spans="1:13" ht="21.6" x14ac:dyDescent="0.65">
      <c r="A133" s="195"/>
      <c r="B133" s="144">
        <v>130</v>
      </c>
      <c r="C133" s="2"/>
      <c r="D133" s="1"/>
      <c r="E133" s="3"/>
      <c r="F133" s="1"/>
      <c r="G133" s="141">
        <f>IF(Basic3456789101112131415161718192021222324[[#This Row],[نوع الخدمة]]="مخالفات", 50,
IF(Basic3456789101112131415161718192021222324[[#This Row],[نوع الخدمة]]="كاش ان",
    IF(F133&lt;=100, 18, IF(F133&lt;=250, 23, IF(F133&lt;=500, 35, IF(F133&lt;=1000, 40, F133*0.04)))),
IF(Basic3456789101112131415161718192021222324[[#This Row],[نوع الخدمة]]="كاش اوت",
    IF(F133&lt;=100, 15, IF(F133&lt;=250, 20, IF(F133&lt;=500, 30, IF(F133&lt;=1000, 35, F133*0.035)))),
0)))</f>
        <v>0</v>
      </c>
      <c r="H133" s="159">
        <f>IF(I133="مخالفات",50,Basic3456789101112131415161718192021222324[[#This Row],[قيمة الرسوم / العموله]]+Basic3456789101112131415161718192021222324[[#This Row],[قيمة الشحنه]])</f>
        <v>0</v>
      </c>
      <c r="I133" s="90"/>
      <c r="J133" s="142" t="str">
        <f t="shared" si="2"/>
        <v>9.5.2026</v>
      </c>
      <c r="L133" s="153">
        <v>122</v>
      </c>
      <c r="M133" s="92"/>
    </row>
    <row r="134" spans="1:13" ht="21.6" x14ac:dyDescent="0.65">
      <c r="A134" s="195"/>
      <c r="B134" s="140">
        <v>131</v>
      </c>
      <c r="C134" s="2"/>
      <c r="D134" s="1"/>
      <c r="E134" s="3"/>
      <c r="F134" s="1"/>
      <c r="G134" s="141">
        <f>IF(Basic3456789101112131415161718192021222324[[#This Row],[نوع الخدمة]]="مخالفات", 50,
IF(Basic3456789101112131415161718192021222324[[#This Row],[نوع الخدمة]]="كاش ان",
    IF(F134&lt;=100, 18, IF(F134&lt;=250, 23, IF(F134&lt;=500, 35, IF(F134&lt;=1000, 40, F134*0.04)))),
IF(Basic3456789101112131415161718192021222324[[#This Row],[نوع الخدمة]]="كاش اوت",
    IF(F134&lt;=100, 15, IF(F134&lt;=250, 20, IF(F134&lt;=500, 30, IF(F134&lt;=1000, 35, F134*0.035)))),
0)))</f>
        <v>0</v>
      </c>
      <c r="H134" s="159">
        <f>IF(I134="مخالفات",50,Basic3456789101112131415161718192021222324[[#This Row],[قيمة الرسوم / العموله]]+Basic3456789101112131415161718192021222324[[#This Row],[قيمة الشحنه]])</f>
        <v>0</v>
      </c>
      <c r="I134" s="90"/>
      <c r="J134" s="142" t="str">
        <f t="shared" si="2"/>
        <v>9.5.2026</v>
      </c>
      <c r="L134" s="153">
        <v>123</v>
      </c>
      <c r="M134" s="92"/>
    </row>
    <row r="135" spans="1:13" ht="21.6" x14ac:dyDescent="0.65">
      <c r="A135" s="195"/>
      <c r="B135" s="140">
        <v>132</v>
      </c>
      <c r="C135" s="2"/>
      <c r="D135" s="1"/>
      <c r="E135" s="3"/>
      <c r="F135" s="1"/>
      <c r="G135" s="141">
        <f>IF(Basic3456789101112131415161718192021222324[[#This Row],[نوع الخدمة]]="مخالفات", 50,
IF(Basic3456789101112131415161718192021222324[[#This Row],[نوع الخدمة]]="كاش ان",
    IF(F135&lt;=100, 18, IF(F135&lt;=250, 23, IF(F135&lt;=500, 35, IF(F135&lt;=1000, 40, F135*0.04)))),
IF(Basic3456789101112131415161718192021222324[[#This Row],[نوع الخدمة]]="كاش اوت",
    IF(F135&lt;=100, 15, IF(F135&lt;=250, 20, IF(F135&lt;=500, 30, IF(F135&lt;=1000, 35, F135*0.035)))),
0)))</f>
        <v>0</v>
      </c>
      <c r="H135" s="159">
        <f>IF(I135="مخالفات",50,Basic3456789101112131415161718192021222324[[#This Row],[قيمة الرسوم / العموله]]+Basic3456789101112131415161718192021222324[[#This Row],[قيمة الشحنه]])</f>
        <v>0</v>
      </c>
      <c r="I135" s="90"/>
      <c r="J135" s="142" t="str">
        <f t="shared" si="2"/>
        <v>9.5.2026</v>
      </c>
      <c r="L135" s="153">
        <v>124</v>
      </c>
      <c r="M135" s="92"/>
    </row>
    <row r="136" spans="1:13" ht="21.6" x14ac:dyDescent="0.65">
      <c r="A136" s="195"/>
      <c r="B136" s="140">
        <v>133</v>
      </c>
      <c r="C136" s="2"/>
      <c r="D136" s="1"/>
      <c r="E136" s="3"/>
      <c r="F136" s="1"/>
      <c r="G136" s="141">
        <f>IF(Basic3456789101112131415161718192021222324[[#This Row],[نوع الخدمة]]="مخالفات", 50,
IF(Basic3456789101112131415161718192021222324[[#This Row],[نوع الخدمة]]="كاش ان",
    IF(F136&lt;=100, 18, IF(F136&lt;=250, 23, IF(F136&lt;=500, 35, IF(F136&lt;=1000, 40, F136*0.04)))),
IF(Basic3456789101112131415161718192021222324[[#This Row],[نوع الخدمة]]="كاش اوت",
    IF(F136&lt;=100, 15, IF(F136&lt;=250, 20, IF(F136&lt;=500, 30, IF(F136&lt;=1000, 35, F136*0.035)))),
0)))</f>
        <v>0</v>
      </c>
      <c r="H136" s="159">
        <f>IF(I136="مخالفات",50,Basic3456789101112131415161718192021222324[[#This Row],[قيمة الرسوم / العموله]]+Basic3456789101112131415161718192021222324[[#This Row],[قيمة الشحنه]])</f>
        <v>0</v>
      </c>
      <c r="I136" s="90"/>
      <c r="J136" s="142" t="str">
        <f t="shared" si="2"/>
        <v>9.5.2026</v>
      </c>
      <c r="L136" s="153">
        <v>125</v>
      </c>
      <c r="M136" s="92"/>
    </row>
    <row r="137" spans="1:13" ht="21.6" x14ac:dyDescent="0.65">
      <c r="A137" s="195"/>
      <c r="B137" s="144">
        <v>134</v>
      </c>
      <c r="C137" s="2"/>
      <c r="D137" s="1"/>
      <c r="E137" s="3"/>
      <c r="F137" s="1"/>
      <c r="G137" s="141">
        <f>IF(Basic3456789101112131415161718192021222324[[#This Row],[نوع الخدمة]]="مخالفات", 50,
IF(Basic3456789101112131415161718192021222324[[#This Row],[نوع الخدمة]]="كاش ان",
    IF(F137&lt;=100, 18, IF(F137&lt;=250, 23, IF(F137&lt;=500, 35, IF(F137&lt;=1000, 40, F137*0.04)))),
IF(Basic3456789101112131415161718192021222324[[#This Row],[نوع الخدمة]]="كاش اوت",
    IF(F137&lt;=100, 15, IF(F137&lt;=250, 20, IF(F137&lt;=500, 30, IF(F137&lt;=1000, 35, F137*0.035)))),
0)))</f>
        <v>0</v>
      </c>
      <c r="H137" s="159">
        <f>IF(I137="مخالفات",50,Basic3456789101112131415161718192021222324[[#This Row],[قيمة الرسوم / العموله]]+Basic3456789101112131415161718192021222324[[#This Row],[قيمة الشحنه]])</f>
        <v>0</v>
      </c>
      <c r="I137" s="90"/>
      <c r="J137" s="142" t="str">
        <f t="shared" si="2"/>
        <v>9.5.2026</v>
      </c>
      <c r="L137" s="153">
        <v>126</v>
      </c>
      <c r="M137" s="92"/>
    </row>
    <row r="138" spans="1:13" ht="21.6" x14ac:dyDescent="0.65">
      <c r="A138" s="195"/>
      <c r="B138" s="140">
        <v>135</v>
      </c>
      <c r="C138" s="2"/>
      <c r="D138" s="1"/>
      <c r="E138" s="3"/>
      <c r="F138" s="1"/>
      <c r="G138" s="141">
        <f>IF(Basic3456789101112131415161718192021222324[[#This Row],[نوع الخدمة]]="مخالفات", 50,
IF(Basic3456789101112131415161718192021222324[[#This Row],[نوع الخدمة]]="كاش ان",
    IF(F138&lt;=100, 18, IF(F138&lt;=250, 23, IF(F138&lt;=500, 35, IF(F138&lt;=1000, 40, F138*0.04)))),
IF(Basic3456789101112131415161718192021222324[[#This Row],[نوع الخدمة]]="كاش اوت",
    IF(F138&lt;=100, 15, IF(F138&lt;=250, 20, IF(F138&lt;=500, 30, IF(F138&lt;=1000, 35, F138*0.035)))),
0)))</f>
        <v>0</v>
      </c>
      <c r="H138" s="159">
        <f>IF(I138="مخالفات",50,Basic3456789101112131415161718192021222324[[#This Row],[قيمة الرسوم / العموله]]+Basic3456789101112131415161718192021222324[[#This Row],[قيمة الشحنه]])</f>
        <v>0</v>
      </c>
      <c r="I138" s="90"/>
      <c r="J138" s="142" t="str">
        <f t="shared" si="2"/>
        <v>9.5.2026</v>
      </c>
      <c r="L138" s="153">
        <v>127</v>
      </c>
      <c r="M138" s="92"/>
    </row>
    <row r="139" spans="1:13" ht="21.6" x14ac:dyDescent="0.65">
      <c r="A139" s="195"/>
      <c r="B139" s="140">
        <v>136</v>
      </c>
      <c r="C139" s="2"/>
      <c r="D139" s="1"/>
      <c r="E139" s="3"/>
      <c r="F139" s="1"/>
      <c r="G139" s="141">
        <f>IF(Basic3456789101112131415161718192021222324[[#This Row],[نوع الخدمة]]="مخالفات", 50,
IF(Basic3456789101112131415161718192021222324[[#This Row],[نوع الخدمة]]="كاش ان",
    IF(F139&lt;=100, 18, IF(F139&lt;=250, 23, IF(F139&lt;=500, 35, IF(F139&lt;=1000, 40, F139*0.04)))),
IF(Basic3456789101112131415161718192021222324[[#This Row],[نوع الخدمة]]="كاش اوت",
    IF(F139&lt;=100, 15, IF(F139&lt;=250, 20, IF(F139&lt;=500, 30, IF(F139&lt;=1000, 35, F139*0.035)))),
0)))</f>
        <v>0</v>
      </c>
      <c r="H139" s="159">
        <f>IF(I139="مخالفات",50,Basic3456789101112131415161718192021222324[[#This Row],[قيمة الرسوم / العموله]]+Basic3456789101112131415161718192021222324[[#This Row],[قيمة الشحنه]])</f>
        <v>0</v>
      </c>
      <c r="I139" s="90"/>
      <c r="J139" s="142" t="str">
        <f t="shared" si="2"/>
        <v>9.5.2026</v>
      </c>
      <c r="L139" s="153">
        <v>128</v>
      </c>
      <c r="M139" s="92"/>
    </row>
    <row r="140" spans="1:13" ht="21.6" x14ac:dyDescent="0.65">
      <c r="A140" s="195"/>
      <c r="B140" s="140">
        <v>137</v>
      </c>
      <c r="C140" s="2"/>
      <c r="D140" s="1"/>
      <c r="E140" s="3"/>
      <c r="F140" s="1"/>
      <c r="G140" s="141">
        <f>IF(Basic3456789101112131415161718192021222324[[#This Row],[نوع الخدمة]]="مخالفات", 50,
IF(Basic3456789101112131415161718192021222324[[#This Row],[نوع الخدمة]]="كاش ان",
    IF(F140&lt;=100, 18, IF(F140&lt;=250, 23, IF(F140&lt;=500, 35, IF(F140&lt;=1000, 40, F140*0.04)))),
IF(Basic3456789101112131415161718192021222324[[#This Row],[نوع الخدمة]]="كاش اوت",
    IF(F140&lt;=100, 15, IF(F140&lt;=250, 20, IF(F140&lt;=500, 30, IF(F140&lt;=1000, 35, F140*0.035)))),
0)))</f>
        <v>0</v>
      </c>
      <c r="H140" s="159">
        <f>IF(I140="مخالفات",50,Basic3456789101112131415161718192021222324[[#This Row],[قيمة الرسوم / العموله]]+Basic3456789101112131415161718192021222324[[#This Row],[قيمة الشحنه]])</f>
        <v>0</v>
      </c>
      <c r="I140" s="90"/>
      <c r="J140" s="142" t="str">
        <f t="shared" si="2"/>
        <v>9.5.2026</v>
      </c>
      <c r="L140" s="153">
        <v>129</v>
      </c>
      <c r="M140" s="92"/>
    </row>
    <row r="141" spans="1:13" ht="21.6" x14ac:dyDescent="0.65">
      <c r="A141" s="195"/>
      <c r="B141" s="144">
        <v>138</v>
      </c>
      <c r="C141" s="2"/>
      <c r="D141" s="1"/>
      <c r="E141" s="3"/>
      <c r="F141" s="1"/>
      <c r="G141" s="141">
        <f>IF(Basic3456789101112131415161718192021222324[[#This Row],[نوع الخدمة]]="مخالفات", 50,
IF(Basic3456789101112131415161718192021222324[[#This Row],[نوع الخدمة]]="كاش ان",
    IF(F141&lt;=100, 18, IF(F141&lt;=250, 23, IF(F141&lt;=500, 35, IF(F141&lt;=1000, 40, F141*0.04)))),
IF(Basic3456789101112131415161718192021222324[[#This Row],[نوع الخدمة]]="كاش اوت",
    IF(F141&lt;=100, 15, IF(F141&lt;=250, 20, IF(F141&lt;=500, 30, IF(F141&lt;=1000, 35, F141*0.035)))),
0)))</f>
        <v>0</v>
      </c>
      <c r="H141" s="159">
        <f>IF(I141="مخالفات",50,Basic3456789101112131415161718192021222324[[#This Row],[قيمة الرسوم / العموله]]+Basic3456789101112131415161718192021222324[[#This Row],[قيمة الشحنه]])</f>
        <v>0</v>
      </c>
      <c r="I141" s="90"/>
      <c r="J141" s="142" t="str">
        <f t="shared" si="2"/>
        <v>9.5.2026</v>
      </c>
      <c r="L141" s="153">
        <v>130</v>
      </c>
      <c r="M141" s="92"/>
    </row>
    <row r="142" spans="1:13" ht="21.6" x14ac:dyDescent="0.65">
      <c r="A142" s="195"/>
      <c r="B142" s="140">
        <v>139</v>
      </c>
      <c r="C142" s="2"/>
      <c r="D142" s="1"/>
      <c r="E142" s="3"/>
      <c r="F142" s="1"/>
      <c r="G142" s="141">
        <f>IF(Basic3456789101112131415161718192021222324[[#This Row],[نوع الخدمة]]="مخالفات", 50,
IF(Basic3456789101112131415161718192021222324[[#This Row],[نوع الخدمة]]="كاش ان",
    IF(F142&lt;=100, 18, IF(F142&lt;=250, 23, IF(F142&lt;=500, 35, IF(F142&lt;=1000, 40, F142*0.04)))),
IF(Basic3456789101112131415161718192021222324[[#This Row],[نوع الخدمة]]="كاش اوت",
    IF(F142&lt;=100, 15, IF(F142&lt;=250, 20, IF(F142&lt;=500, 30, IF(F142&lt;=1000, 35, F142*0.035)))),
0)))</f>
        <v>0</v>
      </c>
      <c r="H142" s="159">
        <f>IF(I142="مخالفات",50,Basic3456789101112131415161718192021222324[[#This Row],[قيمة الرسوم / العموله]]+Basic3456789101112131415161718192021222324[[#This Row],[قيمة الشحنه]])</f>
        <v>0</v>
      </c>
      <c r="I142" s="90"/>
      <c r="J142" s="142" t="str">
        <f t="shared" si="2"/>
        <v>9.5.2026</v>
      </c>
      <c r="L142" s="153">
        <v>131</v>
      </c>
      <c r="M142" s="92"/>
    </row>
    <row r="143" spans="1:13" ht="21.6" x14ac:dyDescent="0.65">
      <c r="A143" s="195"/>
      <c r="B143" s="140">
        <v>140</v>
      </c>
      <c r="C143" s="2"/>
      <c r="D143" s="1"/>
      <c r="E143" s="3"/>
      <c r="F143" s="1"/>
      <c r="G143" s="141">
        <f>IF(Basic3456789101112131415161718192021222324[[#This Row],[نوع الخدمة]]="مخالفات", 50,
IF(Basic3456789101112131415161718192021222324[[#This Row],[نوع الخدمة]]="كاش ان",
    IF(F143&lt;=100, 18, IF(F143&lt;=250, 23, IF(F143&lt;=500, 35, IF(F143&lt;=1000, 40, F143*0.04)))),
IF(Basic3456789101112131415161718192021222324[[#This Row],[نوع الخدمة]]="كاش اوت",
    IF(F143&lt;=100, 15, IF(F143&lt;=250, 20, IF(F143&lt;=500, 30, IF(F143&lt;=1000, 35, F143*0.035)))),
0)))</f>
        <v>0</v>
      </c>
      <c r="H143" s="159">
        <f>IF(I143="مخالفات",50,Basic3456789101112131415161718192021222324[[#This Row],[قيمة الرسوم / العموله]]+Basic3456789101112131415161718192021222324[[#This Row],[قيمة الشحنه]])</f>
        <v>0</v>
      </c>
      <c r="I143" s="90"/>
      <c r="J143" s="142" t="str">
        <f t="shared" si="2"/>
        <v>9.5.2026</v>
      </c>
      <c r="L143" s="153">
        <v>132</v>
      </c>
      <c r="M143" s="92"/>
    </row>
    <row r="144" spans="1:13" ht="21.6" x14ac:dyDescent="0.65">
      <c r="A144" s="195"/>
      <c r="B144" s="140">
        <v>141</v>
      </c>
      <c r="C144" s="2"/>
      <c r="D144" s="1"/>
      <c r="E144" s="3"/>
      <c r="F144" s="1"/>
      <c r="G144" s="141">
        <f>IF(Basic3456789101112131415161718192021222324[[#This Row],[نوع الخدمة]]="مخالفات", 50,
IF(Basic3456789101112131415161718192021222324[[#This Row],[نوع الخدمة]]="كاش ان",
    IF(F144&lt;=100, 18, IF(F144&lt;=250, 23, IF(F144&lt;=500, 35, IF(F144&lt;=1000, 40, F144*0.04)))),
IF(Basic3456789101112131415161718192021222324[[#This Row],[نوع الخدمة]]="كاش اوت",
    IF(F144&lt;=100, 15, IF(F144&lt;=250, 20, IF(F144&lt;=500, 30, IF(F144&lt;=1000, 35, F144*0.035)))),
0)))</f>
        <v>0</v>
      </c>
      <c r="H144" s="159">
        <f>IF(I144="مخالفات",50,Basic3456789101112131415161718192021222324[[#This Row],[قيمة الرسوم / العموله]]+Basic3456789101112131415161718192021222324[[#This Row],[قيمة الشحنه]])</f>
        <v>0</v>
      </c>
      <c r="I144" s="90"/>
      <c r="J144" s="142" t="str">
        <f t="shared" si="2"/>
        <v>9.5.2026</v>
      </c>
      <c r="L144" s="153">
        <v>133</v>
      </c>
      <c r="M144" s="92"/>
    </row>
    <row r="145" spans="1:13" ht="21.6" x14ac:dyDescent="0.65">
      <c r="A145" s="195"/>
      <c r="B145" s="144">
        <v>142</v>
      </c>
      <c r="C145" s="2"/>
      <c r="D145" s="1"/>
      <c r="E145" s="3"/>
      <c r="F145" s="1"/>
      <c r="G145" s="141">
        <f>IF(Basic3456789101112131415161718192021222324[[#This Row],[نوع الخدمة]]="مخالفات", 50,
IF(Basic3456789101112131415161718192021222324[[#This Row],[نوع الخدمة]]="كاش ان",
    IF(F145&lt;=100, 18, IF(F145&lt;=250, 23, IF(F145&lt;=500, 35, IF(F145&lt;=1000, 40, F145*0.04)))),
IF(Basic3456789101112131415161718192021222324[[#This Row],[نوع الخدمة]]="كاش اوت",
    IF(F145&lt;=100, 15, IF(F145&lt;=250, 20, IF(F145&lt;=500, 30, IF(F145&lt;=1000, 35, F145*0.035)))),
0)))</f>
        <v>0</v>
      </c>
      <c r="H145" s="159">
        <f>IF(I145="مخالفات",50,Basic3456789101112131415161718192021222324[[#This Row],[قيمة الرسوم / العموله]]+Basic3456789101112131415161718192021222324[[#This Row],[قيمة الشحنه]])</f>
        <v>0</v>
      </c>
      <c r="I145" s="90"/>
      <c r="J145" s="142" t="str">
        <f t="shared" si="2"/>
        <v>9.5.2026</v>
      </c>
      <c r="L145" s="153">
        <v>134</v>
      </c>
      <c r="M145" s="92"/>
    </row>
    <row r="146" spans="1:13" ht="21.6" x14ac:dyDescent="0.65">
      <c r="A146" s="195"/>
      <c r="B146" s="140">
        <v>143</v>
      </c>
      <c r="C146" s="2"/>
      <c r="D146" s="1"/>
      <c r="E146" s="3"/>
      <c r="F146" s="1"/>
      <c r="G146" s="141">
        <f>IF(Basic3456789101112131415161718192021222324[[#This Row],[نوع الخدمة]]="مخالفات", 50,
IF(Basic3456789101112131415161718192021222324[[#This Row],[نوع الخدمة]]="كاش ان",
    IF(F146&lt;=100, 18, IF(F146&lt;=250, 23, IF(F146&lt;=500, 35, IF(F146&lt;=1000, 40, F146*0.04)))),
IF(Basic3456789101112131415161718192021222324[[#This Row],[نوع الخدمة]]="كاش اوت",
    IF(F146&lt;=100, 15, IF(F146&lt;=250, 20, IF(F146&lt;=500, 30, IF(F146&lt;=1000, 35, F146*0.035)))),
0)))</f>
        <v>0</v>
      </c>
      <c r="H146" s="159">
        <f>IF(I146="مخالفات",50,Basic3456789101112131415161718192021222324[[#This Row],[قيمة الرسوم / العموله]]+Basic3456789101112131415161718192021222324[[#This Row],[قيمة الشحنه]])</f>
        <v>0</v>
      </c>
      <c r="I146" s="90"/>
      <c r="J146" s="142" t="str">
        <f t="shared" si="2"/>
        <v>9.5.2026</v>
      </c>
      <c r="L146" s="153">
        <v>135</v>
      </c>
      <c r="M146" s="92"/>
    </row>
    <row r="147" spans="1:13" ht="21.6" x14ac:dyDescent="0.65">
      <c r="A147" s="195"/>
      <c r="B147" s="140">
        <v>144</v>
      </c>
      <c r="C147" s="2"/>
      <c r="D147" s="1"/>
      <c r="E147" s="3"/>
      <c r="F147" s="1"/>
      <c r="G147" s="141">
        <f>IF(Basic3456789101112131415161718192021222324[[#This Row],[نوع الخدمة]]="مخالفات", 50,
IF(Basic3456789101112131415161718192021222324[[#This Row],[نوع الخدمة]]="كاش ان",
    IF(F147&lt;=100, 18, IF(F147&lt;=250, 23, IF(F147&lt;=500, 35, IF(F147&lt;=1000, 40, F147*0.04)))),
IF(Basic3456789101112131415161718192021222324[[#This Row],[نوع الخدمة]]="كاش اوت",
    IF(F147&lt;=100, 15, IF(F147&lt;=250, 20, IF(F147&lt;=500, 30, IF(F147&lt;=1000, 35, F147*0.035)))),
0)))</f>
        <v>0</v>
      </c>
      <c r="H147" s="159">
        <f>IF(I147="مخالفات",50,Basic3456789101112131415161718192021222324[[#This Row],[قيمة الرسوم / العموله]]+Basic3456789101112131415161718192021222324[[#This Row],[قيمة الشحنه]])</f>
        <v>0</v>
      </c>
      <c r="I147" s="90"/>
      <c r="J147" s="142" t="str">
        <f t="shared" si="2"/>
        <v>9.5.2026</v>
      </c>
      <c r="L147" s="153">
        <v>136</v>
      </c>
      <c r="M147" s="92"/>
    </row>
    <row r="148" spans="1:13" ht="21.6" x14ac:dyDescent="0.65">
      <c r="A148" s="195"/>
      <c r="B148" s="140">
        <v>145</v>
      </c>
      <c r="C148" s="2"/>
      <c r="D148" s="1"/>
      <c r="E148" s="3"/>
      <c r="F148" s="1"/>
      <c r="G148" s="141">
        <f>IF(Basic3456789101112131415161718192021222324[[#This Row],[نوع الخدمة]]="مخالفات", 50,
IF(Basic3456789101112131415161718192021222324[[#This Row],[نوع الخدمة]]="كاش ان",
    IF(F148&lt;=100, 18, IF(F148&lt;=250, 23, IF(F148&lt;=500, 35, IF(F148&lt;=1000, 40, F148*0.04)))),
IF(Basic3456789101112131415161718192021222324[[#This Row],[نوع الخدمة]]="كاش اوت",
    IF(F148&lt;=100, 15, IF(F148&lt;=250, 20, IF(F148&lt;=500, 30, IF(F148&lt;=1000, 35, F148*0.035)))),
0)))</f>
        <v>0</v>
      </c>
      <c r="H148" s="159">
        <f>IF(I148="مخالفات",50,Basic3456789101112131415161718192021222324[[#This Row],[قيمة الرسوم / العموله]]+Basic3456789101112131415161718192021222324[[#This Row],[قيمة الشحنه]])</f>
        <v>0</v>
      </c>
      <c r="I148" s="90"/>
      <c r="J148" s="142" t="str">
        <f t="shared" si="2"/>
        <v>9.5.2026</v>
      </c>
      <c r="L148" s="153">
        <v>137</v>
      </c>
      <c r="M148" s="92"/>
    </row>
    <row r="149" spans="1:13" ht="21.6" x14ac:dyDescent="0.65">
      <c r="A149" s="195"/>
      <c r="B149" s="144">
        <v>146</v>
      </c>
      <c r="C149" s="2"/>
      <c r="D149" s="1"/>
      <c r="E149" s="3"/>
      <c r="F149" s="1"/>
      <c r="G149" s="141">
        <f>IF(Basic3456789101112131415161718192021222324[[#This Row],[نوع الخدمة]]="مخالفات", 50,
IF(Basic3456789101112131415161718192021222324[[#This Row],[نوع الخدمة]]="كاش ان",
    IF(F149&lt;=100, 18, IF(F149&lt;=250, 23, IF(F149&lt;=500, 35, IF(F149&lt;=1000, 40, F149*0.04)))),
IF(Basic3456789101112131415161718192021222324[[#This Row],[نوع الخدمة]]="كاش اوت",
    IF(F149&lt;=100, 15, IF(F149&lt;=250, 20, IF(F149&lt;=500, 30, IF(F149&lt;=1000, 35, F149*0.035)))),
0)))</f>
        <v>0</v>
      </c>
      <c r="H149" s="159">
        <f>IF(I149="مخالفات",50,Basic3456789101112131415161718192021222324[[#This Row],[قيمة الرسوم / العموله]]+Basic3456789101112131415161718192021222324[[#This Row],[قيمة الشحنه]])</f>
        <v>0</v>
      </c>
      <c r="I149" s="90"/>
      <c r="J149" s="142" t="str">
        <f t="shared" si="2"/>
        <v>9.5.2026</v>
      </c>
      <c r="L149" s="153">
        <v>138</v>
      </c>
      <c r="M149" s="92"/>
    </row>
    <row r="150" spans="1:13" ht="21.6" x14ac:dyDescent="0.65">
      <c r="A150" s="195"/>
      <c r="B150" s="140">
        <v>147</v>
      </c>
      <c r="C150" s="2"/>
      <c r="D150" s="1"/>
      <c r="E150" s="3"/>
      <c r="F150" s="1"/>
      <c r="G150" s="141">
        <f>IF(Basic3456789101112131415161718192021222324[[#This Row],[نوع الخدمة]]="مخالفات", 50,
IF(Basic3456789101112131415161718192021222324[[#This Row],[نوع الخدمة]]="كاش ان",
    IF(F150&lt;=100, 18, IF(F150&lt;=250, 23, IF(F150&lt;=500, 35, IF(F150&lt;=1000, 40, F150*0.04)))),
IF(Basic3456789101112131415161718192021222324[[#This Row],[نوع الخدمة]]="كاش اوت",
    IF(F150&lt;=100, 15, IF(F150&lt;=250, 20, IF(F150&lt;=500, 30, IF(F150&lt;=1000, 35, F150*0.035)))),
0)))</f>
        <v>0</v>
      </c>
      <c r="H150" s="159">
        <f>IF(I150="مخالفات",50,Basic3456789101112131415161718192021222324[[#This Row],[قيمة الرسوم / العموله]]+Basic3456789101112131415161718192021222324[[#This Row],[قيمة الشحنه]])</f>
        <v>0</v>
      </c>
      <c r="I150" s="90"/>
      <c r="J150" s="142" t="str">
        <f t="shared" si="2"/>
        <v>9.5.2026</v>
      </c>
      <c r="L150" s="153">
        <v>139</v>
      </c>
      <c r="M150" s="92"/>
    </row>
    <row r="151" spans="1:13" ht="21.6" x14ac:dyDescent="0.65">
      <c r="A151" s="195"/>
      <c r="B151" s="140">
        <v>148</v>
      </c>
      <c r="C151" s="2"/>
      <c r="D151" s="1"/>
      <c r="E151" s="3"/>
      <c r="F151" s="1"/>
      <c r="G151" s="141">
        <f>IF(Basic3456789101112131415161718192021222324[[#This Row],[نوع الخدمة]]="مخالفات", 50,
IF(Basic3456789101112131415161718192021222324[[#This Row],[نوع الخدمة]]="كاش ان",
    IF(F151&lt;=100, 18, IF(F151&lt;=250, 23, IF(F151&lt;=500, 35, IF(F151&lt;=1000, 40, F151*0.04)))),
IF(Basic3456789101112131415161718192021222324[[#This Row],[نوع الخدمة]]="كاش اوت",
    IF(F151&lt;=100, 15, IF(F151&lt;=250, 20, IF(F151&lt;=500, 30, IF(F151&lt;=1000, 35, F151*0.035)))),
0)))</f>
        <v>0</v>
      </c>
      <c r="H151" s="159">
        <f>IF(I151="مخالفات",50,Basic3456789101112131415161718192021222324[[#This Row],[قيمة الرسوم / العموله]]+Basic3456789101112131415161718192021222324[[#This Row],[قيمة الشحنه]])</f>
        <v>0</v>
      </c>
      <c r="I151" s="90"/>
      <c r="J151" s="142" t="str">
        <f t="shared" si="2"/>
        <v>9.5.2026</v>
      </c>
      <c r="L151" s="153">
        <v>140</v>
      </c>
      <c r="M151" s="92"/>
    </row>
    <row r="152" spans="1:13" ht="21.6" x14ac:dyDescent="0.65">
      <c r="A152" s="195"/>
      <c r="B152" s="140">
        <v>149</v>
      </c>
      <c r="C152" s="2"/>
      <c r="D152" s="1"/>
      <c r="E152" s="3"/>
      <c r="F152" s="1"/>
      <c r="G152" s="141">
        <f>IF(Basic3456789101112131415161718192021222324[[#This Row],[نوع الخدمة]]="مخالفات", 50,
IF(Basic3456789101112131415161718192021222324[[#This Row],[نوع الخدمة]]="كاش ان",
    IF(F152&lt;=100, 18, IF(F152&lt;=250, 23, IF(F152&lt;=500, 35, IF(F152&lt;=1000, 40, F152*0.04)))),
IF(Basic3456789101112131415161718192021222324[[#This Row],[نوع الخدمة]]="كاش اوت",
    IF(F152&lt;=100, 15, IF(F152&lt;=250, 20, IF(F152&lt;=500, 30, IF(F152&lt;=1000, 35, F152*0.035)))),
0)))</f>
        <v>0</v>
      </c>
      <c r="H152" s="159">
        <f>IF(I152="مخالفات",50,Basic3456789101112131415161718192021222324[[#This Row],[قيمة الرسوم / العموله]]+Basic3456789101112131415161718192021222324[[#This Row],[قيمة الشحنه]])</f>
        <v>0</v>
      </c>
      <c r="I152" s="90"/>
      <c r="J152" s="142" t="str">
        <f t="shared" si="2"/>
        <v>9.5.2026</v>
      </c>
      <c r="L152" s="153">
        <v>141</v>
      </c>
      <c r="M152" s="92"/>
    </row>
    <row r="153" spans="1:13" ht="21.6" x14ac:dyDescent="0.65">
      <c r="A153" s="195"/>
      <c r="B153" s="144">
        <v>150</v>
      </c>
      <c r="C153" s="2"/>
      <c r="D153" s="1"/>
      <c r="E153" s="3"/>
      <c r="F153" s="1"/>
      <c r="G153" s="141">
        <f>IF(Basic3456789101112131415161718192021222324[[#This Row],[نوع الخدمة]]="مخالفات", 50,
IF(Basic3456789101112131415161718192021222324[[#This Row],[نوع الخدمة]]="كاش ان",
    IF(F153&lt;=100, 18, IF(F153&lt;=250, 23, IF(F153&lt;=500, 35, IF(F153&lt;=1000, 40, F153*0.04)))),
IF(Basic3456789101112131415161718192021222324[[#This Row],[نوع الخدمة]]="كاش اوت",
    IF(F153&lt;=100, 15, IF(F153&lt;=250, 20, IF(F153&lt;=500, 30, IF(F153&lt;=1000, 35, F153*0.035)))),
0)))</f>
        <v>0</v>
      </c>
      <c r="H153" s="159">
        <f>IF(I153="مخالفات",50,Basic3456789101112131415161718192021222324[[#This Row],[قيمة الرسوم / العموله]]+Basic3456789101112131415161718192021222324[[#This Row],[قيمة الشحنه]])</f>
        <v>0</v>
      </c>
      <c r="I153" s="90"/>
      <c r="J153" s="142" t="str">
        <f t="shared" si="2"/>
        <v>9.5.2026</v>
      </c>
      <c r="L153" s="153">
        <v>142</v>
      </c>
      <c r="M153" s="92"/>
    </row>
    <row r="154" spans="1:13" ht="21.6" x14ac:dyDescent="0.65">
      <c r="A154" s="195"/>
      <c r="B154" s="140">
        <v>151</v>
      </c>
      <c r="C154" s="2"/>
      <c r="D154" s="1"/>
      <c r="E154" s="3"/>
      <c r="F154" s="1"/>
      <c r="G154" s="141">
        <f>IF(Basic3456789101112131415161718192021222324[[#This Row],[نوع الخدمة]]="مخالفات", 50,
IF(Basic3456789101112131415161718192021222324[[#This Row],[نوع الخدمة]]="كاش ان",
    IF(F154&lt;=100, 18, IF(F154&lt;=250, 23, IF(F154&lt;=500, 35, IF(F154&lt;=1000, 40, F154*0.04)))),
IF(Basic3456789101112131415161718192021222324[[#This Row],[نوع الخدمة]]="كاش اوت",
    IF(F154&lt;=100, 15, IF(F154&lt;=250, 20, IF(F154&lt;=500, 30, IF(F154&lt;=1000, 35, F154*0.035)))),
0)))</f>
        <v>0</v>
      </c>
      <c r="H154" s="159">
        <f>IF(I154="مخالفات",50,Basic3456789101112131415161718192021222324[[#This Row],[قيمة الرسوم / العموله]]+Basic3456789101112131415161718192021222324[[#This Row],[قيمة الشحنه]])</f>
        <v>0</v>
      </c>
      <c r="I154" s="90"/>
      <c r="J154" s="142" t="str">
        <f t="shared" si="2"/>
        <v>9.5.2026</v>
      </c>
      <c r="L154" s="153">
        <v>143</v>
      </c>
      <c r="M154" s="92"/>
    </row>
    <row r="155" spans="1:13" ht="21.6" x14ac:dyDescent="0.65">
      <c r="A155" s="195"/>
      <c r="B155" s="140">
        <v>152</v>
      </c>
      <c r="C155" s="2"/>
      <c r="D155" s="1"/>
      <c r="E155" s="3"/>
      <c r="F155" s="1"/>
      <c r="G155" s="141">
        <f>IF(Basic3456789101112131415161718192021222324[[#This Row],[نوع الخدمة]]="مخالفات", 50,
IF(Basic3456789101112131415161718192021222324[[#This Row],[نوع الخدمة]]="كاش ان",
    IF(F155&lt;=100, 18, IF(F155&lt;=250, 23, IF(F155&lt;=500, 35, IF(F155&lt;=1000, 40, F155*0.04)))),
IF(Basic3456789101112131415161718192021222324[[#This Row],[نوع الخدمة]]="كاش اوت",
    IF(F155&lt;=100, 15, IF(F155&lt;=250, 20, IF(F155&lt;=500, 30, IF(F155&lt;=1000, 35, F155*0.035)))),
0)))</f>
        <v>0</v>
      </c>
      <c r="H155" s="159">
        <f>IF(I155="مخالفات",50,Basic3456789101112131415161718192021222324[[#This Row],[قيمة الرسوم / العموله]]+Basic3456789101112131415161718192021222324[[#This Row],[قيمة الشحنه]])</f>
        <v>0</v>
      </c>
      <c r="I155" s="90"/>
      <c r="J155" s="142" t="str">
        <f t="shared" si="2"/>
        <v>9.5.2026</v>
      </c>
      <c r="L155" s="153">
        <v>144</v>
      </c>
      <c r="M155" s="92"/>
    </row>
    <row r="156" spans="1:13" ht="21.6" x14ac:dyDescent="0.65">
      <c r="A156" s="195"/>
      <c r="B156" s="140">
        <v>153</v>
      </c>
      <c r="C156" s="2"/>
      <c r="D156" s="1"/>
      <c r="E156" s="3"/>
      <c r="F156" s="1"/>
      <c r="G156" s="141">
        <f>IF(Basic3456789101112131415161718192021222324[[#This Row],[نوع الخدمة]]="مخالفات", 50,
IF(Basic3456789101112131415161718192021222324[[#This Row],[نوع الخدمة]]="كاش ان",
    IF(F156&lt;=100, 18, IF(F156&lt;=250, 23, IF(F156&lt;=500, 35, IF(F156&lt;=1000, 40, F156*0.04)))),
IF(Basic3456789101112131415161718192021222324[[#This Row],[نوع الخدمة]]="كاش اوت",
    IF(F156&lt;=100, 15, IF(F156&lt;=250, 20, IF(F156&lt;=500, 30, IF(F156&lt;=1000, 35, F156*0.035)))),
0)))</f>
        <v>0</v>
      </c>
      <c r="H156" s="159">
        <f>IF(I156="مخالفات",50,Basic3456789101112131415161718192021222324[[#This Row],[قيمة الرسوم / العموله]]+Basic3456789101112131415161718192021222324[[#This Row],[قيمة الشحنه]])</f>
        <v>0</v>
      </c>
      <c r="I156" s="90"/>
      <c r="J156" s="142" t="str">
        <f t="shared" si="2"/>
        <v>9.5.2026</v>
      </c>
      <c r="L156" s="153">
        <v>145</v>
      </c>
      <c r="M156" s="92"/>
    </row>
    <row r="157" spans="1:13" ht="21.6" x14ac:dyDescent="0.65">
      <c r="A157" s="195"/>
      <c r="B157" s="144">
        <v>154</v>
      </c>
      <c r="C157" s="2"/>
      <c r="D157" s="1"/>
      <c r="E157" s="3"/>
      <c r="F157" s="1"/>
      <c r="G157" s="141">
        <f>IF(Basic3456789101112131415161718192021222324[[#This Row],[نوع الخدمة]]="مخالفات", 50,
IF(Basic3456789101112131415161718192021222324[[#This Row],[نوع الخدمة]]="كاش ان",
    IF(F157&lt;=100, 18, IF(F157&lt;=250, 23, IF(F157&lt;=500, 35, IF(F157&lt;=1000, 40, F157*0.04)))),
IF(Basic3456789101112131415161718192021222324[[#This Row],[نوع الخدمة]]="كاش اوت",
    IF(F157&lt;=100, 15, IF(F157&lt;=250, 20, IF(F157&lt;=500, 30, IF(F157&lt;=1000, 35, F157*0.035)))),
0)))</f>
        <v>0</v>
      </c>
      <c r="H157" s="159">
        <f>IF(I157="مخالفات",50,Basic3456789101112131415161718192021222324[[#This Row],[قيمة الرسوم / العموله]]+Basic3456789101112131415161718192021222324[[#This Row],[قيمة الشحنه]])</f>
        <v>0</v>
      </c>
      <c r="I157" s="90"/>
      <c r="J157" s="142" t="str">
        <f t="shared" si="2"/>
        <v>9.5.2026</v>
      </c>
      <c r="L157" s="153">
        <v>146</v>
      </c>
      <c r="M157" s="92"/>
    </row>
    <row r="158" spans="1:13" ht="21.6" x14ac:dyDescent="0.65">
      <c r="A158" s="195"/>
      <c r="B158" s="140">
        <v>155</v>
      </c>
      <c r="C158" s="2"/>
      <c r="D158" s="1"/>
      <c r="E158" s="3"/>
      <c r="F158" s="1"/>
      <c r="G158" s="141">
        <f>IF(Basic3456789101112131415161718192021222324[[#This Row],[نوع الخدمة]]="مخالفات", 50,
IF(Basic3456789101112131415161718192021222324[[#This Row],[نوع الخدمة]]="كاش ان",
    IF(F158&lt;=100, 18, IF(F158&lt;=250, 23, IF(F158&lt;=500, 35, IF(F158&lt;=1000, 40, F158*0.04)))),
IF(Basic3456789101112131415161718192021222324[[#This Row],[نوع الخدمة]]="كاش اوت",
    IF(F158&lt;=100, 15, IF(F158&lt;=250, 20, IF(F158&lt;=500, 30, IF(F158&lt;=1000, 35, F158*0.035)))),
0)))</f>
        <v>0</v>
      </c>
      <c r="H158" s="159">
        <f>IF(I158="مخالفات",50,Basic3456789101112131415161718192021222324[[#This Row],[قيمة الرسوم / العموله]]+Basic3456789101112131415161718192021222324[[#This Row],[قيمة الشحنه]])</f>
        <v>0</v>
      </c>
      <c r="I158" s="90"/>
      <c r="J158" s="142" t="str">
        <f t="shared" si="2"/>
        <v>9.5.2026</v>
      </c>
      <c r="L158" s="153">
        <v>147</v>
      </c>
      <c r="M158" s="92"/>
    </row>
    <row r="159" spans="1:13" ht="21.6" x14ac:dyDescent="0.65">
      <c r="A159" s="195"/>
      <c r="B159" s="140">
        <v>156</v>
      </c>
      <c r="C159" s="2"/>
      <c r="D159" s="1"/>
      <c r="E159" s="3"/>
      <c r="F159" s="1"/>
      <c r="G159" s="141">
        <f>IF(Basic3456789101112131415161718192021222324[[#This Row],[نوع الخدمة]]="مخالفات", 50,
IF(Basic3456789101112131415161718192021222324[[#This Row],[نوع الخدمة]]="كاش ان",
    IF(F159&lt;=100, 18, IF(F159&lt;=250, 23, IF(F159&lt;=500, 35, IF(F159&lt;=1000, 40, F159*0.04)))),
IF(Basic3456789101112131415161718192021222324[[#This Row],[نوع الخدمة]]="كاش اوت",
    IF(F159&lt;=100, 15, IF(F159&lt;=250, 20, IF(F159&lt;=500, 30, IF(F159&lt;=1000, 35, F159*0.035)))),
0)))</f>
        <v>0</v>
      </c>
      <c r="H159" s="159">
        <f>IF(I159="مخالفات",50,Basic3456789101112131415161718192021222324[[#This Row],[قيمة الرسوم / العموله]]+Basic3456789101112131415161718192021222324[[#This Row],[قيمة الشحنه]])</f>
        <v>0</v>
      </c>
      <c r="I159" s="90"/>
      <c r="J159" s="142" t="str">
        <f t="shared" si="2"/>
        <v>9.5.2026</v>
      </c>
      <c r="L159" s="153">
        <v>148</v>
      </c>
      <c r="M159" s="92"/>
    </row>
    <row r="160" spans="1:13" ht="21.6" x14ac:dyDescent="0.65">
      <c r="A160" s="195"/>
      <c r="B160" s="140">
        <v>157</v>
      </c>
      <c r="C160" s="2"/>
      <c r="D160" s="1"/>
      <c r="E160" s="3"/>
      <c r="F160" s="1"/>
      <c r="G160" s="141">
        <f>IF(Basic3456789101112131415161718192021222324[[#This Row],[نوع الخدمة]]="مخالفات", 50,
IF(Basic3456789101112131415161718192021222324[[#This Row],[نوع الخدمة]]="كاش ان",
    IF(F160&lt;=100, 18, IF(F160&lt;=250, 23, IF(F160&lt;=500, 35, IF(F160&lt;=1000, 40, F160*0.04)))),
IF(Basic3456789101112131415161718192021222324[[#This Row],[نوع الخدمة]]="كاش اوت",
    IF(F160&lt;=100, 15, IF(F160&lt;=250, 20, IF(F160&lt;=500, 30, IF(F160&lt;=1000, 35, F160*0.035)))),
0)))</f>
        <v>0</v>
      </c>
      <c r="H160" s="159">
        <f>IF(I160="مخالفات",50,Basic3456789101112131415161718192021222324[[#This Row],[قيمة الرسوم / العموله]]+Basic3456789101112131415161718192021222324[[#This Row],[قيمة الشحنه]])</f>
        <v>0</v>
      </c>
      <c r="I160" s="90"/>
      <c r="J160" s="142" t="str">
        <f t="shared" si="2"/>
        <v>9.5.2026</v>
      </c>
      <c r="L160" s="153">
        <v>149</v>
      </c>
      <c r="M160" s="92"/>
    </row>
    <row r="161" spans="1:13" ht="21.6" x14ac:dyDescent="0.65">
      <c r="A161" s="195"/>
      <c r="B161" s="144">
        <v>158</v>
      </c>
      <c r="C161" s="2"/>
      <c r="D161" s="1"/>
      <c r="E161" s="3"/>
      <c r="F161" s="1"/>
      <c r="G161" s="141">
        <f>IF(Basic3456789101112131415161718192021222324[[#This Row],[نوع الخدمة]]="مخالفات", 50,
IF(Basic3456789101112131415161718192021222324[[#This Row],[نوع الخدمة]]="كاش ان",
    IF(F161&lt;=100, 18, IF(F161&lt;=250, 23, IF(F161&lt;=500, 35, IF(F161&lt;=1000, 40, F161*0.04)))),
IF(Basic3456789101112131415161718192021222324[[#This Row],[نوع الخدمة]]="كاش اوت",
    IF(F161&lt;=100, 15, IF(F161&lt;=250, 20, IF(F161&lt;=500, 30, IF(F161&lt;=1000, 35, F161*0.035)))),
0)))</f>
        <v>0</v>
      </c>
      <c r="H161" s="159">
        <f>IF(I161="مخالفات",50,Basic3456789101112131415161718192021222324[[#This Row],[قيمة الرسوم / العموله]]+Basic3456789101112131415161718192021222324[[#This Row],[قيمة الشحنه]])</f>
        <v>0</v>
      </c>
      <c r="I161" s="90"/>
      <c r="J161" s="142" t="str">
        <f t="shared" si="2"/>
        <v>9.5.2026</v>
      </c>
      <c r="L161" s="153">
        <v>150</v>
      </c>
      <c r="M161" s="92"/>
    </row>
    <row r="162" spans="1:13" ht="21.6" x14ac:dyDescent="0.65">
      <c r="A162" s="195"/>
      <c r="B162" s="140">
        <v>159</v>
      </c>
      <c r="C162" s="2"/>
      <c r="D162" s="1"/>
      <c r="E162" s="3"/>
      <c r="F162" s="1"/>
      <c r="G162" s="141">
        <f>IF(Basic3456789101112131415161718192021222324[[#This Row],[نوع الخدمة]]="مخالفات", 50,
IF(Basic3456789101112131415161718192021222324[[#This Row],[نوع الخدمة]]="كاش ان",
    IF(F162&lt;=100, 18, IF(F162&lt;=250, 23, IF(F162&lt;=500, 35, IF(F162&lt;=1000, 40, F162*0.04)))),
IF(Basic3456789101112131415161718192021222324[[#This Row],[نوع الخدمة]]="كاش اوت",
    IF(F162&lt;=100, 15, IF(F162&lt;=250, 20, IF(F162&lt;=500, 30, IF(F162&lt;=1000, 35, F162*0.035)))),
0)))</f>
        <v>0</v>
      </c>
      <c r="H162" s="159">
        <f>IF(I162="مخالفات",50,Basic3456789101112131415161718192021222324[[#This Row],[قيمة الرسوم / العموله]]+Basic3456789101112131415161718192021222324[[#This Row],[قيمة الشحنه]])</f>
        <v>0</v>
      </c>
      <c r="I162" s="90"/>
      <c r="J162" s="142" t="str">
        <f t="shared" si="2"/>
        <v>9.5.2026</v>
      </c>
      <c r="L162" s="153">
        <v>151</v>
      </c>
      <c r="M162" s="92"/>
    </row>
    <row r="163" spans="1:13" ht="21.6" x14ac:dyDescent="0.65">
      <c r="A163" s="195"/>
      <c r="B163" s="140">
        <v>160</v>
      </c>
      <c r="C163" s="2"/>
      <c r="D163" s="1"/>
      <c r="E163" s="3"/>
      <c r="F163" s="1"/>
      <c r="G163" s="141">
        <f>IF(Basic3456789101112131415161718192021222324[[#This Row],[نوع الخدمة]]="مخالفات", 50,
IF(Basic3456789101112131415161718192021222324[[#This Row],[نوع الخدمة]]="كاش ان",
    IF(F163&lt;=100, 18, IF(F163&lt;=250, 23, IF(F163&lt;=500, 35, IF(F163&lt;=1000, 40, F163*0.04)))),
IF(Basic3456789101112131415161718192021222324[[#This Row],[نوع الخدمة]]="كاش اوت",
    IF(F163&lt;=100, 15, IF(F163&lt;=250, 20, IF(F163&lt;=500, 30, IF(F163&lt;=1000, 35, F163*0.035)))),
0)))</f>
        <v>0</v>
      </c>
      <c r="H163" s="159">
        <f>IF(I163="مخالفات",50,Basic3456789101112131415161718192021222324[[#This Row],[قيمة الرسوم / العموله]]+Basic3456789101112131415161718192021222324[[#This Row],[قيمة الشحنه]])</f>
        <v>0</v>
      </c>
      <c r="I163" s="90"/>
      <c r="J163" s="142" t="str">
        <f t="shared" si="2"/>
        <v>9.5.2026</v>
      </c>
      <c r="L163" s="153">
        <v>152</v>
      </c>
      <c r="M163" s="92"/>
    </row>
    <row r="164" spans="1:13" ht="21.6" x14ac:dyDescent="0.65">
      <c r="A164" s="195"/>
      <c r="B164" s="140">
        <v>161</v>
      </c>
      <c r="C164" s="2"/>
      <c r="D164" s="1"/>
      <c r="E164" s="3"/>
      <c r="F164" s="1"/>
      <c r="G164" s="141">
        <f>IF(Basic3456789101112131415161718192021222324[[#This Row],[نوع الخدمة]]="مخالفات", 50,
IF(Basic3456789101112131415161718192021222324[[#This Row],[نوع الخدمة]]="كاش ان",
    IF(F164&lt;=100, 18, IF(F164&lt;=250, 23, IF(F164&lt;=500, 35, IF(F164&lt;=1000, 40, F164*0.04)))),
IF(Basic3456789101112131415161718192021222324[[#This Row],[نوع الخدمة]]="كاش اوت",
    IF(F164&lt;=100, 15, IF(F164&lt;=250, 20, IF(F164&lt;=500, 30, IF(F164&lt;=1000, 35, F164*0.035)))),
0)))</f>
        <v>0</v>
      </c>
      <c r="H164" s="159">
        <f>IF(I164="مخالفات",50,Basic3456789101112131415161718192021222324[[#This Row],[قيمة الرسوم / العموله]]+Basic3456789101112131415161718192021222324[[#This Row],[قيمة الشحنه]])</f>
        <v>0</v>
      </c>
      <c r="I164" s="90"/>
      <c r="J164" s="142" t="str">
        <f t="shared" si="2"/>
        <v>9.5.2026</v>
      </c>
      <c r="L164" s="153">
        <v>153</v>
      </c>
      <c r="M164" s="92"/>
    </row>
    <row r="165" spans="1:13" ht="21.6" x14ac:dyDescent="0.65">
      <c r="A165" s="195"/>
      <c r="B165" s="144">
        <v>162</v>
      </c>
      <c r="C165" s="2"/>
      <c r="D165" s="1"/>
      <c r="E165" s="3"/>
      <c r="F165" s="1"/>
      <c r="G165" s="141">
        <f>IF(Basic3456789101112131415161718192021222324[[#This Row],[نوع الخدمة]]="مخالفات", 50,
IF(Basic3456789101112131415161718192021222324[[#This Row],[نوع الخدمة]]="كاش ان",
    IF(F165&lt;=100, 18, IF(F165&lt;=250, 23, IF(F165&lt;=500, 35, IF(F165&lt;=1000, 40, F165*0.04)))),
IF(Basic3456789101112131415161718192021222324[[#This Row],[نوع الخدمة]]="كاش اوت",
    IF(F165&lt;=100, 15, IF(F165&lt;=250, 20, IF(F165&lt;=500, 30, IF(F165&lt;=1000, 35, F165*0.035)))),
0)))</f>
        <v>0</v>
      </c>
      <c r="H165" s="159">
        <f>IF(I165="مخالفات",50,Basic3456789101112131415161718192021222324[[#This Row],[قيمة الرسوم / العموله]]+Basic3456789101112131415161718192021222324[[#This Row],[قيمة الشحنه]])</f>
        <v>0</v>
      </c>
      <c r="I165" s="90"/>
      <c r="J165" s="142" t="str">
        <f t="shared" si="2"/>
        <v>9.5.2026</v>
      </c>
      <c r="L165" s="153">
        <v>154</v>
      </c>
      <c r="M165" s="92"/>
    </row>
    <row r="166" spans="1:13" ht="21.6" x14ac:dyDescent="0.65">
      <c r="A166" s="195"/>
      <c r="B166" s="140">
        <v>163</v>
      </c>
      <c r="C166" s="2"/>
      <c r="D166" s="1"/>
      <c r="E166" s="3"/>
      <c r="F166" s="1"/>
      <c r="G166" s="141">
        <f>IF(Basic3456789101112131415161718192021222324[[#This Row],[نوع الخدمة]]="مخالفات", 50,
IF(Basic3456789101112131415161718192021222324[[#This Row],[نوع الخدمة]]="كاش ان",
    IF(F166&lt;=100, 18, IF(F166&lt;=250, 23, IF(F166&lt;=500, 35, IF(F166&lt;=1000, 40, F166*0.04)))),
IF(Basic3456789101112131415161718192021222324[[#This Row],[نوع الخدمة]]="كاش اوت",
    IF(F166&lt;=100, 15, IF(F166&lt;=250, 20, IF(F166&lt;=500, 30, IF(F166&lt;=1000, 35, F166*0.035)))),
0)))</f>
        <v>0</v>
      </c>
      <c r="H166" s="159">
        <f>IF(I166="مخالفات",50,Basic3456789101112131415161718192021222324[[#This Row],[قيمة الرسوم / العموله]]+Basic3456789101112131415161718192021222324[[#This Row],[قيمة الشحنه]])</f>
        <v>0</v>
      </c>
      <c r="I166" s="90"/>
      <c r="J166" s="142" t="str">
        <f t="shared" si="2"/>
        <v>9.5.2026</v>
      </c>
      <c r="L166" s="153">
        <v>155</v>
      </c>
      <c r="M166" s="92"/>
    </row>
    <row r="167" spans="1:13" ht="21.6" x14ac:dyDescent="0.65">
      <c r="A167" s="195"/>
      <c r="B167" s="140">
        <v>164</v>
      </c>
      <c r="C167" s="2"/>
      <c r="D167" s="1"/>
      <c r="E167" s="3"/>
      <c r="F167" s="1"/>
      <c r="G167" s="141">
        <f>IF(Basic3456789101112131415161718192021222324[[#This Row],[نوع الخدمة]]="مخالفات", 50,
IF(Basic3456789101112131415161718192021222324[[#This Row],[نوع الخدمة]]="كاش ان",
    IF(F167&lt;=100, 18, IF(F167&lt;=250, 23, IF(F167&lt;=500, 35, IF(F167&lt;=1000, 40, F167*0.04)))),
IF(Basic3456789101112131415161718192021222324[[#This Row],[نوع الخدمة]]="كاش اوت",
    IF(F167&lt;=100, 15, IF(F167&lt;=250, 20, IF(F167&lt;=500, 30, IF(F167&lt;=1000, 35, F167*0.035)))),
0)))</f>
        <v>0</v>
      </c>
      <c r="H167" s="159">
        <f>IF(I167="مخالفات",50,Basic3456789101112131415161718192021222324[[#This Row],[قيمة الرسوم / العموله]]+Basic3456789101112131415161718192021222324[[#This Row],[قيمة الشحنه]])</f>
        <v>0</v>
      </c>
      <c r="I167" s="90"/>
      <c r="J167" s="142" t="str">
        <f t="shared" si="2"/>
        <v>9.5.2026</v>
      </c>
      <c r="L167" s="153">
        <v>156</v>
      </c>
      <c r="M167" s="92"/>
    </row>
    <row r="168" spans="1:13" ht="21.6" x14ac:dyDescent="0.65">
      <c r="A168" s="195"/>
      <c r="B168" s="140">
        <v>165</v>
      </c>
      <c r="C168" s="2"/>
      <c r="D168" s="1"/>
      <c r="E168" s="3"/>
      <c r="F168" s="1"/>
      <c r="G168" s="141">
        <f>IF(Basic3456789101112131415161718192021222324[[#This Row],[نوع الخدمة]]="مخالفات", 50,
IF(Basic3456789101112131415161718192021222324[[#This Row],[نوع الخدمة]]="كاش ان",
    IF(F168&lt;=100, 18, IF(F168&lt;=250, 23, IF(F168&lt;=500, 35, IF(F168&lt;=1000, 40, F168*0.04)))),
IF(Basic3456789101112131415161718192021222324[[#This Row],[نوع الخدمة]]="كاش اوت",
    IF(F168&lt;=100, 15, IF(F168&lt;=250, 20, IF(F168&lt;=500, 30, IF(F168&lt;=1000, 35, F168*0.035)))),
0)))</f>
        <v>0</v>
      </c>
      <c r="H168" s="159">
        <f>IF(I168="مخالفات",50,Basic3456789101112131415161718192021222324[[#This Row],[قيمة الرسوم / العموله]]+Basic3456789101112131415161718192021222324[[#This Row],[قيمة الشحنه]])</f>
        <v>0</v>
      </c>
      <c r="I168" s="90"/>
      <c r="J168" s="142" t="str">
        <f t="shared" si="2"/>
        <v>9.5.2026</v>
      </c>
      <c r="L168" s="153">
        <v>157</v>
      </c>
      <c r="M168" s="92"/>
    </row>
    <row r="169" spans="1:13" ht="21.6" x14ac:dyDescent="0.65">
      <c r="A169" s="195"/>
      <c r="B169" s="144">
        <v>166</v>
      </c>
      <c r="C169" s="2"/>
      <c r="D169" s="1"/>
      <c r="E169" s="3"/>
      <c r="F169" s="1"/>
      <c r="G169" s="141">
        <f>IF(Basic3456789101112131415161718192021222324[[#This Row],[نوع الخدمة]]="مخالفات", 50,
IF(Basic3456789101112131415161718192021222324[[#This Row],[نوع الخدمة]]="كاش ان",
    IF(F169&lt;=100, 18, IF(F169&lt;=250, 23, IF(F169&lt;=500, 35, IF(F169&lt;=1000, 40, F169*0.04)))),
IF(Basic3456789101112131415161718192021222324[[#This Row],[نوع الخدمة]]="كاش اوت",
    IF(F169&lt;=100, 15, IF(F169&lt;=250, 20, IF(F169&lt;=500, 30, IF(F169&lt;=1000, 35, F169*0.035)))),
0)))</f>
        <v>0</v>
      </c>
      <c r="H169" s="159">
        <f>IF(I169="مخالفات",50,Basic3456789101112131415161718192021222324[[#This Row],[قيمة الرسوم / العموله]]+Basic3456789101112131415161718192021222324[[#This Row],[قيمة الشحنه]])</f>
        <v>0</v>
      </c>
      <c r="I169" s="90"/>
      <c r="J169" s="142" t="str">
        <f t="shared" si="2"/>
        <v>9.5.2026</v>
      </c>
      <c r="L169" s="153">
        <v>158</v>
      </c>
      <c r="M169" s="92"/>
    </row>
    <row r="170" spans="1:13" ht="21.6" x14ac:dyDescent="0.65">
      <c r="A170" s="195"/>
      <c r="B170" s="140">
        <v>167</v>
      </c>
      <c r="C170" s="2"/>
      <c r="D170" s="1"/>
      <c r="E170" s="3"/>
      <c r="F170" s="1"/>
      <c r="G170" s="141">
        <f>IF(Basic3456789101112131415161718192021222324[[#This Row],[نوع الخدمة]]="مخالفات", 50,
IF(Basic3456789101112131415161718192021222324[[#This Row],[نوع الخدمة]]="كاش ان",
    IF(F170&lt;=100, 18, IF(F170&lt;=250, 23, IF(F170&lt;=500, 35, IF(F170&lt;=1000, 40, F170*0.04)))),
IF(Basic3456789101112131415161718192021222324[[#This Row],[نوع الخدمة]]="كاش اوت",
    IF(F170&lt;=100, 15, IF(F170&lt;=250, 20, IF(F170&lt;=500, 30, IF(F170&lt;=1000, 35, F170*0.035)))),
0)))</f>
        <v>0</v>
      </c>
      <c r="H170" s="159">
        <f>IF(I170="مخالفات",50,Basic3456789101112131415161718192021222324[[#This Row],[قيمة الرسوم / العموله]]+Basic3456789101112131415161718192021222324[[#This Row],[قيمة الشحنه]])</f>
        <v>0</v>
      </c>
      <c r="I170" s="90"/>
      <c r="J170" s="142" t="str">
        <f t="shared" si="2"/>
        <v>9.5.2026</v>
      </c>
      <c r="L170" s="153">
        <v>159</v>
      </c>
      <c r="M170" s="92"/>
    </row>
    <row r="171" spans="1:13" ht="21.6" x14ac:dyDescent="0.65">
      <c r="A171" s="195"/>
      <c r="B171" s="140">
        <v>168</v>
      </c>
      <c r="C171" s="2"/>
      <c r="D171" s="1"/>
      <c r="E171" s="3"/>
      <c r="F171" s="1"/>
      <c r="G171" s="141">
        <f>IF(Basic3456789101112131415161718192021222324[[#This Row],[نوع الخدمة]]="مخالفات", 50,
IF(Basic3456789101112131415161718192021222324[[#This Row],[نوع الخدمة]]="كاش ان",
    IF(F171&lt;=100, 18, IF(F171&lt;=250, 23, IF(F171&lt;=500, 35, IF(F171&lt;=1000, 40, F171*0.04)))),
IF(Basic3456789101112131415161718192021222324[[#This Row],[نوع الخدمة]]="كاش اوت",
    IF(F171&lt;=100, 15, IF(F171&lt;=250, 20, IF(F171&lt;=500, 30, IF(F171&lt;=1000, 35, F171*0.035)))),
0)))</f>
        <v>0</v>
      </c>
      <c r="H171" s="159">
        <f>IF(I171="مخالفات",50,Basic3456789101112131415161718192021222324[[#This Row],[قيمة الرسوم / العموله]]+Basic3456789101112131415161718192021222324[[#This Row],[قيمة الشحنه]])</f>
        <v>0</v>
      </c>
      <c r="I171" s="90"/>
      <c r="J171" s="142" t="str">
        <f t="shared" si="2"/>
        <v>9.5.2026</v>
      </c>
      <c r="L171" s="153">
        <v>160</v>
      </c>
      <c r="M171" s="92"/>
    </row>
    <row r="172" spans="1:13" ht="21.6" x14ac:dyDescent="0.65">
      <c r="A172" s="195"/>
      <c r="B172" s="140">
        <v>169</v>
      </c>
      <c r="C172" s="2"/>
      <c r="D172" s="1"/>
      <c r="E172" s="3"/>
      <c r="F172" s="1"/>
      <c r="G172" s="141">
        <f>IF(Basic3456789101112131415161718192021222324[[#This Row],[نوع الخدمة]]="مخالفات", 50,
IF(Basic3456789101112131415161718192021222324[[#This Row],[نوع الخدمة]]="كاش ان",
    IF(F172&lt;=100, 18, IF(F172&lt;=250, 23, IF(F172&lt;=500, 35, IF(F172&lt;=1000, 40, F172*0.04)))),
IF(Basic3456789101112131415161718192021222324[[#This Row],[نوع الخدمة]]="كاش اوت",
    IF(F172&lt;=100, 15, IF(F172&lt;=250, 20, IF(F172&lt;=500, 30, IF(F172&lt;=1000, 35, F172*0.035)))),
0)))</f>
        <v>0</v>
      </c>
      <c r="H172" s="159">
        <f>IF(I172="مخالفات",50,Basic3456789101112131415161718192021222324[[#This Row],[قيمة الرسوم / العموله]]+Basic3456789101112131415161718192021222324[[#This Row],[قيمة الشحنه]])</f>
        <v>0</v>
      </c>
      <c r="I172" s="90"/>
      <c r="J172" s="142" t="str">
        <f t="shared" si="2"/>
        <v>9.5.2026</v>
      </c>
      <c r="L172" s="153">
        <v>161</v>
      </c>
      <c r="M172" s="92"/>
    </row>
    <row r="173" spans="1:13" ht="21.6" x14ac:dyDescent="0.65">
      <c r="A173" s="195"/>
      <c r="B173" s="144">
        <v>170</v>
      </c>
      <c r="C173" s="2"/>
      <c r="D173" s="1"/>
      <c r="E173" s="3"/>
      <c r="F173" s="1"/>
      <c r="G173" s="141">
        <f>IF(Basic3456789101112131415161718192021222324[[#This Row],[نوع الخدمة]]="مخالفات", 50,
IF(Basic3456789101112131415161718192021222324[[#This Row],[نوع الخدمة]]="كاش ان",
    IF(F173&lt;=100, 18, IF(F173&lt;=250, 23, IF(F173&lt;=500, 35, IF(F173&lt;=1000, 40, F173*0.04)))),
IF(Basic3456789101112131415161718192021222324[[#This Row],[نوع الخدمة]]="كاش اوت",
    IF(F173&lt;=100, 15, IF(F173&lt;=250, 20, IF(F173&lt;=500, 30, IF(F173&lt;=1000, 35, F173*0.035)))),
0)))</f>
        <v>0</v>
      </c>
      <c r="H173" s="159">
        <f>IF(I173="مخالفات",50,Basic3456789101112131415161718192021222324[[#This Row],[قيمة الرسوم / العموله]]+Basic3456789101112131415161718192021222324[[#This Row],[قيمة الشحنه]])</f>
        <v>0</v>
      </c>
      <c r="I173" s="90"/>
      <c r="J173" s="142" t="str">
        <f t="shared" si="2"/>
        <v>9.5.2026</v>
      </c>
      <c r="L173" s="153">
        <v>162</v>
      </c>
      <c r="M173" s="92"/>
    </row>
    <row r="174" spans="1:13" ht="21.6" x14ac:dyDescent="0.65">
      <c r="A174" s="195"/>
      <c r="B174" s="140">
        <v>171</v>
      </c>
      <c r="C174" s="2"/>
      <c r="D174" s="1"/>
      <c r="E174" s="3"/>
      <c r="F174" s="1"/>
      <c r="G174" s="141">
        <f>IF(Basic3456789101112131415161718192021222324[[#This Row],[نوع الخدمة]]="مخالفات", 50,
IF(Basic3456789101112131415161718192021222324[[#This Row],[نوع الخدمة]]="كاش ان",
    IF(F174&lt;=100, 18, IF(F174&lt;=250, 23, IF(F174&lt;=500, 35, IF(F174&lt;=1000, 40, F174*0.04)))),
IF(Basic3456789101112131415161718192021222324[[#This Row],[نوع الخدمة]]="كاش اوت",
    IF(F174&lt;=100, 15, IF(F174&lt;=250, 20, IF(F174&lt;=500, 30, IF(F174&lt;=1000, 35, F174*0.035)))),
0)))</f>
        <v>0</v>
      </c>
      <c r="H174" s="159">
        <f>IF(I174="مخالفات",50,Basic3456789101112131415161718192021222324[[#This Row],[قيمة الرسوم / العموله]]+Basic3456789101112131415161718192021222324[[#This Row],[قيمة الشحنه]])</f>
        <v>0</v>
      </c>
      <c r="I174" s="90"/>
      <c r="J174" s="142" t="str">
        <f t="shared" si="2"/>
        <v>9.5.2026</v>
      </c>
      <c r="L174" s="153">
        <v>163</v>
      </c>
      <c r="M174" s="92"/>
    </row>
    <row r="175" spans="1:13" ht="21.6" x14ac:dyDescent="0.65">
      <c r="A175" s="195"/>
      <c r="B175" s="140">
        <v>172</v>
      </c>
      <c r="C175" s="2"/>
      <c r="D175" s="1"/>
      <c r="E175" s="3"/>
      <c r="F175" s="1"/>
      <c r="G175" s="141">
        <f>IF(Basic3456789101112131415161718192021222324[[#This Row],[نوع الخدمة]]="مخالفات", 50,
IF(Basic3456789101112131415161718192021222324[[#This Row],[نوع الخدمة]]="كاش ان",
    IF(F175&lt;=100, 18, IF(F175&lt;=250, 23, IF(F175&lt;=500, 35, IF(F175&lt;=1000, 40, F175*0.04)))),
IF(Basic3456789101112131415161718192021222324[[#This Row],[نوع الخدمة]]="كاش اوت",
    IF(F175&lt;=100, 15, IF(F175&lt;=250, 20, IF(F175&lt;=500, 30, IF(F175&lt;=1000, 35, F175*0.035)))),
0)))</f>
        <v>0</v>
      </c>
      <c r="H175" s="159">
        <f>IF(I175="مخالفات",50,Basic3456789101112131415161718192021222324[[#This Row],[قيمة الرسوم / العموله]]+Basic3456789101112131415161718192021222324[[#This Row],[قيمة الشحنه]])</f>
        <v>0</v>
      </c>
      <c r="I175" s="90"/>
      <c r="J175" s="142" t="str">
        <f t="shared" si="2"/>
        <v>9.5.2026</v>
      </c>
      <c r="L175" s="153">
        <v>164</v>
      </c>
      <c r="M175" s="92"/>
    </row>
    <row r="176" spans="1:13" ht="21.6" x14ac:dyDescent="0.65">
      <c r="A176" s="195"/>
      <c r="B176" s="140">
        <v>173</v>
      </c>
      <c r="C176" s="2"/>
      <c r="D176" s="1"/>
      <c r="E176" s="3"/>
      <c r="F176" s="1"/>
      <c r="G176" s="141">
        <f>IF(Basic3456789101112131415161718192021222324[[#This Row],[نوع الخدمة]]="مخالفات", 50,
IF(Basic3456789101112131415161718192021222324[[#This Row],[نوع الخدمة]]="كاش ان",
    IF(F176&lt;=100, 18, IF(F176&lt;=250, 23, IF(F176&lt;=500, 35, IF(F176&lt;=1000, 40, F176*0.04)))),
IF(Basic3456789101112131415161718192021222324[[#This Row],[نوع الخدمة]]="كاش اوت",
    IF(F176&lt;=100, 15, IF(F176&lt;=250, 20, IF(F176&lt;=500, 30, IF(F176&lt;=1000, 35, F176*0.035)))),
0)))</f>
        <v>0</v>
      </c>
      <c r="H176" s="159">
        <f>IF(I176="مخالفات",50,Basic3456789101112131415161718192021222324[[#This Row],[قيمة الرسوم / العموله]]+Basic3456789101112131415161718192021222324[[#This Row],[قيمة الشحنه]])</f>
        <v>0</v>
      </c>
      <c r="I176" s="90"/>
      <c r="J176" s="142" t="str">
        <f t="shared" si="2"/>
        <v>9.5.2026</v>
      </c>
      <c r="L176" s="153">
        <v>165</v>
      </c>
      <c r="M176" s="92"/>
    </row>
    <row r="177" spans="1:13" ht="21.6" x14ac:dyDescent="0.65">
      <c r="A177" s="195"/>
      <c r="B177" s="144">
        <v>174</v>
      </c>
      <c r="C177" s="2"/>
      <c r="D177" s="1"/>
      <c r="E177" s="3"/>
      <c r="F177" s="1"/>
      <c r="G177" s="141">
        <f>IF(Basic3456789101112131415161718192021222324[[#This Row],[نوع الخدمة]]="مخالفات", 50,
IF(Basic3456789101112131415161718192021222324[[#This Row],[نوع الخدمة]]="كاش ان",
    IF(F177&lt;=100, 18, IF(F177&lt;=250, 23, IF(F177&lt;=500, 35, IF(F177&lt;=1000, 40, F177*0.04)))),
IF(Basic3456789101112131415161718192021222324[[#This Row],[نوع الخدمة]]="كاش اوت",
    IF(F177&lt;=100, 15, IF(F177&lt;=250, 20, IF(F177&lt;=500, 30, IF(F177&lt;=1000, 35, F177*0.035)))),
0)))</f>
        <v>0</v>
      </c>
      <c r="H177" s="159">
        <f>IF(I177="مخالفات",50,Basic3456789101112131415161718192021222324[[#This Row],[قيمة الرسوم / العموله]]+Basic3456789101112131415161718192021222324[[#This Row],[قيمة الشحنه]])</f>
        <v>0</v>
      </c>
      <c r="I177" s="90"/>
      <c r="J177" s="142" t="str">
        <f t="shared" si="2"/>
        <v>9.5.2026</v>
      </c>
      <c r="L177" s="153">
        <v>166</v>
      </c>
      <c r="M177" s="92"/>
    </row>
    <row r="178" spans="1:13" ht="21.6" x14ac:dyDescent="0.65">
      <c r="A178" s="195"/>
      <c r="B178" s="140">
        <v>175</v>
      </c>
      <c r="C178" s="2"/>
      <c r="D178" s="1"/>
      <c r="E178" s="3"/>
      <c r="F178" s="1"/>
      <c r="G178" s="141">
        <f>IF(Basic3456789101112131415161718192021222324[[#This Row],[نوع الخدمة]]="مخالفات", 50,
IF(Basic3456789101112131415161718192021222324[[#This Row],[نوع الخدمة]]="كاش ان",
    IF(F178&lt;=100, 18, IF(F178&lt;=250, 23, IF(F178&lt;=500, 35, IF(F178&lt;=1000, 40, F178*0.04)))),
IF(Basic3456789101112131415161718192021222324[[#This Row],[نوع الخدمة]]="كاش اوت",
    IF(F178&lt;=100, 15, IF(F178&lt;=250, 20, IF(F178&lt;=500, 30, IF(F178&lt;=1000, 35, F178*0.035)))),
0)))</f>
        <v>0</v>
      </c>
      <c r="H178" s="159">
        <f>IF(I178="مخالفات",50,Basic3456789101112131415161718192021222324[[#This Row],[قيمة الرسوم / العموله]]+Basic3456789101112131415161718192021222324[[#This Row],[قيمة الشحنه]])</f>
        <v>0</v>
      </c>
      <c r="I178" s="90"/>
      <c r="J178" s="142" t="str">
        <f t="shared" si="2"/>
        <v>9.5.2026</v>
      </c>
      <c r="L178" s="153">
        <v>167</v>
      </c>
      <c r="M178" s="92"/>
    </row>
    <row r="179" spans="1:13" ht="21.6" x14ac:dyDescent="0.65">
      <c r="A179" s="195"/>
      <c r="B179" s="140">
        <v>176</v>
      </c>
      <c r="C179" s="2"/>
      <c r="D179" s="1"/>
      <c r="E179" s="3"/>
      <c r="F179" s="1"/>
      <c r="G179" s="141">
        <f>IF(Basic3456789101112131415161718192021222324[[#This Row],[نوع الخدمة]]="مخالفات", 50,
IF(Basic3456789101112131415161718192021222324[[#This Row],[نوع الخدمة]]="كاش ان",
    IF(F179&lt;=100, 18, IF(F179&lt;=250, 23, IF(F179&lt;=500, 35, IF(F179&lt;=1000, 40, F179*0.04)))),
IF(Basic3456789101112131415161718192021222324[[#This Row],[نوع الخدمة]]="كاش اوت",
    IF(F179&lt;=100, 15, IF(F179&lt;=250, 20, IF(F179&lt;=500, 30, IF(F179&lt;=1000, 35, F179*0.035)))),
0)))</f>
        <v>0</v>
      </c>
      <c r="H179" s="159">
        <f>IF(I179="مخالفات",50,Basic3456789101112131415161718192021222324[[#This Row],[قيمة الرسوم / العموله]]+Basic3456789101112131415161718192021222324[[#This Row],[قيمة الشحنه]])</f>
        <v>0</v>
      </c>
      <c r="I179" s="90"/>
      <c r="J179" s="142" t="str">
        <f t="shared" si="2"/>
        <v>9.5.2026</v>
      </c>
      <c r="L179" s="153">
        <v>168</v>
      </c>
      <c r="M179" s="92"/>
    </row>
    <row r="180" spans="1:13" ht="21.6" x14ac:dyDescent="0.65">
      <c r="A180" s="195"/>
      <c r="B180" s="140">
        <v>177</v>
      </c>
      <c r="C180" s="2"/>
      <c r="D180" s="1"/>
      <c r="E180" s="3"/>
      <c r="F180" s="1"/>
      <c r="G180" s="141">
        <f>IF(Basic3456789101112131415161718192021222324[[#This Row],[نوع الخدمة]]="مخالفات", 50,
IF(Basic3456789101112131415161718192021222324[[#This Row],[نوع الخدمة]]="كاش ان",
    IF(F180&lt;=100, 18, IF(F180&lt;=250, 23, IF(F180&lt;=500, 35, IF(F180&lt;=1000, 40, F180*0.04)))),
IF(Basic3456789101112131415161718192021222324[[#This Row],[نوع الخدمة]]="كاش اوت",
    IF(F180&lt;=100, 15, IF(F180&lt;=250, 20, IF(F180&lt;=500, 30, IF(F180&lt;=1000, 35, F180*0.035)))),
0)))</f>
        <v>0</v>
      </c>
      <c r="H180" s="159">
        <f>IF(I180="مخالفات",50,Basic3456789101112131415161718192021222324[[#This Row],[قيمة الرسوم / العموله]]+Basic3456789101112131415161718192021222324[[#This Row],[قيمة الشحنه]])</f>
        <v>0</v>
      </c>
      <c r="I180" s="90"/>
      <c r="J180" s="142" t="str">
        <f t="shared" si="2"/>
        <v>9.5.2026</v>
      </c>
      <c r="L180" s="153">
        <v>169</v>
      </c>
      <c r="M180" s="92"/>
    </row>
    <row r="181" spans="1:13" ht="21.6" x14ac:dyDescent="0.65">
      <c r="A181" s="195"/>
      <c r="B181" s="144">
        <v>178</v>
      </c>
      <c r="C181" s="2"/>
      <c r="D181" s="1"/>
      <c r="E181" s="3"/>
      <c r="F181" s="1"/>
      <c r="G181" s="141">
        <f>IF(Basic3456789101112131415161718192021222324[[#This Row],[نوع الخدمة]]="مخالفات", 50,
IF(Basic3456789101112131415161718192021222324[[#This Row],[نوع الخدمة]]="كاش ان",
    IF(F181&lt;=100, 18, IF(F181&lt;=250, 23, IF(F181&lt;=500, 35, IF(F181&lt;=1000, 40, F181*0.04)))),
IF(Basic3456789101112131415161718192021222324[[#This Row],[نوع الخدمة]]="كاش اوت",
    IF(F181&lt;=100, 15, IF(F181&lt;=250, 20, IF(F181&lt;=500, 30, IF(F181&lt;=1000, 35, F181*0.035)))),
0)))</f>
        <v>0</v>
      </c>
      <c r="H181" s="159">
        <f>IF(I181="مخالفات",50,Basic3456789101112131415161718192021222324[[#This Row],[قيمة الرسوم / العموله]]+Basic3456789101112131415161718192021222324[[#This Row],[قيمة الشحنه]])</f>
        <v>0</v>
      </c>
      <c r="I181" s="90"/>
      <c r="J181" s="142" t="str">
        <f t="shared" si="2"/>
        <v>9.5.2026</v>
      </c>
      <c r="L181" s="153">
        <v>170</v>
      </c>
      <c r="M181" s="92"/>
    </row>
    <row r="182" spans="1:13" ht="21.6" x14ac:dyDescent="0.65">
      <c r="A182" s="195"/>
      <c r="B182" s="140">
        <v>179</v>
      </c>
      <c r="C182" s="2"/>
      <c r="D182" s="1"/>
      <c r="E182" s="3"/>
      <c r="F182" s="1"/>
      <c r="G182" s="141">
        <f>IF(Basic3456789101112131415161718192021222324[[#This Row],[نوع الخدمة]]="مخالفات", 50,
IF(Basic3456789101112131415161718192021222324[[#This Row],[نوع الخدمة]]="كاش ان",
    IF(F182&lt;=100, 18, IF(F182&lt;=250, 23, IF(F182&lt;=500, 35, IF(F182&lt;=1000, 40, F182*0.04)))),
IF(Basic3456789101112131415161718192021222324[[#This Row],[نوع الخدمة]]="كاش اوت",
    IF(F182&lt;=100, 15, IF(F182&lt;=250, 20, IF(F182&lt;=500, 30, IF(F182&lt;=1000, 35, F182*0.035)))),
0)))</f>
        <v>0</v>
      </c>
      <c r="H182" s="159">
        <f>IF(I182="مخالفات",50,Basic3456789101112131415161718192021222324[[#This Row],[قيمة الرسوم / العموله]]+Basic3456789101112131415161718192021222324[[#This Row],[قيمة الشحنه]])</f>
        <v>0</v>
      </c>
      <c r="I182" s="90"/>
      <c r="J182" s="142" t="str">
        <f t="shared" si="2"/>
        <v>9.5.2026</v>
      </c>
      <c r="L182" s="153">
        <v>171</v>
      </c>
      <c r="M182" s="92"/>
    </row>
    <row r="183" spans="1:13" ht="21.6" x14ac:dyDescent="0.65">
      <c r="A183" s="195"/>
      <c r="B183" s="140">
        <v>180</v>
      </c>
      <c r="C183" s="2"/>
      <c r="D183" s="1"/>
      <c r="E183" s="3"/>
      <c r="F183" s="1"/>
      <c r="G183" s="141">
        <f>IF(Basic3456789101112131415161718192021222324[[#This Row],[نوع الخدمة]]="مخالفات", 50,
IF(Basic3456789101112131415161718192021222324[[#This Row],[نوع الخدمة]]="كاش ان",
    IF(F183&lt;=100, 18, IF(F183&lt;=250, 23, IF(F183&lt;=500, 35, IF(F183&lt;=1000, 40, F183*0.04)))),
IF(Basic3456789101112131415161718192021222324[[#This Row],[نوع الخدمة]]="كاش اوت",
    IF(F183&lt;=100, 15, IF(F183&lt;=250, 20, IF(F183&lt;=500, 30, IF(F183&lt;=1000, 35, F183*0.035)))),
0)))</f>
        <v>0</v>
      </c>
      <c r="H183" s="159">
        <f>IF(I183="مخالفات",50,Basic3456789101112131415161718192021222324[[#This Row],[قيمة الرسوم / العموله]]+Basic3456789101112131415161718192021222324[[#This Row],[قيمة الشحنه]])</f>
        <v>0</v>
      </c>
      <c r="I183" s="90"/>
      <c r="J183" s="142" t="str">
        <f t="shared" si="2"/>
        <v>9.5.2026</v>
      </c>
      <c r="L183" s="153">
        <v>172</v>
      </c>
      <c r="M183" s="92"/>
    </row>
    <row r="184" spans="1:13" ht="21.6" x14ac:dyDescent="0.65">
      <c r="A184" s="195"/>
      <c r="B184" s="140">
        <v>181</v>
      </c>
      <c r="C184" s="2"/>
      <c r="D184" s="1"/>
      <c r="E184" s="3"/>
      <c r="F184" s="1"/>
      <c r="G184" s="141">
        <f>IF(Basic3456789101112131415161718192021222324[[#This Row],[نوع الخدمة]]="مخالفات", 50,
IF(Basic3456789101112131415161718192021222324[[#This Row],[نوع الخدمة]]="كاش ان",
    IF(F184&lt;=100, 18, IF(F184&lt;=250, 23, IF(F184&lt;=500, 35, IF(F184&lt;=1000, 40, F184*0.04)))),
IF(Basic3456789101112131415161718192021222324[[#This Row],[نوع الخدمة]]="كاش اوت",
    IF(F184&lt;=100, 15, IF(F184&lt;=250, 20, IF(F184&lt;=500, 30, IF(F184&lt;=1000, 35, F184*0.035)))),
0)))</f>
        <v>0</v>
      </c>
      <c r="H184" s="159">
        <f>IF(I184="مخالفات",50,Basic3456789101112131415161718192021222324[[#This Row],[قيمة الرسوم / العموله]]+Basic3456789101112131415161718192021222324[[#This Row],[قيمة الشحنه]])</f>
        <v>0</v>
      </c>
      <c r="I184" s="90"/>
      <c r="J184" s="142" t="str">
        <f t="shared" si="2"/>
        <v>9.5.2026</v>
      </c>
      <c r="L184" s="153">
        <v>173</v>
      </c>
      <c r="M184" s="92"/>
    </row>
    <row r="185" spans="1:13" ht="21.6" x14ac:dyDescent="0.65">
      <c r="A185" s="195"/>
      <c r="B185" s="144">
        <v>182</v>
      </c>
      <c r="C185" s="2"/>
      <c r="D185" s="1"/>
      <c r="E185" s="3"/>
      <c r="F185" s="1"/>
      <c r="G185" s="141">
        <f>IF(Basic3456789101112131415161718192021222324[[#This Row],[نوع الخدمة]]="مخالفات", 50,
IF(Basic3456789101112131415161718192021222324[[#This Row],[نوع الخدمة]]="كاش ان",
    IF(F185&lt;=100, 18, IF(F185&lt;=250, 23, IF(F185&lt;=500, 35, IF(F185&lt;=1000, 40, F185*0.04)))),
IF(Basic3456789101112131415161718192021222324[[#This Row],[نوع الخدمة]]="كاش اوت",
    IF(F185&lt;=100, 15, IF(F185&lt;=250, 20, IF(F185&lt;=500, 30, IF(F185&lt;=1000, 35, F185*0.035)))),
0)))</f>
        <v>0</v>
      </c>
      <c r="H185" s="159">
        <f>IF(I185="مخالفات",50,Basic3456789101112131415161718192021222324[[#This Row],[قيمة الرسوم / العموله]]+Basic3456789101112131415161718192021222324[[#This Row],[قيمة الشحنه]])</f>
        <v>0</v>
      </c>
      <c r="I185" s="90"/>
      <c r="J185" s="142" t="str">
        <f t="shared" si="2"/>
        <v>9.5.2026</v>
      </c>
      <c r="L185" s="153">
        <v>174</v>
      </c>
      <c r="M185" s="92"/>
    </row>
    <row r="186" spans="1:13" ht="21.6" x14ac:dyDescent="0.65">
      <c r="A186" s="195"/>
      <c r="B186" s="140">
        <v>183</v>
      </c>
      <c r="C186" s="2"/>
      <c r="D186" s="1"/>
      <c r="E186" s="3"/>
      <c r="F186" s="1"/>
      <c r="G186" s="141">
        <f>IF(Basic3456789101112131415161718192021222324[[#This Row],[نوع الخدمة]]="مخالفات", 50,
IF(Basic3456789101112131415161718192021222324[[#This Row],[نوع الخدمة]]="كاش ان",
    IF(F186&lt;=100, 18, IF(F186&lt;=250, 23, IF(F186&lt;=500, 35, IF(F186&lt;=1000, 40, F186*0.04)))),
IF(Basic3456789101112131415161718192021222324[[#This Row],[نوع الخدمة]]="كاش اوت",
    IF(F186&lt;=100, 15, IF(F186&lt;=250, 20, IF(F186&lt;=500, 30, IF(F186&lt;=1000, 35, F186*0.035)))),
0)))</f>
        <v>0</v>
      </c>
      <c r="H186" s="159">
        <f>IF(I186="مخالفات",50,Basic3456789101112131415161718192021222324[[#This Row],[قيمة الرسوم / العموله]]+Basic3456789101112131415161718192021222324[[#This Row],[قيمة الشحنه]])</f>
        <v>0</v>
      </c>
      <c r="I186" s="90"/>
      <c r="J186" s="142" t="str">
        <f t="shared" si="2"/>
        <v>9.5.2026</v>
      </c>
      <c r="L186" s="153">
        <v>175</v>
      </c>
      <c r="M186" s="92"/>
    </row>
    <row r="187" spans="1:13" ht="21.6" x14ac:dyDescent="0.65">
      <c r="A187" s="195"/>
      <c r="B187" s="140">
        <v>184</v>
      </c>
      <c r="C187" s="2"/>
      <c r="D187" s="1"/>
      <c r="E187" s="3"/>
      <c r="F187" s="1"/>
      <c r="G187" s="141">
        <f>IF(Basic3456789101112131415161718192021222324[[#This Row],[نوع الخدمة]]="مخالفات", 50,
IF(Basic3456789101112131415161718192021222324[[#This Row],[نوع الخدمة]]="كاش ان",
    IF(F187&lt;=100, 18, IF(F187&lt;=250, 23, IF(F187&lt;=500, 35, IF(F187&lt;=1000, 40, F187*0.04)))),
IF(Basic3456789101112131415161718192021222324[[#This Row],[نوع الخدمة]]="كاش اوت",
    IF(F187&lt;=100, 15, IF(F187&lt;=250, 20, IF(F187&lt;=500, 30, IF(F187&lt;=1000, 35, F187*0.035)))),
0)))</f>
        <v>0</v>
      </c>
      <c r="H187" s="159">
        <f>IF(I187="مخالفات",50,Basic3456789101112131415161718192021222324[[#This Row],[قيمة الرسوم / العموله]]+Basic3456789101112131415161718192021222324[[#This Row],[قيمة الشحنه]])</f>
        <v>0</v>
      </c>
      <c r="I187" s="90"/>
      <c r="J187" s="142" t="str">
        <f t="shared" si="2"/>
        <v>9.5.2026</v>
      </c>
      <c r="L187" s="153">
        <v>176</v>
      </c>
      <c r="M187" s="92"/>
    </row>
    <row r="188" spans="1:13" ht="21.6" x14ac:dyDescent="0.65">
      <c r="A188" s="195"/>
      <c r="B188" s="140">
        <v>185</v>
      </c>
      <c r="C188" s="2"/>
      <c r="D188" s="1"/>
      <c r="E188" s="3"/>
      <c r="F188" s="1"/>
      <c r="G188" s="141">
        <f>IF(Basic3456789101112131415161718192021222324[[#This Row],[نوع الخدمة]]="مخالفات", 50,
IF(Basic3456789101112131415161718192021222324[[#This Row],[نوع الخدمة]]="كاش ان",
    IF(F188&lt;=100, 18, IF(F188&lt;=250, 23, IF(F188&lt;=500, 35, IF(F188&lt;=1000, 40, F188*0.04)))),
IF(Basic3456789101112131415161718192021222324[[#This Row],[نوع الخدمة]]="كاش اوت",
    IF(F188&lt;=100, 15, IF(F188&lt;=250, 20, IF(F188&lt;=500, 30, IF(F188&lt;=1000, 35, F188*0.035)))),
0)))</f>
        <v>0</v>
      </c>
      <c r="H188" s="159">
        <f>IF(I188="مخالفات",50,Basic3456789101112131415161718192021222324[[#This Row],[قيمة الرسوم / العموله]]+Basic3456789101112131415161718192021222324[[#This Row],[قيمة الشحنه]])</f>
        <v>0</v>
      </c>
      <c r="I188" s="90"/>
      <c r="J188" s="142" t="str">
        <f t="shared" si="2"/>
        <v>9.5.2026</v>
      </c>
      <c r="L188" s="153">
        <v>177</v>
      </c>
      <c r="M188" s="92"/>
    </row>
    <row r="189" spans="1:13" ht="21.6" x14ac:dyDescent="0.65">
      <c r="A189" s="195"/>
      <c r="B189" s="144">
        <v>186</v>
      </c>
      <c r="C189" s="2"/>
      <c r="D189" s="1"/>
      <c r="E189" s="3"/>
      <c r="F189" s="1"/>
      <c r="G189" s="141">
        <f>IF(Basic3456789101112131415161718192021222324[[#This Row],[نوع الخدمة]]="مخالفات", 50,
IF(Basic3456789101112131415161718192021222324[[#This Row],[نوع الخدمة]]="كاش ان",
    IF(F189&lt;=100, 18, IF(F189&lt;=250, 23, IF(F189&lt;=500, 35, IF(F189&lt;=1000, 40, F189*0.04)))),
IF(Basic3456789101112131415161718192021222324[[#This Row],[نوع الخدمة]]="كاش اوت",
    IF(F189&lt;=100, 15, IF(F189&lt;=250, 20, IF(F189&lt;=500, 30, IF(F189&lt;=1000, 35, F189*0.035)))),
0)))</f>
        <v>0</v>
      </c>
      <c r="H189" s="159">
        <f>IF(I189="مخالفات",50,Basic3456789101112131415161718192021222324[[#This Row],[قيمة الرسوم / العموله]]+Basic3456789101112131415161718192021222324[[#This Row],[قيمة الشحنه]])</f>
        <v>0</v>
      </c>
      <c r="I189" s="90"/>
      <c r="J189" s="142" t="str">
        <f t="shared" si="2"/>
        <v>9.5.2026</v>
      </c>
      <c r="L189" s="153">
        <v>178</v>
      </c>
      <c r="M189" s="92"/>
    </row>
    <row r="190" spans="1:13" ht="21.6" x14ac:dyDescent="0.65">
      <c r="A190" s="195"/>
      <c r="B190" s="140">
        <v>187</v>
      </c>
      <c r="C190" s="2"/>
      <c r="D190" s="1"/>
      <c r="E190" s="3"/>
      <c r="F190" s="1"/>
      <c r="G190" s="141">
        <f>IF(Basic3456789101112131415161718192021222324[[#This Row],[نوع الخدمة]]="مخالفات", 50,
IF(Basic3456789101112131415161718192021222324[[#This Row],[نوع الخدمة]]="كاش ان",
    IF(F190&lt;=100, 18, IF(F190&lt;=250, 23, IF(F190&lt;=500, 35, IF(F190&lt;=1000, 40, F190*0.04)))),
IF(Basic3456789101112131415161718192021222324[[#This Row],[نوع الخدمة]]="كاش اوت",
    IF(F190&lt;=100, 15, IF(F190&lt;=250, 20, IF(F190&lt;=500, 30, IF(F190&lt;=1000, 35, F190*0.035)))),
0)))</f>
        <v>0</v>
      </c>
      <c r="H190" s="159">
        <f>IF(I190="مخالفات",50,Basic3456789101112131415161718192021222324[[#This Row],[قيمة الرسوم / العموله]]+Basic3456789101112131415161718192021222324[[#This Row],[قيمة الشحنه]])</f>
        <v>0</v>
      </c>
      <c r="I190" s="90"/>
      <c r="J190" s="142" t="str">
        <f t="shared" si="2"/>
        <v>9.5.2026</v>
      </c>
      <c r="L190" s="153">
        <v>179</v>
      </c>
      <c r="M190" s="92"/>
    </row>
    <row r="191" spans="1:13" ht="21.6" x14ac:dyDescent="0.65">
      <c r="A191" s="195"/>
      <c r="B191" s="140">
        <v>188</v>
      </c>
      <c r="C191" s="2"/>
      <c r="D191" s="1"/>
      <c r="E191" s="3"/>
      <c r="F191" s="1"/>
      <c r="G191" s="141">
        <f>IF(Basic3456789101112131415161718192021222324[[#This Row],[نوع الخدمة]]="مخالفات", 50,
IF(Basic3456789101112131415161718192021222324[[#This Row],[نوع الخدمة]]="كاش ان",
    IF(F191&lt;=100, 18, IF(F191&lt;=250, 23, IF(F191&lt;=500, 35, IF(F191&lt;=1000, 40, F191*0.04)))),
IF(Basic3456789101112131415161718192021222324[[#This Row],[نوع الخدمة]]="كاش اوت",
    IF(F191&lt;=100, 15, IF(F191&lt;=250, 20, IF(F191&lt;=500, 30, IF(F191&lt;=1000, 35, F191*0.035)))),
0)))</f>
        <v>0</v>
      </c>
      <c r="H191" s="159">
        <f>IF(I191="مخالفات",50,Basic3456789101112131415161718192021222324[[#This Row],[قيمة الرسوم / العموله]]+Basic3456789101112131415161718192021222324[[#This Row],[قيمة الشحنه]])</f>
        <v>0</v>
      </c>
      <c r="I191" s="90"/>
      <c r="J191" s="142" t="str">
        <f t="shared" si="2"/>
        <v>9.5.2026</v>
      </c>
      <c r="L191" s="153">
        <v>180</v>
      </c>
      <c r="M191" s="92"/>
    </row>
    <row r="192" spans="1:13" ht="21.6" x14ac:dyDescent="0.65">
      <c r="A192" s="195"/>
      <c r="B192" s="140">
        <v>189</v>
      </c>
      <c r="C192" s="2"/>
      <c r="D192" s="1"/>
      <c r="E192" s="3"/>
      <c r="F192" s="1"/>
      <c r="G192" s="141">
        <f>IF(Basic3456789101112131415161718192021222324[[#This Row],[نوع الخدمة]]="مخالفات", 50,
IF(Basic3456789101112131415161718192021222324[[#This Row],[نوع الخدمة]]="كاش ان",
    IF(F192&lt;=100, 18, IF(F192&lt;=250, 23, IF(F192&lt;=500, 35, IF(F192&lt;=1000, 40, F192*0.04)))),
IF(Basic3456789101112131415161718192021222324[[#This Row],[نوع الخدمة]]="كاش اوت",
    IF(F192&lt;=100, 15, IF(F192&lt;=250, 20, IF(F192&lt;=500, 30, IF(F192&lt;=1000, 35, F192*0.035)))),
0)))</f>
        <v>0</v>
      </c>
      <c r="H192" s="159">
        <f>IF(I192="مخالفات",50,Basic3456789101112131415161718192021222324[[#This Row],[قيمة الرسوم / العموله]]+Basic3456789101112131415161718192021222324[[#This Row],[قيمة الشحنه]])</f>
        <v>0</v>
      </c>
      <c r="I192" s="90"/>
      <c r="J192" s="142" t="str">
        <f t="shared" si="2"/>
        <v>9.5.2026</v>
      </c>
      <c r="L192" s="153">
        <v>181</v>
      </c>
      <c r="M192" s="92"/>
    </row>
    <row r="193" spans="1:13" ht="21.6" x14ac:dyDescent="0.65">
      <c r="A193" s="195"/>
      <c r="B193" s="144">
        <v>190</v>
      </c>
      <c r="C193" s="2"/>
      <c r="D193" s="1"/>
      <c r="E193" s="3"/>
      <c r="F193" s="1"/>
      <c r="G193" s="141">
        <f>IF(Basic3456789101112131415161718192021222324[[#This Row],[نوع الخدمة]]="مخالفات", 50,
IF(Basic3456789101112131415161718192021222324[[#This Row],[نوع الخدمة]]="كاش ان",
    IF(F193&lt;=100, 18, IF(F193&lt;=250, 23, IF(F193&lt;=500, 35, IF(F193&lt;=1000, 40, F193*0.04)))),
IF(Basic3456789101112131415161718192021222324[[#This Row],[نوع الخدمة]]="كاش اوت",
    IF(F193&lt;=100, 15, IF(F193&lt;=250, 20, IF(F193&lt;=500, 30, IF(F193&lt;=1000, 35, F193*0.035)))),
0)))</f>
        <v>0</v>
      </c>
      <c r="H193" s="159">
        <f>IF(I193="مخالفات",50,Basic3456789101112131415161718192021222324[[#This Row],[قيمة الرسوم / العموله]]+Basic3456789101112131415161718192021222324[[#This Row],[قيمة الشحنه]])</f>
        <v>0</v>
      </c>
      <c r="I193" s="90"/>
      <c r="J193" s="142" t="str">
        <f t="shared" si="2"/>
        <v>9.5.2026</v>
      </c>
      <c r="L193" s="153">
        <v>182</v>
      </c>
      <c r="M193" s="92"/>
    </row>
    <row r="194" spans="1:13" ht="21.6" x14ac:dyDescent="0.65">
      <c r="A194" s="195"/>
      <c r="B194" s="140">
        <v>191</v>
      </c>
      <c r="C194" s="2"/>
      <c r="D194" s="1"/>
      <c r="E194" s="3"/>
      <c r="F194" s="1"/>
      <c r="G194" s="141">
        <f>IF(Basic3456789101112131415161718192021222324[[#This Row],[نوع الخدمة]]="مخالفات", 50,
IF(Basic3456789101112131415161718192021222324[[#This Row],[نوع الخدمة]]="كاش ان",
    IF(F194&lt;=100, 18, IF(F194&lt;=250, 23, IF(F194&lt;=500, 35, IF(F194&lt;=1000, 40, F194*0.04)))),
IF(Basic3456789101112131415161718192021222324[[#This Row],[نوع الخدمة]]="كاش اوت",
    IF(F194&lt;=100, 15, IF(F194&lt;=250, 20, IF(F194&lt;=500, 30, IF(F194&lt;=1000, 35, F194*0.035)))),
0)))</f>
        <v>0</v>
      </c>
      <c r="H194" s="159">
        <f>IF(I194="مخالفات",50,Basic3456789101112131415161718192021222324[[#This Row],[قيمة الرسوم / العموله]]+Basic3456789101112131415161718192021222324[[#This Row],[قيمة الشحنه]])</f>
        <v>0</v>
      </c>
      <c r="I194" s="90"/>
      <c r="J194" s="142" t="str">
        <f t="shared" si="2"/>
        <v>9.5.2026</v>
      </c>
      <c r="L194" s="153">
        <v>183</v>
      </c>
      <c r="M194" s="92"/>
    </row>
    <row r="195" spans="1:13" ht="21.6" x14ac:dyDescent="0.65">
      <c r="A195" s="195"/>
      <c r="B195" s="140">
        <v>192</v>
      </c>
      <c r="C195" s="2"/>
      <c r="D195" s="1"/>
      <c r="E195" s="3"/>
      <c r="F195" s="1"/>
      <c r="G195" s="141">
        <f>IF(Basic3456789101112131415161718192021222324[[#This Row],[نوع الخدمة]]="مخالفات", 50,
IF(Basic3456789101112131415161718192021222324[[#This Row],[نوع الخدمة]]="كاش ان",
    IF(F195&lt;=100, 18, IF(F195&lt;=250, 23, IF(F195&lt;=500, 35, IF(F195&lt;=1000, 40, F195*0.04)))),
IF(Basic3456789101112131415161718192021222324[[#This Row],[نوع الخدمة]]="كاش اوت",
    IF(F195&lt;=100, 15, IF(F195&lt;=250, 20, IF(F195&lt;=500, 30, IF(F195&lt;=1000, 35, F195*0.035)))),
0)))</f>
        <v>0</v>
      </c>
      <c r="H195" s="159">
        <f>IF(I195="مخالفات",50,Basic3456789101112131415161718192021222324[[#This Row],[قيمة الرسوم / العموله]]+Basic3456789101112131415161718192021222324[[#This Row],[قيمة الشحنه]])</f>
        <v>0</v>
      </c>
      <c r="I195" s="90"/>
      <c r="J195" s="142" t="str">
        <f t="shared" si="2"/>
        <v>9.5.2026</v>
      </c>
      <c r="L195" s="153">
        <v>184</v>
      </c>
      <c r="M195" s="92"/>
    </row>
    <row r="196" spans="1:13" ht="21.6" x14ac:dyDescent="0.65">
      <c r="A196" s="195"/>
      <c r="B196" s="140">
        <v>193</v>
      </c>
      <c r="C196" s="2"/>
      <c r="D196" s="1"/>
      <c r="E196" s="3"/>
      <c r="F196" s="1"/>
      <c r="G196" s="141">
        <f>IF(Basic3456789101112131415161718192021222324[[#This Row],[نوع الخدمة]]="مخالفات", 50,
IF(Basic3456789101112131415161718192021222324[[#This Row],[نوع الخدمة]]="كاش ان",
    IF(F196&lt;=100, 18, IF(F196&lt;=250, 23, IF(F196&lt;=500, 35, IF(F196&lt;=1000, 40, F196*0.04)))),
IF(Basic3456789101112131415161718192021222324[[#This Row],[نوع الخدمة]]="كاش اوت",
    IF(F196&lt;=100, 15, IF(F196&lt;=250, 20, IF(F196&lt;=500, 30, IF(F196&lt;=1000, 35, F196*0.035)))),
0)))</f>
        <v>0</v>
      </c>
      <c r="H196" s="159">
        <f>IF(I196="مخالفات",50,Basic3456789101112131415161718192021222324[[#This Row],[قيمة الرسوم / العموله]]+Basic3456789101112131415161718192021222324[[#This Row],[قيمة الشحنه]])</f>
        <v>0</v>
      </c>
      <c r="I196" s="90"/>
      <c r="J196" s="142" t="str">
        <f t="shared" ref="J196:J226" si="3">M$3</f>
        <v>9.5.2026</v>
      </c>
      <c r="L196" s="153">
        <v>185</v>
      </c>
      <c r="M196" s="92"/>
    </row>
    <row r="197" spans="1:13" ht="21.6" x14ac:dyDescent="0.65">
      <c r="A197" s="195"/>
      <c r="B197" s="144">
        <v>194</v>
      </c>
      <c r="C197" s="2"/>
      <c r="D197" s="1"/>
      <c r="E197" s="3"/>
      <c r="F197" s="1"/>
      <c r="G197" s="141">
        <f>IF(Basic3456789101112131415161718192021222324[[#This Row],[نوع الخدمة]]="مخالفات", 50,
IF(Basic3456789101112131415161718192021222324[[#This Row],[نوع الخدمة]]="كاش ان",
    IF(F197&lt;=100, 18, IF(F197&lt;=250, 23, IF(F197&lt;=500, 35, IF(F197&lt;=1000, 40, F197*0.04)))),
IF(Basic3456789101112131415161718192021222324[[#This Row],[نوع الخدمة]]="كاش اوت",
    IF(F197&lt;=100, 15, IF(F197&lt;=250, 20, IF(F197&lt;=500, 30, IF(F197&lt;=1000, 35, F197*0.035)))),
0)))</f>
        <v>0</v>
      </c>
      <c r="H197" s="159">
        <f>IF(I197="مخالفات",50,Basic3456789101112131415161718192021222324[[#This Row],[قيمة الرسوم / العموله]]+Basic3456789101112131415161718192021222324[[#This Row],[قيمة الشحنه]])</f>
        <v>0</v>
      </c>
      <c r="I197" s="90"/>
      <c r="J197" s="142" t="str">
        <f t="shared" si="3"/>
        <v>9.5.2026</v>
      </c>
      <c r="L197" s="153">
        <v>186</v>
      </c>
      <c r="M197" s="92"/>
    </row>
    <row r="198" spans="1:13" ht="21.6" x14ac:dyDescent="0.65">
      <c r="A198" s="195"/>
      <c r="B198" s="140">
        <v>195</v>
      </c>
      <c r="C198" s="2"/>
      <c r="D198" s="1"/>
      <c r="E198" s="3"/>
      <c r="F198" s="1"/>
      <c r="G198" s="141">
        <f>IF(Basic3456789101112131415161718192021222324[[#This Row],[نوع الخدمة]]="مخالفات", 50,
IF(Basic3456789101112131415161718192021222324[[#This Row],[نوع الخدمة]]="كاش ان",
    IF(F198&lt;=100, 18, IF(F198&lt;=250, 23, IF(F198&lt;=500, 35, IF(F198&lt;=1000, 40, F198*0.04)))),
IF(Basic3456789101112131415161718192021222324[[#This Row],[نوع الخدمة]]="كاش اوت",
    IF(F198&lt;=100, 15, IF(F198&lt;=250, 20, IF(F198&lt;=500, 30, IF(F198&lt;=1000, 35, F198*0.035)))),
0)))</f>
        <v>0</v>
      </c>
      <c r="H198" s="159">
        <f>IF(I198="مخالفات",50,Basic3456789101112131415161718192021222324[[#This Row],[قيمة الرسوم / العموله]]+Basic3456789101112131415161718192021222324[[#This Row],[قيمة الشحنه]])</f>
        <v>0</v>
      </c>
      <c r="I198" s="90"/>
      <c r="J198" s="142" t="str">
        <f t="shared" si="3"/>
        <v>9.5.2026</v>
      </c>
      <c r="L198" s="153">
        <v>187</v>
      </c>
      <c r="M198" s="92"/>
    </row>
    <row r="199" spans="1:13" ht="21.6" x14ac:dyDescent="0.65">
      <c r="A199" s="195"/>
      <c r="B199" s="140">
        <v>196</v>
      </c>
      <c r="C199" s="2"/>
      <c r="D199" s="1"/>
      <c r="E199" s="3"/>
      <c r="F199" s="1"/>
      <c r="G199" s="141">
        <f>IF(Basic3456789101112131415161718192021222324[[#This Row],[نوع الخدمة]]="مخالفات", 50,
IF(Basic3456789101112131415161718192021222324[[#This Row],[نوع الخدمة]]="كاش ان",
    IF(F199&lt;=100, 18, IF(F199&lt;=250, 23, IF(F199&lt;=500, 35, IF(F199&lt;=1000, 40, F199*0.04)))),
IF(Basic3456789101112131415161718192021222324[[#This Row],[نوع الخدمة]]="كاش اوت",
    IF(F199&lt;=100, 15, IF(F199&lt;=250, 20, IF(F199&lt;=500, 30, IF(F199&lt;=1000, 35, F199*0.035)))),
0)))</f>
        <v>0</v>
      </c>
      <c r="H199" s="159">
        <f>IF(I199="مخالفات",50,Basic3456789101112131415161718192021222324[[#This Row],[قيمة الرسوم / العموله]]+Basic3456789101112131415161718192021222324[[#This Row],[قيمة الشحنه]])</f>
        <v>0</v>
      </c>
      <c r="I199" s="90"/>
      <c r="J199" s="142" t="str">
        <f t="shared" si="3"/>
        <v>9.5.2026</v>
      </c>
      <c r="L199" s="153">
        <v>188</v>
      </c>
      <c r="M199" s="92"/>
    </row>
    <row r="200" spans="1:13" ht="21.6" x14ac:dyDescent="0.65">
      <c r="A200" s="195"/>
      <c r="B200" s="140">
        <v>197</v>
      </c>
      <c r="C200" s="2"/>
      <c r="D200" s="1"/>
      <c r="E200" s="3"/>
      <c r="F200" s="1"/>
      <c r="G200" s="141">
        <f>IF(Basic3456789101112131415161718192021222324[[#This Row],[نوع الخدمة]]="مخالفات", 50,
IF(Basic3456789101112131415161718192021222324[[#This Row],[نوع الخدمة]]="كاش ان",
    IF(F200&lt;=100, 18, IF(F200&lt;=250, 23, IF(F200&lt;=500, 35, IF(F200&lt;=1000, 40, F200*0.04)))),
IF(Basic3456789101112131415161718192021222324[[#This Row],[نوع الخدمة]]="كاش اوت",
    IF(F200&lt;=100, 15, IF(F200&lt;=250, 20, IF(F200&lt;=500, 30, IF(F200&lt;=1000, 35, F200*0.035)))),
0)))</f>
        <v>0</v>
      </c>
      <c r="H200" s="159">
        <f>IF(I200="مخالفات",50,Basic3456789101112131415161718192021222324[[#This Row],[قيمة الرسوم / العموله]]+Basic3456789101112131415161718192021222324[[#This Row],[قيمة الشحنه]])</f>
        <v>0</v>
      </c>
      <c r="I200" s="90"/>
      <c r="J200" s="142" t="str">
        <f t="shared" si="3"/>
        <v>9.5.2026</v>
      </c>
      <c r="L200" s="153">
        <v>189</v>
      </c>
      <c r="M200" s="92"/>
    </row>
    <row r="201" spans="1:13" ht="21.6" x14ac:dyDescent="0.65">
      <c r="A201" s="195"/>
      <c r="B201" s="144">
        <v>198</v>
      </c>
      <c r="C201" s="2"/>
      <c r="D201" s="1"/>
      <c r="E201" s="3"/>
      <c r="F201" s="1"/>
      <c r="G201" s="141">
        <f>IF(Basic3456789101112131415161718192021222324[[#This Row],[نوع الخدمة]]="مخالفات", 50,
IF(Basic3456789101112131415161718192021222324[[#This Row],[نوع الخدمة]]="كاش ان",
    IF(F201&lt;=100, 18, IF(F201&lt;=250, 23, IF(F201&lt;=500, 35, IF(F201&lt;=1000, 40, F201*0.04)))),
IF(Basic3456789101112131415161718192021222324[[#This Row],[نوع الخدمة]]="كاش اوت",
    IF(F201&lt;=100, 15, IF(F201&lt;=250, 20, IF(F201&lt;=500, 30, IF(F201&lt;=1000, 35, F201*0.035)))),
0)))</f>
        <v>0</v>
      </c>
      <c r="H201" s="159">
        <f>IF(I201="مخالفات",50,Basic3456789101112131415161718192021222324[[#This Row],[قيمة الرسوم / العموله]]+Basic3456789101112131415161718192021222324[[#This Row],[قيمة الشحنه]])</f>
        <v>0</v>
      </c>
      <c r="I201" s="90"/>
      <c r="J201" s="142" t="str">
        <f t="shared" si="3"/>
        <v>9.5.2026</v>
      </c>
      <c r="L201" s="153">
        <v>190</v>
      </c>
      <c r="M201" s="92"/>
    </row>
    <row r="202" spans="1:13" ht="21.6" x14ac:dyDescent="0.65">
      <c r="A202" s="195"/>
      <c r="B202" s="140">
        <v>199</v>
      </c>
      <c r="C202" s="2"/>
      <c r="D202" s="1"/>
      <c r="E202" s="3"/>
      <c r="F202" s="1"/>
      <c r="G202" s="141">
        <f>IF(Basic3456789101112131415161718192021222324[[#This Row],[نوع الخدمة]]="مخالفات", 50,
IF(Basic3456789101112131415161718192021222324[[#This Row],[نوع الخدمة]]="كاش ان",
    IF(F202&lt;=100, 18, IF(F202&lt;=250, 23, IF(F202&lt;=500, 35, IF(F202&lt;=1000, 40, F202*0.04)))),
IF(Basic3456789101112131415161718192021222324[[#This Row],[نوع الخدمة]]="كاش اوت",
    IF(F202&lt;=100, 15, IF(F202&lt;=250, 20, IF(F202&lt;=500, 30, IF(F202&lt;=1000, 35, F202*0.035)))),
0)))</f>
        <v>0</v>
      </c>
      <c r="H202" s="159">
        <f>IF(I202="مخالفات",50,Basic3456789101112131415161718192021222324[[#This Row],[قيمة الرسوم / العموله]]+Basic3456789101112131415161718192021222324[[#This Row],[قيمة الشحنه]])</f>
        <v>0</v>
      </c>
      <c r="I202" s="90"/>
      <c r="J202" s="142" t="str">
        <f t="shared" si="3"/>
        <v>9.5.2026</v>
      </c>
      <c r="L202" s="153">
        <v>191</v>
      </c>
      <c r="M202" s="92"/>
    </row>
    <row r="203" spans="1:13" ht="21.6" x14ac:dyDescent="0.65">
      <c r="A203" s="195"/>
      <c r="B203" s="140">
        <v>200</v>
      </c>
      <c r="C203" s="2"/>
      <c r="D203" s="1"/>
      <c r="E203" s="3"/>
      <c r="F203" s="1"/>
      <c r="G203" s="141">
        <f>IF(Basic3456789101112131415161718192021222324[[#This Row],[نوع الخدمة]]="مخالفات", 50,
IF(Basic3456789101112131415161718192021222324[[#This Row],[نوع الخدمة]]="كاش ان",
    IF(F203&lt;=100, 18, IF(F203&lt;=250, 23, IF(F203&lt;=500, 35, IF(F203&lt;=1000, 40, F203*0.04)))),
IF(Basic3456789101112131415161718192021222324[[#This Row],[نوع الخدمة]]="كاش اوت",
    IF(F203&lt;=100, 15, IF(F203&lt;=250, 20, IF(F203&lt;=500, 30, IF(F203&lt;=1000, 35, F203*0.035)))),
0)))</f>
        <v>0</v>
      </c>
      <c r="H203" s="159">
        <f>IF(I203="مخالفات",50,Basic3456789101112131415161718192021222324[[#This Row],[قيمة الرسوم / العموله]]+Basic3456789101112131415161718192021222324[[#This Row],[قيمة الشحنه]])</f>
        <v>0</v>
      </c>
      <c r="I203" s="90"/>
      <c r="J203" s="142" t="str">
        <f t="shared" si="3"/>
        <v>9.5.2026</v>
      </c>
      <c r="L203" s="153">
        <v>192</v>
      </c>
      <c r="M203" s="92"/>
    </row>
    <row r="204" spans="1:13" ht="21.6" x14ac:dyDescent="0.65">
      <c r="A204" s="195"/>
      <c r="B204" s="140">
        <v>201</v>
      </c>
      <c r="C204" s="2"/>
      <c r="D204" s="1"/>
      <c r="E204" s="3"/>
      <c r="F204" s="1"/>
      <c r="G204" s="141">
        <f>IF(Basic3456789101112131415161718192021222324[[#This Row],[نوع الخدمة]]="مخالفات", 50,
IF(Basic3456789101112131415161718192021222324[[#This Row],[نوع الخدمة]]="كاش ان",
    IF(F204&lt;=100, 18, IF(F204&lt;=250, 23, IF(F204&lt;=500, 35, IF(F204&lt;=1000, 40, F204*0.04)))),
IF(Basic3456789101112131415161718192021222324[[#This Row],[نوع الخدمة]]="كاش اوت",
    IF(F204&lt;=100, 15, IF(F204&lt;=250, 20, IF(F204&lt;=500, 30, IF(F204&lt;=1000, 35, F204*0.035)))),
0)))</f>
        <v>0</v>
      </c>
      <c r="H204" s="159">
        <f>IF(I204="مخالفات",50,Basic3456789101112131415161718192021222324[[#This Row],[قيمة الرسوم / العموله]]+Basic3456789101112131415161718192021222324[[#This Row],[قيمة الشحنه]])</f>
        <v>0</v>
      </c>
      <c r="I204" s="90"/>
      <c r="J204" s="142" t="str">
        <f t="shared" si="3"/>
        <v>9.5.2026</v>
      </c>
      <c r="L204" s="153">
        <v>193</v>
      </c>
      <c r="M204" s="92"/>
    </row>
    <row r="205" spans="1:13" ht="21.6" x14ac:dyDescent="0.65">
      <c r="A205" s="195"/>
      <c r="B205" s="144">
        <v>202</v>
      </c>
      <c r="C205" s="2"/>
      <c r="D205" s="1"/>
      <c r="E205" s="3"/>
      <c r="F205" s="1"/>
      <c r="G205" s="141">
        <f>IF(Basic3456789101112131415161718192021222324[[#This Row],[نوع الخدمة]]="مخالفات", 50,
IF(Basic3456789101112131415161718192021222324[[#This Row],[نوع الخدمة]]="كاش ان",
    IF(F205&lt;=100, 18, IF(F205&lt;=250, 23, IF(F205&lt;=500, 35, IF(F205&lt;=1000, 40, F205*0.04)))),
IF(Basic3456789101112131415161718192021222324[[#This Row],[نوع الخدمة]]="كاش اوت",
    IF(F205&lt;=100, 15, IF(F205&lt;=250, 20, IF(F205&lt;=500, 30, IF(F205&lt;=1000, 35, F205*0.035)))),
0)))</f>
        <v>0</v>
      </c>
      <c r="H205" s="159">
        <f>IF(I205="مخالفات",50,Basic3456789101112131415161718192021222324[[#This Row],[قيمة الرسوم / العموله]]+Basic3456789101112131415161718192021222324[[#This Row],[قيمة الشحنه]])</f>
        <v>0</v>
      </c>
      <c r="I205" s="90"/>
      <c r="J205" s="142" t="str">
        <f t="shared" si="3"/>
        <v>9.5.2026</v>
      </c>
      <c r="L205" s="153">
        <v>194</v>
      </c>
      <c r="M205" s="92"/>
    </row>
    <row r="206" spans="1:13" ht="21.6" x14ac:dyDescent="0.65">
      <c r="A206" s="195"/>
      <c r="B206" s="140">
        <v>203</v>
      </c>
      <c r="C206" s="2"/>
      <c r="D206" s="1"/>
      <c r="E206" s="3"/>
      <c r="F206" s="1"/>
      <c r="G206" s="141">
        <f>IF(Basic3456789101112131415161718192021222324[[#This Row],[نوع الخدمة]]="مخالفات", 50,
IF(Basic3456789101112131415161718192021222324[[#This Row],[نوع الخدمة]]="كاش ان",
    IF(F206&lt;=100, 18, IF(F206&lt;=250, 23, IF(F206&lt;=500, 35, IF(F206&lt;=1000, 40, F206*0.04)))),
IF(Basic3456789101112131415161718192021222324[[#This Row],[نوع الخدمة]]="كاش اوت",
    IF(F206&lt;=100, 15, IF(F206&lt;=250, 20, IF(F206&lt;=500, 30, IF(F206&lt;=1000, 35, F206*0.035)))),
0)))</f>
        <v>0</v>
      </c>
      <c r="H206" s="159">
        <f>IF(I206="مخالفات",50,Basic3456789101112131415161718192021222324[[#This Row],[قيمة الرسوم / العموله]]+Basic3456789101112131415161718192021222324[[#This Row],[قيمة الشحنه]])</f>
        <v>0</v>
      </c>
      <c r="I206" s="90"/>
      <c r="J206" s="142" t="str">
        <f t="shared" si="3"/>
        <v>9.5.2026</v>
      </c>
      <c r="L206" s="153">
        <v>195</v>
      </c>
      <c r="M206" s="92"/>
    </row>
    <row r="207" spans="1:13" ht="21.6" x14ac:dyDescent="0.65">
      <c r="A207" s="195"/>
      <c r="B207" s="140">
        <v>204</v>
      </c>
      <c r="C207" s="2"/>
      <c r="D207" s="1"/>
      <c r="E207" s="3"/>
      <c r="F207" s="1"/>
      <c r="G207" s="141">
        <f>IF(Basic3456789101112131415161718192021222324[[#This Row],[نوع الخدمة]]="مخالفات", 50,
IF(Basic3456789101112131415161718192021222324[[#This Row],[نوع الخدمة]]="كاش ان",
    IF(F207&lt;=100, 18, IF(F207&lt;=250, 23, IF(F207&lt;=500, 35, IF(F207&lt;=1000, 40, F207*0.04)))),
IF(Basic3456789101112131415161718192021222324[[#This Row],[نوع الخدمة]]="كاش اوت",
    IF(F207&lt;=100, 15, IF(F207&lt;=250, 20, IF(F207&lt;=500, 30, IF(F207&lt;=1000, 35, F207*0.035)))),
0)))</f>
        <v>0</v>
      </c>
      <c r="H207" s="159">
        <f>IF(I207="مخالفات",50,Basic3456789101112131415161718192021222324[[#This Row],[قيمة الرسوم / العموله]]+Basic3456789101112131415161718192021222324[[#This Row],[قيمة الشحنه]])</f>
        <v>0</v>
      </c>
      <c r="I207" s="90"/>
      <c r="J207" s="142" t="str">
        <f t="shared" si="3"/>
        <v>9.5.2026</v>
      </c>
      <c r="L207" s="153">
        <v>196</v>
      </c>
      <c r="M207" s="92"/>
    </row>
    <row r="208" spans="1:13" ht="21.6" x14ac:dyDescent="0.65">
      <c r="A208" s="195"/>
      <c r="B208" s="140">
        <v>205</v>
      </c>
      <c r="C208" s="2"/>
      <c r="D208" s="1"/>
      <c r="E208" s="3"/>
      <c r="F208" s="1"/>
      <c r="G208" s="141">
        <f>IF(Basic3456789101112131415161718192021222324[[#This Row],[نوع الخدمة]]="مخالفات", 50,
IF(Basic3456789101112131415161718192021222324[[#This Row],[نوع الخدمة]]="كاش ان",
    IF(F208&lt;=100, 18, IF(F208&lt;=250, 23, IF(F208&lt;=500, 35, IF(F208&lt;=1000, 40, F208*0.04)))),
IF(Basic3456789101112131415161718192021222324[[#This Row],[نوع الخدمة]]="كاش اوت",
    IF(F208&lt;=100, 15, IF(F208&lt;=250, 20, IF(F208&lt;=500, 30, IF(F208&lt;=1000, 35, F208*0.035)))),
0)))</f>
        <v>0</v>
      </c>
      <c r="H208" s="159">
        <f>IF(I208="مخالفات",50,Basic3456789101112131415161718192021222324[[#This Row],[قيمة الرسوم / العموله]]+Basic3456789101112131415161718192021222324[[#This Row],[قيمة الشحنه]])</f>
        <v>0</v>
      </c>
      <c r="I208" s="90"/>
      <c r="J208" s="142" t="str">
        <f t="shared" si="3"/>
        <v>9.5.2026</v>
      </c>
      <c r="L208" s="153">
        <v>197</v>
      </c>
      <c r="M208" s="92"/>
    </row>
    <row r="209" spans="1:13" ht="21.6" x14ac:dyDescent="0.65">
      <c r="A209" s="195"/>
      <c r="B209" s="144">
        <v>206</v>
      </c>
      <c r="C209" s="2"/>
      <c r="D209" s="1"/>
      <c r="E209" s="3"/>
      <c r="F209" s="1"/>
      <c r="G209" s="141">
        <f>IF(Basic3456789101112131415161718192021222324[[#This Row],[نوع الخدمة]]="مخالفات", 50,
IF(Basic3456789101112131415161718192021222324[[#This Row],[نوع الخدمة]]="كاش ان",
    IF(F209&lt;=100, 18, IF(F209&lt;=250, 23, IF(F209&lt;=500, 35, IF(F209&lt;=1000, 40, F209*0.04)))),
IF(Basic3456789101112131415161718192021222324[[#This Row],[نوع الخدمة]]="كاش اوت",
    IF(F209&lt;=100, 15, IF(F209&lt;=250, 20, IF(F209&lt;=500, 30, IF(F209&lt;=1000, 35, F209*0.035)))),
0)))</f>
        <v>0</v>
      </c>
      <c r="H209" s="159">
        <f>IF(I209="مخالفات",50,Basic3456789101112131415161718192021222324[[#This Row],[قيمة الرسوم / العموله]]+Basic3456789101112131415161718192021222324[[#This Row],[قيمة الشحنه]])</f>
        <v>0</v>
      </c>
      <c r="I209" s="90"/>
      <c r="J209" s="142" t="str">
        <f t="shared" si="3"/>
        <v>9.5.2026</v>
      </c>
      <c r="L209" s="153">
        <v>198</v>
      </c>
      <c r="M209" s="92"/>
    </row>
    <row r="210" spans="1:13" ht="21.6" x14ac:dyDescent="0.65">
      <c r="A210" s="195"/>
      <c r="B210" s="140">
        <v>207</v>
      </c>
      <c r="C210" s="2"/>
      <c r="D210" s="1"/>
      <c r="E210" s="3"/>
      <c r="F210" s="1"/>
      <c r="G210" s="141">
        <f>IF(Basic3456789101112131415161718192021222324[[#This Row],[نوع الخدمة]]="مخالفات", 50,
IF(Basic3456789101112131415161718192021222324[[#This Row],[نوع الخدمة]]="كاش ان",
    IF(F210&lt;=100, 18, IF(F210&lt;=250, 23, IF(F210&lt;=500, 35, IF(F210&lt;=1000, 40, F210*0.04)))),
IF(Basic3456789101112131415161718192021222324[[#This Row],[نوع الخدمة]]="كاش اوت",
    IF(F210&lt;=100, 15, IF(F210&lt;=250, 20, IF(F210&lt;=500, 30, IF(F210&lt;=1000, 35, F210*0.035)))),
0)))</f>
        <v>0</v>
      </c>
      <c r="H210" s="159">
        <f>IF(I210="مخالفات",50,Basic3456789101112131415161718192021222324[[#This Row],[قيمة الرسوم / العموله]]+Basic3456789101112131415161718192021222324[[#This Row],[قيمة الشحنه]])</f>
        <v>0</v>
      </c>
      <c r="I210" s="90"/>
      <c r="J210" s="142" t="str">
        <f t="shared" si="3"/>
        <v>9.5.2026</v>
      </c>
      <c r="L210" s="153">
        <v>199</v>
      </c>
      <c r="M210" s="92"/>
    </row>
    <row r="211" spans="1:13" ht="21.6" x14ac:dyDescent="0.65">
      <c r="A211" s="195"/>
      <c r="B211" s="140">
        <v>208</v>
      </c>
      <c r="C211" s="2"/>
      <c r="D211" s="1"/>
      <c r="E211" s="3"/>
      <c r="F211" s="1"/>
      <c r="G211" s="141">
        <f>IF(Basic3456789101112131415161718192021222324[[#This Row],[نوع الخدمة]]="مخالفات", 50,
IF(Basic3456789101112131415161718192021222324[[#This Row],[نوع الخدمة]]="كاش ان",
    IF(F211&lt;=100, 18, IF(F211&lt;=250, 23, IF(F211&lt;=500, 35, IF(F211&lt;=1000, 40, F211*0.04)))),
IF(Basic3456789101112131415161718192021222324[[#This Row],[نوع الخدمة]]="كاش اوت",
    IF(F211&lt;=100, 15, IF(F211&lt;=250, 20, IF(F211&lt;=500, 30, IF(F211&lt;=1000, 35, F211*0.035)))),
0)))</f>
        <v>0</v>
      </c>
      <c r="H211" s="159">
        <f>IF(I211="مخالفات",50,Basic3456789101112131415161718192021222324[[#This Row],[قيمة الرسوم / العموله]]+Basic3456789101112131415161718192021222324[[#This Row],[قيمة الشحنه]])</f>
        <v>0</v>
      </c>
      <c r="I211" s="90"/>
      <c r="J211" s="142" t="str">
        <f t="shared" si="3"/>
        <v>9.5.2026</v>
      </c>
      <c r="L211" s="153">
        <v>200</v>
      </c>
      <c r="M211" s="92"/>
    </row>
    <row r="212" spans="1:13" ht="21.6" x14ac:dyDescent="0.65">
      <c r="A212" s="195"/>
      <c r="B212" s="140">
        <v>209</v>
      </c>
      <c r="C212" s="2"/>
      <c r="D212" s="1"/>
      <c r="E212" s="3"/>
      <c r="F212" s="1"/>
      <c r="G212" s="141">
        <f>IF(Basic3456789101112131415161718192021222324[[#This Row],[نوع الخدمة]]="مخالفات", 50,
IF(Basic3456789101112131415161718192021222324[[#This Row],[نوع الخدمة]]="كاش ان",
    IF(F212&lt;=100, 18, IF(F212&lt;=250, 23, IF(F212&lt;=500, 35, IF(F212&lt;=1000, 40, F212*0.04)))),
IF(Basic3456789101112131415161718192021222324[[#This Row],[نوع الخدمة]]="كاش اوت",
    IF(F212&lt;=100, 15, IF(F212&lt;=250, 20, IF(F212&lt;=500, 30, IF(F212&lt;=1000, 35, F212*0.035)))),
0)))</f>
        <v>0</v>
      </c>
      <c r="H212" s="159">
        <f>IF(I212="مخالفات",50,Basic3456789101112131415161718192021222324[[#This Row],[قيمة الرسوم / العموله]]+Basic3456789101112131415161718192021222324[[#This Row],[قيمة الشحنه]])</f>
        <v>0</v>
      </c>
      <c r="I212" s="90"/>
      <c r="J212" s="142" t="str">
        <f t="shared" si="3"/>
        <v>9.5.2026</v>
      </c>
      <c r="L212" s="153">
        <v>201</v>
      </c>
      <c r="M212" s="92"/>
    </row>
    <row r="213" spans="1:13" ht="21.6" x14ac:dyDescent="0.65">
      <c r="A213" s="195"/>
      <c r="B213" s="144">
        <v>210</v>
      </c>
      <c r="C213" s="2"/>
      <c r="D213" s="1"/>
      <c r="E213" s="3"/>
      <c r="F213" s="1"/>
      <c r="G213" s="141">
        <f>IF(Basic3456789101112131415161718192021222324[[#This Row],[نوع الخدمة]]="مخالفات", 50,
IF(Basic3456789101112131415161718192021222324[[#This Row],[نوع الخدمة]]="كاش ان",
    IF(F213&lt;=100, 18, IF(F213&lt;=250, 23, IF(F213&lt;=500, 35, IF(F213&lt;=1000, 40, F213*0.04)))),
IF(Basic3456789101112131415161718192021222324[[#This Row],[نوع الخدمة]]="كاش اوت",
    IF(F213&lt;=100, 15, IF(F213&lt;=250, 20, IF(F213&lt;=500, 30, IF(F213&lt;=1000, 35, F213*0.035)))),
0)))</f>
        <v>0</v>
      </c>
      <c r="H213" s="159">
        <f>IF(I213="مخالفات",50,Basic3456789101112131415161718192021222324[[#This Row],[قيمة الرسوم / العموله]]+Basic3456789101112131415161718192021222324[[#This Row],[قيمة الشحنه]])</f>
        <v>0</v>
      </c>
      <c r="I213" s="90"/>
      <c r="J213" s="142" t="str">
        <f t="shared" si="3"/>
        <v>9.5.2026</v>
      </c>
      <c r="L213" s="153">
        <v>202</v>
      </c>
      <c r="M213" s="92"/>
    </row>
    <row r="214" spans="1:13" ht="21.6" x14ac:dyDescent="0.65">
      <c r="A214" s="195"/>
      <c r="B214" s="140">
        <v>211</v>
      </c>
      <c r="C214" s="2"/>
      <c r="D214" s="1"/>
      <c r="E214" s="3"/>
      <c r="F214" s="1"/>
      <c r="G214" s="141">
        <f>IF(Basic3456789101112131415161718192021222324[[#This Row],[نوع الخدمة]]="مخالفات", 50,
IF(Basic3456789101112131415161718192021222324[[#This Row],[نوع الخدمة]]="كاش ان",
    IF(F214&lt;=100, 18, IF(F214&lt;=250, 23, IF(F214&lt;=500, 35, IF(F214&lt;=1000, 40, F214*0.04)))),
IF(Basic3456789101112131415161718192021222324[[#This Row],[نوع الخدمة]]="كاش اوت",
    IF(F214&lt;=100, 15, IF(F214&lt;=250, 20, IF(F214&lt;=500, 30, IF(F214&lt;=1000, 35, F214*0.035)))),
0)))</f>
        <v>0</v>
      </c>
      <c r="H214" s="159">
        <f>IF(I214="مخالفات",50,Basic3456789101112131415161718192021222324[[#This Row],[قيمة الرسوم / العموله]]+Basic3456789101112131415161718192021222324[[#This Row],[قيمة الشحنه]])</f>
        <v>0</v>
      </c>
      <c r="I214" s="90"/>
      <c r="J214" s="142" t="str">
        <f t="shared" si="3"/>
        <v>9.5.2026</v>
      </c>
      <c r="L214" s="153">
        <v>203</v>
      </c>
      <c r="M214" s="92"/>
    </row>
    <row r="215" spans="1:13" ht="21.6" x14ac:dyDescent="0.65">
      <c r="A215" s="195"/>
      <c r="B215" s="140">
        <v>212</v>
      </c>
      <c r="C215" s="2"/>
      <c r="D215" s="1"/>
      <c r="E215" s="3"/>
      <c r="F215" s="1"/>
      <c r="G215" s="141">
        <f>IF(Basic3456789101112131415161718192021222324[[#This Row],[نوع الخدمة]]="مخالفات", 50,
IF(Basic3456789101112131415161718192021222324[[#This Row],[نوع الخدمة]]="كاش ان",
    IF(F215&lt;=100, 18, IF(F215&lt;=250, 23, IF(F215&lt;=500, 35, IF(F215&lt;=1000, 40, F215*0.04)))),
IF(Basic3456789101112131415161718192021222324[[#This Row],[نوع الخدمة]]="كاش اوت",
    IF(F215&lt;=100, 15, IF(F215&lt;=250, 20, IF(F215&lt;=500, 30, IF(F215&lt;=1000, 35, F215*0.035)))),
0)))</f>
        <v>0</v>
      </c>
      <c r="H215" s="159">
        <f>IF(I215="مخالفات",50,Basic3456789101112131415161718192021222324[[#This Row],[قيمة الرسوم / العموله]]+Basic3456789101112131415161718192021222324[[#This Row],[قيمة الشحنه]])</f>
        <v>0</v>
      </c>
      <c r="I215" s="90"/>
      <c r="J215" s="142" t="str">
        <f t="shared" si="3"/>
        <v>9.5.2026</v>
      </c>
      <c r="L215" s="153">
        <v>204</v>
      </c>
      <c r="M215" s="92"/>
    </row>
    <row r="216" spans="1:13" ht="21.6" x14ac:dyDescent="0.65">
      <c r="A216" s="195"/>
      <c r="B216" s="140">
        <v>213</v>
      </c>
      <c r="C216" s="2"/>
      <c r="D216" s="1"/>
      <c r="E216" s="3"/>
      <c r="F216" s="1"/>
      <c r="G216" s="141">
        <f>IF(Basic3456789101112131415161718192021222324[[#This Row],[نوع الخدمة]]="مخالفات", 50,
IF(Basic3456789101112131415161718192021222324[[#This Row],[نوع الخدمة]]="كاش ان",
    IF(F216&lt;=100, 18, IF(F216&lt;=250, 23, IF(F216&lt;=500, 35, IF(F216&lt;=1000, 40, F216*0.04)))),
IF(Basic3456789101112131415161718192021222324[[#This Row],[نوع الخدمة]]="كاش اوت",
    IF(F216&lt;=100, 15, IF(F216&lt;=250, 20, IF(F216&lt;=500, 30, IF(F216&lt;=1000, 35, F216*0.035)))),
0)))</f>
        <v>0</v>
      </c>
      <c r="H216" s="159">
        <f>IF(I216="مخالفات",50,Basic3456789101112131415161718192021222324[[#This Row],[قيمة الرسوم / العموله]]+Basic3456789101112131415161718192021222324[[#This Row],[قيمة الشحنه]])</f>
        <v>0</v>
      </c>
      <c r="I216" s="90"/>
      <c r="J216" s="142" t="str">
        <f t="shared" si="3"/>
        <v>9.5.2026</v>
      </c>
      <c r="L216" s="153">
        <v>205</v>
      </c>
      <c r="M216" s="92"/>
    </row>
    <row r="217" spans="1:13" ht="21.6" x14ac:dyDescent="0.65">
      <c r="A217" s="195"/>
      <c r="B217" s="144">
        <v>214</v>
      </c>
      <c r="C217" s="2"/>
      <c r="D217" s="1"/>
      <c r="E217" s="3"/>
      <c r="F217" s="1"/>
      <c r="G217" s="141">
        <f>IF(Basic3456789101112131415161718192021222324[[#This Row],[نوع الخدمة]]="مخالفات", 50,
IF(Basic3456789101112131415161718192021222324[[#This Row],[نوع الخدمة]]="كاش ان",
    IF(F217&lt;=100, 18, IF(F217&lt;=250, 23, IF(F217&lt;=500, 35, IF(F217&lt;=1000, 40, F217*0.04)))),
IF(Basic3456789101112131415161718192021222324[[#This Row],[نوع الخدمة]]="كاش اوت",
    IF(F217&lt;=100, 15, IF(F217&lt;=250, 20, IF(F217&lt;=500, 30, IF(F217&lt;=1000, 35, F217*0.035)))),
0)))</f>
        <v>0</v>
      </c>
      <c r="H217" s="159">
        <f>IF(I217="مخالفات",50,Basic3456789101112131415161718192021222324[[#This Row],[قيمة الرسوم / العموله]]+Basic3456789101112131415161718192021222324[[#This Row],[قيمة الشحنه]])</f>
        <v>0</v>
      </c>
      <c r="I217" s="90"/>
      <c r="J217" s="142" t="str">
        <f t="shared" si="3"/>
        <v>9.5.2026</v>
      </c>
      <c r="L217" s="153">
        <v>206</v>
      </c>
      <c r="M217" s="92"/>
    </row>
    <row r="218" spans="1:13" ht="21.6" x14ac:dyDescent="0.65">
      <c r="A218" s="195"/>
      <c r="B218" s="140">
        <v>215</v>
      </c>
      <c r="C218" s="2"/>
      <c r="D218" s="1"/>
      <c r="E218" s="3"/>
      <c r="F218" s="1"/>
      <c r="G218" s="141">
        <f>IF(Basic3456789101112131415161718192021222324[[#This Row],[نوع الخدمة]]="مخالفات", 50,
IF(Basic3456789101112131415161718192021222324[[#This Row],[نوع الخدمة]]="كاش ان",
    IF(F218&lt;=100, 18, IF(F218&lt;=250, 23, IF(F218&lt;=500, 35, IF(F218&lt;=1000, 40, F218*0.04)))),
IF(Basic3456789101112131415161718192021222324[[#This Row],[نوع الخدمة]]="كاش اوت",
    IF(F218&lt;=100, 15, IF(F218&lt;=250, 20, IF(F218&lt;=500, 30, IF(F218&lt;=1000, 35, F218*0.035)))),
0)))</f>
        <v>0</v>
      </c>
      <c r="H218" s="159">
        <f>IF(I218="مخالفات",50,Basic3456789101112131415161718192021222324[[#This Row],[قيمة الرسوم / العموله]]+Basic3456789101112131415161718192021222324[[#This Row],[قيمة الشحنه]])</f>
        <v>0</v>
      </c>
      <c r="I218" s="90"/>
      <c r="J218" s="142" t="str">
        <f t="shared" si="3"/>
        <v>9.5.2026</v>
      </c>
      <c r="L218" s="153">
        <v>207</v>
      </c>
      <c r="M218" s="92"/>
    </row>
    <row r="219" spans="1:13" ht="21.6" x14ac:dyDescent="0.65">
      <c r="A219" s="195"/>
      <c r="B219" s="140">
        <v>216</v>
      </c>
      <c r="C219" s="2"/>
      <c r="D219" s="1"/>
      <c r="E219" s="3"/>
      <c r="F219" s="1"/>
      <c r="G219" s="141">
        <f>IF(Basic3456789101112131415161718192021222324[[#This Row],[نوع الخدمة]]="مخالفات", 50,
IF(Basic3456789101112131415161718192021222324[[#This Row],[نوع الخدمة]]="كاش ان",
    IF(F219&lt;=100, 18, IF(F219&lt;=250, 23, IF(F219&lt;=500, 35, IF(F219&lt;=1000, 40, F219*0.04)))),
IF(Basic3456789101112131415161718192021222324[[#This Row],[نوع الخدمة]]="كاش اوت",
    IF(F219&lt;=100, 15, IF(F219&lt;=250, 20, IF(F219&lt;=500, 30, IF(F219&lt;=1000, 35, F219*0.035)))),
0)))</f>
        <v>0</v>
      </c>
      <c r="H219" s="159">
        <f>IF(I219="مخالفات",50,Basic3456789101112131415161718192021222324[[#This Row],[قيمة الرسوم / العموله]]+Basic3456789101112131415161718192021222324[[#This Row],[قيمة الشحنه]])</f>
        <v>0</v>
      </c>
      <c r="I219" s="90"/>
      <c r="J219" s="142" t="str">
        <f t="shared" si="3"/>
        <v>9.5.2026</v>
      </c>
      <c r="L219" s="153">
        <v>208</v>
      </c>
      <c r="M219" s="92"/>
    </row>
    <row r="220" spans="1:13" ht="21.6" x14ac:dyDescent="0.65">
      <c r="A220" s="195"/>
      <c r="B220" s="140">
        <v>217</v>
      </c>
      <c r="C220" s="2"/>
      <c r="D220" s="1"/>
      <c r="E220" s="3"/>
      <c r="F220" s="1"/>
      <c r="G220" s="141">
        <f>IF(Basic3456789101112131415161718192021222324[[#This Row],[نوع الخدمة]]="مخالفات", 50,
IF(Basic3456789101112131415161718192021222324[[#This Row],[نوع الخدمة]]="كاش ان",
    IF(F220&lt;=100, 18, IF(F220&lt;=250, 23, IF(F220&lt;=500, 35, IF(F220&lt;=1000, 40, F220*0.04)))),
IF(Basic3456789101112131415161718192021222324[[#This Row],[نوع الخدمة]]="كاش اوت",
    IF(F220&lt;=100, 15, IF(F220&lt;=250, 20, IF(F220&lt;=500, 30, IF(F220&lt;=1000, 35, F220*0.035)))),
0)))</f>
        <v>0</v>
      </c>
      <c r="H220" s="159">
        <f>IF(I220="مخالفات",50,Basic3456789101112131415161718192021222324[[#This Row],[قيمة الرسوم / العموله]]+Basic3456789101112131415161718192021222324[[#This Row],[قيمة الشحنه]])</f>
        <v>0</v>
      </c>
      <c r="I220" s="90"/>
      <c r="J220" s="142" t="str">
        <f t="shared" si="3"/>
        <v>9.5.2026</v>
      </c>
      <c r="L220" s="153">
        <v>209</v>
      </c>
      <c r="M220" s="92"/>
    </row>
    <row r="221" spans="1:13" ht="21.6" x14ac:dyDescent="0.65">
      <c r="A221" s="195"/>
      <c r="B221" s="144">
        <v>218</v>
      </c>
      <c r="C221" s="2"/>
      <c r="D221" s="1"/>
      <c r="E221" s="3"/>
      <c r="F221" s="1"/>
      <c r="G221" s="141">
        <f>IF(Basic3456789101112131415161718192021222324[[#This Row],[نوع الخدمة]]="مخالفات", 50,
IF(Basic3456789101112131415161718192021222324[[#This Row],[نوع الخدمة]]="كاش ان",
    IF(F221&lt;=100, 18, IF(F221&lt;=250, 23, IF(F221&lt;=500, 35, IF(F221&lt;=1000, 40, F221*0.04)))),
IF(Basic3456789101112131415161718192021222324[[#This Row],[نوع الخدمة]]="كاش اوت",
    IF(F221&lt;=100, 15, IF(F221&lt;=250, 20, IF(F221&lt;=500, 30, IF(F221&lt;=1000, 35, F221*0.035)))),
0)))</f>
        <v>0</v>
      </c>
      <c r="H221" s="159">
        <f>IF(I221="مخالفات",50,Basic3456789101112131415161718192021222324[[#This Row],[قيمة الرسوم / العموله]]+Basic3456789101112131415161718192021222324[[#This Row],[قيمة الشحنه]])</f>
        <v>0</v>
      </c>
      <c r="I221" s="90"/>
      <c r="J221" s="142" t="str">
        <f t="shared" si="3"/>
        <v>9.5.2026</v>
      </c>
      <c r="L221" s="153">
        <v>210</v>
      </c>
      <c r="M221" s="92"/>
    </row>
    <row r="222" spans="1:13" ht="21.6" x14ac:dyDescent="0.65">
      <c r="A222" s="195"/>
      <c r="B222" s="140">
        <v>219</v>
      </c>
      <c r="C222" s="2"/>
      <c r="D222" s="1"/>
      <c r="E222" s="3"/>
      <c r="F222" s="1"/>
      <c r="G222" s="141">
        <f>IF(Basic3456789101112131415161718192021222324[[#This Row],[نوع الخدمة]]="مخالفات", 50,
IF(Basic3456789101112131415161718192021222324[[#This Row],[نوع الخدمة]]="كاش ان",
    IF(F222&lt;=100, 18, IF(F222&lt;=250, 23, IF(F222&lt;=500, 35, IF(F222&lt;=1000, 40, F222*0.04)))),
IF(Basic3456789101112131415161718192021222324[[#This Row],[نوع الخدمة]]="كاش اوت",
    IF(F222&lt;=100, 15, IF(F222&lt;=250, 20, IF(F222&lt;=500, 30, IF(F222&lt;=1000, 35, F222*0.035)))),
0)))</f>
        <v>0</v>
      </c>
      <c r="H222" s="159">
        <f>IF(I222="مخالفات",50,Basic3456789101112131415161718192021222324[[#This Row],[قيمة الرسوم / العموله]]+Basic3456789101112131415161718192021222324[[#This Row],[قيمة الشحنه]])</f>
        <v>0</v>
      </c>
      <c r="I222" s="90"/>
      <c r="J222" s="142" t="str">
        <f t="shared" si="3"/>
        <v>9.5.2026</v>
      </c>
      <c r="L222" s="153">
        <v>211</v>
      </c>
      <c r="M222" s="92"/>
    </row>
    <row r="223" spans="1:13" ht="21.6" x14ac:dyDescent="0.65">
      <c r="A223" s="195"/>
      <c r="B223" s="140">
        <v>220</v>
      </c>
      <c r="C223" s="2"/>
      <c r="D223" s="1"/>
      <c r="E223" s="3"/>
      <c r="F223" s="1"/>
      <c r="G223" s="141">
        <f>IF(Basic3456789101112131415161718192021222324[[#This Row],[نوع الخدمة]]="مخالفات", 50,
IF(Basic3456789101112131415161718192021222324[[#This Row],[نوع الخدمة]]="كاش ان",
    IF(F223&lt;=100, 18, IF(F223&lt;=250, 23, IF(F223&lt;=500, 35, IF(F223&lt;=1000, 40, F223*0.04)))),
IF(Basic3456789101112131415161718192021222324[[#This Row],[نوع الخدمة]]="كاش اوت",
    IF(F223&lt;=100, 15, IF(F223&lt;=250, 20, IF(F223&lt;=500, 30, IF(F223&lt;=1000, 35, F223*0.035)))),
0)))</f>
        <v>0</v>
      </c>
      <c r="H223" s="159">
        <f>IF(I223="مخالفات",50,Basic3456789101112131415161718192021222324[[#This Row],[قيمة الرسوم / العموله]]+Basic3456789101112131415161718192021222324[[#This Row],[قيمة الشحنه]])</f>
        <v>0</v>
      </c>
      <c r="I223" s="90"/>
      <c r="J223" s="142" t="str">
        <f t="shared" si="3"/>
        <v>9.5.2026</v>
      </c>
      <c r="L223" s="153">
        <v>212</v>
      </c>
      <c r="M223" s="92"/>
    </row>
    <row r="224" spans="1:13" ht="21.6" x14ac:dyDescent="0.65">
      <c r="A224" s="195"/>
      <c r="B224" s="140">
        <v>221</v>
      </c>
      <c r="C224" s="2"/>
      <c r="D224" s="1"/>
      <c r="E224" s="3"/>
      <c r="F224" s="1"/>
      <c r="G224" s="141">
        <f>IF(Basic3456789101112131415161718192021222324[[#This Row],[نوع الخدمة]]="مخالفات", 50,
IF(Basic3456789101112131415161718192021222324[[#This Row],[نوع الخدمة]]="كاش ان",
    IF(F224&lt;=100, 18, IF(F224&lt;=250, 23, IF(F224&lt;=500, 35, IF(F224&lt;=1000, 40, F224*0.04)))),
IF(Basic3456789101112131415161718192021222324[[#This Row],[نوع الخدمة]]="كاش اوت",
    IF(F224&lt;=100, 15, IF(F224&lt;=250, 20, IF(F224&lt;=500, 30, IF(F224&lt;=1000, 35, F224*0.035)))),
0)))</f>
        <v>0</v>
      </c>
      <c r="H224" s="159">
        <f>IF(I224="مخالفات",50,Basic3456789101112131415161718192021222324[[#This Row],[قيمة الرسوم / العموله]]+Basic3456789101112131415161718192021222324[[#This Row],[قيمة الشحنه]])</f>
        <v>0</v>
      </c>
      <c r="I224" s="90"/>
      <c r="J224" s="142" t="str">
        <f t="shared" si="3"/>
        <v>9.5.2026</v>
      </c>
      <c r="L224" s="153">
        <v>213</v>
      </c>
      <c r="M224" s="92"/>
    </row>
    <row r="225" spans="1:13" ht="21.6" x14ac:dyDescent="0.65">
      <c r="A225" s="195"/>
      <c r="B225" s="144">
        <v>222</v>
      </c>
      <c r="C225" s="2"/>
      <c r="D225" s="1"/>
      <c r="E225" s="3"/>
      <c r="F225" s="1"/>
      <c r="G225" s="141">
        <f>IF(Basic3456789101112131415161718192021222324[[#This Row],[نوع الخدمة]]="مخالفات", 50,
IF(Basic3456789101112131415161718192021222324[[#This Row],[نوع الخدمة]]="كاش ان",
    IF(F225&lt;=100, 18, IF(F225&lt;=250, 23, IF(F225&lt;=500, 35, IF(F225&lt;=1000, 40, F225*0.04)))),
IF(Basic3456789101112131415161718192021222324[[#This Row],[نوع الخدمة]]="كاش اوت",
    IF(F225&lt;=100, 15, IF(F225&lt;=250, 20, IF(F225&lt;=500, 30, IF(F225&lt;=1000, 35, F225*0.035)))),
0)))</f>
        <v>0</v>
      </c>
      <c r="H225" s="159">
        <f>IF(I225="مخالفات",50,Basic3456789101112131415161718192021222324[[#This Row],[قيمة الرسوم / العموله]]+Basic3456789101112131415161718192021222324[[#This Row],[قيمة الشحنه]])</f>
        <v>0</v>
      </c>
      <c r="I225" s="90"/>
      <c r="J225" s="142" t="str">
        <f t="shared" si="3"/>
        <v>9.5.2026</v>
      </c>
      <c r="L225" s="153">
        <v>214</v>
      </c>
      <c r="M225" s="92"/>
    </row>
    <row r="226" spans="1:13" ht="21.6" x14ac:dyDescent="0.65">
      <c r="A226" s="195"/>
      <c r="B226" s="140">
        <v>223</v>
      </c>
      <c r="C226" s="4"/>
      <c r="D226" s="5"/>
      <c r="E226" s="6"/>
      <c r="F226" s="5"/>
      <c r="G226" s="141">
        <f>IF(Basic3456789101112131415161718192021222324[[#This Row],[نوع الخدمة]]="مخالفات", 50,
IF(Basic3456789101112131415161718192021222324[[#This Row],[نوع الخدمة]]="كاش ان",
    IF(F226&lt;=100, 18, IF(F226&lt;=250, 23, IF(F226&lt;=500, 35, IF(F226&lt;=1000, 40, F226*0.04)))),
IF(Basic3456789101112131415161718192021222324[[#This Row],[نوع الخدمة]]="كاش اوت",
    IF(F226&lt;=100, 15, IF(F226&lt;=250, 20, IF(F226&lt;=500, 30, IF(F226&lt;=1000, 35, F226*0.035)))),
0)))</f>
        <v>0</v>
      </c>
      <c r="H226" s="160">
        <f>IF(I226="مخالفات",50,Basic3456789101112131415161718192021222324[[#This Row],[قيمة الرسوم / العموله]]+Basic3456789101112131415161718192021222324[[#This Row],[قيمة الشحنه]])</f>
        <v>0</v>
      </c>
      <c r="I226" s="90"/>
      <c r="J226" s="142" t="str">
        <f t="shared" si="3"/>
        <v>9.5.2026</v>
      </c>
      <c r="L226" s="156">
        <v>215</v>
      </c>
      <c r="M226" s="93"/>
    </row>
  </sheetData>
  <sheetProtection algorithmName="SHA-512" hashValue="RTuKEs3VDApih8BWlmaaEfkggJJBMcXytmK1nsgw2AY1UxJbt1VV1398kTZ5vvMcih/ufIVoA+yA3uXLhTXYsQ==" saltValue="qvK9gFTxKccu7xst5vhGGA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91" priority="15" operator="equal">
      <formula>$BH$10</formula>
    </cfRule>
    <cfRule type="cellIs" dxfId="90" priority="16" operator="equal">
      <formula>$BH$9</formula>
    </cfRule>
    <cfRule type="cellIs" dxfId="89" priority="17" operator="equal">
      <formula>$BH$8</formula>
    </cfRule>
  </conditionalFormatting>
  <conditionalFormatting sqref="P11">
    <cfRule type="cellIs" dxfId="88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{D83E9C91-A760-4784-BE21-D793D390400B}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{80851802-F45C-452F-938D-C2FE4ECFF98A}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{467C33C6-6A9B-47D6-922E-EA53D66D69D5}</x14:id>
        </ext>
      </extLst>
    </cfRule>
  </conditionalFormatting>
  <dataValidations count="2">
    <dataValidation type="list" allowBlank="1" showInputMessage="1" showErrorMessage="1" sqref="I4:I226" xr:uid="{00000000-0002-0000-0800-000000000000}">
      <formula1>$BH$8:$BH$10</formula1>
    </dataValidation>
    <dataValidation type="textLength" operator="equal" allowBlank="1" showInputMessage="1" showErrorMessage="1" errorTitle="يجب إخال رقم IPN صحيح 13 رقم" sqref="C1:C1048576" xr:uid="{00000000-0002-0000-0800-000001000000}">
      <formula1>13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3E9C91-A760-4784-BE21-D793D390400B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80851802-F45C-452F-938D-C2FE4ECFF98A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467C33C6-6A9B-47D6-922E-EA53D66D69D5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H226"/>
  <sheetViews>
    <sheetView showGridLines="0" showRowColHeaders="0" rightToLeft="1" topLeftCell="D1" zoomScale="80" zoomScaleNormal="80" workbookViewId="0">
      <selection activeCell="R10" sqref="R10:W10"/>
    </sheetView>
  </sheetViews>
  <sheetFormatPr defaultColWidth="9.109375" defaultRowHeight="14.4" x14ac:dyDescent="0.3"/>
  <cols>
    <col min="1" max="1" width="4.109375" style="124" customWidth="1"/>
    <col min="2" max="2" width="6.5546875" style="125" bestFit="1" customWidth="1"/>
    <col min="3" max="3" width="26.5546875" style="126" customWidth="1"/>
    <col min="4" max="4" width="15.6640625" style="124" customWidth="1"/>
    <col min="5" max="5" width="17.5546875" style="157" customWidth="1"/>
    <col min="6" max="6" width="12.88671875" style="124" bestFit="1" customWidth="1"/>
    <col min="7" max="7" width="19" style="124" bestFit="1" customWidth="1"/>
    <col min="8" max="8" width="19" style="124" customWidth="1"/>
    <col min="9" max="9" width="12.44140625" style="128" bestFit="1" customWidth="1"/>
    <col min="10" max="10" width="17.5546875" style="129" customWidth="1"/>
    <col min="11" max="11" width="3.5546875" style="124" customWidth="1"/>
    <col min="12" max="12" width="8.5546875" style="124" bestFit="1" customWidth="1"/>
    <col min="13" max="13" width="23" style="124" customWidth="1"/>
    <col min="14" max="14" width="2.5546875" style="124" customWidth="1"/>
    <col min="15" max="15" width="26.5546875" style="124" bestFit="1" customWidth="1"/>
    <col min="16" max="16" width="16" style="124" customWidth="1"/>
    <col min="17" max="17" width="3.5546875" style="124" customWidth="1"/>
    <col min="18" max="19" width="17.5546875" style="128" customWidth="1"/>
    <col min="20" max="20" width="11.5546875" style="128" bestFit="1" customWidth="1"/>
    <col min="21" max="21" width="10.5546875" style="128" bestFit="1" customWidth="1"/>
    <col min="22" max="22" width="10.109375" style="128" bestFit="1" customWidth="1"/>
    <col min="23" max="23" width="8.44140625" style="128" customWidth="1"/>
    <col min="24" max="24" width="12.6640625" style="128" customWidth="1"/>
    <col min="25" max="16384" width="9.109375" style="124"/>
  </cols>
  <sheetData>
    <row r="1" spans="1:60" x14ac:dyDescent="0.3">
      <c r="E1" s="127">
        <f>Total!F5</f>
        <v>69</v>
      </c>
      <c r="F1" s="192" t="str">
        <f>Total!G5</f>
        <v>العبور</v>
      </c>
      <c r="G1" s="192"/>
      <c r="H1" s="192"/>
    </row>
    <row r="3" spans="1:60" ht="15.6" x14ac:dyDescent="0.3">
      <c r="B3" s="130" t="s">
        <v>0</v>
      </c>
      <c r="C3" s="131" t="s">
        <v>1</v>
      </c>
      <c r="D3" s="132" t="s">
        <v>2</v>
      </c>
      <c r="E3" s="133" t="s">
        <v>3</v>
      </c>
      <c r="F3" s="132" t="s">
        <v>4</v>
      </c>
      <c r="G3" s="132" t="s">
        <v>5</v>
      </c>
      <c r="H3" s="132" t="s">
        <v>76</v>
      </c>
      <c r="I3" s="132" t="s">
        <v>6</v>
      </c>
      <c r="J3" s="134" t="s">
        <v>7</v>
      </c>
      <c r="L3" s="135" t="s">
        <v>7</v>
      </c>
      <c r="M3" s="7" t="s">
        <v>95</v>
      </c>
      <c r="O3" s="137" t="s">
        <v>17</v>
      </c>
      <c r="P3" s="138">
        <f>M5+M6</f>
        <v>0</v>
      </c>
      <c r="T3" s="173"/>
      <c r="U3" s="173"/>
      <c r="V3" s="173"/>
      <c r="W3" s="173"/>
      <c r="X3" s="173"/>
    </row>
    <row r="4" spans="1:60" ht="21.6" x14ac:dyDescent="0.65">
      <c r="A4" s="195"/>
      <c r="B4" s="140">
        <v>1</v>
      </c>
      <c r="C4" s="8"/>
      <c r="D4" s="9"/>
      <c r="E4" s="10"/>
      <c r="F4" s="9"/>
      <c r="G4" s="141">
        <f>IF(Basic34567891011121314151617181920212223[[#This Row],[نوع الخدمة]]="مخالفات", 50,
IF(Basic34567891011121314151617181920212223[[#This Row],[نوع الخدمة]]="كاش ان",
    IF(F4&lt;=100, 18, IF(F4&lt;=250, 23, IF(F4&lt;=500, 35, IF(F4&lt;=1000, 40, F4*0.04)))),
IF(Basic34567891011121314151617181920212223[[#This Row],[نوع الخدمة]]="كاش اوت",
    IF(F4&lt;=100, 15, IF(F4&lt;=250, 20, IF(F4&lt;=500, 30, IF(F4&lt;=1000, 35, F4*0.035)))),
0)))</f>
        <v>0</v>
      </c>
      <c r="H4" s="141">
        <f>IF(I4="مخالفات",50,Basic34567891011121314151617181920212223[[#This Row],[قيمة الرسوم / العموله]]+Basic34567891011121314151617181920212223[[#This Row],[قيمة الشحنه]])</f>
        <v>0</v>
      </c>
      <c r="I4" s="90"/>
      <c r="J4" s="142" t="str">
        <f t="shared" ref="J4:J67" si="0">M$3</f>
        <v>10.5.2026</v>
      </c>
      <c r="L4" s="135" t="s">
        <v>26</v>
      </c>
      <c r="M4" s="90">
        <v>0</v>
      </c>
      <c r="O4" s="137" t="s">
        <v>18</v>
      </c>
      <c r="P4" s="138">
        <f>M4</f>
        <v>0</v>
      </c>
      <c r="S4" s="143" t="s">
        <v>22</v>
      </c>
      <c r="T4" s="143" t="s">
        <v>23</v>
      </c>
      <c r="U4" s="173"/>
      <c r="V4" s="173"/>
      <c r="W4" s="173"/>
      <c r="X4" s="173"/>
    </row>
    <row r="5" spans="1:60" ht="21.6" x14ac:dyDescent="0.65">
      <c r="A5" s="195"/>
      <c r="B5" s="144">
        <v>2</v>
      </c>
      <c r="C5" s="8"/>
      <c r="D5" s="9"/>
      <c r="E5" s="10"/>
      <c r="F5" s="9"/>
      <c r="G5" s="141">
        <f>IF(Basic34567891011121314151617181920212223[[#This Row],[نوع الخدمة]]="مخالفات", 50,
IF(Basic34567891011121314151617181920212223[[#This Row],[نوع الخدمة]]="كاش ان",
    IF(F5&lt;=100, 18, IF(F5&lt;=250, 23, IF(F5&lt;=500, 35, IF(F5&lt;=1000, 40, F5*0.04)))),
IF(Basic34567891011121314151617181920212223[[#This Row],[نوع الخدمة]]="كاش اوت",
    IF(F5&lt;=100, 15, IF(F5&lt;=250, 20, IF(F5&lt;=500, 30, IF(F5&lt;=1000, 35, F5*0.035)))),
0)))</f>
        <v>0</v>
      </c>
      <c r="H5" s="141">
        <f>IF(I5="مخالفات",50,Basic34567891011121314151617181920212223[[#This Row],[قيمة الرسوم / العموله]]+Basic34567891011121314151617181920212223[[#This Row],[قيمة الشحنه]])</f>
        <v>0</v>
      </c>
      <c r="I5" s="90"/>
      <c r="J5" s="142" t="str">
        <f t="shared" si="0"/>
        <v>10.5.2026</v>
      </c>
      <c r="L5" s="135" t="s">
        <v>27</v>
      </c>
      <c r="M5" s="90"/>
      <c r="O5" s="137" t="s">
        <v>19</v>
      </c>
      <c r="P5" s="138">
        <f>SUMIF(Basic34567891011121314151617181920212223[نوع الخدمة],"كاش ان",Basic34567891011121314151617181920212223[قيمة الشحنه])</f>
        <v>0</v>
      </c>
      <c r="S5" s="145">
        <f>P5+P9+P12+P7</f>
        <v>0</v>
      </c>
      <c r="T5" s="145">
        <f>P3</f>
        <v>0</v>
      </c>
    </row>
    <row r="6" spans="1:60" ht="21.6" x14ac:dyDescent="0.65">
      <c r="A6" s="195"/>
      <c r="B6" s="140">
        <v>3</v>
      </c>
      <c r="C6" s="8"/>
      <c r="D6" s="9"/>
      <c r="E6" s="10"/>
      <c r="F6" s="9"/>
      <c r="G6" s="141">
        <f>IF(Basic34567891011121314151617181920212223[[#This Row],[نوع الخدمة]]="مخالفات", 50,
IF(Basic34567891011121314151617181920212223[[#This Row],[نوع الخدمة]]="كاش ان",
    IF(F6&lt;=100, 18, IF(F6&lt;=250, 23, IF(F6&lt;=500, 35, IF(F6&lt;=1000, 40, F6*0.04)))),
IF(Basic34567891011121314151617181920212223[[#This Row],[نوع الخدمة]]="كاش اوت",
    IF(F6&lt;=100, 15, IF(F6&lt;=250, 20, IF(F6&lt;=500, 30, IF(F6&lt;=1000, 35, F6*0.035)))),
0)))</f>
        <v>0</v>
      </c>
      <c r="H6" s="141">
        <f>IF(I6="مخالفات",50,Basic34567891011121314151617181920212223[[#This Row],[قيمة الرسوم / العموله]]+Basic34567891011121314151617181920212223[[#This Row],[قيمة الشحنه]])</f>
        <v>0</v>
      </c>
      <c r="I6" s="90"/>
      <c r="J6" s="142" t="str">
        <f t="shared" si="0"/>
        <v>10.5.2026</v>
      </c>
      <c r="L6" s="135" t="s">
        <v>28</v>
      </c>
      <c r="M6" s="90"/>
      <c r="O6" s="146" t="s">
        <v>12</v>
      </c>
      <c r="P6" s="138">
        <f>P3*150</f>
        <v>0</v>
      </c>
    </row>
    <row r="7" spans="1:60" ht="21.6" x14ac:dyDescent="0.65">
      <c r="A7" s="195"/>
      <c r="B7" s="140">
        <v>4</v>
      </c>
      <c r="C7" s="8"/>
      <c r="D7" s="9"/>
      <c r="E7" s="10"/>
      <c r="F7" s="9"/>
      <c r="G7" s="141">
        <f>IF(Basic34567891011121314151617181920212223[[#This Row],[نوع الخدمة]]="مخالفات", 50,
IF(Basic34567891011121314151617181920212223[[#This Row],[نوع الخدمة]]="كاش ان",
    IF(F7&lt;=100, 18, IF(F7&lt;=250, 23, IF(F7&lt;=500, 35, IF(F7&lt;=1000, 40, F7*0.04)))),
IF(Basic34567891011121314151617181920212223[[#This Row],[نوع الخدمة]]="كاش اوت",
    IF(F7&lt;=100, 15, IF(F7&lt;=250, 20, IF(F7&lt;=500, 30, IF(F7&lt;=1000, 35, F7*0.035)))),
0)))</f>
        <v>0</v>
      </c>
      <c r="H7" s="141">
        <f>IF(I7="مخالفات",50,Basic34567891011121314151617181920212223[[#This Row],[قيمة الرسوم / العموله]]+Basic34567891011121314151617181920212223[[#This Row],[قيمة الشحنه]])</f>
        <v>0</v>
      </c>
      <c r="I7" s="90"/>
      <c r="J7" s="142" t="str">
        <f t="shared" si="0"/>
        <v>10.5.2026</v>
      </c>
      <c r="L7" s="137" t="s">
        <v>11</v>
      </c>
      <c r="M7" s="165"/>
      <c r="O7" s="146" t="s">
        <v>75</v>
      </c>
      <c r="P7" s="138">
        <f>SUMIF(Basic34567891011121314151617181920212223[نوع الخدمة],"مخالفات",Basic34567891011121314151617181920212223[الاجمــــــــــالي])</f>
        <v>0</v>
      </c>
      <c r="R7" s="173"/>
      <c r="S7" s="173"/>
    </row>
    <row r="8" spans="1:60" ht="21.6" x14ac:dyDescent="0.65">
      <c r="A8" s="195"/>
      <c r="B8" s="140">
        <v>5</v>
      </c>
      <c r="C8" s="8"/>
      <c r="D8" s="9"/>
      <c r="E8" s="10"/>
      <c r="F8" s="9"/>
      <c r="G8" s="141">
        <f>IF(Basic34567891011121314151617181920212223[[#This Row],[نوع الخدمة]]="مخالفات", 50,
IF(Basic34567891011121314151617181920212223[[#This Row],[نوع الخدمة]]="كاش ان",
    IF(F8&lt;=100, 18, IF(F8&lt;=250, 23, IF(F8&lt;=500, 35, IF(F8&lt;=1000, 40, F8*0.04)))),
IF(Basic34567891011121314151617181920212223[[#This Row],[نوع الخدمة]]="كاش اوت",
    IF(F8&lt;=100, 15, IF(F8&lt;=250, 20, IF(F8&lt;=500, 30, IF(F8&lt;=1000, 35, F8*0.035)))),
0)))</f>
        <v>0</v>
      </c>
      <c r="H8" s="141">
        <f>IF(I8="مخالفات",50,Basic34567891011121314151617181920212223[[#This Row],[قيمة الرسوم / العموله]]+Basic34567891011121314151617181920212223[[#This Row],[قيمة الشحنه]])</f>
        <v>0</v>
      </c>
      <c r="I8" s="90"/>
      <c r="J8" s="142" t="str">
        <f t="shared" si="0"/>
        <v>10.5.2026</v>
      </c>
      <c r="L8" s="166" t="s">
        <v>79</v>
      </c>
      <c r="M8" s="167">
        <v>0</v>
      </c>
      <c r="O8" s="137" t="s">
        <v>11</v>
      </c>
      <c r="P8" s="138">
        <f>M7</f>
        <v>0</v>
      </c>
      <c r="R8" s="143" t="s">
        <v>72</v>
      </c>
      <c r="S8" s="143" t="s">
        <v>25</v>
      </c>
      <c r="T8" s="143" t="s">
        <v>24</v>
      </c>
      <c r="U8" s="143" t="s">
        <v>73</v>
      </c>
      <c r="V8" s="143" t="s">
        <v>25</v>
      </c>
      <c r="W8" s="143" t="s">
        <v>24</v>
      </c>
      <c r="BH8" s="148" t="s">
        <v>8</v>
      </c>
    </row>
    <row r="9" spans="1:60" ht="18" customHeight="1" x14ac:dyDescent="0.65">
      <c r="A9" s="195"/>
      <c r="B9" s="144">
        <v>6</v>
      </c>
      <c r="C9" s="8"/>
      <c r="D9" s="9"/>
      <c r="E9" s="10"/>
      <c r="F9" s="9"/>
      <c r="G9" s="141">
        <f>IF(Basic34567891011121314151617181920212223[[#This Row],[نوع الخدمة]]="مخالفات", 50,
IF(Basic34567891011121314151617181920212223[[#This Row],[نوع الخدمة]]="كاش ان",
    IF(F9&lt;=100, 18, IF(F9&lt;=250, 23, IF(F9&lt;=500, 35, IF(F9&lt;=1000, 40, F9*0.04)))),
IF(Basic34567891011121314151617181920212223[[#This Row],[نوع الخدمة]]="كاش اوت",
    IF(F9&lt;=100, 15, IF(F9&lt;=250, 20, IF(F9&lt;=500, 30, IF(F9&lt;=1000, 35, F9*0.035)))),
0)))</f>
        <v>0</v>
      </c>
      <c r="H9" s="141">
        <f>IF(I9="مخالفات",50,Basic34567891011121314151617181920212223[[#This Row],[قيمة الرسوم / العموله]]+Basic34567891011121314151617181920212223[[#This Row],[قيمة الشحنه]])</f>
        <v>0</v>
      </c>
      <c r="I9" s="90"/>
      <c r="J9" s="142" t="str">
        <f t="shared" si="0"/>
        <v>10.5.2026</v>
      </c>
      <c r="L9" s="166" t="s">
        <v>80</v>
      </c>
      <c r="M9" s="167">
        <v>0</v>
      </c>
      <c r="O9" s="137" t="s">
        <v>20</v>
      </c>
      <c r="P9" s="138">
        <f>SUMIF(Basic34567891011121314151617181920212223[نوع الخدمة],"كاش ان",Basic34567891011121314151617181920212223[قيمة الرسوم / العموله])</f>
        <v>0</v>
      </c>
      <c r="R9" s="149">
        <f>Total!H5/24</f>
        <v>29166.666666666668</v>
      </c>
      <c r="S9" s="149">
        <f>S5</f>
        <v>0</v>
      </c>
      <c r="T9" s="150">
        <f>S9/R9</f>
        <v>0</v>
      </c>
      <c r="U9" s="149">
        <f>Total!K5/24</f>
        <v>2.9166666666666665</v>
      </c>
      <c r="V9" s="149">
        <f>T5</f>
        <v>0</v>
      </c>
      <c r="W9" s="150">
        <f>V9/U9</f>
        <v>0</v>
      </c>
      <c r="BH9" s="148" t="s">
        <v>9</v>
      </c>
    </row>
    <row r="10" spans="1:60" ht="21.6" x14ac:dyDescent="0.65">
      <c r="A10" s="195"/>
      <c r="B10" s="140">
        <v>7</v>
      </c>
      <c r="C10" s="8"/>
      <c r="D10" s="9"/>
      <c r="E10" s="10"/>
      <c r="F10" s="9"/>
      <c r="G10" s="141">
        <f>IF(Basic34567891011121314151617181920212223[[#This Row],[نوع الخدمة]]="مخالفات", 50,
IF(Basic34567891011121314151617181920212223[[#This Row],[نوع الخدمة]]="كاش ان",
    IF(F10&lt;=100, 18, IF(F10&lt;=250, 23, IF(F10&lt;=500, 35, IF(F10&lt;=1000, 40, F10*0.04)))),
IF(Basic34567891011121314151617181920212223[[#This Row],[نوع الخدمة]]="كاش اوت",
    IF(F10&lt;=100, 15, IF(F10&lt;=250, 20, IF(F10&lt;=500, 30, IF(F10&lt;=1000, 35, F10*0.035)))),
0)))</f>
        <v>0</v>
      </c>
      <c r="H10" s="141">
        <f>IF(I10="مخالفات",50,Basic34567891011121314151617181920212223[[#This Row],[قيمة الرسوم / العموله]]+Basic34567891011121314151617181920212223[[#This Row],[قيمة الشحنه]])</f>
        <v>0</v>
      </c>
      <c r="I10" s="90"/>
      <c r="J10" s="142" t="str">
        <f t="shared" si="0"/>
        <v>10.5.2026</v>
      </c>
      <c r="O10" s="137" t="s">
        <v>16</v>
      </c>
      <c r="P10" s="138">
        <f>SUMIF(Basic34567891011121314151617181920212223[نوع الخدمة],"كاش اوت",Basic34567891011121314151617181920212223[قيمة الشحنه])</f>
        <v>0</v>
      </c>
      <c r="R10" s="191">
        <f>(W9+T9)/2</f>
        <v>0</v>
      </c>
      <c r="S10" s="191"/>
      <c r="T10" s="191"/>
      <c r="U10" s="191"/>
      <c r="V10" s="191"/>
      <c r="W10" s="191"/>
      <c r="BH10" s="148" t="s">
        <v>10</v>
      </c>
    </row>
    <row r="11" spans="1:60" ht="21.6" x14ac:dyDescent="0.65">
      <c r="A11" s="195"/>
      <c r="B11" s="140">
        <v>8</v>
      </c>
      <c r="C11" s="8"/>
      <c r="D11" s="9"/>
      <c r="E11" s="10"/>
      <c r="F11" s="9"/>
      <c r="G11" s="141">
        <f>IF(Basic34567891011121314151617181920212223[[#This Row],[نوع الخدمة]]="مخالفات", 50,
IF(Basic34567891011121314151617181920212223[[#This Row],[نوع الخدمة]]="كاش ان",
    IF(F11&lt;=100, 18, IF(F11&lt;=250, 23, IF(F11&lt;=500, 35, IF(F11&lt;=1000, 40, F11*0.04)))),
IF(Basic34567891011121314151617181920212223[[#This Row],[نوع الخدمة]]="كاش اوت",
    IF(F11&lt;=100, 15, IF(F11&lt;=250, 20, IF(F11&lt;=500, 30, IF(F11&lt;=1000, 35, F11*0.035)))),
0)))</f>
        <v>0</v>
      </c>
      <c r="H11" s="141">
        <f>IF(I11="مخالفات",50,Basic34567891011121314151617181920212223[[#This Row],[قيمة الرسوم / العموله]]+Basic34567891011121314151617181920212223[[#This Row],[قيمة الشحنه]])</f>
        <v>0</v>
      </c>
      <c r="I11" s="90"/>
      <c r="J11" s="142" t="str">
        <f t="shared" si="0"/>
        <v>10.5.2026</v>
      </c>
      <c r="L11" s="169" t="s">
        <v>77</v>
      </c>
      <c r="M11" s="168" t="s">
        <v>78</v>
      </c>
      <c r="O11" s="151" t="s">
        <v>21</v>
      </c>
      <c r="P11" s="152">
        <f>(P5+P6+P9+P7+P4)-P10-P8</f>
        <v>0</v>
      </c>
      <c r="T11" s="173"/>
    </row>
    <row r="12" spans="1:60" ht="21.6" x14ac:dyDescent="0.65">
      <c r="A12" s="195"/>
      <c r="B12" s="140">
        <v>9</v>
      </c>
      <c r="C12" s="8"/>
      <c r="D12" s="9"/>
      <c r="E12" s="10"/>
      <c r="F12" s="9"/>
      <c r="G12" s="141">
        <f>IF(Basic34567891011121314151617181920212223[[#This Row],[نوع الخدمة]]="مخالفات", 50,
IF(Basic34567891011121314151617181920212223[[#This Row],[نوع الخدمة]]="كاش ان",
    IF(F12&lt;=100, 18, IF(F12&lt;=250, 23, IF(F12&lt;=500, 35, IF(F12&lt;=1000, 40, F12*0.04)))),
IF(Basic34567891011121314151617181920212223[[#This Row],[نوع الخدمة]]="كاش اوت",
    IF(F12&lt;=100, 15, IF(F12&lt;=250, 20, IF(F12&lt;=500, 30, IF(F12&lt;=1000, 35, F12*0.035)))),
0)))</f>
        <v>0</v>
      </c>
      <c r="H12" s="141">
        <f>IF(I12="مخالفات",50,Basic34567891011121314151617181920212223[[#This Row],[قيمة الرسوم / العموله]]+Basic34567891011121314151617181920212223[[#This Row],[قيمة الشحنه]])</f>
        <v>0</v>
      </c>
      <c r="I12" s="90"/>
      <c r="J12" s="142" t="str">
        <f t="shared" si="0"/>
        <v>10.5.2026</v>
      </c>
      <c r="L12" s="153">
        <v>1</v>
      </c>
      <c r="M12" s="91"/>
      <c r="O12" s="137" t="s">
        <v>29</v>
      </c>
      <c r="P12" s="138">
        <f>SUMIF(Basic34567891011121314151617181920212223[نوع الخدمة],"كاش اوت",Basic34567891011121314151617181920212223[الاجمــــــــــالي])</f>
        <v>0</v>
      </c>
    </row>
    <row r="13" spans="1:60" ht="21.6" x14ac:dyDescent="0.65">
      <c r="A13" s="195"/>
      <c r="B13" s="144">
        <v>10</v>
      </c>
      <c r="C13" s="8"/>
      <c r="D13" s="9"/>
      <c r="E13" s="10"/>
      <c r="F13" s="9"/>
      <c r="G13" s="141">
        <f>IF(Basic34567891011121314151617181920212223[[#This Row],[نوع الخدمة]]="مخالفات", 50,
IF(Basic34567891011121314151617181920212223[[#This Row],[نوع الخدمة]]="كاش ان",
    IF(F13&lt;=100, 18, IF(F13&lt;=250, 23, IF(F13&lt;=500, 35, IF(F13&lt;=1000, 40, F13*0.04)))),
IF(Basic34567891011121314151617181920212223[[#This Row],[نوع الخدمة]]="كاش اوت",
    IF(F13&lt;=100, 15, IF(F13&lt;=250, 20, IF(F13&lt;=500, 30, IF(F13&lt;=1000, 35, F13*0.035)))),
0)))</f>
        <v>0</v>
      </c>
      <c r="H13" s="141">
        <f>IF(I13="مخالفات",50,Basic34567891011121314151617181920212223[[#This Row],[قيمة الرسوم / العموله]]+Basic34567891011121314151617181920212223[[#This Row],[قيمة الشحنه]])</f>
        <v>0</v>
      </c>
      <c r="I13" s="90"/>
      <c r="J13" s="142" t="str">
        <f t="shared" si="0"/>
        <v>10.5.2026</v>
      </c>
      <c r="L13" s="153">
        <v>2</v>
      </c>
      <c r="M13" s="92"/>
    </row>
    <row r="14" spans="1:60" ht="21.6" x14ac:dyDescent="0.65">
      <c r="A14" s="195"/>
      <c r="B14" s="140">
        <v>11</v>
      </c>
      <c r="C14" s="2"/>
      <c r="D14" s="1"/>
      <c r="E14" s="3"/>
      <c r="F14" s="1"/>
      <c r="G14" s="141">
        <f>IF(Basic34567891011121314151617181920212223[[#This Row],[نوع الخدمة]]="مخالفات", 50,
IF(Basic34567891011121314151617181920212223[[#This Row],[نوع الخدمة]]="كاش ان",
    IF(F14&lt;=100, 18, IF(F14&lt;=250, 23, IF(F14&lt;=500, 35, IF(F14&lt;=1000, 40, F14*0.04)))),
IF(Basic34567891011121314151617181920212223[[#This Row],[نوع الخدمة]]="كاش اوت",
    IF(F14&lt;=100, 15, IF(F14&lt;=250, 20, IF(F14&lt;=500, 30, IF(F14&lt;=1000, 35, F14*0.035)))),
0)))</f>
        <v>0</v>
      </c>
      <c r="H14" s="159">
        <f>IF(I14="مخالفات",50,Basic34567891011121314151617181920212223[[#This Row],[قيمة الرسوم / العموله]]+Basic34567891011121314151617181920212223[[#This Row],[قيمة الشحنه]])</f>
        <v>0</v>
      </c>
      <c r="I14" s="90"/>
      <c r="J14" s="142" t="str">
        <f t="shared" si="0"/>
        <v>10.5.2026</v>
      </c>
      <c r="L14" s="153">
        <v>3</v>
      </c>
      <c r="M14" s="92"/>
    </row>
    <row r="15" spans="1:60" ht="21.6" x14ac:dyDescent="0.65">
      <c r="A15" s="195"/>
      <c r="B15" s="140">
        <v>12</v>
      </c>
      <c r="C15" s="2"/>
      <c r="D15" s="1"/>
      <c r="E15" s="3"/>
      <c r="F15" s="1"/>
      <c r="G15" s="141">
        <f>IF(Basic34567891011121314151617181920212223[[#This Row],[نوع الخدمة]]="مخالفات", 50,
IF(Basic34567891011121314151617181920212223[[#This Row],[نوع الخدمة]]="كاش ان",
    IF(F15&lt;=100, 18, IF(F15&lt;=250, 23, IF(F15&lt;=500, 35, IF(F15&lt;=1000, 40, F15*0.04)))),
IF(Basic34567891011121314151617181920212223[[#This Row],[نوع الخدمة]]="كاش اوت",
    IF(F15&lt;=100, 15, IF(F15&lt;=250, 20, IF(F15&lt;=500, 30, IF(F15&lt;=1000, 35, F15*0.035)))),
0)))</f>
        <v>0</v>
      </c>
      <c r="H15" s="159">
        <f>IF(I15="مخالفات",50,Basic34567891011121314151617181920212223[[#This Row],[قيمة الرسوم / العموله]]+Basic34567891011121314151617181920212223[[#This Row],[قيمة الشحنه]])</f>
        <v>0</v>
      </c>
      <c r="I15" s="90"/>
      <c r="J15" s="142" t="str">
        <f t="shared" si="0"/>
        <v>10.5.2026</v>
      </c>
      <c r="L15" s="153">
        <v>4</v>
      </c>
      <c r="M15" s="92"/>
      <c r="O15" s="154" t="s">
        <v>10</v>
      </c>
      <c r="P15" s="155">
        <f>COUNTIF(Basic34567891011121314151617181920212223[نوع الخدمة],"مخالفات")</f>
        <v>0</v>
      </c>
    </row>
    <row r="16" spans="1:60" ht="21.6" x14ac:dyDescent="0.65">
      <c r="A16" s="195"/>
      <c r="B16" s="140">
        <v>13</v>
      </c>
      <c r="C16" s="2"/>
      <c r="D16" s="1"/>
      <c r="E16" s="3"/>
      <c r="F16" s="1"/>
      <c r="G16" s="141">
        <f>IF(Basic34567891011121314151617181920212223[[#This Row],[نوع الخدمة]]="مخالفات", 50,
IF(Basic34567891011121314151617181920212223[[#This Row],[نوع الخدمة]]="كاش ان",
    IF(F16&lt;=100, 18, IF(F16&lt;=250, 23, IF(F16&lt;=500, 35, IF(F16&lt;=1000, 40, F16*0.04)))),
IF(Basic34567891011121314151617181920212223[[#This Row],[نوع الخدمة]]="كاش اوت",
    IF(F16&lt;=100, 15, IF(F16&lt;=250, 20, IF(F16&lt;=500, 30, IF(F16&lt;=1000, 35, F16*0.035)))),
0)))</f>
        <v>0</v>
      </c>
      <c r="H16" s="159">
        <f>IF(I16="مخالفات",50,Basic34567891011121314151617181920212223[[#This Row],[قيمة الرسوم / العموله]]+Basic34567891011121314151617181920212223[[#This Row],[قيمة الشحنه]])</f>
        <v>0</v>
      </c>
      <c r="I16" s="90"/>
      <c r="J16" s="142" t="str">
        <f t="shared" si="0"/>
        <v>10.5.2026</v>
      </c>
      <c r="L16" s="153">
        <v>5</v>
      </c>
      <c r="M16" s="92"/>
      <c r="O16" s="154" t="s">
        <v>13</v>
      </c>
      <c r="P16" s="155">
        <f>COUNTIF(Basic34567891011121314151617181920212223[نوع الخدمة],"كاش ان")</f>
        <v>0</v>
      </c>
    </row>
    <row r="17" spans="1:21" ht="21.6" x14ac:dyDescent="0.65">
      <c r="A17" s="195"/>
      <c r="B17" s="144">
        <v>14</v>
      </c>
      <c r="C17" s="2"/>
      <c r="D17" s="1"/>
      <c r="E17" s="3"/>
      <c r="F17" s="1"/>
      <c r="G17" s="141">
        <f>IF(Basic34567891011121314151617181920212223[[#This Row],[نوع الخدمة]]="مخالفات", 50,
IF(Basic34567891011121314151617181920212223[[#This Row],[نوع الخدمة]]="كاش ان",
    IF(F17&lt;=100, 18, IF(F17&lt;=250, 23, IF(F17&lt;=500, 35, IF(F17&lt;=1000, 40, F17*0.04)))),
IF(Basic34567891011121314151617181920212223[[#This Row],[نوع الخدمة]]="كاش اوت",
    IF(F17&lt;=100, 15, IF(F17&lt;=250, 20, IF(F17&lt;=500, 30, IF(F17&lt;=1000, 35, F17*0.035)))),
0)))</f>
        <v>0</v>
      </c>
      <c r="H17" s="159">
        <f>IF(I17="مخالفات",50,Basic34567891011121314151617181920212223[[#This Row],[قيمة الرسوم / العموله]]+Basic34567891011121314151617181920212223[[#This Row],[قيمة الشحنه]])</f>
        <v>0</v>
      </c>
      <c r="I17" s="90"/>
      <c r="J17" s="142" t="str">
        <f t="shared" si="0"/>
        <v>10.5.2026</v>
      </c>
      <c r="L17" s="153">
        <v>6</v>
      </c>
      <c r="M17" s="92"/>
      <c r="O17" s="154" t="s">
        <v>14</v>
      </c>
      <c r="P17" s="155">
        <f>COUNTIF(Basic34567891011121314151617181920212223[نوع الخدمة],"كاش اوت")</f>
        <v>0</v>
      </c>
    </row>
    <row r="18" spans="1:21" ht="21.6" x14ac:dyDescent="0.65">
      <c r="A18" s="195"/>
      <c r="B18" s="140">
        <v>15</v>
      </c>
      <c r="C18" s="2"/>
      <c r="D18" s="1"/>
      <c r="E18" s="3"/>
      <c r="F18" s="1"/>
      <c r="G18" s="141">
        <f>IF(Basic34567891011121314151617181920212223[[#This Row],[نوع الخدمة]]="مخالفات", 50,
IF(Basic34567891011121314151617181920212223[[#This Row],[نوع الخدمة]]="كاش ان",
    IF(F18&lt;=100, 18, IF(F18&lt;=250, 23, IF(F18&lt;=500, 35, IF(F18&lt;=1000, 40, F18*0.04)))),
IF(Basic34567891011121314151617181920212223[[#This Row],[نوع الخدمة]]="كاش اوت",
    IF(F18&lt;=100, 15, IF(F18&lt;=250, 20, IF(F18&lt;=500, 30, IF(F18&lt;=1000, 35, F18*0.035)))),
0)))</f>
        <v>0</v>
      </c>
      <c r="H18" s="159">
        <f>IF(I18="مخالفات",50,Basic34567891011121314151617181920212223[[#This Row],[قيمة الرسوم / العموله]]+Basic34567891011121314151617181920212223[[#This Row],[قيمة الشحنه]])</f>
        <v>0</v>
      </c>
      <c r="I18" s="90"/>
      <c r="J18" s="142" t="str">
        <f t="shared" si="0"/>
        <v>10.5.2026</v>
      </c>
      <c r="L18" s="153">
        <v>7</v>
      </c>
      <c r="M18" s="92"/>
      <c r="O18" s="154" t="s">
        <v>15</v>
      </c>
      <c r="P18" s="155">
        <f>P16+P17</f>
        <v>0</v>
      </c>
    </row>
    <row r="19" spans="1:21" ht="21.6" x14ac:dyDescent="0.65">
      <c r="A19" s="195"/>
      <c r="B19" s="140">
        <v>16</v>
      </c>
      <c r="C19" s="2"/>
      <c r="D19" s="1"/>
      <c r="E19" s="3"/>
      <c r="F19" s="1"/>
      <c r="G19" s="141">
        <f>IF(Basic34567891011121314151617181920212223[[#This Row],[نوع الخدمة]]="مخالفات", 50,
IF(Basic34567891011121314151617181920212223[[#This Row],[نوع الخدمة]]="كاش ان",
    IF(F19&lt;=100, 18, IF(F19&lt;=250, 23, IF(F19&lt;=500, 35, IF(F19&lt;=1000, 40, F19*0.04)))),
IF(Basic34567891011121314151617181920212223[[#This Row],[نوع الخدمة]]="كاش اوت",
    IF(F19&lt;=100, 15, IF(F19&lt;=250, 20, IF(F19&lt;=500, 30, IF(F19&lt;=1000, 35, F19*0.035)))),
0)))</f>
        <v>0</v>
      </c>
      <c r="H19" s="159">
        <f>IF(I19="مخالفات",50,Basic34567891011121314151617181920212223[[#This Row],[قيمة الرسوم / العموله]]+Basic34567891011121314151617181920212223[[#This Row],[قيمة الشحنه]])</f>
        <v>0</v>
      </c>
      <c r="I19" s="90"/>
      <c r="J19" s="142" t="str">
        <f t="shared" si="0"/>
        <v>10.5.2026</v>
      </c>
      <c r="L19" s="153">
        <v>8</v>
      </c>
      <c r="M19" s="92"/>
    </row>
    <row r="20" spans="1:21" ht="21.6" x14ac:dyDescent="0.65">
      <c r="A20" s="195"/>
      <c r="B20" s="140">
        <v>17</v>
      </c>
      <c r="C20" s="2"/>
      <c r="D20" s="1"/>
      <c r="E20" s="3"/>
      <c r="F20" s="1"/>
      <c r="G20" s="141">
        <f>IF(Basic34567891011121314151617181920212223[[#This Row],[نوع الخدمة]]="مخالفات", 50,
IF(Basic34567891011121314151617181920212223[[#This Row],[نوع الخدمة]]="كاش ان",
    IF(F20&lt;=100, 18, IF(F20&lt;=250, 23, IF(F20&lt;=500, 35, IF(F20&lt;=1000, 40, F20*0.04)))),
IF(Basic34567891011121314151617181920212223[[#This Row],[نوع الخدمة]]="كاش اوت",
    IF(F20&lt;=100, 15, IF(F20&lt;=250, 20, IF(F20&lt;=500, 30, IF(F20&lt;=1000, 35, F20*0.035)))),
0)))</f>
        <v>0</v>
      </c>
      <c r="H20" s="159">
        <f>IF(I20="مخالفات",50,Basic34567891011121314151617181920212223[[#This Row],[قيمة الرسوم / العموله]]+Basic34567891011121314151617181920212223[[#This Row],[قيمة الشحنه]])</f>
        <v>0</v>
      </c>
      <c r="I20" s="90"/>
      <c r="J20" s="142" t="str">
        <f t="shared" si="0"/>
        <v>10.5.2026</v>
      </c>
      <c r="L20" s="153">
        <v>9</v>
      </c>
      <c r="M20" s="92"/>
      <c r="O20" s="193" t="s">
        <v>30</v>
      </c>
      <c r="P20" s="194"/>
    </row>
    <row r="21" spans="1:21" ht="21.6" x14ac:dyDescent="0.65">
      <c r="A21" s="195"/>
      <c r="B21" s="144">
        <v>18</v>
      </c>
      <c r="C21" s="2"/>
      <c r="D21" s="1"/>
      <c r="E21" s="3"/>
      <c r="F21" s="1"/>
      <c r="G21" s="141">
        <f>IF(Basic34567891011121314151617181920212223[[#This Row],[نوع الخدمة]]="مخالفات", 50,
IF(Basic34567891011121314151617181920212223[[#This Row],[نوع الخدمة]]="كاش ان",
    IF(F21&lt;=100, 18, IF(F21&lt;=250, 23, IF(F21&lt;=500, 35, IF(F21&lt;=1000, 40, F21*0.04)))),
IF(Basic34567891011121314151617181920212223[[#This Row],[نوع الخدمة]]="كاش اوت",
    IF(F21&lt;=100, 15, IF(F21&lt;=250, 20, IF(F21&lt;=500, 30, IF(F21&lt;=1000, 35, F21*0.035)))),
0)))</f>
        <v>0</v>
      </c>
      <c r="H21" s="159">
        <f>IF(I21="مخالفات",50,Basic34567891011121314151617181920212223[[#This Row],[قيمة الرسوم / العموله]]+Basic34567891011121314151617181920212223[[#This Row],[قيمة الشحنه]])</f>
        <v>0</v>
      </c>
      <c r="I21" s="90"/>
      <c r="J21" s="142" t="str">
        <f t="shared" si="0"/>
        <v>10.5.2026</v>
      </c>
      <c r="L21" s="153">
        <v>10</v>
      </c>
      <c r="M21" s="92"/>
      <c r="O21" s="196" t="s">
        <v>31</v>
      </c>
      <c r="P21" s="197"/>
    </row>
    <row r="22" spans="1:21" ht="21.6" x14ac:dyDescent="0.65">
      <c r="A22" s="195"/>
      <c r="B22" s="140">
        <v>19</v>
      </c>
      <c r="C22" s="2"/>
      <c r="D22" s="1"/>
      <c r="E22" s="3"/>
      <c r="F22" s="1"/>
      <c r="G22" s="141">
        <f>IF(Basic34567891011121314151617181920212223[[#This Row],[نوع الخدمة]]="مخالفات", 50,
IF(Basic34567891011121314151617181920212223[[#This Row],[نوع الخدمة]]="كاش ان",
    IF(F22&lt;=100, 18, IF(F22&lt;=250, 23, IF(F22&lt;=500, 35, IF(F22&lt;=1000, 40, F22*0.04)))),
IF(Basic34567891011121314151617181920212223[[#This Row],[نوع الخدمة]]="كاش اوت",
    IF(F22&lt;=100, 15, IF(F22&lt;=250, 20, IF(F22&lt;=500, 30, IF(F22&lt;=1000, 35, F22*0.035)))),
0)))</f>
        <v>0</v>
      </c>
      <c r="H22" s="159">
        <f>IF(I22="مخالفات",50,Basic34567891011121314151617181920212223[[#This Row],[قيمة الرسوم / العموله]]+Basic34567891011121314151617181920212223[[#This Row],[قيمة الشحنه]])</f>
        <v>0</v>
      </c>
      <c r="I22" s="90"/>
      <c r="J22" s="142" t="str">
        <f t="shared" si="0"/>
        <v>10.5.2026</v>
      </c>
      <c r="L22" s="153">
        <v>11</v>
      </c>
      <c r="M22" s="92"/>
      <c r="O22" s="147" t="s">
        <v>27</v>
      </c>
      <c r="P22" s="135">
        <f>M8+'9'!P28</f>
        <v>-4</v>
      </c>
    </row>
    <row r="23" spans="1:21" ht="21.6" x14ac:dyDescent="0.65">
      <c r="A23" s="195"/>
      <c r="B23" s="140">
        <v>20</v>
      </c>
      <c r="C23" s="2"/>
      <c r="D23" s="1"/>
      <c r="E23" s="3"/>
      <c r="F23" s="1"/>
      <c r="G23" s="141">
        <f>IF(Basic34567891011121314151617181920212223[[#This Row],[نوع الخدمة]]="مخالفات", 50,
IF(Basic34567891011121314151617181920212223[[#This Row],[نوع الخدمة]]="كاش ان",
    IF(F23&lt;=100, 18, IF(F23&lt;=250, 23, IF(F23&lt;=500, 35, IF(F23&lt;=1000, 40, F23*0.04)))),
IF(Basic34567891011121314151617181920212223[[#This Row],[نوع الخدمة]]="كاش اوت",
    IF(F23&lt;=100, 15, IF(F23&lt;=250, 20, IF(F23&lt;=500, 30, IF(F23&lt;=1000, 35, F23*0.035)))),
0)))</f>
        <v>0</v>
      </c>
      <c r="H23" s="159">
        <f>IF(I23="مخالفات",50,Basic34567891011121314151617181920212223[[#This Row],[قيمة الرسوم / العموله]]+Basic34567891011121314151617181920212223[[#This Row],[قيمة الشحنه]])</f>
        <v>0</v>
      </c>
      <c r="I23" s="90"/>
      <c r="J23" s="142" t="str">
        <f t="shared" si="0"/>
        <v>10.5.2026</v>
      </c>
      <c r="L23" s="153">
        <v>12</v>
      </c>
      <c r="M23" s="92"/>
      <c r="O23" s="147" t="s">
        <v>28</v>
      </c>
      <c r="P23" s="135">
        <f>M9+'9'!P29</f>
        <v>0</v>
      </c>
      <c r="T23" s="173"/>
      <c r="U23" s="173"/>
    </row>
    <row r="24" spans="1:21" ht="21.6" x14ac:dyDescent="0.65">
      <c r="A24" s="195"/>
      <c r="B24" s="140">
        <v>21</v>
      </c>
      <c r="C24" s="2"/>
      <c r="D24" s="1"/>
      <c r="E24" s="3"/>
      <c r="F24" s="1"/>
      <c r="G24" s="141">
        <f>IF(Basic34567891011121314151617181920212223[[#This Row],[نوع الخدمة]]="مخالفات", 50,
IF(Basic34567891011121314151617181920212223[[#This Row],[نوع الخدمة]]="كاش ان",
    IF(F24&lt;=100, 18, IF(F24&lt;=250, 23, IF(F24&lt;=500, 35, IF(F24&lt;=1000, 40, F24*0.04)))),
IF(Basic34567891011121314151617181920212223[[#This Row],[نوع الخدمة]]="كاش اوت",
    IF(F24&lt;=100, 15, IF(F24&lt;=250, 20, IF(F24&lt;=500, 30, IF(F24&lt;=1000, 35, F24*0.035)))),
0)))</f>
        <v>0</v>
      </c>
      <c r="H24" s="159">
        <f>IF(I24="مخالفات",50,Basic34567891011121314151617181920212223[[#This Row],[قيمة الرسوم / العموله]]+Basic34567891011121314151617181920212223[[#This Row],[قيمة الشحنه]])</f>
        <v>0</v>
      </c>
      <c r="I24" s="90"/>
      <c r="J24" s="142" t="str">
        <f t="shared" si="0"/>
        <v>10.5.2026</v>
      </c>
      <c r="L24" s="153">
        <v>13</v>
      </c>
      <c r="M24" s="92"/>
      <c r="O24" s="196" t="s">
        <v>32</v>
      </c>
      <c r="P24" s="197"/>
    </row>
    <row r="25" spans="1:21" ht="21.6" x14ac:dyDescent="0.65">
      <c r="A25" s="195"/>
      <c r="B25" s="144">
        <v>22</v>
      </c>
      <c r="C25" s="2"/>
      <c r="D25" s="1"/>
      <c r="E25" s="3"/>
      <c r="F25" s="1"/>
      <c r="G25" s="141">
        <f>IF(Basic34567891011121314151617181920212223[[#This Row],[نوع الخدمة]]="مخالفات", 50,
IF(Basic34567891011121314151617181920212223[[#This Row],[نوع الخدمة]]="كاش ان",
    IF(F25&lt;=100, 18, IF(F25&lt;=250, 23, IF(F25&lt;=500, 35, IF(F25&lt;=1000, 40, F25*0.04)))),
IF(Basic34567891011121314151617181920212223[[#This Row],[نوع الخدمة]]="كاش اوت",
    IF(F25&lt;=100, 15, IF(F25&lt;=250, 20, IF(F25&lt;=500, 30, IF(F25&lt;=1000, 35, F25*0.035)))),
0)))</f>
        <v>0</v>
      </c>
      <c r="H25" s="159">
        <f>IF(I25="مخالفات",50,Basic34567891011121314151617181920212223[[#This Row],[قيمة الرسوم / العموله]]+Basic34567891011121314151617181920212223[[#This Row],[قيمة الشحنه]])</f>
        <v>0</v>
      </c>
      <c r="I25" s="90"/>
      <c r="J25" s="142" t="str">
        <f t="shared" si="0"/>
        <v>10.5.2026</v>
      </c>
      <c r="L25" s="153">
        <v>14</v>
      </c>
      <c r="M25" s="92"/>
      <c r="O25" s="147" t="s">
        <v>27</v>
      </c>
      <c r="P25" s="135">
        <f>M5</f>
        <v>0</v>
      </c>
    </row>
    <row r="26" spans="1:21" ht="21.6" x14ac:dyDescent="0.65">
      <c r="A26" s="195"/>
      <c r="B26" s="140">
        <v>23</v>
      </c>
      <c r="C26" s="2"/>
      <c r="D26" s="1"/>
      <c r="E26" s="3"/>
      <c r="F26" s="1"/>
      <c r="G26" s="141">
        <f>IF(Basic34567891011121314151617181920212223[[#This Row],[نوع الخدمة]]="مخالفات", 50,
IF(Basic34567891011121314151617181920212223[[#This Row],[نوع الخدمة]]="كاش ان",
    IF(F26&lt;=100, 18, IF(F26&lt;=250, 23, IF(F26&lt;=500, 35, IF(F26&lt;=1000, 40, F26*0.04)))),
IF(Basic34567891011121314151617181920212223[[#This Row],[نوع الخدمة]]="كاش اوت",
    IF(F26&lt;=100, 15, IF(F26&lt;=250, 20, IF(F26&lt;=500, 30, IF(F26&lt;=1000, 35, F26*0.035)))),
0)))</f>
        <v>0</v>
      </c>
      <c r="H26" s="159">
        <f>IF(I26="مخالفات",50,Basic34567891011121314151617181920212223[[#This Row],[قيمة الرسوم / العموله]]+Basic34567891011121314151617181920212223[[#This Row],[قيمة الشحنه]])</f>
        <v>0</v>
      </c>
      <c r="I26" s="90"/>
      <c r="J26" s="142" t="str">
        <f t="shared" si="0"/>
        <v>10.5.2026</v>
      </c>
      <c r="L26" s="153">
        <v>15</v>
      </c>
      <c r="M26" s="92"/>
      <c r="O26" s="147" t="s">
        <v>28</v>
      </c>
      <c r="P26" s="135">
        <f>M6</f>
        <v>0</v>
      </c>
    </row>
    <row r="27" spans="1:21" ht="21.6" x14ac:dyDescent="0.65">
      <c r="A27" s="195"/>
      <c r="B27" s="140">
        <v>24</v>
      </c>
      <c r="C27" s="2"/>
      <c r="D27" s="1"/>
      <c r="E27" s="3"/>
      <c r="F27" s="1"/>
      <c r="G27" s="141">
        <f>IF(Basic34567891011121314151617181920212223[[#This Row],[نوع الخدمة]]="مخالفات", 50,
IF(Basic34567891011121314151617181920212223[[#This Row],[نوع الخدمة]]="كاش ان",
    IF(F27&lt;=100, 18, IF(F27&lt;=250, 23, IF(F27&lt;=500, 35, IF(F27&lt;=1000, 40, F27*0.04)))),
IF(Basic34567891011121314151617181920212223[[#This Row],[نوع الخدمة]]="كاش اوت",
    IF(F27&lt;=100, 15, IF(F27&lt;=250, 20, IF(F27&lt;=500, 30, IF(F27&lt;=1000, 35, F27*0.035)))),
0)))</f>
        <v>0</v>
      </c>
      <c r="H27" s="159">
        <f>IF(I27="مخالفات",50,Basic34567891011121314151617181920212223[[#This Row],[قيمة الرسوم / العموله]]+Basic34567891011121314151617181920212223[[#This Row],[قيمة الشحنه]])</f>
        <v>0</v>
      </c>
      <c r="I27" s="90"/>
      <c r="J27" s="142" t="str">
        <f t="shared" si="0"/>
        <v>10.5.2026</v>
      </c>
      <c r="L27" s="153">
        <v>16</v>
      </c>
      <c r="M27" s="92"/>
      <c r="O27" s="196" t="s">
        <v>33</v>
      </c>
      <c r="P27" s="197"/>
    </row>
    <row r="28" spans="1:21" ht="21.6" x14ac:dyDescent="0.65">
      <c r="A28" s="195"/>
      <c r="B28" s="140">
        <v>25</v>
      </c>
      <c r="C28" s="2"/>
      <c r="D28" s="1"/>
      <c r="E28" s="3"/>
      <c r="F28" s="1"/>
      <c r="G28" s="141">
        <f>IF(Basic34567891011121314151617181920212223[[#This Row],[نوع الخدمة]]="مخالفات", 50,
IF(Basic34567891011121314151617181920212223[[#This Row],[نوع الخدمة]]="كاش ان",
    IF(F28&lt;=100, 18, IF(F28&lt;=250, 23, IF(F28&lt;=500, 35, IF(F28&lt;=1000, 40, F28*0.04)))),
IF(Basic34567891011121314151617181920212223[[#This Row],[نوع الخدمة]]="كاش اوت",
    IF(F28&lt;=100, 15, IF(F28&lt;=250, 20, IF(F28&lt;=500, 30, IF(F28&lt;=1000, 35, F28*0.035)))),
0)))</f>
        <v>0</v>
      </c>
      <c r="H28" s="159">
        <f>IF(I28="مخالفات",50,Basic34567891011121314151617181920212223[[#This Row],[قيمة الرسوم / العموله]]+Basic34567891011121314151617181920212223[[#This Row],[قيمة الشحنه]])</f>
        <v>0</v>
      </c>
      <c r="I28" s="90"/>
      <c r="J28" s="142" t="str">
        <f t="shared" si="0"/>
        <v>10.5.2026</v>
      </c>
      <c r="L28" s="153">
        <v>17</v>
      </c>
      <c r="M28" s="92"/>
      <c r="O28" s="147" t="s">
        <v>27</v>
      </c>
      <c r="P28" s="135">
        <f>P22-P25</f>
        <v>-4</v>
      </c>
    </row>
    <row r="29" spans="1:21" ht="21.6" x14ac:dyDescent="0.65">
      <c r="A29" s="195"/>
      <c r="B29" s="144">
        <v>26</v>
      </c>
      <c r="C29" s="2"/>
      <c r="D29" s="1"/>
      <c r="E29" s="3"/>
      <c r="F29" s="1"/>
      <c r="G29" s="141">
        <f>IF(Basic34567891011121314151617181920212223[[#This Row],[نوع الخدمة]]="مخالفات", 50,
IF(Basic34567891011121314151617181920212223[[#This Row],[نوع الخدمة]]="كاش ان",
    IF(F29&lt;=100, 18, IF(F29&lt;=250, 23, IF(F29&lt;=500, 35, IF(F29&lt;=1000, 40, F29*0.04)))),
IF(Basic34567891011121314151617181920212223[[#This Row],[نوع الخدمة]]="كاش اوت",
    IF(F29&lt;=100, 15, IF(F29&lt;=250, 20, IF(F29&lt;=500, 30, IF(F29&lt;=1000, 35, F29*0.035)))),
0)))</f>
        <v>0</v>
      </c>
      <c r="H29" s="159">
        <f>IF(I29="مخالفات",50,Basic34567891011121314151617181920212223[[#This Row],[قيمة الرسوم / العموله]]+Basic34567891011121314151617181920212223[[#This Row],[قيمة الشحنه]])</f>
        <v>0</v>
      </c>
      <c r="I29" s="90"/>
      <c r="J29" s="142" t="str">
        <f t="shared" si="0"/>
        <v>10.5.2026</v>
      </c>
      <c r="L29" s="153">
        <v>18</v>
      </c>
      <c r="M29" s="92"/>
      <c r="O29" s="147" t="s">
        <v>28</v>
      </c>
      <c r="P29" s="135">
        <f>P23-P26</f>
        <v>0</v>
      </c>
    </row>
    <row r="30" spans="1:21" ht="21.6" x14ac:dyDescent="0.65">
      <c r="A30" s="195"/>
      <c r="B30" s="140">
        <v>27</v>
      </c>
      <c r="C30" s="2"/>
      <c r="D30" s="1"/>
      <c r="E30" s="3"/>
      <c r="F30" s="1"/>
      <c r="G30" s="141">
        <f>IF(Basic34567891011121314151617181920212223[[#This Row],[نوع الخدمة]]="مخالفات", 50,
IF(Basic34567891011121314151617181920212223[[#This Row],[نوع الخدمة]]="كاش ان",
    IF(F30&lt;=100, 18, IF(F30&lt;=250, 23, IF(F30&lt;=500, 35, IF(F30&lt;=1000, 40, F30*0.04)))),
IF(Basic34567891011121314151617181920212223[[#This Row],[نوع الخدمة]]="كاش اوت",
    IF(F30&lt;=100, 15, IF(F30&lt;=250, 20, IF(F30&lt;=500, 30, IF(F30&lt;=1000, 35, F30*0.035)))),
0)))</f>
        <v>0</v>
      </c>
      <c r="H30" s="159">
        <f>IF(I30="مخالفات",50,Basic34567891011121314151617181920212223[[#This Row],[قيمة الرسوم / العموله]]+Basic34567891011121314151617181920212223[[#This Row],[قيمة الشحنه]])</f>
        <v>0</v>
      </c>
      <c r="I30" s="90"/>
      <c r="J30" s="142" t="str">
        <f t="shared" si="0"/>
        <v>10.5.2026</v>
      </c>
      <c r="L30" s="153">
        <v>19</v>
      </c>
      <c r="M30" s="92"/>
    </row>
    <row r="31" spans="1:21" ht="21.6" x14ac:dyDescent="0.65">
      <c r="A31" s="195"/>
      <c r="B31" s="140">
        <v>28</v>
      </c>
      <c r="C31" s="2"/>
      <c r="D31" s="1"/>
      <c r="E31" s="3"/>
      <c r="F31" s="1"/>
      <c r="G31" s="141">
        <f>IF(Basic34567891011121314151617181920212223[[#This Row],[نوع الخدمة]]="مخالفات", 50,
IF(Basic34567891011121314151617181920212223[[#This Row],[نوع الخدمة]]="كاش ان",
    IF(F31&lt;=100, 18, IF(F31&lt;=250, 23, IF(F31&lt;=500, 35, IF(F31&lt;=1000, 40, F31*0.04)))),
IF(Basic34567891011121314151617181920212223[[#This Row],[نوع الخدمة]]="كاش اوت",
    IF(F31&lt;=100, 15, IF(F31&lt;=250, 20, IF(F31&lt;=500, 30, IF(F31&lt;=1000, 35, F31*0.035)))),
0)))</f>
        <v>0</v>
      </c>
      <c r="H31" s="159">
        <f>IF(I31="مخالفات",50,Basic34567891011121314151617181920212223[[#This Row],[قيمة الرسوم / العموله]]+Basic34567891011121314151617181920212223[[#This Row],[قيمة الشحنه]])</f>
        <v>0</v>
      </c>
      <c r="I31" s="90"/>
      <c r="J31" s="142" t="str">
        <f t="shared" si="0"/>
        <v>10.5.2026</v>
      </c>
      <c r="L31" s="153">
        <v>20</v>
      </c>
      <c r="M31" s="92"/>
    </row>
    <row r="32" spans="1:21" ht="21.6" x14ac:dyDescent="0.65">
      <c r="A32" s="195"/>
      <c r="B32" s="140">
        <v>29</v>
      </c>
      <c r="C32" s="2"/>
      <c r="D32" s="1"/>
      <c r="E32" s="3"/>
      <c r="F32" s="1"/>
      <c r="G32" s="141">
        <f>IF(Basic34567891011121314151617181920212223[[#This Row],[نوع الخدمة]]="مخالفات", 50,
IF(Basic34567891011121314151617181920212223[[#This Row],[نوع الخدمة]]="كاش ان",
    IF(F32&lt;=100, 18, IF(F32&lt;=250, 23, IF(F32&lt;=500, 35, IF(F32&lt;=1000, 40, F32*0.04)))),
IF(Basic34567891011121314151617181920212223[[#This Row],[نوع الخدمة]]="كاش اوت",
    IF(F32&lt;=100, 15, IF(F32&lt;=250, 20, IF(F32&lt;=500, 30, IF(F32&lt;=1000, 35, F32*0.035)))),
0)))</f>
        <v>0</v>
      </c>
      <c r="H32" s="159">
        <f>IF(I32="مخالفات",50,Basic34567891011121314151617181920212223[[#This Row],[قيمة الرسوم / العموله]]+Basic34567891011121314151617181920212223[[#This Row],[قيمة الشحنه]])</f>
        <v>0</v>
      </c>
      <c r="I32" s="90"/>
      <c r="J32" s="142" t="str">
        <f t="shared" si="0"/>
        <v>10.5.2026</v>
      </c>
      <c r="L32" s="153">
        <v>21</v>
      </c>
      <c r="M32" s="92"/>
    </row>
    <row r="33" spans="1:13" ht="21.6" x14ac:dyDescent="0.65">
      <c r="A33" s="195"/>
      <c r="B33" s="144">
        <v>30</v>
      </c>
      <c r="C33" s="2"/>
      <c r="D33" s="1"/>
      <c r="E33" s="3"/>
      <c r="F33" s="1"/>
      <c r="G33" s="141">
        <f>IF(Basic34567891011121314151617181920212223[[#This Row],[نوع الخدمة]]="مخالفات", 50,
IF(Basic34567891011121314151617181920212223[[#This Row],[نوع الخدمة]]="كاش ان",
    IF(F33&lt;=100, 18, IF(F33&lt;=250, 23, IF(F33&lt;=500, 35, IF(F33&lt;=1000, 40, F33*0.04)))),
IF(Basic34567891011121314151617181920212223[[#This Row],[نوع الخدمة]]="كاش اوت",
    IF(F33&lt;=100, 15, IF(F33&lt;=250, 20, IF(F33&lt;=500, 30, IF(F33&lt;=1000, 35, F33*0.035)))),
0)))</f>
        <v>0</v>
      </c>
      <c r="H33" s="159">
        <f>IF(I33="مخالفات",50,Basic34567891011121314151617181920212223[[#This Row],[قيمة الرسوم / العموله]]+Basic34567891011121314151617181920212223[[#This Row],[قيمة الشحنه]])</f>
        <v>0</v>
      </c>
      <c r="I33" s="90"/>
      <c r="J33" s="142" t="str">
        <f t="shared" si="0"/>
        <v>10.5.2026</v>
      </c>
      <c r="L33" s="153">
        <v>22</v>
      </c>
      <c r="M33" s="92"/>
    </row>
    <row r="34" spans="1:13" ht="21.6" x14ac:dyDescent="0.65">
      <c r="A34" s="195"/>
      <c r="B34" s="140">
        <v>31</v>
      </c>
      <c r="C34" s="2"/>
      <c r="D34" s="1"/>
      <c r="E34" s="3"/>
      <c r="F34" s="1"/>
      <c r="G34" s="141">
        <f>IF(Basic34567891011121314151617181920212223[[#This Row],[نوع الخدمة]]="مخالفات", 50,
IF(Basic34567891011121314151617181920212223[[#This Row],[نوع الخدمة]]="كاش ان",
    IF(F34&lt;=100, 18, IF(F34&lt;=250, 23, IF(F34&lt;=500, 35, IF(F34&lt;=1000, 40, F34*0.04)))),
IF(Basic34567891011121314151617181920212223[[#This Row],[نوع الخدمة]]="كاش اوت",
    IF(F34&lt;=100, 15, IF(F34&lt;=250, 20, IF(F34&lt;=500, 30, IF(F34&lt;=1000, 35, F34*0.035)))),
0)))</f>
        <v>0</v>
      </c>
      <c r="H34" s="159">
        <f>IF(I34="مخالفات",50,Basic34567891011121314151617181920212223[[#This Row],[قيمة الرسوم / العموله]]+Basic34567891011121314151617181920212223[[#This Row],[قيمة الشحنه]])</f>
        <v>0</v>
      </c>
      <c r="I34" s="90"/>
      <c r="J34" s="142" t="str">
        <f t="shared" si="0"/>
        <v>10.5.2026</v>
      </c>
      <c r="L34" s="153">
        <v>23</v>
      </c>
      <c r="M34" s="92"/>
    </row>
    <row r="35" spans="1:13" ht="21.6" x14ac:dyDescent="0.65">
      <c r="A35" s="195"/>
      <c r="B35" s="140">
        <v>32</v>
      </c>
      <c r="C35" s="2"/>
      <c r="D35" s="1"/>
      <c r="E35" s="3"/>
      <c r="F35" s="1"/>
      <c r="G35" s="141">
        <f>IF(Basic34567891011121314151617181920212223[[#This Row],[نوع الخدمة]]="مخالفات", 50,
IF(Basic34567891011121314151617181920212223[[#This Row],[نوع الخدمة]]="كاش ان",
    IF(F35&lt;=100, 18, IF(F35&lt;=250, 23, IF(F35&lt;=500, 35, IF(F35&lt;=1000, 40, F35*0.04)))),
IF(Basic34567891011121314151617181920212223[[#This Row],[نوع الخدمة]]="كاش اوت",
    IF(F35&lt;=100, 15, IF(F35&lt;=250, 20, IF(F35&lt;=500, 30, IF(F35&lt;=1000, 35, F35*0.035)))),
0)))</f>
        <v>0</v>
      </c>
      <c r="H35" s="159">
        <f>IF(I35="مخالفات",50,Basic34567891011121314151617181920212223[[#This Row],[قيمة الرسوم / العموله]]+Basic34567891011121314151617181920212223[[#This Row],[قيمة الشحنه]])</f>
        <v>0</v>
      </c>
      <c r="I35" s="90"/>
      <c r="J35" s="142" t="str">
        <f t="shared" si="0"/>
        <v>10.5.2026</v>
      </c>
      <c r="L35" s="153">
        <v>24</v>
      </c>
      <c r="M35" s="92"/>
    </row>
    <row r="36" spans="1:13" ht="21.6" x14ac:dyDescent="0.65">
      <c r="A36" s="195"/>
      <c r="B36" s="140">
        <v>33</v>
      </c>
      <c r="C36" s="2"/>
      <c r="D36" s="1"/>
      <c r="E36" s="3"/>
      <c r="F36" s="1"/>
      <c r="G36" s="141">
        <f>IF(Basic34567891011121314151617181920212223[[#This Row],[نوع الخدمة]]="مخالفات", 50,
IF(Basic34567891011121314151617181920212223[[#This Row],[نوع الخدمة]]="كاش ان",
    IF(F36&lt;=100, 18, IF(F36&lt;=250, 23, IF(F36&lt;=500, 35, IF(F36&lt;=1000, 40, F36*0.04)))),
IF(Basic34567891011121314151617181920212223[[#This Row],[نوع الخدمة]]="كاش اوت",
    IF(F36&lt;=100, 15, IF(F36&lt;=250, 20, IF(F36&lt;=500, 30, IF(F36&lt;=1000, 35, F36*0.035)))),
0)))</f>
        <v>0</v>
      </c>
      <c r="H36" s="159">
        <f>IF(I36="مخالفات",50,Basic34567891011121314151617181920212223[[#This Row],[قيمة الرسوم / العموله]]+Basic34567891011121314151617181920212223[[#This Row],[قيمة الشحنه]])</f>
        <v>0</v>
      </c>
      <c r="I36" s="90"/>
      <c r="J36" s="142" t="str">
        <f t="shared" si="0"/>
        <v>10.5.2026</v>
      </c>
      <c r="L36" s="153">
        <v>25</v>
      </c>
      <c r="M36" s="92"/>
    </row>
    <row r="37" spans="1:13" ht="21.6" x14ac:dyDescent="0.65">
      <c r="A37" s="195"/>
      <c r="B37" s="144">
        <v>34</v>
      </c>
      <c r="C37" s="2"/>
      <c r="D37" s="1"/>
      <c r="E37" s="3"/>
      <c r="F37" s="1"/>
      <c r="G37" s="141">
        <f>IF(Basic34567891011121314151617181920212223[[#This Row],[نوع الخدمة]]="مخالفات", 50,
IF(Basic34567891011121314151617181920212223[[#This Row],[نوع الخدمة]]="كاش ان",
    IF(F37&lt;=100, 18, IF(F37&lt;=250, 23, IF(F37&lt;=500, 35, IF(F37&lt;=1000, 40, F37*0.04)))),
IF(Basic34567891011121314151617181920212223[[#This Row],[نوع الخدمة]]="كاش اوت",
    IF(F37&lt;=100, 15, IF(F37&lt;=250, 20, IF(F37&lt;=500, 30, IF(F37&lt;=1000, 35, F37*0.035)))),
0)))</f>
        <v>0</v>
      </c>
      <c r="H37" s="159">
        <f>IF(I37="مخالفات",50,Basic34567891011121314151617181920212223[[#This Row],[قيمة الرسوم / العموله]]+Basic34567891011121314151617181920212223[[#This Row],[قيمة الشحنه]])</f>
        <v>0</v>
      </c>
      <c r="I37" s="90"/>
      <c r="J37" s="142" t="str">
        <f t="shared" si="0"/>
        <v>10.5.2026</v>
      </c>
      <c r="L37" s="153">
        <v>26</v>
      </c>
      <c r="M37" s="92"/>
    </row>
    <row r="38" spans="1:13" ht="21.6" x14ac:dyDescent="0.65">
      <c r="A38" s="195"/>
      <c r="B38" s="140">
        <v>35</v>
      </c>
      <c r="C38" s="2"/>
      <c r="D38" s="1"/>
      <c r="E38" s="3"/>
      <c r="F38" s="1"/>
      <c r="G38" s="141">
        <f>IF(Basic34567891011121314151617181920212223[[#This Row],[نوع الخدمة]]="مخالفات", 50,
IF(Basic34567891011121314151617181920212223[[#This Row],[نوع الخدمة]]="كاش ان",
    IF(F38&lt;=100, 18, IF(F38&lt;=250, 23, IF(F38&lt;=500, 35, IF(F38&lt;=1000, 40, F38*0.04)))),
IF(Basic34567891011121314151617181920212223[[#This Row],[نوع الخدمة]]="كاش اوت",
    IF(F38&lt;=100, 15, IF(F38&lt;=250, 20, IF(F38&lt;=500, 30, IF(F38&lt;=1000, 35, F38*0.035)))),
0)))</f>
        <v>0</v>
      </c>
      <c r="H38" s="159">
        <f>IF(I38="مخالفات",50,Basic34567891011121314151617181920212223[[#This Row],[قيمة الرسوم / العموله]]+Basic34567891011121314151617181920212223[[#This Row],[قيمة الشحنه]])</f>
        <v>0</v>
      </c>
      <c r="I38" s="90"/>
      <c r="J38" s="142" t="str">
        <f t="shared" si="0"/>
        <v>10.5.2026</v>
      </c>
      <c r="L38" s="153">
        <v>27</v>
      </c>
      <c r="M38" s="92"/>
    </row>
    <row r="39" spans="1:13" ht="21.6" x14ac:dyDescent="0.65">
      <c r="A39" s="195"/>
      <c r="B39" s="140">
        <v>36</v>
      </c>
      <c r="C39" s="2"/>
      <c r="D39" s="1"/>
      <c r="E39" s="3"/>
      <c r="F39" s="1"/>
      <c r="G39" s="141">
        <f>IF(Basic34567891011121314151617181920212223[[#This Row],[نوع الخدمة]]="مخالفات", 50,
IF(Basic34567891011121314151617181920212223[[#This Row],[نوع الخدمة]]="كاش ان",
    IF(F39&lt;=100, 18, IF(F39&lt;=250, 23, IF(F39&lt;=500, 35, IF(F39&lt;=1000, 40, F39*0.04)))),
IF(Basic34567891011121314151617181920212223[[#This Row],[نوع الخدمة]]="كاش اوت",
    IF(F39&lt;=100, 15, IF(F39&lt;=250, 20, IF(F39&lt;=500, 30, IF(F39&lt;=1000, 35, F39*0.035)))),
0)))</f>
        <v>0</v>
      </c>
      <c r="H39" s="159">
        <f>IF(I39="مخالفات",50,Basic34567891011121314151617181920212223[[#This Row],[قيمة الرسوم / العموله]]+Basic34567891011121314151617181920212223[[#This Row],[قيمة الشحنه]])</f>
        <v>0</v>
      </c>
      <c r="I39" s="90"/>
      <c r="J39" s="142" t="str">
        <f t="shared" si="0"/>
        <v>10.5.2026</v>
      </c>
      <c r="L39" s="153">
        <v>28</v>
      </c>
      <c r="M39" s="92"/>
    </row>
    <row r="40" spans="1:13" ht="21.6" x14ac:dyDescent="0.65">
      <c r="A40" s="195"/>
      <c r="B40" s="140">
        <v>37</v>
      </c>
      <c r="C40" s="2"/>
      <c r="D40" s="1"/>
      <c r="E40" s="3"/>
      <c r="F40" s="1"/>
      <c r="G40" s="141">
        <f>IF(Basic34567891011121314151617181920212223[[#This Row],[نوع الخدمة]]="مخالفات", 50,
IF(Basic34567891011121314151617181920212223[[#This Row],[نوع الخدمة]]="كاش ان",
    IF(F40&lt;=100, 18, IF(F40&lt;=250, 23, IF(F40&lt;=500, 35, IF(F40&lt;=1000, 40, F40*0.04)))),
IF(Basic34567891011121314151617181920212223[[#This Row],[نوع الخدمة]]="كاش اوت",
    IF(F40&lt;=100, 15, IF(F40&lt;=250, 20, IF(F40&lt;=500, 30, IF(F40&lt;=1000, 35, F40*0.035)))),
0)))</f>
        <v>0</v>
      </c>
      <c r="H40" s="159">
        <f>IF(I40="مخالفات",50,Basic34567891011121314151617181920212223[[#This Row],[قيمة الرسوم / العموله]]+Basic34567891011121314151617181920212223[[#This Row],[قيمة الشحنه]])</f>
        <v>0</v>
      </c>
      <c r="I40" s="90"/>
      <c r="J40" s="142" t="str">
        <f t="shared" si="0"/>
        <v>10.5.2026</v>
      </c>
      <c r="L40" s="153">
        <v>29</v>
      </c>
      <c r="M40" s="92"/>
    </row>
    <row r="41" spans="1:13" ht="21.6" x14ac:dyDescent="0.65">
      <c r="A41" s="195"/>
      <c r="B41" s="144">
        <v>38</v>
      </c>
      <c r="C41" s="2"/>
      <c r="D41" s="1"/>
      <c r="E41" s="3"/>
      <c r="F41" s="1"/>
      <c r="G41" s="141">
        <f>IF(Basic34567891011121314151617181920212223[[#This Row],[نوع الخدمة]]="مخالفات", 50,
IF(Basic34567891011121314151617181920212223[[#This Row],[نوع الخدمة]]="كاش ان",
    IF(F41&lt;=100, 18, IF(F41&lt;=250, 23, IF(F41&lt;=500, 35, IF(F41&lt;=1000, 40, F41*0.04)))),
IF(Basic34567891011121314151617181920212223[[#This Row],[نوع الخدمة]]="كاش اوت",
    IF(F41&lt;=100, 15, IF(F41&lt;=250, 20, IF(F41&lt;=500, 30, IF(F41&lt;=1000, 35, F41*0.035)))),
0)))</f>
        <v>0</v>
      </c>
      <c r="H41" s="159">
        <f>IF(I41="مخالفات",50,Basic34567891011121314151617181920212223[[#This Row],[قيمة الرسوم / العموله]]+Basic34567891011121314151617181920212223[[#This Row],[قيمة الشحنه]])</f>
        <v>0</v>
      </c>
      <c r="I41" s="90"/>
      <c r="J41" s="142" t="str">
        <f t="shared" si="0"/>
        <v>10.5.2026</v>
      </c>
      <c r="L41" s="153">
        <v>30</v>
      </c>
      <c r="M41" s="92"/>
    </row>
    <row r="42" spans="1:13" ht="21.6" x14ac:dyDescent="0.65">
      <c r="A42" s="195"/>
      <c r="B42" s="140">
        <v>39</v>
      </c>
      <c r="C42" s="2"/>
      <c r="D42" s="1"/>
      <c r="E42" s="3"/>
      <c r="F42" s="1"/>
      <c r="G42" s="141">
        <f>IF(Basic34567891011121314151617181920212223[[#This Row],[نوع الخدمة]]="مخالفات", 50,
IF(Basic34567891011121314151617181920212223[[#This Row],[نوع الخدمة]]="كاش ان",
    IF(F42&lt;=100, 18, IF(F42&lt;=250, 23, IF(F42&lt;=500, 35, IF(F42&lt;=1000, 40, F42*0.04)))),
IF(Basic34567891011121314151617181920212223[[#This Row],[نوع الخدمة]]="كاش اوت",
    IF(F42&lt;=100, 15, IF(F42&lt;=250, 20, IF(F42&lt;=500, 30, IF(F42&lt;=1000, 35, F42*0.035)))),
0)))</f>
        <v>0</v>
      </c>
      <c r="H42" s="159">
        <f>IF(I42="مخالفات",50,Basic34567891011121314151617181920212223[[#This Row],[قيمة الرسوم / العموله]]+Basic34567891011121314151617181920212223[[#This Row],[قيمة الشحنه]])</f>
        <v>0</v>
      </c>
      <c r="I42" s="90"/>
      <c r="J42" s="142" t="str">
        <f t="shared" si="0"/>
        <v>10.5.2026</v>
      </c>
      <c r="L42" s="153">
        <v>31</v>
      </c>
      <c r="M42" s="92"/>
    </row>
    <row r="43" spans="1:13" ht="21.6" x14ac:dyDescent="0.65">
      <c r="A43" s="195"/>
      <c r="B43" s="140">
        <v>40</v>
      </c>
      <c r="C43" s="2"/>
      <c r="D43" s="1"/>
      <c r="E43" s="3"/>
      <c r="F43" s="1"/>
      <c r="G43" s="141">
        <f>IF(Basic34567891011121314151617181920212223[[#This Row],[نوع الخدمة]]="مخالفات", 50,
IF(Basic34567891011121314151617181920212223[[#This Row],[نوع الخدمة]]="كاش ان",
    IF(F43&lt;=100, 18, IF(F43&lt;=250, 23, IF(F43&lt;=500, 35, IF(F43&lt;=1000, 40, F43*0.04)))),
IF(Basic34567891011121314151617181920212223[[#This Row],[نوع الخدمة]]="كاش اوت",
    IF(F43&lt;=100, 15, IF(F43&lt;=250, 20, IF(F43&lt;=500, 30, IF(F43&lt;=1000, 35, F43*0.035)))),
0)))</f>
        <v>0</v>
      </c>
      <c r="H43" s="159">
        <f>IF(I43="مخالفات",50,Basic34567891011121314151617181920212223[[#This Row],[قيمة الرسوم / العموله]]+Basic34567891011121314151617181920212223[[#This Row],[قيمة الشحنه]])</f>
        <v>0</v>
      </c>
      <c r="I43" s="90"/>
      <c r="J43" s="142" t="str">
        <f t="shared" si="0"/>
        <v>10.5.2026</v>
      </c>
      <c r="L43" s="153">
        <v>32</v>
      </c>
      <c r="M43" s="92"/>
    </row>
    <row r="44" spans="1:13" ht="21.6" x14ac:dyDescent="0.65">
      <c r="A44" s="195"/>
      <c r="B44" s="140">
        <v>41</v>
      </c>
      <c r="C44" s="2"/>
      <c r="D44" s="1"/>
      <c r="E44" s="3"/>
      <c r="F44" s="1"/>
      <c r="G44" s="141">
        <f>IF(Basic34567891011121314151617181920212223[[#This Row],[نوع الخدمة]]="مخالفات", 50,
IF(Basic34567891011121314151617181920212223[[#This Row],[نوع الخدمة]]="كاش ان",
    IF(F44&lt;=100, 18, IF(F44&lt;=250, 23, IF(F44&lt;=500, 35, IF(F44&lt;=1000, 40, F44*0.04)))),
IF(Basic34567891011121314151617181920212223[[#This Row],[نوع الخدمة]]="كاش اوت",
    IF(F44&lt;=100, 15, IF(F44&lt;=250, 20, IF(F44&lt;=500, 30, IF(F44&lt;=1000, 35, F44*0.035)))),
0)))</f>
        <v>0</v>
      </c>
      <c r="H44" s="159">
        <f>IF(I44="مخالفات",50,Basic34567891011121314151617181920212223[[#This Row],[قيمة الرسوم / العموله]]+Basic34567891011121314151617181920212223[[#This Row],[قيمة الشحنه]])</f>
        <v>0</v>
      </c>
      <c r="I44" s="90"/>
      <c r="J44" s="142" t="str">
        <f t="shared" si="0"/>
        <v>10.5.2026</v>
      </c>
      <c r="L44" s="153">
        <v>33</v>
      </c>
      <c r="M44" s="92"/>
    </row>
    <row r="45" spans="1:13" ht="21.6" x14ac:dyDescent="0.65">
      <c r="A45" s="195"/>
      <c r="B45" s="144">
        <v>42</v>
      </c>
      <c r="C45" s="2"/>
      <c r="D45" s="1"/>
      <c r="E45" s="3"/>
      <c r="F45" s="1"/>
      <c r="G45" s="141">
        <f>IF(Basic34567891011121314151617181920212223[[#This Row],[نوع الخدمة]]="مخالفات", 50,
IF(Basic34567891011121314151617181920212223[[#This Row],[نوع الخدمة]]="كاش ان",
    IF(F45&lt;=100, 18, IF(F45&lt;=250, 23, IF(F45&lt;=500, 35, IF(F45&lt;=1000, 40, F45*0.04)))),
IF(Basic34567891011121314151617181920212223[[#This Row],[نوع الخدمة]]="كاش اوت",
    IF(F45&lt;=100, 15, IF(F45&lt;=250, 20, IF(F45&lt;=500, 30, IF(F45&lt;=1000, 35, F45*0.035)))),
0)))</f>
        <v>0</v>
      </c>
      <c r="H45" s="159">
        <f>IF(I45="مخالفات",50,Basic34567891011121314151617181920212223[[#This Row],[قيمة الرسوم / العموله]]+Basic34567891011121314151617181920212223[[#This Row],[قيمة الشحنه]])</f>
        <v>0</v>
      </c>
      <c r="I45" s="90"/>
      <c r="J45" s="142" t="str">
        <f t="shared" si="0"/>
        <v>10.5.2026</v>
      </c>
      <c r="L45" s="153">
        <v>34</v>
      </c>
      <c r="M45" s="92"/>
    </row>
    <row r="46" spans="1:13" ht="21.6" x14ac:dyDescent="0.65">
      <c r="A46" s="195"/>
      <c r="B46" s="140">
        <v>43</v>
      </c>
      <c r="C46" s="2"/>
      <c r="D46" s="1"/>
      <c r="E46" s="3"/>
      <c r="F46" s="1"/>
      <c r="G46" s="141">
        <f>IF(Basic34567891011121314151617181920212223[[#This Row],[نوع الخدمة]]="مخالفات", 50,
IF(Basic34567891011121314151617181920212223[[#This Row],[نوع الخدمة]]="كاش ان",
    IF(F46&lt;=100, 18, IF(F46&lt;=250, 23, IF(F46&lt;=500, 35, IF(F46&lt;=1000, 40, F46*0.04)))),
IF(Basic34567891011121314151617181920212223[[#This Row],[نوع الخدمة]]="كاش اوت",
    IF(F46&lt;=100, 15, IF(F46&lt;=250, 20, IF(F46&lt;=500, 30, IF(F46&lt;=1000, 35, F46*0.035)))),
0)))</f>
        <v>0</v>
      </c>
      <c r="H46" s="159">
        <f>IF(I46="مخالفات",50,Basic34567891011121314151617181920212223[[#This Row],[قيمة الرسوم / العموله]]+Basic34567891011121314151617181920212223[[#This Row],[قيمة الشحنه]])</f>
        <v>0</v>
      </c>
      <c r="I46" s="90"/>
      <c r="J46" s="142" t="str">
        <f t="shared" si="0"/>
        <v>10.5.2026</v>
      </c>
      <c r="L46" s="153">
        <v>35</v>
      </c>
      <c r="M46" s="92"/>
    </row>
    <row r="47" spans="1:13" ht="21.6" x14ac:dyDescent="0.65">
      <c r="A47" s="195"/>
      <c r="B47" s="140">
        <v>44</v>
      </c>
      <c r="C47" s="2"/>
      <c r="D47" s="1"/>
      <c r="E47" s="3"/>
      <c r="F47" s="1"/>
      <c r="G47" s="141">
        <f>IF(Basic34567891011121314151617181920212223[[#This Row],[نوع الخدمة]]="مخالفات", 50,
IF(Basic34567891011121314151617181920212223[[#This Row],[نوع الخدمة]]="كاش ان",
    IF(F47&lt;=100, 18, IF(F47&lt;=250, 23, IF(F47&lt;=500, 35, IF(F47&lt;=1000, 40, F47*0.04)))),
IF(Basic34567891011121314151617181920212223[[#This Row],[نوع الخدمة]]="كاش اوت",
    IF(F47&lt;=100, 15, IF(F47&lt;=250, 20, IF(F47&lt;=500, 30, IF(F47&lt;=1000, 35, F47*0.035)))),
0)))</f>
        <v>0</v>
      </c>
      <c r="H47" s="159">
        <f>IF(I47="مخالفات",50,Basic34567891011121314151617181920212223[[#This Row],[قيمة الرسوم / العموله]]+Basic34567891011121314151617181920212223[[#This Row],[قيمة الشحنه]])</f>
        <v>0</v>
      </c>
      <c r="I47" s="90"/>
      <c r="J47" s="142" t="str">
        <f t="shared" si="0"/>
        <v>10.5.2026</v>
      </c>
      <c r="L47" s="153">
        <v>36</v>
      </c>
      <c r="M47" s="92"/>
    </row>
    <row r="48" spans="1:13" ht="21.6" x14ac:dyDescent="0.65">
      <c r="A48" s="195"/>
      <c r="B48" s="140">
        <v>45</v>
      </c>
      <c r="C48" s="2"/>
      <c r="D48" s="1"/>
      <c r="E48" s="3"/>
      <c r="F48" s="1"/>
      <c r="G48" s="141">
        <f>IF(Basic34567891011121314151617181920212223[[#This Row],[نوع الخدمة]]="مخالفات", 50,
IF(Basic34567891011121314151617181920212223[[#This Row],[نوع الخدمة]]="كاش ان",
    IF(F48&lt;=100, 18, IF(F48&lt;=250, 23, IF(F48&lt;=500, 35, IF(F48&lt;=1000, 40, F48*0.04)))),
IF(Basic34567891011121314151617181920212223[[#This Row],[نوع الخدمة]]="كاش اوت",
    IF(F48&lt;=100, 15, IF(F48&lt;=250, 20, IF(F48&lt;=500, 30, IF(F48&lt;=1000, 35, F48*0.035)))),
0)))</f>
        <v>0</v>
      </c>
      <c r="H48" s="159">
        <f>IF(I48="مخالفات",50,Basic34567891011121314151617181920212223[[#This Row],[قيمة الرسوم / العموله]]+Basic34567891011121314151617181920212223[[#This Row],[قيمة الشحنه]])</f>
        <v>0</v>
      </c>
      <c r="I48" s="90"/>
      <c r="J48" s="142" t="str">
        <f t="shared" si="0"/>
        <v>10.5.2026</v>
      </c>
      <c r="L48" s="153">
        <v>37</v>
      </c>
      <c r="M48" s="92"/>
    </row>
    <row r="49" spans="1:13" ht="21.6" x14ac:dyDescent="0.65">
      <c r="A49" s="195"/>
      <c r="B49" s="144">
        <v>46</v>
      </c>
      <c r="C49" s="2"/>
      <c r="D49" s="1"/>
      <c r="E49" s="3"/>
      <c r="F49" s="1"/>
      <c r="G49" s="141">
        <f>IF(Basic34567891011121314151617181920212223[[#This Row],[نوع الخدمة]]="مخالفات", 50,
IF(Basic34567891011121314151617181920212223[[#This Row],[نوع الخدمة]]="كاش ان",
    IF(F49&lt;=100, 18, IF(F49&lt;=250, 23, IF(F49&lt;=500, 35, IF(F49&lt;=1000, 40, F49*0.04)))),
IF(Basic34567891011121314151617181920212223[[#This Row],[نوع الخدمة]]="كاش اوت",
    IF(F49&lt;=100, 15, IF(F49&lt;=250, 20, IF(F49&lt;=500, 30, IF(F49&lt;=1000, 35, F49*0.035)))),
0)))</f>
        <v>0</v>
      </c>
      <c r="H49" s="159">
        <f>IF(I49="مخالفات",50,Basic34567891011121314151617181920212223[[#This Row],[قيمة الرسوم / العموله]]+Basic34567891011121314151617181920212223[[#This Row],[قيمة الشحنه]])</f>
        <v>0</v>
      </c>
      <c r="I49" s="90"/>
      <c r="J49" s="142" t="str">
        <f t="shared" si="0"/>
        <v>10.5.2026</v>
      </c>
      <c r="L49" s="153">
        <v>38</v>
      </c>
      <c r="M49" s="92"/>
    </row>
    <row r="50" spans="1:13" ht="21.6" x14ac:dyDescent="0.65">
      <c r="A50" s="195"/>
      <c r="B50" s="140">
        <v>47</v>
      </c>
      <c r="C50" s="2"/>
      <c r="D50" s="1"/>
      <c r="E50" s="3"/>
      <c r="F50" s="1"/>
      <c r="G50" s="141">
        <f>IF(Basic34567891011121314151617181920212223[[#This Row],[نوع الخدمة]]="مخالفات", 50,
IF(Basic34567891011121314151617181920212223[[#This Row],[نوع الخدمة]]="كاش ان",
    IF(F50&lt;=100, 18, IF(F50&lt;=250, 23, IF(F50&lt;=500, 35, IF(F50&lt;=1000, 40, F50*0.04)))),
IF(Basic34567891011121314151617181920212223[[#This Row],[نوع الخدمة]]="كاش اوت",
    IF(F50&lt;=100, 15, IF(F50&lt;=250, 20, IF(F50&lt;=500, 30, IF(F50&lt;=1000, 35, F50*0.035)))),
0)))</f>
        <v>0</v>
      </c>
      <c r="H50" s="159">
        <f>IF(I50="مخالفات",50,Basic34567891011121314151617181920212223[[#This Row],[قيمة الرسوم / العموله]]+Basic34567891011121314151617181920212223[[#This Row],[قيمة الشحنه]])</f>
        <v>0</v>
      </c>
      <c r="I50" s="90"/>
      <c r="J50" s="142" t="str">
        <f t="shared" si="0"/>
        <v>10.5.2026</v>
      </c>
      <c r="L50" s="153">
        <v>39</v>
      </c>
      <c r="M50" s="92"/>
    </row>
    <row r="51" spans="1:13" ht="21.6" x14ac:dyDescent="0.65">
      <c r="A51" s="195"/>
      <c r="B51" s="140">
        <v>48</v>
      </c>
      <c r="C51" s="2"/>
      <c r="D51" s="1"/>
      <c r="E51" s="3"/>
      <c r="F51" s="1"/>
      <c r="G51" s="141">
        <f>IF(Basic34567891011121314151617181920212223[[#This Row],[نوع الخدمة]]="مخالفات", 50,
IF(Basic34567891011121314151617181920212223[[#This Row],[نوع الخدمة]]="كاش ان",
    IF(F51&lt;=100, 18, IF(F51&lt;=250, 23, IF(F51&lt;=500, 35, IF(F51&lt;=1000, 40, F51*0.04)))),
IF(Basic34567891011121314151617181920212223[[#This Row],[نوع الخدمة]]="كاش اوت",
    IF(F51&lt;=100, 15, IF(F51&lt;=250, 20, IF(F51&lt;=500, 30, IF(F51&lt;=1000, 35, F51*0.035)))),
0)))</f>
        <v>0</v>
      </c>
      <c r="H51" s="159">
        <f>IF(I51="مخالفات",50,Basic34567891011121314151617181920212223[[#This Row],[قيمة الرسوم / العموله]]+Basic34567891011121314151617181920212223[[#This Row],[قيمة الشحنه]])</f>
        <v>0</v>
      </c>
      <c r="I51" s="90"/>
      <c r="J51" s="142" t="str">
        <f t="shared" si="0"/>
        <v>10.5.2026</v>
      </c>
      <c r="L51" s="153">
        <v>40</v>
      </c>
      <c r="M51" s="92"/>
    </row>
    <row r="52" spans="1:13" ht="21.6" x14ac:dyDescent="0.65">
      <c r="A52" s="195"/>
      <c r="B52" s="140">
        <v>49</v>
      </c>
      <c r="C52" s="2"/>
      <c r="D52" s="1"/>
      <c r="E52" s="3"/>
      <c r="F52" s="1"/>
      <c r="G52" s="141">
        <f>IF(Basic34567891011121314151617181920212223[[#This Row],[نوع الخدمة]]="مخالفات", 50,
IF(Basic34567891011121314151617181920212223[[#This Row],[نوع الخدمة]]="كاش ان",
    IF(F52&lt;=100, 18, IF(F52&lt;=250, 23, IF(F52&lt;=500, 35, IF(F52&lt;=1000, 40, F52*0.04)))),
IF(Basic34567891011121314151617181920212223[[#This Row],[نوع الخدمة]]="كاش اوت",
    IF(F52&lt;=100, 15, IF(F52&lt;=250, 20, IF(F52&lt;=500, 30, IF(F52&lt;=1000, 35, F52*0.035)))),
0)))</f>
        <v>0</v>
      </c>
      <c r="H52" s="159">
        <f>IF(I52="مخالفات",50,Basic34567891011121314151617181920212223[[#This Row],[قيمة الرسوم / العموله]]+Basic34567891011121314151617181920212223[[#This Row],[قيمة الشحنه]])</f>
        <v>0</v>
      </c>
      <c r="I52" s="90"/>
      <c r="J52" s="142" t="str">
        <f t="shared" si="0"/>
        <v>10.5.2026</v>
      </c>
      <c r="L52" s="153">
        <v>41</v>
      </c>
      <c r="M52" s="92"/>
    </row>
    <row r="53" spans="1:13" ht="21.6" x14ac:dyDescent="0.65">
      <c r="A53" s="195"/>
      <c r="B53" s="144">
        <v>50</v>
      </c>
      <c r="C53" s="2"/>
      <c r="D53" s="1"/>
      <c r="E53" s="3"/>
      <c r="F53" s="1"/>
      <c r="G53" s="141">
        <f>IF(Basic34567891011121314151617181920212223[[#This Row],[نوع الخدمة]]="مخالفات", 50,
IF(Basic34567891011121314151617181920212223[[#This Row],[نوع الخدمة]]="كاش ان",
    IF(F53&lt;=100, 18, IF(F53&lt;=250, 23, IF(F53&lt;=500, 35, IF(F53&lt;=1000, 40, F53*0.04)))),
IF(Basic34567891011121314151617181920212223[[#This Row],[نوع الخدمة]]="كاش اوت",
    IF(F53&lt;=100, 15, IF(F53&lt;=250, 20, IF(F53&lt;=500, 30, IF(F53&lt;=1000, 35, F53*0.035)))),
0)))</f>
        <v>0</v>
      </c>
      <c r="H53" s="159">
        <f>IF(I53="مخالفات",50,Basic34567891011121314151617181920212223[[#This Row],[قيمة الرسوم / العموله]]+Basic34567891011121314151617181920212223[[#This Row],[قيمة الشحنه]])</f>
        <v>0</v>
      </c>
      <c r="I53" s="90"/>
      <c r="J53" s="142" t="str">
        <f t="shared" si="0"/>
        <v>10.5.2026</v>
      </c>
      <c r="L53" s="153">
        <v>42</v>
      </c>
      <c r="M53" s="92"/>
    </row>
    <row r="54" spans="1:13" ht="21.6" x14ac:dyDescent="0.65">
      <c r="A54" s="195"/>
      <c r="B54" s="140">
        <v>51</v>
      </c>
      <c r="C54" s="2"/>
      <c r="D54" s="1"/>
      <c r="E54" s="3"/>
      <c r="F54" s="1"/>
      <c r="G54" s="141">
        <f>IF(Basic34567891011121314151617181920212223[[#This Row],[نوع الخدمة]]="مخالفات", 50,
IF(Basic34567891011121314151617181920212223[[#This Row],[نوع الخدمة]]="كاش ان",
    IF(F54&lt;=100, 18, IF(F54&lt;=250, 23, IF(F54&lt;=500, 35, IF(F54&lt;=1000, 40, F54*0.04)))),
IF(Basic34567891011121314151617181920212223[[#This Row],[نوع الخدمة]]="كاش اوت",
    IF(F54&lt;=100, 15, IF(F54&lt;=250, 20, IF(F54&lt;=500, 30, IF(F54&lt;=1000, 35, F54*0.035)))),
0)))</f>
        <v>0</v>
      </c>
      <c r="H54" s="159">
        <f>IF(I54="مخالفات",50,Basic34567891011121314151617181920212223[[#This Row],[قيمة الرسوم / العموله]]+Basic34567891011121314151617181920212223[[#This Row],[قيمة الشحنه]])</f>
        <v>0</v>
      </c>
      <c r="I54" s="90"/>
      <c r="J54" s="142" t="str">
        <f t="shared" si="0"/>
        <v>10.5.2026</v>
      </c>
      <c r="L54" s="153">
        <v>43</v>
      </c>
      <c r="M54" s="92"/>
    </row>
    <row r="55" spans="1:13" ht="21.6" x14ac:dyDescent="0.65">
      <c r="A55" s="195"/>
      <c r="B55" s="140">
        <v>52</v>
      </c>
      <c r="C55" s="2"/>
      <c r="D55" s="1"/>
      <c r="E55" s="3"/>
      <c r="F55" s="1"/>
      <c r="G55" s="141">
        <f>IF(Basic34567891011121314151617181920212223[[#This Row],[نوع الخدمة]]="مخالفات", 50,
IF(Basic34567891011121314151617181920212223[[#This Row],[نوع الخدمة]]="كاش ان",
    IF(F55&lt;=100, 18, IF(F55&lt;=250, 23, IF(F55&lt;=500, 35, IF(F55&lt;=1000, 40, F55*0.04)))),
IF(Basic34567891011121314151617181920212223[[#This Row],[نوع الخدمة]]="كاش اوت",
    IF(F55&lt;=100, 15, IF(F55&lt;=250, 20, IF(F55&lt;=500, 30, IF(F55&lt;=1000, 35, F55*0.035)))),
0)))</f>
        <v>0</v>
      </c>
      <c r="H55" s="159">
        <f>IF(I55="مخالفات",50,Basic34567891011121314151617181920212223[[#This Row],[قيمة الرسوم / العموله]]+Basic34567891011121314151617181920212223[[#This Row],[قيمة الشحنه]])</f>
        <v>0</v>
      </c>
      <c r="I55" s="90"/>
      <c r="J55" s="142" t="str">
        <f t="shared" si="0"/>
        <v>10.5.2026</v>
      </c>
      <c r="L55" s="153">
        <v>44</v>
      </c>
      <c r="M55" s="92"/>
    </row>
    <row r="56" spans="1:13" ht="21.6" x14ac:dyDescent="0.65">
      <c r="A56" s="195"/>
      <c r="B56" s="140">
        <v>53</v>
      </c>
      <c r="C56" s="2"/>
      <c r="D56" s="1"/>
      <c r="E56" s="3"/>
      <c r="F56" s="1"/>
      <c r="G56" s="141">
        <f>IF(Basic34567891011121314151617181920212223[[#This Row],[نوع الخدمة]]="مخالفات", 50,
IF(Basic34567891011121314151617181920212223[[#This Row],[نوع الخدمة]]="كاش ان",
    IF(F56&lt;=100, 18, IF(F56&lt;=250, 23, IF(F56&lt;=500, 35, IF(F56&lt;=1000, 40, F56*0.04)))),
IF(Basic34567891011121314151617181920212223[[#This Row],[نوع الخدمة]]="كاش اوت",
    IF(F56&lt;=100, 15, IF(F56&lt;=250, 20, IF(F56&lt;=500, 30, IF(F56&lt;=1000, 35, F56*0.035)))),
0)))</f>
        <v>0</v>
      </c>
      <c r="H56" s="159">
        <f>IF(I56="مخالفات",50,Basic34567891011121314151617181920212223[[#This Row],[قيمة الرسوم / العموله]]+Basic34567891011121314151617181920212223[[#This Row],[قيمة الشحنه]])</f>
        <v>0</v>
      </c>
      <c r="I56" s="90"/>
      <c r="J56" s="142" t="str">
        <f t="shared" si="0"/>
        <v>10.5.2026</v>
      </c>
      <c r="L56" s="153">
        <v>45</v>
      </c>
      <c r="M56" s="92"/>
    </row>
    <row r="57" spans="1:13" ht="21.6" x14ac:dyDescent="0.65">
      <c r="A57" s="195"/>
      <c r="B57" s="144">
        <v>54</v>
      </c>
      <c r="C57" s="2"/>
      <c r="D57" s="1"/>
      <c r="E57" s="3"/>
      <c r="F57" s="1"/>
      <c r="G57" s="141">
        <f>IF(Basic34567891011121314151617181920212223[[#This Row],[نوع الخدمة]]="مخالفات", 50,
IF(Basic34567891011121314151617181920212223[[#This Row],[نوع الخدمة]]="كاش ان",
    IF(F57&lt;=100, 18, IF(F57&lt;=250, 23, IF(F57&lt;=500, 35, IF(F57&lt;=1000, 40, F57*0.04)))),
IF(Basic34567891011121314151617181920212223[[#This Row],[نوع الخدمة]]="كاش اوت",
    IF(F57&lt;=100, 15, IF(F57&lt;=250, 20, IF(F57&lt;=500, 30, IF(F57&lt;=1000, 35, F57*0.035)))),
0)))</f>
        <v>0</v>
      </c>
      <c r="H57" s="159">
        <f>IF(I57="مخالفات",50,Basic34567891011121314151617181920212223[[#This Row],[قيمة الرسوم / العموله]]+Basic34567891011121314151617181920212223[[#This Row],[قيمة الشحنه]])</f>
        <v>0</v>
      </c>
      <c r="I57" s="90"/>
      <c r="J57" s="142" t="str">
        <f t="shared" si="0"/>
        <v>10.5.2026</v>
      </c>
      <c r="L57" s="153">
        <v>46</v>
      </c>
      <c r="M57" s="92"/>
    </row>
    <row r="58" spans="1:13" ht="21.6" x14ac:dyDescent="0.65">
      <c r="A58" s="195"/>
      <c r="B58" s="140">
        <v>55</v>
      </c>
      <c r="C58" s="2"/>
      <c r="D58" s="1"/>
      <c r="E58" s="3"/>
      <c r="F58" s="1"/>
      <c r="G58" s="141">
        <f>IF(Basic34567891011121314151617181920212223[[#This Row],[نوع الخدمة]]="مخالفات", 50,
IF(Basic34567891011121314151617181920212223[[#This Row],[نوع الخدمة]]="كاش ان",
    IF(F58&lt;=100, 18, IF(F58&lt;=250, 23, IF(F58&lt;=500, 35, IF(F58&lt;=1000, 40, F58*0.04)))),
IF(Basic34567891011121314151617181920212223[[#This Row],[نوع الخدمة]]="كاش اوت",
    IF(F58&lt;=100, 15, IF(F58&lt;=250, 20, IF(F58&lt;=500, 30, IF(F58&lt;=1000, 35, F58*0.035)))),
0)))</f>
        <v>0</v>
      </c>
      <c r="H58" s="159">
        <f>IF(I58="مخالفات",50,Basic34567891011121314151617181920212223[[#This Row],[قيمة الرسوم / العموله]]+Basic34567891011121314151617181920212223[[#This Row],[قيمة الشحنه]])</f>
        <v>0</v>
      </c>
      <c r="I58" s="90"/>
      <c r="J58" s="142" t="str">
        <f t="shared" si="0"/>
        <v>10.5.2026</v>
      </c>
      <c r="L58" s="153">
        <v>47</v>
      </c>
      <c r="M58" s="92"/>
    </row>
    <row r="59" spans="1:13" ht="21.6" x14ac:dyDescent="0.65">
      <c r="A59" s="195"/>
      <c r="B59" s="140">
        <v>56</v>
      </c>
      <c r="C59" s="2"/>
      <c r="D59" s="1"/>
      <c r="E59" s="3"/>
      <c r="F59" s="1"/>
      <c r="G59" s="141">
        <f>IF(Basic34567891011121314151617181920212223[[#This Row],[نوع الخدمة]]="مخالفات", 50,
IF(Basic34567891011121314151617181920212223[[#This Row],[نوع الخدمة]]="كاش ان",
    IF(F59&lt;=100, 18, IF(F59&lt;=250, 23, IF(F59&lt;=500, 35, IF(F59&lt;=1000, 40, F59*0.04)))),
IF(Basic34567891011121314151617181920212223[[#This Row],[نوع الخدمة]]="كاش اوت",
    IF(F59&lt;=100, 15, IF(F59&lt;=250, 20, IF(F59&lt;=500, 30, IF(F59&lt;=1000, 35, F59*0.035)))),
0)))</f>
        <v>0</v>
      </c>
      <c r="H59" s="159">
        <f>IF(I59="مخالفات",50,Basic34567891011121314151617181920212223[[#This Row],[قيمة الرسوم / العموله]]+Basic34567891011121314151617181920212223[[#This Row],[قيمة الشحنه]])</f>
        <v>0</v>
      </c>
      <c r="I59" s="90"/>
      <c r="J59" s="142" t="str">
        <f t="shared" si="0"/>
        <v>10.5.2026</v>
      </c>
      <c r="L59" s="153">
        <v>48</v>
      </c>
      <c r="M59" s="92"/>
    </row>
    <row r="60" spans="1:13" ht="21.6" x14ac:dyDescent="0.65">
      <c r="A60" s="195"/>
      <c r="B60" s="140">
        <v>57</v>
      </c>
      <c r="C60" s="2"/>
      <c r="D60" s="1"/>
      <c r="E60" s="3"/>
      <c r="F60" s="1"/>
      <c r="G60" s="141">
        <f>IF(Basic34567891011121314151617181920212223[[#This Row],[نوع الخدمة]]="مخالفات", 50,
IF(Basic34567891011121314151617181920212223[[#This Row],[نوع الخدمة]]="كاش ان",
    IF(F60&lt;=100, 18, IF(F60&lt;=250, 23, IF(F60&lt;=500, 35, IF(F60&lt;=1000, 40, F60*0.04)))),
IF(Basic34567891011121314151617181920212223[[#This Row],[نوع الخدمة]]="كاش اوت",
    IF(F60&lt;=100, 15, IF(F60&lt;=250, 20, IF(F60&lt;=500, 30, IF(F60&lt;=1000, 35, F60*0.035)))),
0)))</f>
        <v>0</v>
      </c>
      <c r="H60" s="159">
        <f>IF(I60="مخالفات",50,Basic34567891011121314151617181920212223[[#This Row],[قيمة الرسوم / العموله]]+Basic34567891011121314151617181920212223[[#This Row],[قيمة الشحنه]])</f>
        <v>0</v>
      </c>
      <c r="I60" s="90"/>
      <c r="J60" s="142" t="str">
        <f t="shared" si="0"/>
        <v>10.5.2026</v>
      </c>
      <c r="L60" s="153">
        <v>49</v>
      </c>
      <c r="M60" s="92"/>
    </row>
    <row r="61" spans="1:13" ht="21.6" x14ac:dyDescent="0.65">
      <c r="A61" s="195"/>
      <c r="B61" s="144">
        <v>58</v>
      </c>
      <c r="C61" s="2"/>
      <c r="D61" s="1"/>
      <c r="E61" s="3"/>
      <c r="F61" s="1"/>
      <c r="G61" s="141">
        <f>IF(Basic34567891011121314151617181920212223[[#This Row],[نوع الخدمة]]="مخالفات", 50,
IF(Basic34567891011121314151617181920212223[[#This Row],[نوع الخدمة]]="كاش ان",
    IF(F61&lt;=100, 18, IF(F61&lt;=250, 23, IF(F61&lt;=500, 35, IF(F61&lt;=1000, 40, F61*0.04)))),
IF(Basic34567891011121314151617181920212223[[#This Row],[نوع الخدمة]]="كاش اوت",
    IF(F61&lt;=100, 15, IF(F61&lt;=250, 20, IF(F61&lt;=500, 30, IF(F61&lt;=1000, 35, F61*0.035)))),
0)))</f>
        <v>0</v>
      </c>
      <c r="H61" s="159">
        <f>IF(I61="مخالفات",50,Basic34567891011121314151617181920212223[[#This Row],[قيمة الرسوم / العموله]]+Basic34567891011121314151617181920212223[[#This Row],[قيمة الشحنه]])</f>
        <v>0</v>
      </c>
      <c r="I61" s="90"/>
      <c r="J61" s="142" t="str">
        <f t="shared" si="0"/>
        <v>10.5.2026</v>
      </c>
      <c r="L61" s="153">
        <v>50</v>
      </c>
      <c r="M61" s="92"/>
    </row>
    <row r="62" spans="1:13" ht="21.6" x14ac:dyDescent="0.65">
      <c r="A62" s="195"/>
      <c r="B62" s="140">
        <v>59</v>
      </c>
      <c r="C62" s="2"/>
      <c r="D62" s="1"/>
      <c r="E62" s="3"/>
      <c r="F62" s="1"/>
      <c r="G62" s="141">
        <f>IF(Basic34567891011121314151617181920212223[[#This Row],[نوع الخدمة]]="مخالفات", 50,
IF(Basic34567891011121314151617181920212223[[#This Row],[نوع الخدمة]]="كاش ان",
    IF(F62&lt;=100, 18, IF(F62&lt;=250, 23, IF(F62&lt;=500, 35, IF(F62&lt;=1000, 40, F62*0.04)))),
IF(Basic34567891011121314151617181920212223[[#This Row],[نوع الخدمة]]="كاش اوت",
    IF(F62&lt;=100, 15, IF(F62&lt;=250, 20, IF(F62&lt;=500, 30, IF(F62&lt;=1000, 35, F62*0.035)))),
0)))</f>
        <v>0</v>
      </c>
      <c r="H62" s="159">
        <f>IF(I62="مخالفات",50,Basic34567891011121314151617181920212223[[#This Row],[قيمة الرسوم / العموله]]+Basic34567891011121314151617181920212223[[#This Row],[قيمة الشحنه]])</f>
        <v>0</v>
      </c>
      <c r="I62" s="90"/>
      <c r="J62" s="142" t="str">
        <f t="shared" si="0"/>
        <v>10.5.2026</v>
      </c>
      <c r="L62" s="153">
        <v>51</v>
      </c>
      <c r="M62" s="92"/>
    </row>
    <row r="63" spans="1:13" ht="21.6" x14ac:dyDescent="0.65">
      <c r="A63" s="195"/>
      <c r="B63" s="140">
        <v>60</v>
      </c>
      <c r="C63" s="2"/>
      <c r="D63" s="1"/>
      <c r="E63" s="3"/>
      <c r="F63" s="1"/>
      <c r="G63" s="141">
        <f>IF(Basic34567891011121314151617181920212223[[#This Row],[نوع الخدمة]]="مخالفات", 50,
IF(Basic34567891011121314151617181920212223[[#This Row],[نوع الخدمة]]="كاش ان",
    IF(F63&lt;=100, 18, IF(F63&lt;=250, 23, IF(F63&lt;=500, 35, IF(F63&lt;=1000, 40, F63*0.04)))),
IF(Basic34567891011121314151617181920212223[[#This Row],[نوع الخدمة]]="كاش اوت",
    IF(F63&lt;=100, 15, IF(F63&lt;=250, 20, IF(F63&lt;=500, 30, IF(F63&lt;=1000, 35, F63*0.035)))),
0)))</f>
        <v>0</v>
      </c>
      <c r="H63" s="159">
        <f>IF(I63="مخالفات",50,Basic34567891011121314151617181920212223[[#This Row],[قيمة الرسوم / العموله]]+Basic34567891011121314151617181920212223[[#This Row],[قيمة الشحنه]])</f>
        <v>0</v>
      </c>
      <c r="I63" s="90"/>
      <c r="J63" s="142" t="str">
        <f t="shared" si="0"/>
        <v>10.5.2026</v>
      </c>
      <c r="L63" s="153">
        <v>52</v>
      </c>
      <c r="M63" s="92"/>
    </row>
    <row r="64" spans="1:13" ht="21.6" x14ac:dyDescent="0.65">
      <c r="A64" s="195"/>
      <c r="B64" s="140">
        <v>61</v>
      </c>
      <c r="C64" s="2"/>
      <c r="D64" s="1"/>
      <c r="E64" s="3"/>
      <c r="F64" s="1"/>
      <c r="G64" s="141">
        <f>IF(Basic34567891011121314151617181920212223[[#This Row],[نوع الخدمة]]="مخالفات", 50,
IF(Basic34567891011121314151617181920212223[[#This Row],[نوع الخدمة]]="كاش ان",
    IF(F64&lt;=100, 18, IF(F64&lt;=250, 23, IF(F64&lt;=500, 35, IF(F64&lt;=1000, 40, F64*0.04)))),
IF(Basic34567891011121314151617181920212223[[#This Row],[نوع الخدمة]]="كاش اوت",
    IF(F64&lt;=100, 15, IF(F64&lt;=250, 20, IF(F64&lt;=500, 30, IF(F64&lt;=1000, 35, F64*0.035)))),
0)))</f>
        <v>0</v>
      </c>
      <c r="H64" s="159">
        <f>IF(I64="مخالفات",50,Basic34567891011121314151617181920212223[[#This Row],[قيمة الرسوم / العموله]]+Basic34567891011121314151617181920212223[[#This Row],[قيمة الشحنه]])</f>
        <v>0</v>
      </c>
      <c r="I64" s="90"/>
      <c r="J64" s="142" t="str">
        <f t="shared" si="0"/>
        <v>10.5.2026</v>
      </c>
      <c r="L64" s="153">
        <v>53</v>
      </c>
      <c r="M64" s="92"/>
    </row>
    <row r="65" spans="1:13" ht="21.6" x14ac:dyDescent="0.65">
      <c r="A65" s="195"/>
      <c r="B65" s="144">
        <v>62</v>
      </c>
      <c r="C65" s="2"/>
      <c r="D65" s="1"/>
      <c r="E65" s="3"/>
      <c r="F65" s="1"/>
      <c r="G65" s="141">
        <f>IF(Basic34567891011121314151617181920212223[[#This Row],[نوع الخدمة]]="مخالفات", 50,
IF(Basic34567891011121314151617181920212223[[#This Row],[نوع الخدمة]]="كاش ان",
    IF(F65&lt;=100, 18, IF(F65&lt;=250, 23, IF(F65&lt;=500, 35, IF(F65&lt;=1000, 40, F65*0.04)))),
IF(Basic34567891011121314151617181920212223[[#This Row],[نوع الخدمة]]="كاش اوت",
    IF(F65&lt;=100, 15, IF(F65&lt;=250, 20, IF(F65&lt;=500, 30, IF(F65&lt;=1000, 35, F65*0.035)))),
0)))</f>
        <v>0</v>
      </c>
      <c r="H65" s="159">
        <f>IF(I65="مخالفات",50,Basic34567891011121314151617181920212223[[#This Row],[قيمة الرسوم / العموله]]+Basic34567891011121314151617181920212223[[#This Row],[قيمة الشحنه]])</f>
        <v>0</v>
      </c>
      <c r="I65" s="90"/>
      <c r="J65" s="142" t="str">
        <f t="shared" si="0"/>
        <v>10.5.2026</v>
      </c>
      <c r="L65" s="153">
        <v>54</v>
      </c>
      <c r="M65" s="92"/>
    </row>
    <row r="66" spans="1:13" ht="21.6" x14ac:dyDescent="0.65">
      <c r="A66" s="195"/>
      <c r="B66" s="140">
        <v>63</v>
      </c>
      <c r="C66" s="2"/>
      <c r="D66" s="1"/>
      <c r="E66" s="3"/>
      <c r="F66" s="1"/>
      <c r="G66" s="141">
        <f>IF(Basic34567891011121314151617181920212223[[#This Row],[نوع الخدمة]]="مخالفات", 50,
IF(Basic34567891011121314151617181920212223[[#This Row],[نوع الخدمة]]="كاش ان",
    IF(F66&lt;=100, 18, IF(F66&lt;=250, 23, IF(F66&lt;=500, 35, IF(F66&lt;=1000, 40, F66*0.04)))),
IF(Basic34567891011121314151617181920212223[[#This Row],[نوع الخدمة]]="كاش اوت",
    IF(F66&lt;=100, 15, IF(F66&lt;=250, 20, IF(F66&lt;=500, 30, IF(F66&lt;=1000, 35, F66*0.035)))),
0)))</f>
        <v>0</v>
      </c>
      <c r="H66" s="159">
        <f>IF(I66="مخالفات",50,Basic34567891011121314151617181920212223[[#This Row],[قيمة الرسوم / العموله]]+Basic34567891011121314151617181920212223[[#This Row],[قيمة الشحنه]])</f>
        <v>0</v>
      </c>
      <c r="I66" s="90"/>
      <c r="J66" s="142" t="str">
        <f t="shared" si="0"/>
        <v>10.5.2026</v>
      </c>
      <c r="L66" s="153">
        <v>55</v>
      </c>
      <c r="M66" s="92"/>
    </row>
    <row r="67" spans="1:13" ht="21.6" x14ac:dyDescent="0.65">
      <c r="A67" s="195"/>
      <c r="B67" s="140">
        <v>64</v>
      </c>
      <c r="C67" s="2"/>
      <c r="D67" s="1"/>
      <c r="E67" s="3"/>
      <c r="F67" s="1"/>
      <c r="G67" s="141">
        <f>IF(Basic34567891011121314151617181920212223[[#This Row],[نوع الخدمة]]="مخالفات", 50,
IF(Basic34567891011121314151617181920212223[[#This Row],[نوع الخدمة]]="كاش ان",
    IF(F67&lt;=100, 18, IF(F67&lt;=250, 23, IF(F67&lt;=500, 35, IF(F67&lt;=1000, 40, F67*0.04)))),
IF(Basic34567891011121314151617181920212223[[#This Row],[نوع الخدمة]]="كاش اوت",
    IF(F67&lt;=100, 15, IF(F67&lt;=250, 20, IF(F67&lt;=500, 30, IF(F67&lt;=1000, 35, F67*0.035)))),
0)))</f>
        <v>0</v>
      </c>
      <c r="H67" s="159">
        <f>IF(I67="مخالفات",50,Basic34567891011121314151617181920212223[[#This Row],[قيمة الرسوم / العموله]]+Basic34567891011121314151617181920212223[[#This Row],[قيمة الشحنه]])</f>
        <v>0</v>
      </c>
      <c r="I67" s="90"/>
      <c r="J67" s="142" t="str">
        <f t="shared" si="0"/>
        <v>10.5.2026</v>
      </c>
      <c r="L67" s="153">
        <v>56</v>
      </c>
      <c r="M67" s="92"/>
    </row>
    <row r="68" spans="1:13" ht="21.6" x14ac:dyDescent="0.65">
      <c r="A68" s="195"/>
      <c r="B68" s="140">
        <v>65</v>
      </c>
      <c r="C68" s="2"/>
      <c r="D68" s="1"/>
      <c r="E68" s="3"/>
      <c r="F68" s="1"/>
      <c r="G68" s="141">
        <f>IF(Basic34567891011121314151617181920212223[[#This Row],[نوع الخدمة]]="مخالفات", 50,
IF(Basic34567891011121314151617181920212223[[#This Row],[نوع الخدمة]]="كاش ان",
    IF(F68&lt;=100, 18, IF(F68&lt;=250, 23, IF(F68&lt;=500, 35, IF(F68&lt;=1000, 40, F68*0.04)))),
IF(Basic34567891011121314151617181920212223[[#This Row],[نوع الخدمة]]="كاش اوت",
    IF(F68&lt;=100, 15, IF(F68&lt;=250, 20, IF(F68&lt;=500, 30, IF(F68&lt;=1000, 35, F68*0.035)))),
0)))</f>
        <v>0</v>
      </c>
      <c r="H68" s="159">
        <f>IF(I68="مخالفات",50,Basic34567891011121314151617181920212223[[#This Row],[قيمة الرسوم / العموله]]+Basic34567891011121314151617181920212223[[#This Row],[قيمة الشحنه]])</f>
        <v>0</v>
      </c>
      <c r="I68" s="90"/>
      <c r="J68" s="142" t="str">
        <f t="shared" ref="J68:J131" si="1">M$3</f>
        <v>10.5.2026</v>
      </c>
      <c r="L68" s="153">
        <v>57</v>
      </c>
      <c r="M68" s="92"/>
    </row>
    <row r="69" spans="1:13" ht="21.6" x14ac:dyDescent="0.65">
      <c r="A69" s="195"/>
      <c r="B69" s="144">
        <v>66</v>
      </c>
      <c r="C69" s="2"/>
      <c r="D69" s="1"/>
      <c r="E69" s="3"/>
      <c r="F69" s="1"/>
      <c r="G69" s="141">
        <f>IF(Basic34567891011121314151617181920212223[[#This Row],[نوع الخدمة]]="مخالفات", 50,
IF(Basic34567891011121314151617181920212223[[#This Row],[نوع الخدمة]]="كاش ان",
    IF(F69&lt;=100, 18, IF(F69&lt;=250, 23, IF(F69&lt;=500, 35, IF(F69&lt;=1000, 40, F69*0.04)))),
IF(Basic34567891011121314151617181920212223[[#This Row],[نوع الخدمة]]="كاش اوت",
    IF(F69&lt;=100, 15, IF(F69&lt;=250, 20, IF(F69&lt;=500, 30, IF(F69&lt;=1000, 35, F69*0.035)))),
0)))</f>
        <v>0</v>
      </c>
      <c r="H69" s="159">
        <f>IF(I69="مخالفات",50,Basic34567891011121314151617181920212223[[#This Row],[قيمة الرسوم / العموله]]+Basic34567891011121314151617181920212223[[#This Row],[قيمة الشحنه]])</f>
        <v>0</v>
      </c>
      <c r="I69" s="90"/>
      <c r="J69" s="142" t="str">
        <f t="shared" si="1"/>
        <v>10.5.2026</v>
      </c>
      <c r="L69" s="153">
        <v>58</v>
      </c>
      <c r="M69" s="92"/>
    </row>
    <row r="70" spans="1:13" ht="21.6" x14ac:dyDescent="0.65">
      <c r="A70" s="195"/>
      <c r="B70" s="140">
        <v>67</v>
      </c>
      <c r="C70" s="2"/>
      <c r="D70" s="1"/>
      <c r="E70" s="3"/>
      <c r="F70" s="1"/>
      <c r="G70" s="141">
        <f>IF(Basic34567891011121314151617181920212223[[#This Row],[نوع الخدمة]]="مخالفات", 50,
IF(Basic34567891011121314151617181920212223[[#This Row],[نوع الخدمة]]="كاش ان",
    IF(F70&lt;=100, 18, IF(F70&lt;=250, 23, IF(F70&lt;=500, 35, IF(F70&lt;=1000, 40, F70*0.04)))),
IF(Basic34567891011121314151617181920212223[[#This Row],[نوع الخدمة]]="كاش اوت",
    IF(F70&lt;=100, 15, IF(F70&lt;=250, 20, IF(F70&lt;=500, 30, IF(F70&lt;=1000, 35, F70*0.035)))),
0)))</f>
        <v>0</v>
      </c>
      <c r="H70" s="159">
        <f>IF(I70="مخالفات",50,Basic34567891011121314151617181920212223[[#This Row],[قيمة الرسوم / العموله]]+Basic34567891011121314151617181920212223[[#This Row],[قيمة الشحنه]])</f>
        <v>0</v>
      </c>
      <c r="I70" s="90"/>
      <c r="J70" s="142" t="str">
        <f t="shared" si="1"/>
        <v>10.5.2026</v>
      </c>
      <c r="L70" s="153">
        <v>59</v>
      </c>
      <c r="M70" s="92"/>
    </row>
    <row r="71" spans="1:13" ht="21.6" x14ac:dyDescent="0.65">
      <c r="A71" s="195"/>
      <c r="B71" s="140">
        <v>68</v>
      </c>
      <c r="C71" s="2"/>
      <c r="D71" s="1"/>
      <c r="E71" s="3"/>
      <c r="F71" s="1"/>
      <c r="G71" s="141">
        <f>IF(Basic34567891011121314151617181920212223[[#This Row],[نوع الخدمة]]="مخالفات", 50,
IF(Basic34567891011121314151617181920212223[[#This Row],[نوع الخدمة]]="كاش ان",
    IF(F71&lt;=100, 18, IF(F71&lt;=250, 23, IF(F71&lt;=500, 35, IF(F71&lt;=1000, 40, F71*0.04)))),
IF(Basic34567891011121314151617181920212223[[#This Row],[نوع الخدمة]]="كاش اوت",
    IF(F71&lt;=100, 15, IF(F71&lt;=250, 20, IF(F71&lt;=500, 30, IF(F71&lt;=1000, 35, F71*0.035)))),
0)))</f>
        <v>0</v>
      </c>
      <c r="H71" s="159">
        <f>IF(I71="مخالفات",50,Basic34567891011121314151617181920212223[[#This Row],[قيمة الرسوم / العموله]]+Basic34567891011121314151617181920212223[[#This Row],[قيمة الشحنه]])</f>
        <v>0</v>
      </c>
      <c r="I71" s="90"/>
      <c r="J71" s="142" t="str">
        <f t="shared" si="1"/>
        <v>10.5.2026</v>
      </c>
      <c r="L71" s="153">
        <v>60</v>
      </c>
      <c r="M71" s="92"/>
    </row>
    <row r="72" spans="1:13" ht="21.6" x14ac:dyDescent="0.65">
      <c r="A72" s="195"/>
      <c r="B72" s="140">
        <v>69</v>
      </c>
      <c r="C72" s="2"/>
      <c r="D72" s="1"/>
      <c r="E72" s="3"/>
      <c r="F72" s="1"/>
      <c r="G72" s="141">
        <f>IF(Basic34567891011121314151617181920212223[[#This Row],[نوع الخدمة]]="مخالفات", 50,
IF(Basic34567891011121314151617181920212223[[#This Row],[نوع الخدمة]]="كاش ان",
    IF(F72&lt;=100, 18, IF(F72&lt;=250, 23, IF(F72&lt;=500, 35, IF(F72&lt;=1000, 40, F72*0.04)))),
IF(Basic34567891011121314151617181920212223[[#This Row],[نوع الخدمة]]="كاش اوت",
    IF(F72&lt;=100, 15, IF(F72&lt;=250, 20, IF(F72&lt;=500, 30, IF(F72&lt;=1000, 35, F72*0.035)))),
0)))</f>
        <v>0</v>
      </c>
      <c r="H72" s="159">
        <f>IF(I72="مخالفات",50,Basic34567891011121314151617181920212223[[#This Row],[قيمة الرسوم / العموله]]+Basic34567891011121314151617181920212223[[#This Row],[قيمة الشحنه]])</f>
        <v>0</v>
      </c>
      <c r="I72" s="90"/>
      <c r="J72" s="142" t="str">
        <f t="shared" si="1"/>
        <v>10.5.2026</v>
      </c>
      <c r="L72" s="153">
        <v>61</v>
      </c>
      <c r="M72" s="92"/>
    </row>
    <row r="73" spans="1:13" ht="21.6" x14ac:dyDescent="0.65">
      <c r="A73" s="195"/>
      <c r="B73" s="144">
        <v>70</v>
      </c>
      <c r="C73" s="2"/>
      <c r="D73" s="1"/>
      <c r="E73" s="3"/>
      <c r="F73" s="1"/>
      <c r="G73" s="141">
        <f>IF(Basic34567891011121314151617181920212223[[#This Row],[نوع الخدمة]]="مخالفات", 50,
IF(Basic34567891011121314151617181920212223[[#This Row],[نوع الخدمة]]="كاش ان",
    IF(F73&lt;=100, 18, IF(F73&lt;=250, 23, IF(F73&lt;=500, 35, IF(F73&lt;=1000, 40, F73*0.04)))),
IF(Basic34567891011121314151617181920212223[[#This Row],[نوع الخدمة]]="كاش اوت",
    IF(F73&lt;=100, 15, IF(F73&lt;=250, 20, IF(F73&lt;=500, 30, IF(F73&lt;=1000, 35, F73*0.035)))),
0)))</f>
        <v>0</v>
      </c>
      <c r="H73" s="159">
        <f>IF(I73="مخالفات",50,Basic34567891011121314151617181920212223[[#This Row],[قيمة الرسوم / العموله]]+Basic34567891011121314151617181920212223[[#This Row],[قيمة الشحنه]])</f>
        <v>0</v>
      </c>
      <c r="I73" s="90"/>
      <c r="J73" s="142" t="str">
        <f t="shared" si="1"/>
        <v>10.5.2026</v>
      </c>
      <c r="L73" s="153">
        <v>62</v>
      </c>
      <c r="M73" s="92"/>
    </row>
    <row r="74" spans="1:13" ht="21.6" x14ac:dyDescent="0.65">
      <c r="A74" s="195"/>
      <c r="B74" s="140">
        <v>71</v>
      </c>
      <c r="C74" s="2"/>
      <c r="D74" s="1"/>
      <c r="E74" s="3"/>
      <c r="F74" s="1"/>
      <c r="G74" s="141">
        <f>IF(Basic34567891011121314151617181920212223[[#This Row],[نوع الخدمة]]="مخالفات", 50,
IF(Basic34567891011121314151617181920212223[[#This Row],[نوع الخدمة]]="كاش ان",
    IF(F74&lt;=100, 18, IF(F74&lt;=250, 23, IF(F74&lt;=500, 35, IF(F74&lt;=1000, 40, F74*0.04)))),
IF(Basic34567891011121314151617181920212223[[#This Row],[نوع الخدمة]]="كاش اوت",
    IF(F74&lt;=100, 15, IF(F74&lt;=250, 20, IF(F74&lt;=500, 30, IF(F74&lt;=1000, 35, F74*0.035)))),
0)))</f>
        <v>0</v>
      </c>
      <c r="H74" s="159">
        <f>IF(I74="مخالفات",50,Basic34567891011121314151617181920212223[[#This Row],[قيمة الرسوم / العموله]]+Basic34567891011121314151617181920212223[[#This Row],[قيمة الشحنه]])</f>
        <v>0</v>
      </c>
      <c r="I74" s="90"/>
      <c r="J74" s="142" t="str">
        <f t="shared" si="1"/>
        <v>10.5.2026</v>
      </c>
      <c r="L74" s="153">
        <v>63</v>
      </c>
      <c r="M74" s="92"/>
    </row>
    <row r="75" spans="1:13" ht="21.6" x14ac:dyDescent="0.65">
      <c r="A75" s="195"/>
      <c r="B75" s="140">
        <v>72</v>
      </c>
      <c r="C75" s="2"/>
      <c r="D75" s="1"/>
      <c r="E75" s="3"/>
      <c r="F75" s="1"/>
      <c r="G75" s="141">
        <f>IF(Basic34567891011121314151617181920212223[[#This Row],[نوع الخدمة]]="مخالفات", 50,
IF(Basic34567891011121314151617181920212223[[#This Row],[نوع الخدمة]]="كاش ان",
    IF(F75&lt;=100, 18, IF(F75&lt;=250, 23, IF(F75&lt;=500, 35, IF(F75&lt;=1000, 40, F75*0.04)))),
IF(Basic34567891011121314151617181920212223[[#This Row],[نوع الخدمة]]="كاش اوت",
    IF(F75&lt;=100, 15, IF(F75&lt;=250, 20, IF(F75&lt;=500, 30, IF(F75&lt;=1000, 35, F75*0.035)))),
0)))</f>
        <v>0</v>
      </c>
      <c r="H75" s="159">
        <f>IF(I75="مخالفات",50,Basic34567891011121314151617181920212223[[#This Row],[قيمة الرسوم / العموله]]+Basic34567891011121314151617181920212223[[#This Row],[قيمة الشحنه]])</f>
        <v>0</v>
      </c>
      <c r="I75" s="90"/>
      <c r="J75" s="142" t="str">
        <f t="shared" si="1"/>
        <v>10.5.2026</v>
      </c>
      <c r="L75" s="153">
        <v>64</v>
      </c>
      <c r="M75" s="92"/>
    </row>
    <row r="76" spans="1:13" ht="21.6" x14ac:dyDescent="0.65">
      <c r="A76" s="195"/>
      <c r="B76" s="140">
        <v>73</v>
      </c>
      <c r="C76" s="2"/>
      <c r="D76" s="1"/>
      <c r="E76" s="3"/>
      <c r="F76" s="1"/>
      <c r="G76" s="141">
        <f>IF(Basic34567891011121314151617181920212223[[#This Row],[نوع الخدمة]]="مخالفات", 50,
IF(Basic34567891011121314151617181920212223[[#This Row],[نوع الخدمة]]="كاش ان",
    IF(F76&lt;=100, 18, IF(F76&lt;=250, 23, IF(F76&lt;=500, 35, IF(F76&lt;=1000, 40, F76*0.04)))),
IF(Basic34567891011121314151617181920212223[[#This Row],[نوع الخدمة]]="كاش اوت",
    IF(F76&lt;=100, 15, IF(F76&lt;=250, 20, IF(F76&lt;=500, 30, IF(F76&lt;=1000, 35, F76*0.035)))),
0)))</f>
        <v>0</v>
      </c>
      <c r="H76" s="159">
        <f>IF(I76="مخالفات",50,Basic34567891011121314151617181920212223[[#This Row],[قيمة الرسوم / العموله]]+Basic34567891011121314151617181920212223[[#This Row],[قيمة الشحنه]])</f>
        <v>0</v>
      </c>
      <c r="I76" s="90"/>
      <c r="J76" s="142" t="str">
        <f t="shared" si="1"/>
        <v>10.5.2026</v>
      </c>
      <c r="L76" s="153">
        <v>65</v>
      </c>
      <c r="M76" s="92"/>
    </row>
    <row r="77" spans="1:13" ht="21.6" x14ac:dyDescent="0.65">
      <c r="A77" s="195"/>
      <c r="B77" s="144">
        <v>74</v>
      </c>
      <c r="C77" s="2"/>
      <c r="D77" s="1"/>
      <c r="E77" s="3"/>
      <c r="F77" s="1"/>
      <c r="G77" s="141">
        <f>IF(Basic34567891011121314151617181920212223[[#This Row],[نوع الخدمة]]="مخالفات", 50,
IF(Basic34567891011121314151617181920212223[[#This Row],[نوع الخدمة]]="كاش ان",
    IF(F77&lt;=100, 18, IF(F77&lt;=250, 23, IF(F77&lt;=500, 35, IF(F77&lt;=1000, 40, F77*0.04)))),
IF(Basic34567891011121314151617181920212223[[#This Row],[نوع الخدمة]]="كاش اوت",
    IF(F77&lt;=100, 15, IF(F77&lt;=250, 20, IF(F77&lt;=500, 30, IF(F77&lt;=1000, 35, F77*0.035)))),
0)))</f>
        <v>0</v>
      </c>
      <c r="H77" s="159">
        <f>IF(I77="مخالفات",50,Basic34567891011121314151617181920212223[[#This Row],[قيمة الرسوم / العموله]]+Basic34567891011121314151617181920212223[[#This Row],[قيمة الشحنه]])</f>
        <v>0</v>
      </c>
      <c r="I77" s="90"/>
      <c r="J77" s="142" t="str">
        <f t="shared" si="1"/>
        <v>10.5.2026</v>
      </c>
      <c r="L77" s="153">
        <v>66</v>
      </c>
      <c r="M77" s="92"/>
    </row>
    <row r="78" spans="1:13" ht="21.6" x14ac:dyDescent="0.65">
      <c r="A78" s="195"/>
      <c r="B78" s="140">
        <v>75</v>
      </c>
      <c r="C78" s="2"/>
      <c r="D78" s="1"/>
      <c r="E78" s="3"/>
      <c r="F78" s="1"/>
      <c r="G78" s="141">
        <f>IF(Basic34567891011121314151617181920212223[[#This Row],[نوع الخدمة]]="مخالفات", 50,
IF(Basic34567891011121314151617181920212223[[#This Row],[نوع الخدمة]]="كاش ان",
    IF(F78&lt;=100, 18, IF(F78&lt;=250, 23, IF(F78&lt;=500, 35, IF(F78&lt;=1000, 40, F78*0.04)))),
IF(Basic34567891011121314151617181920212223[[#This Row],[نوع الخدمة]]="كاش اوت",
    IF(F78&lt;=100, 15, IF(F78&lt;=250, 20, IF(F78&lt;=500, 30, IF(F78&lt;=1000, 35, F78*0.035)))),
0)))</f>
        <v>0</v>
      </c>
      <c r="H78" s="159">
        <f>IF(I78="مخالفات",50,Basic34567891011121314151617181920212223[[#This Row],[قيمة الرسوم / العموله]]+Basic34567891011121314151617181920212223[[#This Row],[قيمة الشحنه]])</f>
        <v>0</v>
      </c>
      <c r="I78" s="90"/>
      <c r="J78" s="142" t="str">
        <f t="shared" si="1"/>
        <v>10.5.2026</v>
      </c>
      <c r="L78" s="153">
        <v>67</v>
      </c>
      <c r="M78" s="92"/>
    </row>
    <row r="79" spans="1:13" ht="21.6" x14ac:dyDescent="0.65">
      <c r="A79" s="195"/>
      <c r="B79" s="140">
        <v>76</v>
      </c>
      <c r="C79" s="2"/>
      <c r="D79" s="1"/>
      <c r="E79" s="3"/>
      <c r="F79" s="1"/>
      <c r="G79" s="141">
        <f>IF(Basic34567891011121314151617181920212223[[#This Row],[نوع الخدمة]]="مخالفات", 50,
IF(Basic34567891011121314151617181920212223[[#This Row],[نوع الخدمة]]="كاش ان",
    IF(F79&lt;=100, 18, IF(F79&lt;=250, 23, IF(F79&lt;=500, 35, IF(F79&lt;=1000, 40, F79*0.04)))),
IF(Basic34567891011121314151617181920212223[[#This Row],[نوع الخدمة]]="كاش اوت",
    IF(F79&lt;=100, 15, IF(F79&lt;=250, 20, IF(F79&lt;=500, 30, IF(F79&lt;=1000, 35, F79*0.035)))),
0)))</f>
        <v>0</v>
      </c>
      <c r="H79" s="159">
        <f>IF(I79="مخالفات",50,Basic34567891011121314151617181920212223[[#This Row],[قيمة الرسوم / العموله]]+Basic34567891011121314151617181920212223[[#This Row],[قيمة الشحنه]])</f>
        <v>0</v>
      </c>
      <c r="I79" s="90"/>
      <c r="J79" s="142" t="str">
        <f t="shared" si="1"/>
        <v>10.5.2026</v>
      </c>
      <c r="L79" s="153">
        <v>68</v>
      </c>
      <c r="M79" s="92"/>
    </row>
    <row r="80" spans="1:13" ht="21.6" x14ac:dyDescent="0.65">
      <c r="A80" s="195"/>
      <c r="B80" s="140">
        <v>77</v>
      </c>
      <c r="C80" s="2"/>
      <c r="D80" s="1"/>
      <c r="E80" s="3"/>
      <c r="F80" s="1"/>
      <c r="G80" s="141">
        <f>IF(Basic34567891011121314151617181920212223[[#This Row],[نوع الخدمة]]="مخالفات", 50,
IF(Basic34567891011121314151617181920212223[[#This Row],[نوع الخدمة]]="كاش ان",
    IF(F80&lt;=100, 18, IF(F80&lt;=250, 23, IF(F80&lt;=500, 35, IF(F80&lt;=1000, 40, F80*0.04)))),
IF(Basic34567891011121314151617181920212223[[#This Row],[نوع الخدمة]]="كاش اوت",
    IF(F80&lt;=100, 15, IF(F80&lt;=250, 20, IF(F80&lt;=500, 30, IF(F80&lt;=1000, 35, F80*0.035)))),
0)))</f>
        <v>0</v>
      </c>
      <c r="H80" s="159">
        <f>IF(I80="مخالفات",50,Basic34567891011121314151617181920212223[[#This Row],[قيمة الرسوم / العموله]]+Basic34567891011121314151617181920212223[[#This Row],[قيمة الشحنه]])</f>
        <v>0</v>
      </c>
      <c r="I80" s="90"/>
      <c r="J80" s="142" t="str">
        <f t="shared" si="1"/>
        <v>10.5.2026</v>
      </c>
      <c r="L80" s="153">
        <v>69</v>
      </c>
      <c r="M80" s="92"/>
    </row>
    <row r="81" spans="1:13" ht="21.6" x14ac:dyDescent="0.65">
      <c r="A81" s="195"/>
      <c r="B81" s="144">
        <v>78</v>
      </c>
      <c r="C81" s="2"/>
      <c r="D81" s="1"/>
      <c r="E81" s="3"/>
      <c r="F81" s="1"/>
      <c r="G81" s="141">
        <f>IF(Basic34567891011121314151617181920212223[[#This Row],[نوع الخدمة]]="مخالفات", 50,
IF(Basic34567891011121314151617181920212223[[#This Row],[نوع الخدمة]]="كاش ان",
    IF(F81&lt;=100, 18, IF(F81&lt;=250, 23, IF(F81&lt;=500, 35, IF(F81&lt;=1000, 40, F81*0.04)))),
IF(Basic34567891011121314151617181920212223[[#This Row],[نوع الخدمة]]="كاش اوت",
    IF(F81&lt;=100, 15, IF(F81&lt;=250, 20, IF(F81&lt;=500, 30, IF(F81&lt;=1000, 35, F81*0.035)))),
0)))</f>
        <v>0</v>
      </c>
      <c r="H81" s="159">
        <f>IF(I81="مخالفات",50,Basic34567891011121314151617181920212223[[#This Row],[قيمة الرسوم / العموله]]+Basic34567891011121314151617181920212223[[#This Row],[قيمة الشحنه]])</f>
        <v>0</v>
      </c>
      <c r="I81" s="90"/>
      <c r="J81" s="142" t="str">
        <f t="shared" si="1"/>
        <v>10.5.2026</v>
      </c>
      <c r="L81" s="153">
        <v>70</v>
      </c>
      <c r="M81" s="92"/>
    </row>
    <row r="82" spans="1:13" ht="21.6" x14ac:dyDescent="0.65">
      <c r="A82" s="195"/>
      <c r="B82" s="140">
        <v>79</v>
      </c>
      <c r="C82" s="2"/>
      <c r="D82" s="1"/>
      <c r="E82" s="3"/>
      <c r="F82" s="1"/>
      <c r="G82" s="141">
        <f>IF(Basic34567891011121314151617181920212223[[#This Row],[نوع الخدمة]]="مخالفات", 50,
IF(Basic34567891011121314151617181920212223[[#This Row],[نوع الخدمة]]="كاش ان",
    IF(F82&lt;=100, 18, IF(F82&lt;=250, 23, IF(F82&lt;=500, 35, IF(F82&lt;=1000, 40, F82*0.04)))),
IF(Basic34567891011121314151617181920212223[[#This Row],[نوع الخدمة]]="كاش اوت",
    IF(F82&lt;=100, 15, IF(F82&lt;=250, 20, IF(F82&lt;=500, 30, IF(F82&lt;=1000, 35, F82*0.035)))),
0)))</f>
        <v>0</v>
      </c>
      <c r="H82" s="159">
        <f>IF(I82="مخالفات",50,Basic34567891011121314151617181920212223[[#This Row],[قيمة الرسوم / العموله]]+Basic34567891011121314151617181920212223[[#This Row],[قيمة الشحنه]])</f>
        <v>0</v>
      </c>
      <c r="I82" s="90"/>
      <c r="J82" s="142" t="str">
        <f t="shared" si="1"/>
        <v>10.5.2026</v>
      </c>
      <c r="L82" s="153">
        <v>71</v>
      </c>
      <c r="M82" s="92"/>
    </row>
    <row r="83" spans="1:13" ht="21.6" x14ac:dyDescent="0.65">
      <c r="A83" s="195"/>
      <c r="B83" s="140">
        <v>80</v>
      </c>
      <c r="C83" s="2"/>
      <c r="D83" s="1"/>
      <c r="E83" s="3"/>
      <c r="F83" s="1"/>
      <c r="G83" s="141">
        <f>IF(Basic34567891011121314151617181920212223[[#This Row],[نوع الخدمة]]="مخالفات", 50,
IF(Basic34567891011121314151617181920212223[[#This Row],[نوع الخدمة]]="كاش ان",
    IF(F83&lt;=100, 18, IF(F83&lt;=250, 23, IF(F83&lt;=500, 35, IF(F83&lt;=1000, 40, F83*0.04)))),
IF(Basic34567891011121314151617181920212223[[#This Row],[نوع الخدمة]]="كاش اوت",
    IF(F83&lt;=100, 15, IF(F83&lt;=250, 20, IF(F83&lt;=500, 30, IF(F83&lt;=1000, 35, F83*0.035)))),
0)))</f>
        <v>0</v>
      </c>
      <c r="H83" s="159">
        <f>IF(I83="مخالفات",50,Basic34567891011121314151617181920212223[[#This Row],[قيمة الرسوم / العموله]]+Basic34567891011121314151617181920212223[[#This Row],[قيمة الشحنه]])</f>
        <v>0</v>
      </c>
      <c r="I83" s="90"/>
      <c r="J83" s="142" t="str">
        <f t="shared" si="1"/>
        <v>10.5.2026</v>
      </c>
      <c r="L83" s="153">
        <v>72</v>
      </c>
      <c r="M83" s="92"/>
    </row>
    <row r="84" spans="1:13" ht="21.6" x14ac:dyDescent="0.65">
      <c r="A84" s="195"/>
      <c r="B84" s="140">
        <v>81</v>
      </c>
      <c r="C84" s="2"/>
      <c r="D84" s="1"/>
      <c r="E84" s="3"/>
      <c r="F84" s="1"/>
      <c r="G84" s="141">
        <f>IF(Basic34567891011121314151617181920212223[[#This Row],[نوع الخدمة]]="مخالفات", 50,
IF(Basic34567891011121314151617181920212223[[#This Row],[نوع الخدمة]]="كاش ان",
    IF(F84&lt;=100, 18, IF(F84&lt;=250, 23, IF(F84&lt;=500, 35, IF(F84&lt;=1000, 40, F84*0.04)))),
IF(Basic34567891011121314151617181920212223[[#This Row],[نوع الخدمة]]="كاش اوت",
    IF(F84&lt;=100, 15, IF(F84&lt;=250, 20, IF(F84&lt;=500, 30, IF(F84&lt;=1000, 35, F84*0.035)))),
0)))</f>
        <v>0</v>
      </c>
      <c r="H84" s="159">
        <f>IF(I84="مخالفات",50,Basic34567891011121314151617181920212223[[#This Row],[قيمة الرسوم / العموله]]+Basic34567891011121314151617181920212223[[#This Row],[قيمة الشحنه]])</f>
        <v>0</v>
      </c>
      <c r="I84" s="90"/>
      <c r="J84" s="142" t="str">
        <f t="shared" si="1"/>
        <v>10.5.2026</v>
      </c>
      <c r="L84" s="153">
        <v>73</v>
      </c>
      <c r="M84" s="92"/>
    </row>
    <row r="85" spans="1:13" ht="21.6" x14ac:dyDescent="0.65">
      <c r="A85" s="195"/>
      <c r="B85" s="144">
        <v>82</v>
      </c>
      <c r="C85" s="2"/>
      <c r="D85" s="1"/>
      <c r="E85" s="3"/>
      <c r="F85" s="1"/>
      <c r="G85" s="141">
        <f>IF(Basic34567891011121314151617181920212223[[#This Row],[نوع الخدمة]]="مخالفات", 50,
IF(Basic34567891011121314151617181920212223[[#This Row],[نوع الخدمة]]="كاش ان",
    IF(F85&lt;=100, 18, IF(F85&lt;=250, 23, IF(F85&lt;=500, 35, IF(F85&lt;=1000, 40, F85*0.04)))),
IF(Basic34567891011121314151617181920212223[[#This Row],[نوع الخدمة]]="كاش اوت",
    IF(F85&lt;=100, 15, IF(F85&lt;=250, 20, IF(F85&lt;=500, 30, IF(F85&lt;=1000, 35, F85*0.035)))),
0)))</f>
        <v>0</v>
      </c>
      <c r="H85" s="159">
        <f>IF(I85="مخالفات",50,Basic34567891011121314151617181920212223[[#This Row],[قيمة الرسوم / العموله]]+Basic34567891011121314151617181920212223[[#This Row],[قيمة الشحنه]])</f>
        <v>0</v>
      </c>
      <c r="I85" s="90"/>
      <c r="J85" s="142" t="str">
        <f t="shared" si="1"/>
        <v>10.5.2026</v>
      </c>
      <c r="L85" s="153">
        <v>74</v>
      </c>
      <c r="M85" s="92"/>
    </row>
    <row r="86" spans="1:13" ht="21.6" x14ac:dyDescent="0.65">
      <c r="A86" s="195"/>
      <c r="B86" s="140">
        <v>83</v>
      </c>
      <c r="C86" s="2"/>
      <c r="D86" s="1"/>
      <c r="E86" s="3"/>
      <c r="F86" s="1"/>
      <c r="G86" s="141">
        <f>IF(Basic34567891011121314151617181920212223[[#This Row],[نوع الخدمة]]="مخالفات", 50,
IF(Basic34567891011121314151617181920212223[[#This Row],[نوع الخدمة]]="كاش ان",
    IF(F86&lt;=100, 18, IF(F86&lt;=250, 23, IF(F86&lt;=500, 35, IF(F86&lt;=1000, 40, F86*0.04)))),
IF(Basic34567891011121314151617181920212223[[#This Row],[نوع الخدمة]]="كاش اوت",
    IF(F86&lt;=100, 15, IF(F86&lt;=250, 20, IF(F86&lt;=500, 30, IF(F86&lt;=1000, 35, F86*0.035)))),
0)))</f>
        <v>0</v>
      </c>
      <c r="H86" s="159">
        <f>IF(I86="مخالفات",50,Basic34567891011121314151617181920212223[[#This Row],[قيمة الرسوم / العموله]]+Basic34567891011121314151617181920212223[[#This Row],[قيمة الشحنه]])</f>
        <v>0</v>
      </c>
      <c r="I86" s="90"/>
      <c r="J86" s="142" t="str">
        <f t="shared" si="1"/>
        <v>10.5.2026</v>
      </c>
      <c r="L86" s="153">
        <v>75</v>
      </c>
      <c r="M86" s="92"/>
    </row>
    <row r="87" spans="1:13" ht="21.6" x14ac:dyDescent="0.65">
      <c r="A87" s="195"/>
      <c r="B87" s="140">
        <v>84</v>
      </c>
      <c r="C87" s="2"/>
      <c r="D87" s="1"/>
      <c r="E87" s="3"/>
      <c r="F87" s="1"/>
      <c r="G87" s="141">
        <f>IF(Basic34567891011121314151617181920212223[[#This Row],[نوع الخدمة]]="مخالفات", 50,
IF(Basic34567891011121314151617181920212223[[#This Row],[نوع الخدمة]]="كاش ان",
    IF(F87&lt;=100, 18, IF(F87&lt;=250, 23, IF(F87&lt;=500, 35, IF(F87&lt;=1000, 40, F87*0.04)))),
IF(Basic34567891011121314151617181920212223[[#This Row],[نوع الخدمة]]="كاش اوت",
    IF(F87&lt;=100, 15, IF(F87&lt;=250, 20, IF(F87&lt;=500, 30, IF(F87&lt;=1000, 35, F87*0.035)))),
0)))</f>
        <v>0</v>
      </c>
      <c r="H87" s="159">
        <f>IF(I87="مخالفات",50,Basic34567891011121314151617181920212223[[#This Row],[قيمة الرسوم / العموله]]+Basic34567891011121314151617181920212223[[#This Row],[قيمة الشحنه]])</f>
        <v>0</v>
      </c>
      <c r="I87" s="90"/>
      <c r="J87" s="142" t="str">
        <f t="shared" si="1"/>
        <v>10.5.2026</v>
      </c>
      <c r="L87" s="153">
        <v>76</v>
      </c>
      <c r="M87" s="92"/>
    </row>
    <row r="88" spans="1:13" ht="21.6" x14ac:dyDescent="0.65">
      <c r="A88" s="195"/>
      <c r="B88" s="140">
        <v>85</v>
      </c>
      <c r="C88" s="2"/>
      <c r="D88" s="1"/>
      <c r="E88" s="3"/>
      <c r="F88" s="1"/>
      <c r="G88" s="141">
        <f>IF(Basic34567891011121314151617181920212223[[#This Row],[نوع الخدمة]]="مخالفات", 50,
IF(Basic34567891011121314151617181920212223[[#This Row],[نوع الخدمة]]="كاش ان",
    IF(F88&lt;=100, 18, IF(F88&lt;=250, 23, IF(F88&lt;=500, 35, IF(F88&lt;=1000, 40, F88*0.04)))),
IF(Basic34567891011121314151617181920212223[[#This Row],[نوع الخدمة]]="كاش اوت",
    IF(F88&lt;=100, 15, IF(F88&lt;=250, 20, IF(F88&lt;=500, 30, IF(F88&lt;=1000, 35, F88*0.035)))),
0)))</f>
        <v>0</v>
      </c>
      <c r="H88" s="159">
        <f>IF(I88="مخالفات",50,Basic34567891011121314151617181920212223[[#This Row],[قيمة الرسوم / العموله]]+Basic34567891011121314151617181920212223[[#This Row],[قيمة الشحنه]])</f>
        <v>0</v>
      </c>
      <c r="I88" s="90"/>
      <c r="J88" s="142" t="str">
        <f t="shared" si="1"/>
        <v>10.5.2026</v>
      </c>
      <c r="L88" s="153">
        <v>77</v>
      </c>
      <c r="M88" s="92"/>
    </row>
    <row r="89" spans="1:13" ht="21.6" x14ac:dyDescent="0.65">
      <c r="A89" s="195"/>
      <c r="B89" s="144">
        <v>86</v>
      </c>
      <c r="C89" s="2"/>
      <c r="D89" s="1"/>
      <c r="E89" s="3"/>
      <c r="F89" s="1"/>
      <c r="G89" s="141">
        <f>IF(Basic34567891011121314151617181920212223[[#This Row],[نوع الخدمة]]="مخالفات", 50,
IF(Basic34567891011121314151617181920212223[[#This Row],[نوع الخدمة]]="كاش ان",
    IF(F89&lt;=100, 18, IF(F89&lt;=250, 23, IF(F89&lt;=500, 35, IF(F89&lt;=1000, 40, F89*0.04)))),
IF(Basic34567891011121314151617181920212223[[#This Row],[نوع الخدمة]]="كاش اوت",
    IF(F89&lt;=100, 15, IF(F89&lt;=250, 20, IF(F89&lt;=500, 30, IF(F89&lt;=1000, 35, F89*0.035)))),
0)))</f>
        <v>0</v>
      </c>
      <c r="H89" s="159">
        <f>IF(I89="مخالفات",50,Basic34567891011121314151617181920212223[[#This Row],[قيمة الرسوم / العموله]]+Basic34567891011121314151617181920212223[[#This Row],[قيمة الشحنه]])</f>
        <v>0</v>
      </c>
      <c r="I89" s="90"/>
      <c r="J89" s="142" t="str">
        <f t="shared" si="1"/>
        <v>10.5.2026</v>
      </c>
      <c r="L89" s="153">
        <v>78</v>
      </c>
      <c r="M89" s="92"/>
    </row>
    <row r="90" spans="1:13" ht="21.6" x14ac:dyDescent="0.65">
      <c r="A90" s="195"/>
      <c r="B90" s="140">
        <v>87</v>
      </c>
      <c r="C90" s="2"/>
      <c r="D90" s="1"/>
      <c r="E90" s="3"/>
      <c r="F90" s="1"/>
      <c r="G90" s="141">
        <f>IF(Basic34567891011121314151617181920212223[[#This Row],[نوع الخدمة]]="مخالفات", 50,
IF(Basic34567891011121314151617181920212223[[#This Row],[نوع الخدمة]]="كاش ان",
    IF(F90&lt;=100, 18, IF(F90&lt;=250, 23, IF(F90&lt;=500, 35, IF(F90&lt;=1000, 40, F90*0.04)))),
IF(Basic34567891011121314151617181920212223[[#This Row],[نوع الخدمة]]="كاش اوت",
    IF(F90&lt;=100, 15, IF(F90&lt;=250, 20, IF(F90&lt;=500, 30, IF(F90&lt;=1000, 35, F90*0.035)))),
0)))</f>
        <v>0</v>
      </c>
      <c r="H90" s="159">
        <f>IF(I90="مخالفات",50,Basic34567891011121314151617181920212223[[#This Row],[قيمة الرسوم / العموله]]+Basic34567891011121314151617181920212223[[#This Row],[قيمة الشحنه]])</f>
        <v>0</v>
      </c>
      <c r="I90" s="90"/>
      <c r="J90" s="142" t="str">
        <f t="shared" si="1"/>
        <v>10.5.2026</v>
      </c>
      <c r="L90" s="153">
        <v>79</v>
      </c>
      <c r="M90" s="92"/>
    </row>
    <row r="91" spans="1:13" ht="21.6" x14ac:dyDescent="0.65">
      <c r="A91" s="195"/>
      <c r="B91" s="140">
        <v>88</v>
      </c>
      <c r="C91" s="2"/>
      <c r="D91" s="1"/>
      <c r="E91" s="3"/>
      <c r="F91" s="1"/>
      <c r="G91" s="141">
        <f>IF(Basic34567891011121314151617181920212223[[#This Row],[نوع الخدمة]]="مخالفات", 50,
IF(Basic34567891011121314151617181920212223[[#This Row],[نوع الخدمة]]="كاش ان",
    IF(F91&lt;=100, 18, IF(F91&lt;=250, 23, IF(F91&lt;=500, 35, IF(F91&lt;=1000, 40, F91*0.04)))),
IF(Basic34567891011121314151617181920212223[[#This Row],[نوع الخدمة]]="كاش اوت",
    IF(F91&lt;=100, 15, IF(F91&lt;=250, 20, IF(F91&lt;=500, 30, IF(F91&lt;=1000, 35, F91*0.035)))),
0)))</f>
        <v>0</v>
      </c>
      <c r="H91" s="159">
        <f>IF(I91="مخالفات",50,Basic34567891011121314151617181920212223[[#This Row],[قيمة الرسوم / العموله]]+Basic34567891011121314151617181920212223[[#This Row],[قيمة الشحنه]])</f>
        <v>0</v>
      </c>
      <c r="I91" s="90"/>
      <c r="J91" s="142" t="str">
        <f t="shared" si="1"/>
        <v>10.5.2026</v>
      </c>
      <c r="L91" s="153">
        <v>80</v>
      </c>
      <c r="M91" s="92"/>
    </row>
    <row r="92" spans="1:13" ht="21.6" x14ac:dyDescent="0.65">
      <c r="A92" s="195"/>
      <c r="B92" s="140">
        <v>89</v>
      </c>
      <c r="C92" s="2"/>
      <c r="D92" s="1"/>
      <c r="E92" s="3"/>
      <c r="F92" s="1"/>
      <c r="G92" s="141">
        <f>IF(Basic34567891011121314151617181920212223[[#This Row],[نوع الخدمة]]="مخالفات", 50,
IF(Basic34567891011121314151617181920212223[[#This Row],[نوع الخدمة]]="كاش ان",
    IF(F92&lt;=100, 18, IF(F92&lt;=250, 23, IF(F92&lt;=500, 35, IF(F92&lt;=1000, 40, F92*0.04)))),
IF(Basic34567891011121314151617181920212223[[#This Row],[نوع الخدمة]]="كاش اوت",
    IF(F92&lt;=100, 15, IF(F92&lt;=250, 20, IF(F92&lt;=500, 30, IF(F92&lt;=1000, 35, F92*0.035)))),
0)))</f>
        <v>0</v>
      </c>
      <c r="H92" s="159">
        <f>IF(I92="مخالفات",50,Basic34567891011121314151617181920212223[[#This Row],[قيمة الرسوم / العموله]]+Basic34567891011121314151617181920212223[[#This Row],[قيمة الشحنه]])</f>
        <v>0</v>
      </c>
      <c r="I92" s="90"/>
      <c r="J92" s="142" t="str">
        <f t="shared" si="1"/>
        <v>10.5.2026</v>
      </c>
      <c r="L92" s="153">
        <v>81</v>
      </c>
      <c r="M92" s="92"/>
    </row>
    <row r="93" spans="1:13" ht="21.6" x14ac:dyDescent="0.65">
      <c r="A93" s="195"/>
      <c r="B93" s="144">
        <v>90</v>
      </c>
      <c r="C93" s="2"/>
      <c r="D93" s="1"/>
      <c r="E93" s="3"/>
      <c r="F93" s="1"/>
      <c r="G93" s="141">
        <f>IF(Basic34567891011121314151617181920212223[[#This Row],[نوع الخدمة]]="مخالفات", 50,
IF(Basic34567891011121314151617181920212223[[#This Row],[نوع الخدمة]]="كاش ان",
    IF(F93&lt;=100, 18, IF(F93&lt;=250, 23, IF(F93&lt;=500, 35, IF(F93&lt;=1000, 40, F93*0.04)))),
IF(Basic34567891011121314151617181920212223[[#This Row],[نوع الخدمة]]="كاش اوت",
    IF(F93&lt;=100, 15, IF(F93&lt;=250, 20, IF(F93&lt;=500, 30, IF(F93&lt;=1000, 35, F93*0.035)))),
0)))</f>
        <v>0</v>
      </c>
      <c r="H93" s="159">
        <f>IF(I93="مخالفات",50,Basic34567891011121314151617181920212223[[#This Row],[قيمة الرسوم / العموله]]+Basic34567891011121314151617181920212223[[#This Row],[قيمة الشحنه]])</f>
        <v>0</v>
      </c>
      <c r="I93" s="90"/>
      <c r="J93" s="142" t="str">
        <f t="shared" si="1"/>
        <v>10.5.2026</v>
      </c>
      <c r="L93" s="153">
        <v>82</v>
      </c>
      <c r="M93" s="92"/>
    </row>
    <row r="94" spans="1:13" ht="21.6" x14ac:dyDescent="0.65">
      <c r="A94" s="195"/>
      <c r="B94" s="140">
        <v>91</v>
      </c>
      <c r="C94" s="2"/>
      <c r="D94" s="1"/>
      <c r="E94" s="3"/>
      <c r="F94" s="1"/>
      <c r="G94" s="141">
        <f>IF(Basic34567891011121314151617181920212223[[#This Row],[نوع الخدمة]]="مخالفات", 50,
IF(Basic34567891011121314151617181920212223[[#This Row],[نوع الخدمة]]="كاش ان",
    IF(F94&lt;=100, 18, IF(F94&lt;=250, 23, IF(F94&lt;=500, 35, IF(F94&lt;=1000, 40, F94*0.04)))),
IF(Basic34567891011121314151617181920212223[[#This Row],[نوع الخدمة]]="كاش اوت",
    IF(F94&lt;=100, 15, IF(F94&lt;=250, 20, IF(F94&lt;=500, 30, IF(F94&lt;=1000, 35, F94*0.035)))),
0)))</f>
        <v>0</v>
      </c>
      <c r="H94" s="159">
        <f>IF(I94="مخالفات",50,Basic34567891011121314151617181920212223[[#This Row],[قيمة الرسوم / العموله]]+Basic34567891011121314151617181920212223[[#This Row],[قيمة الشحنه]])</f>
        <v>0</v>
      </c>
      <c r="I94" s="90"/>
      <c r="J94" s="142" t="str">
        <f t="shared" si="1"/>
        <v>10.5.2026</v>
      </c>
      <c r="L94" s="153">
        <v>83</v>
      </c>
      <c r="M94" s="92"/>
    </row>
    <row r="95" spans="1:13" ht="21.6" x14ac:dyDescent="0.65">
      <c r="A95" s="195"/>
      <c r="B95" s="140">
        <v>92</v>
      </c>
      <c r="C95" s="2"/>
      <c r="D95" s="1"/>
      <c r="E95" s="3"/>
      <c r="F95" s="1"/>
      <c r="G95" s="141">
        <f>IF(Basic34567891011121314151617181920212223[[#This Row],[نوع الخدمة]]="مخالفات", 50,
IF(Basic34567891011121314151617181920212223[[#This Row],[نوع الخدمة]]="كاش ان",
    IF(F95&lt;=100, 18, IF(F95&lt;=250, 23, IF(F95&lt;=500, 35, IF(F95&lt;=1000, 40, F95*0.04)))),
IF(Basic34567891011121314151617181920212223[[#This Row],[نوع الخدمة]]="كاش اوت",
    IF(F95&lt;=100, 15, IF(F95&lt;=250, 20, IF(F95&lt;=500, 30, IF(F95&lt;=1000, 35, F95*0.035)))),
0)))</f>
        <v>0</v>
      </c>
      <c r="H95" s="159">
        <f>IF(I95="مخالفات",50,Basic34567891011121314151617181920212223[[#This Row],[قيمة الرسوم / العموله]]+Basic34567891011121314151617181920212223[[#This Row],[قيمة الشحنه]])</f>
        <v>0</v>
      </c>
      <c r="I95" s="90"/>
      <c r="J95" s="142" t="str">
        <f t="shared" si="1"/>
        <v>10.5.2026</v>
      </c>
      <c r="L95" s="153">
        <v>84</v>
      </c>
      <c r="M95" s="92"/>
    </row>
    <row r="96" spans="1:13" ht="21.6" x14ac:dyDescent="0.65">
      <c r="A96" s="195"/>
      <c r="B96" s="140">
        <v>93</v>
      </c>
      <c r="C96" s="2"/>
      <c r="D96" s="1"/>
      <c r="E96" s="3"/>
      <c r="F96" s="1"/>
      <c r="G96" s="141">
        <f>IF(Basic34567891011121314151617181920212223[[#This Row],[نوع الخدمة]]="مخالفات", 50,
IF(Basic34567891011121314151617181920212223[[#This Row],[نوع الخدمة]]="كاش ان",
    IF(F96&lt;=100, 18, IF(F96&lt;=250, 23, IF(F96&lt;=500, 35, IF(F96&lt;=1000, 40, F96*0.04)))),
IF(Basic34567891011121314151617181920212223[[#This Row],[نوع الخدمة]]="كاش اوت",
    IF(F96&lt;=100, 15, IF(F96&lt;=250, 20, IF(F96&lt;=500, 30, IF(F96&lt;=1000, 35, F96*0.035)))),
0)))</f>
        <v>0</v>
      </c>
      <c r="H96" s="159">
        <f>IF(I96="مخالفات",50,Basic34567891011121314151617181920212223[[#This Row],[قيمة الرسوم / العموله]]+Basic34567891011121314151617181920212223[[#This Row],[قيمة الشحنه]])</f>
        <v>0</v>
      </c>
      <c r="I96" s="90"/>
      <c r="J96" s="142" t="str">
        <f t="shared" si="1"/>
        <v>10.5.2026</v>
      </c>
      <c r="L96" s="153">
        <v>85</v>
      </c>
      <c r="M96" s="92"/>
    </row>
    <row r="97" spans="1:13" ht="21.6" x14ac:dyDescent="0.65">
      <c r="A97" s="195"/>
      <c r="B97" s="144">
        <v>94</v>
      </c>
      <c r="C97" s="2"/>
      <c r="D97" s="1"/>
      <c r="E97" s="3"/>
      <c r="F97" s="1"/>
      <c r="G97" s="141">
        <f>IF(Basic34567891011121314151617181920212223[[#This Row],[نوع الخدمة]]="مخالفات", 50,
IF(Basic34567891011121314151617181920212223[[#This Row],[نوع الخدمة]]="كاش ان",
    IF(F97&lt;=100, 18, IF(F97&lt;=250, 23, IF(F97&lt;=500, 35, IF(F97&lt;=1000, 40, F97*0.04)))),
IF(Basic34567891011121314151617181920212223[[#This Row],[نوع الخدمة]]="كاش اوت",
    IF(F97&lt;=100, 15, IF(F97&lt;=250, 20, IF(F97&lt;=500, 30, IF(F97&lt;=1000, 35, F97*0.035)))),
0)))</f>
        <v>0</v>
      </c>
      <c r="H97" s="159">
        <f>IF(I97="مخالفات",50,Basic34567891011121314151617181920212223[[#This Row],[قيمة الرسوم / العموله]]+Basic34567891011121314151617181920212223[[#This Row],[قيمة الشحنه]])</f>
        <v>0</v>
      </c>
      <c r="I97" s="90"/>
      <c r="J97" s="142" t="str">
        <f t="shared" si="1"/>
        <v>10.5.2026</v>
      </c>
      <c r="L97" s="153">
        <v>86</v>
      </c>
      <c r="M97" s="92"/>
    </row>
    <row r="98" spans="1:13" ht="21.6" x14ac:dyDescent="0.65">
      <c r="A98" s="195"/>
      <c r="B98" s="140">
        <v>95</v>
      </c>
      <c r="C98" s="2"/>
      <c r="D98" s="1"/>
      <c r="E98" s="3"/>
      <c r="F98" s="1"/>
      <c r="G98" s="141">
        <f>IF(Basic34567891011121314151617181920212223[[#This Row],[نوع الخدمة]]="مخالفات", 50,
IF(Basic34567891011121314151617181920212223[[#This Row],[نوع الخدمة]]="كاش ان",
    IF(F98&lt;=100, 18, IF(F98&lt;=250, 23, IF(F98&lt;=500, 35, IF(F98&lt;=1000, 40, F98*0.04)))),
IF(Basic34567891011121314151617181920212223[[#This Row],[نوع الخدمة]]="كاش اوت",
    IF(F98&lt;=100, 15, IF(F98&lt;=250, 20, IF(F98&lt;=500, 30, IF(F98&lt;=1000, 35, F98*0.035)))),
0)))</f>
        <v>0</v>
      </c>
      <c r="H98" s="159">
        <f>IF(I98="مخالفات",50,Basic34567891011121314151617181920212223[[#This Row],[قيمة الرسوم / العموله]]+Basic34567891011121314151617181920212223[[#This Row],[قيمة الشحنه]])</f>
        <v>0</v>
      </c>
      <c r="I98" s="90"/>
      <c r="J98" s="142" t="str">
        <f t="shared" si="1"/>
        <v>10.5.2026</v>
      </c>
      <c r="L98" s="153">
        <v>87</v>
      </c>
      <c r="M98" s="92"/>
    </row>
    <row r="99" spans="1:13" ht="21.6" x14ac:dyDescent="0.65">
      <c r="A99" s="195"/>
      <c r="B99" s="140">
        <v>96</v>
      </c>
      <c r="C99" s="2"/>
      <c r="D99" s="1"/>
      <c r="E99" s="3"/>
      <c r="F99" s="1"/>
      <c r="G99" s="141">
        <f>IF(Basic34567891011121314151617181920212223[[#This Row],[نوع الخدمة]]="مخالفات", 50,
IF(Basic34567891011121314151617181920212223[[#This Row],[نوع الخدمة]]="كاش ان",
    IF(F99&lt;=100, 18, IF(F99&lt;=250, 23, IF(F99&lt;=500, 35, IF(F99&lt;=1000, 40, F99*0.04)))),
IF(Basic34567891011121314151617181920212223[[#This Row],[نوع الخدمة]]="كاش اوت",
    IF(F99&lt;=100, 15, IF(F99&lt;=250, 20, IF(F99&lt;=500, 30, IF(F99&lt;=1000, 35, F99*0.035)))),
0)))</f>
        <v>0</v>
      </c>
      <c r="H99" s="159">
        <f>IF(I99="مخالفات",50,Basic34567891011121314151617181920212223[[#This Row],[قيمة الرسوم / العموله]]+Basic34567891011121314151617181920212223[[#This Row],[قيمة الشحنه]])</f>
        <v>0</v>
      </c>
      <c r="I99" s="90"/>
      <c r="J99" s="142" t="str">
        <f t="shared" si="1"/>
        <v>10.5.2026</v>
      </c>
      <c r="L99" s="153">
        <v>88</v>
      </c>
      <c r="M99" s="92"/>
    </row>
    <row r="100" spans="1:13" ht="21.6" x14ac:dyDescent="0.65">
      <c r="A100" s="195"/>
      <c r="B100" s="140">
        <v>97</v>
      </c>
      <c r="C100" s="2"/>
      <c r="D100" s="1"/>
      <c r="E100" s="3"/>
      <c r="F100" s="1"/>
      <c r="G100" s="141">
        <f>IF(Basic34567891011121314151617181920212223[[#This Row],[نوع الخدمة]]="مخالفات", 50,
IF(Basic34567891011121314151617181920212223[[#This Row],[نوع الخدمة]]="كاش ان",
    IF(F100&lt;=100, 18, IF(F100&lt;=250, 23, IF(F100&lt;=500, 35, IF(F100&lt;=1000, 40, F100*0.04)))),
IF(Basic34567891011121314151617181920212223[[#This Row],[نوع الخدمة]]="كاش اوت",
    IF(F100&lt;=100, 15, IF(F100&lt;=250, 20, IF(F100&lt;=500, 30, IF(F100&lt;=1000, 35, F100*0.035)))),
0)))</f>
        <v>0</v>
      </c>
      <c r="H100" s="159">
        <f>IF(I100="مخالفات",50,Basic34567891011121314151617181920212223[[#This Row],[قيمة الرسوم / العموله]]+Basic34567891011121314151617181920212223[[#This Row],[قيمة الشحنه]])</f>
        <v>0</v>
      </c>
      <c r="I100" s="90"/>
      <c r="J100" s="142" t="str">
        <f t="shared" si="1"/>
        <v>10.5.2026</v>
      </c>
      <c r="L100" s="153">
        <v>89</v>
      </c>
      <c r="M100" s="92"/>
    </row>
    <row r="101" spans="1:13" ht="21.6" x14ac:dyDescent="0.65">
      <c r="A101" s="195"/>
      <c r="B101" s="144">
        <v>98</v>
      </c>
      <c r="C101" s="2"/>
      <c r="D101" s="1"/>
      <c r="E101" s="3"/>
      <c r="F101" s="1"/>
      <c r="G101" s="141">
        <f>IF(Basic34567891011121314151617181920212223[[#This Row],[نوع الخدمة]]="مخالفات", 50,
IF(Basic34567891011121314151617181920212223[[#This Row],[نوع الخدمة]]="كاش ان",
    IF(F101&lt;=100, 18, IF(F101&lt;=250, 23, IF(F101&lt;=500, 35, IF(F101&lt;=1000, 40, F101*0.04)))),
IF(Basic34567891011121314151617181920212223[[#This Row],[نوع الخدمة]]="كاش اوت",
    IF(F101&lt;=100, 15, IF(F101&lt;=250, 20, IF(F101&lt;=500, 30, IF(F101&lt;=1000, 35, F101*0.035)))),
0)))</f>
        <v>0</v>
      </c>
      <c r="H101" s="159">
        <f>IF(I101="مخالفات",50,Basic34567891011121314151617181920212223[[#This Row],[قيمة الرسوم / العموله]]+Basic34567891011121314151617181920212223[[#This Row],[قيمة الشحنه]])</f>
        <v>0</v>
      </c>
      <c r="I101" s="90"/>
      <c r="J101" s="142" t="str">
        <f t="shared" si="1"/>
        <v>10.5.2026</v>
      </c>
      <c r="L101" s="153">
        <v>90</v>
      </c>
      <c r="M101" s="92"/>
    </row>
    <row r="102" spans="1:13" ht="21.6" x14ac:dyDescent="0.65">
      <c r="A102" s="195"/>
      <c r="B102" s="140">
        <v>99</v>
      </c>
      <c r="C102" s="2"/>
      <c r="D102" s="1"/>
      <c r="E102" s="3"/>
      <c r="F102" s="1"/>
      <c r="G102" s="141">
        <f>IF(Basic34567891011121314151617181920212223[[#This Row],[نوع الخدمة]]="مخالفات", 50,
IF(Basic34567891011121314151617181920212223[[#This Row],[نوع الخدمة]]="كاش ان",
    IF(F102&lt;=100, 18, IF(F102&lt;=250, 23, IF(F102&lt;=500, 35, IF(F102&lt;=1000, 40, F102*0.04)))),
IF(Basic34567891011121314151617181920212223[[#This Row],[نوع الخدمة]]="كاش اوت",
    IF(F102&lt;=100, 15, IF(F102&lt;=250, 20, IF(F102&lt;=500, 30, IF(F102&lt;=1000, 35, F102*0.035)))),
0)))</f>
        <v>0</v>
      </c>
      <c r="H102" s="159">
        <f>IF(I102="مخالفات",50,Basic34567891011121314151617181920212223[[#This Row],[قيمة الرسوم / العموله]]+Basic34567891011121314151617181920212223[[#This Row],[قيمة الشحنه]])</f>
        <v>0</v>
      </c>
      <c r="I102" s="90"/>
      <c r="J102" s="142" t="str">
        <f t="shared" si="1"/>
        <v>10.5.2026</v>
      </c>
      <c r="L102" s="153">
        <v>91</v>
      </c>
      <c r="M102" s="92"/>
    </row>
    <row r="103" spans="1:13" ht="21.6" x14ac:dyDescent="0.65">
      <c r="A103" s="195"/>
      <c r="B103" s="140">
        <v>100</v>
      </c>
      <c r="C103" s="2"/>
      <c r="D103" s="1"/>
      <c r="E103" s="3"/>
      <c r="F103" s="1"/>
      <c r="G103" s="141">
        <f>IF(Basic34567891011121314151617181920212223[[#This Row],[نوع الخدمة]]="مخالفات", 50,
IF(Basic34567891011121314151617181920212223[[#This Row],[نوع الخدمة]]="كاش ان",
    IF(F103&lt;=100, 18, IF(F103&lt;=250, 23, IF(F103&lt;=500, 35, IF(F103&lt;=1000, 40, F103*0.04)))),
IF(Basic34567891011121314151617181920212223[[#This Row],[نوع الخدمة]]="كاش اوت",
    IF(F103&lt;=100, 15, IF(F103&lt;=250, 20, IF(F103&lt;=500, 30, IF(F103&lt;=1000, 35, F103*0.035)))),
0)))</f>
        <v>0</v>
      </c>
      <c r="H103" s="159">
        <f>IF(I103="مخالفات",50,Basic34567891011121314151617181920212223[[#This Row],[قيمة الرسوم / العموله]]+Basic34567891011121314151617181920212223[[#This Row],[قيمة الشحنه]])</f>
        <v>0</v>
      </c>
      <c r="I103" s="90"/>
      <c r="J103" s="142" t="str">
        <f t="shared" si="1"/>
        <v>10.5.2026</v>
      </c>
      <c r="L103" s="153">
        <v>92</v>
      </c>
      <c r="M103" s="92"/>
    </row>
    <row r="104" spans="1:13" ht="21.6" x14ac:dyDescent="0.65">
      <c r="A104" s="195"/>
      <c r="B104" s="140">
        <v>101</v>
      </c>
      <c r="C104" s="2"/>
      <c r="D104" s="1"/>
      <c r="E104" s="3"/>
      <c r="F104" s="1"/>
      <c r="G104" s="141">
        <f>IF(Basic34567891011121314151617181920212223[[#This Row],[نوع الخدمة]]="مخالفات", 50,
IF(Basic34567891011121314151617181920212223[[#This Row],[نوع الخدمة]]="كاش ان",
    IF(F104&lt;=100, 18, IF(F104&lt;=250, 23, IF(F104&lt;=500, 35, IF(F104&lt;=1000, 40, F104*0.04)))),
IF(Basic34567891011121314151617181920212223[[#This Row],[نوع الخدمة]]="كاش اوت",
    IF(F104&lt;=100, 15, IF(F104&lt;=250, 20, IF(F104&lt;=500, 30, IF(F104&lt;=1000, 35, F104*0.035)))),
0)))</f>
        <v>0</v>
      </c>
      <c r="H104" s="159">
        <f>IF(I104="مخالفات",50,Basic34567891011121314151617181920212223[[#This Row],[قيمة الرسوم / العموله]]+Basic34567891011121314151617181920212223[[#This Row],[قيمة الشحنه]])</f>
        <v>0</v>
      </c>
      <c r="I104" s="90"/>
      <c r="J104" s="142" t="str">
        <f t="shared" si="1"/>
        <v>10.5.2026</v>
      </c>
      <c r="L104" s="153">
        <v>93</v>
      </c>
      <c r="M104" s="92"/>
    </row>
    <row r="105" spans="1:13" ht="21.6" x14ac:dyDescent="0.65">
      <c r="A105" s="195"/>
      <c r="B105" s="144">
        <v>102</v>
      </c>
      <c r="C105" s="2"/>
      <c r="D105" s="1"/>
      <c r="E105" s="3"/>
      <c r="F105" s="1"/>
      <c r="G105" s="141">
        <f>IF(Basic34567891011121314151617181920212223[[#This Row],[نوع الخدمة]]="مخالفات", 50,
IF(Basic34567891011121314151617181920212223[[#This Row],[نوع الخدمة]]="كاش ان",
    IF(F105&lt;=100, 18, IF(F105&lt;=250, 23, IF(F105&lt;=500, 35, IF(F105&lt;=1000, 40, F105*0.04)))),
IF(Basic34567891011121314151617181920212223[[#This Row],[نوع الخدمة]]="كاش اوت",
    IF(F105&lt;=100, 15, IF(F105&lt;=250, 20, IF(F105&lt;=500, 30, IF(F105&lt;=1000, 35, F105*0.035)))),
0)))</f>
        <v>0</v>
      </c>
      <c r="H105" s="159">
        <f>IF(I105="مخالفات",50,Basic34567891011121314151617181920212223[[#This Row],[قيمة الرسوم / العموله]]+Basic34567891011121314151617181920212223[[#This Row],[قيمة الشحنه]])</f>
        <v>0</v>
      </c>
      <c r="I105" s="90"/>
      <c r="J105" s="142" t="str">
        <f t="shared" si="1"/>
        <v>10.5.2026</v>
      </c>
      <c r="L105" s="153">
        <v>94</v>
      </c>
      <c r="M105" s="92"/>
    </row>
    <row r="106" spans="1:13" ht="21.6" x14ac:dyDescent="0.65">
      <c r="A106" s="195"/>
      <c r="B106" s="140">
        <v>103</v>
      </c>
      <c r="C106" s="2"/>
      <c r="D106" s="1"/>
      <c r="E106" s="3"/>
      <c r="F106" s="1"/>
      <c r="G106" s="141">
        <f>IF(Basic34567891011121314151617181920212223[[#This Row],[نوع الخدمة]]="مخالفات", 50,
IF(Basic34567891011121314151617181920212223[[#This Row],[نوع الخدمة]]="كاش ان",
    IF(F106&lt;=100, 18, IF(F106&lt;=250, 23, IF(F106&lt;=500, 35, IF(F106&lt;=1000, 40, F106*0.04)))),
IF(Basic34567891011121314151617181920212223[[#This Row],[نوع الخدمة]]="كاش اوت",
    IF(F106&lt;=100, 15, IF(F106&lt;=250, 20, IF(F106&lt;=500, 30, IF(F106&lt;=1000, 35, F106*0.035)))),
0)))</f>
        <v>0</v>
      </c>
      <c r="H106" s="159">
        <f>IF(I106="مخالفات",50,Basic34567891011121314151617181920212223[[#This Row],[قيمة الرسوم / العموله]]+Basic34567891011121314151617181920212223[[#This Row],[قيمة الشحنه]])</f>
        <v>0</v>
      </c>
      <c r="I106" s="90"/>
      <c r="J106" s="142" t="str">
        <f t="shared" si="1"/>
        <v>10.5.2026</v>
      </c>
      <c r="L106" s="153">
        <v>95</v>
      </c>
      <c r="M106" s="92"/>
    </row>
    <row r="107" spans="1:13" ht="21.6" x14ac:dyDescent="0.65">
      <c r="A107" s="195"/>
      <c r="B107" s="140">
        <v>104</v>
      </c>
      <c r="C107" s="2"/>
      <c r="D107" s="1"/>
      <c r="E107" s="3"/>
      <c r="F107" s="1"/>
      <c r="G107" s="141">
        <f>IF(Basic34567891011121314151617181920212223[[#This Row],[نوع الخدمة]]="مخالفات", 50,
IF(Basic34567891011121314151617181920212223[[#This Row],[نوع الخدمة]]="كاش ان",
    IF(F107&lt;=100, 18, IF(F107&lt;=250, 23, IF(F107&lt;=500, 35, IF(F107&lt;=1000, 40, F107*0.04)))),
IF(Basic34567891011121314151617181920212223[[#This Row],[نوع الخدمة]]="كاش اوت",
    IF(F107&lt;=100, 15, IF(F107&lt;=250, 20, IF(F107&lt;=500, 30, IF(F107&lt;=1000, 35, F107*0.035)))),
0)))</f>
        <v>0</v>
      </c>
      <c r="H107" s="159">
        <f>IF(I107="مخالفات",50,Basic34567891011121314151617181920212223[[#This Row],[قيمة الرسوم / العموله]]+Basic34567891011121314151617181920212223[[#This Row],[قيمة الشحنه]])</f>
        <v>0</v>
      </c>
      <c r="I107" s="90"/>
      <c r="J107" s="142" t="str">
        <f t="shared" si="1"/>
        <v>10.5.2026</v>
      </c>
      <c r="L107" s="153">
        <v>96</v>
      </c>
      <c r="M107" s="92"/>
    </row>
    <row r="108" spans="1:13" ht="21.6" x14ac:dyDescent="0.65">
      <c r="A108" s="195"/>
      <c r="B108" s="140">
        <v>105</v>
      </c>
      <c r="C108" s="2"/>
      <c r="D108" s="1"/>
      <c r="E108" s="3"/>
      <c r="F108" s="1"/>
      <c r="G108" s="141">
        <f>IF(Basic34567891011121314151617181920212223[[#This Row],[نوع الخدمة]]="مخالفات", 50,
IF(Basic34567891011121314151617181920212223[[#This Row],[نوع الخدمة]]="كاش ان",
    IF(F108&lt;=100, 18, IF(F108&lt;=250, 23, IF(F108&lt;=500, 35, IF(F108&lt;=1000, 40, F108*0.04)))),
IF(Basic34567891011121314151617181920212223[[#This Row],[نوع الخدمة]]="كاش اوت",
    IF(F108&lt;=100, 15, IF(F108&lt;=250, 20, IF(F108&lt;=500, 30, IF(F108&lt;=1000, 35, F108*0.035)))),
0)))</f>
        <v>0</v>
      </c>
      <c r="H108" s="159">
        <f>IF(I108="مخالفات",50,Basic34567891011121314151617181920212223[[#This Row],[قيمة الرسوم / العموله]]+Basic34567891011121314151617181920212223[[#This Row],[قيمة الشحنه]])</f>
        <v>0</v>
      </c>
      <c r="I108" s="90"/>
      <c r="J108" s="142" t="str">
        <f t="shared" si="1"/>
        <v>10.5.2026</v>
      </c>
      <c r="L108" s="153">
        <v>97</v>
      </c>
      <c r="M108" s="92"/>
    </row>
    <row r="109" spans="1:13" ht="21.6" x14ac:dyDescent="0.65">
      <c r="A109" s="195"/>
      <c r="B109" s="144">
        <v>106</v>
      </c>
      <c r="C109" s="2"/>
      <c r="D109" s="1"/>
      <c r="E109" s="3"/>
      <c r="F109" s="1"/>
      <c r="G109" s="141">
        <f>IF(Basic34567891011121314151617181920212223[[#This Row],[نوع الخدمة]]="مخالفات", 50,
IF(Basic34567891011121314151617181920212223[[#This Row],[نوع الخدمة]]="كاش ان",
    IF(F109&lt;=100, 18, IF(F109&lt;=250, 23, IF(F109&lt;=500, 35, IF(F109&lt;=1000, 40, F109*0.04)))),
IF(Basic34567891011121314151617181920212223[[#This Row],[نوع الخدمة]]="كاش اوت",
    IF(F109&lt;=100, 15, IF(F109&lt;=250, 20, IF(F109&lt;=500, 30, IF(F109&lt;=1000, 35, F109*0.035)))),
0)))</f>
        <v>0</v>
      </c>
      <c r="H109" s="159">
        <f>IF(I109="مخالفات",50,Basic34567891011121314151617181920212223[[#This Row],[قيمة الرسوم / العموله]]+Basic34567891011121314151617181920212223[[#This Row],[قيمة الشحنه]])</f>
        <v>0</v>
      </c>
      <c r="I109" s="90"/>
      <c r="J109" s="142" t="str">
        <f t="shared" si="1"/>
        <v>10.5.2026</v>
      </c>
      <c r="L109" s="153">
        <v>98</v>
      </c>
      <c r="M109" s="92"/>
    </row>
    <row r="110" spans="1:13" ht="21.6" x14ac:dyDescent="0.65">
      <c r="A110" s="195"/>
      <c r="B110" s="140">
        <v>107</v>
      </c>
      <c r="C110" s="2"/>
      <c r="D110" s="1"/>
      <c r="E110" s="3"/>
      <c r="F110" s="1"/>
      <c r="G110" s="141">
        <f>IF(Basic34567891011121314151617181920212223[[#This Row],[نوع الخدمة]]="مخالفات", 50,
IF(Basic34567891011121314151617181920212223[[#This Row],[نوع الخدمة]]="كاش ان",
    IF(F110&lt;=100, 18, IF(F110&lt;=250, 23, IF(F110&lt;=500, 35, IF(F110&lt;=1000, 40, F110*0.04)))),
IF(Basic34567891011121314151617181920212223[[#This Row],[نوع الخدمة]]="كاش اوت",
    IF(F110&lt;=100, 15, IF(F110&lt;=250, 20, IF(F110&lt;=500, 30, IF(F110&lt;=1000, 35, F110*0.035)))),
0)))</f>
        <v>0</v>
      </c>
      <c r="H110" s="159">
        <f>IF(I110="مخالفات",50,Basic34567891011121314151617181920212223[[#This Row],[قيمة الرسوم / العموله]]+Basic34567891011121314151617181920212223[[#This Row],[قيمة الشحنه]])</f>
        <v>0</v>
      </c>
      <c r="I110" s="90"/>
      <c r="J110" s="142" t="str">
        <f t="shared" si="1"/>
        <v>10.5.2026</v>
      </c>
      <c r="L110" s="153">
        <v>99</v>
      </c>
      <c r="M110" s="92"/>
    </row>
    <row r="111" spans="1:13" ht="21.6" x14ac:dyDescent="0.65">
      <c r="A111" s="195"/>
      <c r="B111" s="140">
        <v>108</v>
      </c>
      <c r="C111" s="2"/>
      <c r="D111" s="1"/>
      <c r="E111" s="3"/>
      <c r="F111" s="1"/>
      <c r="G111" s="141">
        <f>IF(Basic34567891011121314151617181920212223[[#This Row],[نوع الخدمة]]="مخالفات", 50,
IF(Basic34567891011121314151617181920212223[[#This Row],[نوع الخدمة]]="كاش ان",
    IF(F111&lt;=100, 18, IF(F111&lt;=250, 23, IF(F111&lt;=500, 35, IF(F111&lt;=1000, 40, F111*0.04)))),
IF(Basic34567891011121314151617181920212223[[#This Row],[نوع الخدمة]]="كاش اوت",
    IF(F111&lt;=100, 15, IF(F111&lt;=250, 20, IF(F111&lt;=500, 30, IF(F111&lt;=1000, 35, F111*0.035)))),
0)))</f>
        <v>0</v>
      </c>
      <c r="H111" s="159">
        <f>IF(I111="مخالفات",50,Basic34567891011121314151617181920212223[[#This Row],[قيمة الرسوم / العموله]]+Basic34567891011121314151617181920212223[[#This Row],[قيمة الشحنه]])</f>
        <v>0</v>
      </c>
      <c r="I111" s="90"/>
      <c r="J111" s="142" t="str">
        <f t="shared" si="1"/>
        <v>10.5.2026</v>
      </c>
      <c r="L111" s="153">
        <v>100</v>
      </c>
      <c r="M111" s="92"/>
    </row>
    <row r="112" spans="1:13" ht="21.6" x14ac:dyDescent="0.65">
      <c r="A112" s="195"/>
      <c r="B112" s="140">
        <v>109</v>
      </c>
      <c r="C112" s="2"/>
      <c r="D112" s="1"/>
      <c r="E112" s="3"/>
      <c r="F112" s="1"/>
      <c r="G112" s="141">
        <f>IF(Basic34567891011121314151617181920212223[[#This Row],[نوع الخدمة]]="مخالفات", 50,
IF(Basic34567891011121314151617181920212223[[#This Row],[نوع الخدمة]]="كاش ان",
    IF(F112&lt;=100, 18, IF(F112&lt;=250, 23, IF(F112&lt;=500, 35, IF(F112&lt;=1000, 40, F112*0.04)))),
IF(Basic34567891011121314151617181920212223[[#This Row],[نوع الخدمة]]="كاش اوت",
    IF(F112&lt;=100, 15, IF(F112&lt;=250, 20, IF(F112&lt;=500, 30, IF(F112&lt;=1000, 35, F112*0.035)))),
0)))</f>
        <v>0</v>
      </c>
      <c r="H112" s="159">
        <f>IF(I112="مخالفات",50,Basic34567891011121314151617181920212223[[#This Row],[قيمة الرسوم / العموله]]+Basic34567891011121314151617181920212223[[#This Row],[قيمة الشحنه]])</f>
        <v>0</v>
      </c>
      <c r="I112" s="90"/>
      <c r="J112" s="142" t="str">
        <f t="shared" si="1"/>
        <v>10.5.2026</v>
      </c>
      <c r="L112" s="153">
        <v>101</v>
      </c>
      <c r="M112" s="92"/>
    </row>
    <row r="113" spans="1:13" ht="21.6" x14ac:dyDescent="0.65">
      <c r="A113" s="195"/>
      <c r="B113" s="144">
        <v>110</v>
      </c>
      <c r="C113" s="2"/>
      <c r="D113" s="1"/>
      <c r="E113" s="3"/>
      <c r="F113" s="1"/>
      <c r="G113" s="141">
        <f>IF(Basic34567891011121314151617181920212223[[#This Row],[نوع الخدمة]]="مخالفات", 50,
IF(Basic34567891011121314151617181920212223[[#This Row],[نوع الخدمة]]="كاش ان",
    IF(F113&lt;=100, 18, IF(F113&lt;=250, 23, IF(F113&lt;=500, 35, IF(F113&lt;=1000, 40, F113*0.04)))),
IF(Basic34567891011121314151617181920212223[[#This Row],[نوع الخدمة]]="كاش اوت",
    IF(F113&lt;=100, 15, IF(F113&lt;=250, 20, IF(F113&lt;=500, 30, IF(F113&lt;=1000, 35, F113*0.035)))),
0)))</f>
        <v>0</v>
      </c>
      <c r="H113" s="159">
        <f>IF(I113="مخالفات",50,Basic34567891011121314151617181920212223[[#This Row],[قيمة الرسوم / العموله]]+Basic34567891011121314151617181920212223[[#This Row],[قيمة الشحنه]])</f>
        <v>0</v>
      </c>
      <c r="I113" s="90"/>
      <c r="J113" s="142" t="str">
        <f t="shared" si="1"/>
        <v>10.5.2026</v>
      </c>
      <c r="L113" s="153">
        <v>102</v>
      </c>
      <c r="M113" s="92"/>
    </row>
    <row r="114" spans="1:13" ht="21.6" x14ac:dyDescent="0.65">
      <c r="A114" s="195"/>
      <c r="B114" s="140">
        <v>111</v>
      </c>
      <c r="C114" s="2"/>
      <c r="D114" s="1"/>
      <c r="E114" s="3"/>
      <c r="F114" s="1"/>
      <c r="G114" s="141">
        <f>IF(Basic34567891011121314151617181920212223[[#This Row],[نوع الخدمة]]="مخالفات", 50,
IF(Basic34567891011121314151617181920212223[[#This Row],[نوع الخدمة]]="كاش ان",
    IF(F114&lt;=100, 18, IF(F114&lt;=250, 23, IF(F114&lt;=500, 35, IF(F114&lt;=1000, 40, F114*0.04)))),
IF(Basic34567891011121314151617181920212223[[#This Row],[نوع الخدمة]]="كاش اوت",
    IF(F114&lt;=100, 15, IF(F114&lt;=250, 20, IF(F114&lt;=500, 30, IF(F114&lt;=1000, 35, F114*0.035)))),
0)))</f>
        <v>0</v>
      </c>
      <c r="H114" s="159">
        <f>IF(I114="مخالفات",50,Basic34567891011121314151617181920212223[[#This Row],[قيمة الرسوم / العموله]]+Basic34567891011121314151617181920212223[[#This Row],[قيمة الشحنه]])</f>
        <v>0</v>
      </c>
      <c r="I114" s="90"/>
      <c r="J114" s="142" t="str">
        <f t="shared" si="1"/>
        <v>10.5.2026</v>
      </c>
      <c r="L114" s="153">
        <v>103</v>
      </c>
      <c r="M114" s="92"/>
    </row>
    <row r="115" spans="1:13" ht="21.6" x14ac:dyDescent="0.65">
      <c r="A115" s="195"/>
      <c r="B115" s="140">
        <v>112</v>
      </c>
      <c r="C115" s="2"/>
      <c r="D115" s="1"/>
      <c r="E115" s="3"/>
      <c r="F115" s="1"/>
      <c r="G115" s="141">
        <f>IF(Basic34567891011121314151617181920212223[[#This Row],[نوع الخدمة]]="مخالفات", 50,
IF(Basic34567891011121314151617181920212223[[#This Row],[نوع الخدمة]]="كاش ان",
    IF(F115&lt;=100, 18, IF(F115&lt;=250, 23, IF(F115&lt;=500, 35, IF(F115&lt;=1000, 40, F115*0.04)))),
IF(Basic34567891011121314151617181920212223[[#This Row],[نوع الخدمة]]="كاش اوت",
    IF(F115&lt;=100, 15, IF(F115&lt;=250, 20, IF(F115&lt;=500, 30, IF(F115&lt;=1000, 35, F115*0.035)))),
0)))</f>
        <v>0</v>
      </c>
      <c r="H115" s="159">
        <f>IF(I115="مخالفات",50,Basic34567891011121314151617181920212223[[#This Row],[قيمة الرسوم / العموله]]+Basic34567891011121314151617181920212223[[#This Row],[قيمة الشحنه]])</f>
        <v>0</v>
      </c>
      <c r="I115" s="90"/>
      <c r="J115" s="142" t="str">
        <f t="shared" si="1"/>
        <v>10.5.2026</v>
      </c>
      <c r="L115" s="153">
        <v>104</v>
      </c>
      <c r="M115" s="92"/>
    </row>
    <row r="116" spans="1:13" ht="21.6" x14ac:dyDescent="0.65">
      <c r="A116" s="195"/>
      <c r="B116" s="140">
        <v>113</v>
      </c>
      <c r="C116" s="2"/>
      <c r="D116" s="1"/>
      <c r="E116" s="3"/>
      <c r="F116" s="1"/>
      <c r="G116" s="141">
        <f>IF(Basic34567891011121314151617181920212223[[#This Row],[نوع الخدمة]]="مخالفات", 50,
IF(Basic34567891011121314151617181920212223[[#This Row],[نوع الخدمة]]="كاش ان",
    IF(F116&lt;=100, 18, IF(F116&lt;=250, 23, IF(F116&lt;=500, 35, IF(F116&lt;=1000, 40, F116*0.04)))),
IF(Basic34567891011121314151617181920212223[[#This Row],[نوع الخدمة]]="كاش اوت",
    IF(F116&lt;=100, 15, IF(F116&lt;=250, 20, IF(F116&lt;=500, 30, IF(F116&lt;=1000, 35, F116*0.035)))),
0)))</f>
        <v>0</v>
      </c>
      <c r="H116" s="159">
        <f>IF(I116="مخالفات",50,Basic34567891011121314151617181920212223[[#This Row],[قيمة الرسوم / العموله]]+Basic34567891011121314151617181920212223[[#This Row],[قيمة الشحنه]])</f>
        <v>0</v>
      </c>
      <c r="I116" s="90"/>
      <c r="J116" s="142" t="str">
        <f t="shared" si="1"/>
        <v>10.5.2026</v>
      </c>
      <c r="L116" s="153">
        <v>105</v>
      </c>
      <c r="M116" s="92"/>
    </row>
    <row r="117" spans="1:13" ht="21.6" x14ac:dyDescent="0.65">
      <c r="A117" s="195"/>
      <c r="B117" s="144">
        <v>114</v>
      </c>
      <c r="C117" s="2"/>
      <c r="D117" s="1"/>
      <c r="E117" s="3"/>
      <c r="F117" s="1"/>
      <c r="G117" s="141">
        <f>IF(Basic34567891011121314151617181920212223[[#This Row],[نوع الخدمة]]="مخالفات", 50,
IF(Basic34567891011121314151617181920212223[[#This Row],[نوع الخدمة]]="كاش ان",
    IF(F117&lt;=100, 18, IF(F117&lt;=250, 23, IF(F117&lt;=500, 35, IF(F117&lt;=1000, 40, F117*0.04)))),
IF(Basic34567891011121314151617181920212223[[#This Row],[نوع الخدمة]]="كاش اوت",
    IF(F117&lt;=100, 15, IF(F117&lt;=250, 20, IF(F117&lt;=500, 30, IF(F117&lt;=1000, 35, F117*0.035)))),
0)))</f>
        <v>0</v>
      </c>
      <c r="H117" s="159">
        <f>IF(I117="مخالفات",50,Basic34567891011121314151617181920212223[[#This Row],[قيمة الرسوم / العموله]]+Basic34567891011121314151617181920212223[[#This Row],[قيمة الشحنه]])</f>
        <v>0</v>
      </c>
      <c r="I117" s="90"/>
      <c r="J117" s="142" t="str">
        <f t="shared" si="1"/>
        <v>10.5.2026</v>
      </c>
      <c r="L117" s="153">
        <v>106</v>
      </c>
      <c r="M117" s="92"/>
    </row>
    <row r="118" spans="1:13" ht="21.6" x14ac:dyDescent="0.65">
      <c r="A118" s="195"/>
      <c r="B118" s="140">
        <v>115</v>
      </c>
      <c r="C118" s="2"/>
      <c r="D118" s="1"/>
      <c r="E118" s="3"/>
      <c r="F118" s="1"/>
      <c r="G118" s="141">
        <f>IF(Basic34567891011121314151617181920212223[[#This Row],[نوع الخدمة]]="مخالفات", 50,
IF(Basic34567891011121314151617181920212223[[#This Row],[نوع الخدمة]]="كاش ان",
    IF(F118&lt;=100, 18, IF(F118&lt;=250, 23, IF(F118&lt;=500, 35, IF(F118&lt;=1000, 40, F118*0.04)))),
IF(Basic34567891011121314151617181920212223[[#This Row],[نوع الخدمة]]="كاش اوت",
    IF(F118&lt;=100, 15, IF(F118&lt;=250, 20, IF(F118&lt;=500, 30, IF(F118&lt;=1000, 35, F118*0.035)))),
0)))</f>
        <v>0</v>
      </c>
      <c r="H118" s="159">
        <f>IF(I118="مخالفات",50,Basic34567891011121314151617181920212223[[#This Row],[قيمة الرسوم / العموله]]+Basic34567891011121314151617181920212223[[#This Row],[قيمة الشحنه]])</f>
        <v>0</v>
      </c>
      <c r="I118" s="90"/>
      <c r="J118" s="142" t="str">
        <f t="shared" si="1"/>
        <v>10.5.2026</v>
      </c>
      <c r="L118" s="153">
        <v>107</v>
      </c>
      <c r="M118" s="92"/>
    </row>
    <row r="119" spans="1:13" ht="21.6" x14ac:dyDescent="0.65">
      <c r="A119" s="195"/>
      <c r="B119" s="140">
        <v>116</v>
      </c>
      <c r="C119" s="2"/>
      <c r="D119" s="1"/>
      <c r="E119" s="3"/>
      <c r="F119" s="1"/>
      <c r="G119" s="141">
        <f>IF(Basic34567891011121314151617181920212223[[#This Row],[نوع الخدمة]]="مخالفات", 50,
IF(Basic34567891011121314151617181920212223[[#This Row],[نوع الخدمة]]="كاش ان",
    IF(F119&lt;=100, 18, IF(F119&lt;=250, 23, IF(F119&lt;=500, 35, IF(F119&lt;=1000, 40, F119*0.04)))),
IF(Basic34567891011121314151617181920212223[[#This Row],[نوع الخدمة]]="كاش اوت",
    IF(F119&lt;=100, 15, IF(F119&lt;=250, 20, IF(F119&lt;=500, 30, IF(F119&lt;=1000, 35, F119*0.035)))),
0)))</f>
        <v>0</v>
      </c>
      <c r="H119" s="159">
        <f>IF(I119="مخالفات",50,Basic34567891011121314151617181920212223[[#This Row],[قيمة الرسوم / العموله]]+Basic34567891011121314151617181920212223[[#This Row],[قيمة الشحنه]])</f>
        <v>0</v>
      </c>
      <c r="I119" s="90"/>
      <c r="J119" s="142" t="str">
        <f t="shared" si="1"/>
        <v>10.5.2026</v>
      </c>
      <c r="L119" s="153">
        <v>108</v>
      </c>
      <c r="M119" s="92"/>
    </row>
    <row r="120" spans="1:13" ht="21.6" x14ac:dyDescent="0.65">
      <c r="A120" s="195"/>
      <c r="B120" s="140">
        <v>117</v>
      </c>
      <c r="C120" s="2"/>
      <c r="D120" s="1"/>
      <c r="E120" s="3"/>
      <c r="F120" s="1"/>
      <c r="G120" s="141">
        <f>IF(Basic34567891011121314151617181920212223[[#This Row],[نوع الخدمة]]="مخالفات", 50,
IF(Basic34567891011121314151617181920212223[[#This Row],[نوع الخدمة]]="كاش ان",
    IF(F120&lt;=100, 18, IF(F120&lt;=250, 23, IF(F120&lt;=500, 35, IF(F120&lt;=1000, 40, F120*0.04)))),
IF(Basic34567891011121314151617181920212223[[#This Row],[نوع الخدمة]]="كاش اوت",
    IF(F120&lt;=100, 15, IF(F120&lt;=250, 20, IF(F120&lt;=500, 30, IF(F120&lt;=1000, 35, F120*0.035)))),
0)))</f>
        <v>0</v>
      </c>
      <c r="H120" s="159">
        <f>IF(I120="مخالفات",50,Basic34567891011121314151617181920212223[[#This Row],[قيمة الرسوم / العموله]]+Basic34567891011121314151617181920212223[[#This Row],[قيمة الشحنه]])</f>
        <v>0</v>
      </c>
      <c r="I120" s="90"/>
      <c r="J120" s="142" t="str">
        <f t="shared" si="1"/>
        <v>10.5.2026</v>
      </c>
      <c r="L120" s="153">
        <v>109</v>
      </c>
      <c r="M120" s="92"/>
    </row>
    <row r="121" spans="1:13" ht="21.6" x14ac:dyDescent="0.65">
      <c r="A121" s="195"/>
      <c r="B121" s="144">
        <v>118</v>
      </c>
      <c r="C121" s="2"/>
      <c r="D121" s="1"/>
      <c r="E121" s="3"/>
      <c r="F121" s="1"/>
      <c r="G121" s="141">
        <f>IF(Basic34567891011121314151617181920212223[[#This Row],[نوع الخدمة]]="مخالفات", 50,
IF(Basic34567891011121314151617181920212223[[#This Row],[نوع الخدمة]]="كاش ان",
    IF(F121&lt;=100, 18, IF(F121&lt;=250, 23, IF(F121&lt;=500, 35, IF(F121&lt;=1000, 40, F121*0.04)))),
IF(Basic34567891011121314151617181920212223[[#This Row],[نوع الخدمة]]="كاش اوت",
    IF(F121&lt;=100, 15, IF(F121&lt;=250, 20, IF(F121&lt;=500, 30, IF(F121&lt;=1000, 35, F121*0.035)))),
0)))</f>
        <v>0</v>
      </c>
      <c r="H121" s="159">
        <f>IF(I121="مخالفات",50,Basic34567891011121314151617181920212223[[#This Row],[قيمة الرسوم / العموله]]+Basic34567891011121314151617181920212223[[#This Row],[قيمة الشحنه]])</f>
        <v>0</v>
      </c>
      <c r="I121" s="90"/>
      <c r="J121" s="142" t="str">
        <f t="shared" si="1"/>
        <v>10.5.2026</v>
      </c>
      <c r="L121" s="153">
        <v>110</v>
      </c>
      <c r="M121" s="92"/>
    </row>
    <row r="122" spans="1:13" ht="21.6" x14ac:dyDescent="0.65">
      <c r="A122" s="195"/>
      <c r="B122" s="140">
        <v>119</v>
      </c>
      <c r="C122" s="2"/>
      <c r="D122" s="1"/>
      <c r="E122" s="3"/>
      <c r="F122" s="1"/>
      <c r="G122" s="141">
        <f>IF(Basic34567891011121314151617181920212223[[#This Row],[نوع الخدمة]]="مخالفات", 50,
IF(Basic34567891011121314151617181920212223[[#This Row],[نوع الخدمة]]="كاش ان",
    IF(F122&lt;=100, 18, IF(F122&lt;=250, 23, IF(F122&lt;=500, 35, IF(F122&lt;=1000, 40, F122*0.04)))),
IF(Basic34567891011121314151617181920212223[[#This Row],[نوع الخدمة]]="كاش اوت",
    IF(F122&lt;=100, 15, IF(F122&lt;=250, 20, IF(F122&lt;=500, 30, IF(F122&lt;=1000, 35, F122*0.035)))),
0)))</f>
        <v>0</v>
      </c>
      <c r="H122" s="159">
        <f>IF(I122="مخالفات",50,Basic34567891011121314151617181920212223[[#This Row],[قيمة الرسوم / العموله]]+Basic34567891011121314151617181920212223[[#This Row],[قيمة الشحنه]])</f>
        <v>0</v>
      </c>
      <c r="I122" s="90"/>
      <c r="J122" s="142" t="str">
        <f t="shared" si="1"/>
        <v>10.5.2026</v>
      </c>
      <c r="L122" s="153">
        <v>111</v>
      </c>
      <c r="M122" s="92"/>
    </row>
    <row r="123" spans="1:13" ht="21.6" x14ac:dyDescent="0.65">
      <c r="A123" s="195"/>
      <c r="B123" s="140">
        <v>120</v>
      </c>
      <c r="C123" s="2"/>
      <c r="D123" s="1"/>
      <c r="E123" s="3"/>
      <c r="F123" s="1"/>
      <c r="G123" s="141">
        <f>IF(Basic34567891011121314151617181920212223[[#This Row],[نوع الخدمة]]="مخالفات", 50,
IF(Basic34567891011121314151617181920212223[[#This Row],[نوع الخدمة]]="كاش ان",
    IF(F123&lt;=100, 18, IF(F123&lt;=250, 23, IF(F123&lt;=500, 35, IF(F123&lt;=1000, 40, F123*0.04)))),
IF(Basic34567891011121314151617181920212223[[#This Row],[نوع الخدمة]]="كاش اوت",
    IF(F123&lt;=100, 15, IF(F123&lt;=250, 20, IF(F123&lt;=500, 30, IF(F123&lt;=1000, 35, F123*0.035)))),
0)))</f>
        <v>0</v>
      </c>
      <c r="H123" s="159">
        <f>IF(I123="مخالفات",50,Basic34567891011121314151617181920212223[[#This Row],[قيمة الرسوم / العموله]]+Basic34567891011121314151617181920212223[[#This Row],[قيمة الشحنه]])</f>
        <v>0</v>
      </c>
      <c r="I123" s="90"/>
      <c r="J123" s="142" t="str">
        <f t="shared" si="1"/>
        <v>10.5.2026</v>
      </c>
      <c r="L123" s="153">
        <v>112</v>
      </c>
      <c r="M123" s="92"/>
    </row>
    <row r="124" spans="1:13" ht="21.6" x14ac:dyDescent="0.65">
      <c r="A124" s="195"/>
      <c r="B124" s="140">
        <v>121</v>
      </c>
      <c r="C124" s="2"/>
      <c r="D124" s="1"/>
      <c r="E124" s="3"/>
      <c r="F124" s="1"/>
      <c r="G124" s="141">
        <f>IF(Basic34567891011121314151617181920212223[[#This Row],[نوع الخدمة]]="مخالفات", 50,
IF(Basic34567891011121314151617181920212223[[#This Row],[نوع الخدمة]]="كاش ان",
    IF(F124&lt;=100, 18, IF(F124&lt;=250, 23, IF(F124&lt;=500, 35, IF(F124&lt;=1000, 40, F124*0.04)))),
IF(Basic34567891011121314151617181920212223[[#This Row],[نوع الخدمة]]="كاش اوت",
    IF(F124&lt;=100, 15, IF(F124&lt;=250, 20, IF(F124&lt;=500, 30, IF(F124&lt;=1000, 35, F124*0.035)))),
0)))</f>
        <v>0</v>
      </c>
      <c r="H124" s="159">
        <f>IF(I124="مخالفات",50,Basic34567891011121314151617181920212223[[#This Row],[قيمة الرسوم / العموله]]+Basic34567891011121314151617181920212223[[#This Row],[قيمة الشحنه]])</f>
        <v>0</v>
      </c>
      <c r="I124" s="90"/>
      <c r="J124" s="142" t="str">
        <f t="shared" si="1"/>
        <v>10.5.2026</v>
      </c>
      <c r="L124" s="153">
        <v>113</v>
      </c>
      <c r="M124" s="92"/>
    </row>
    <row r="125" spans="1:13" ht="21.6" x14ac:dyDescent="0.65">
      <c r="A125" s="195"/>
      <c r="B125" s="144">
        <v>122</v>
      </c>
      <c r="C125" s="2"/>
      <c r="D125" s="1"/>
      <c r="E125" s="3"/>
      <c r="F125" s="1"/>
      <c r="G125" s="141">
        <f>IF(Basic34567891011121314151617181920212223[[#This Row],[نوع الخدمة]]="مخالفات", 50,
IF(Basic34567891011121314151617181920212223[[#This Row],[نوع الخدمة]]="كاش ان",
    IF(F125&lt;=100, 18, IF(F125&lt;=250, 23, IF(F125&lt;=500, 35, IF(F125&lt;=1000, 40, F125*0.04)))),
IF(Basic34567891011121314151617181920212223[[#This Row],[نوع الخدمة]]="كاش اوت",
    IF(F125&lt;=100, 15, IF(F125&lt;=250, 20, IF(F125&lt;=500, 30, IF(F125&lt;=1000, 35, F125*0.035)))),
0)))</f>
        <v>0</v>
      </c>
      <c r="H125" s="159">
        <f>IF(I125="مخالفات",50,Basic34567891011121314151617181920212223[[#This Row],[قيمة الرسوم / العموله]]+Basic34567891011121314151617181920212223[[#This Row],[قيمة الشحنه]])</f>
        <v>0</v>
      </c>
      <c r="I125" s="90"/>
      <c r="J125" s="142" t="str">
        <f t="shared" si="1"/>
        <v>10.5.2026</v>
      </c>
      <c r="L125" s="153">
        <v>114</v>
      </c>
      <c r="M125" s="92"/>
    </row>
    <row r="126" spans="1:13" ht="21.6" x14ac:dyDescent="0.65">
      <c r="A126" s="195"/>
      <c r="B126" s="140">
        <v>123</v>
      </c>
      <c r="C126" s="2"/>
      <c r="D126" s="1"/>
      <c r="E126" s="3"/>
      <c r="F126" s="1"/>
      <c r="G126" s="141">
        <f>IF(Basic34567891011121314151617181920212223[[#This Row],[نوع الخدمة]]="مخالفات", 50,
IF(Basic34567891011121314151617181920212223[[#This Row],[نوع الخدمة]]="كاش ان",
    IF(F126&lt;=100, 18, IF(F126&lt;=250, 23, IF(F126&lt;=500, 35, IF(F126&lt;=1000, 40, F126*0.04)))),
IF(Basic34567891011121314151617181920212223[[#This Row],[نوع الخدمة]]="كاش اوت",
    IF(F126&lt;=100, 15, IF(F126&lt;=250, 20, IF(F126&lt;=500, 30, IF(F126&lt;=1000, 35, F126*0.035)))),
0)))</f>
        <v>0</v>
      </c>
      <c r="H126" s="159">
        <f>IF(I126="مخالفات",50,Basic34567891011121314151617181920212223[[#This Row],[قيمة الرسوم / العموله]]+Basic34567891011121314151617181920212223[[#This Row],[قيمة الشحنه]])</f>
        <v>0</v>
      </c>
      <c r="I126" s="90"/>
      <c r="J126" s="142" t="str">
        <f t="shared" si="1"/>
        <v>10.5.2026</v>
      </c>
      <c r="L126" s="153">
        <v>115</v>
      </c>
      <c r="M126" s="92"/>
    </row>
    <row r="127" spans="1:13" ht="21.6" x14ac:dyDescent="0.65">
      <c r="A127" s="195"/>
      <c r="B127" s="140">
        <v>124</v>
      </c>
      <c r="C127" s="2"/>
      <c r="D127" s="1"/>
      <c r="E127" s="3"/>
      <c r="F127" s="1"/>
      <c r="G127" s="141">
        <f>IF(Basic34567891011121314151617181920212223[[#This Row],[نوع الخدمة]]="مخالفات", 50,
IF(Basic34567891011121314151617181920212223[[#This Row],[نوع الخدمة]]="كاش ان",
    IF(F127&lt;=100, 18, IF(F127&lt;=250, 23, IF(F127&lt;=500, 35, IF(F127&lt;=1000, 40, F127*0.04)))),
IF(Basic34567891011121314151617181920212223[[#This Row],[نوع الخدمة]]="كاش اوت",
    IF(F127&lt;=100, 15, IF(F127&lt;=250, 20, IF(F127&lt;=500, 30, IF(F127&lt;=1000, 35, F127*0.035)))),
0)))</f>
        <v>0</v>
      </c>
      <c r="H127" s="159">
        <f>IF(I127="مخالفات",50,Basic34567891011121314151617181920212223[[#This Row],[قيمة الرسوم / العموله]]+Basic34567891011121314151617181920212223[[#This Row],[قيمة الشحنه]])</f>
        <v>0</v>
      </c>
      <c r="I127" s="90"/>
      <c r="J127" s="142" t="str">
        <f t="shared" si="1"/>
        <v>10.5.2026</v>
      </c>
      <c r="L127" s="153">
        <v>116</v>
      </c>
      <c r="M127" s="92"/>
    </row>
    <row r="128" spans="1:13" ht="21.6" x14ac:dyDescent="0.65">
      <c r="A128" s="195"/>
      <c r="B128" s="140">
        <v>125</v>
      </c>
      <c r="C128" s="2"/>
      <c r="D128" s="1"/>
      <c r="E128" s="3"/>
      <c r="F128" s="1"/>
      <c r="G128" s="141">
        <f>IF(Basic34567891011121314151617181920212223[[#This Row],[نوع الخدمة]]="مخالفات", 50,
IF(Basic34567891011121314151617181920212223[[#This Row],[نوع الخدمة]]="كاش ان",
    IF(F128&lt;=100, 18, IF(F128&lt;=250, 23, IF(F128&lt;=500, 35, IF(F128&lt;=1000, 40, F128*0.04)))),
IF(Basic34567891011121314151617181920212223[[#This Row],[نوع الخدمة]]="كاش اوت",
    IF(F128&lt;=100, 15, IF(F128&lt;=250, 20, IF(F128&lt;=500, 30, IF(F128&lt;=1000, 35, F128*0.035)))),
0)))</f>
        <v>0</v>
      </c>
      <c r="H128" s="159">
        <f>IF(I128="مخالفات",50,Basic34567891011121314151617181920212223[[#This Row],[قيمة الرسوم / العموله]]+Basic34567891011121314151617181920212223[[#This Row],[قيمة الشحنه]])</f>
        <v>0</v>
      </c>
      <c r="I128" s="90"/>
      <c r="J128" s="142" t="str">
        <f t="shared" si="1"/>
        <v>10.5.2026</v>
      </c>
      <c r="L128" s="153">
        <v>117</v>
      </c>
      <c r="M128" s="92"/>
    </row>
    <row r="129" spans="1:13" ht="21.6" x14ac:dyDescent="0.65">
      <c r="A129" s="195"/>
      <c r="B129" s="144">
        <v>126</v>
      </c>
      <c r="C129" s="2"/>
      <c r="D129" s="1"/>
      <c r="E129" s="3"/>
      <c r="F129" s="1"/>
      <c r="G129" s="141">
        <f>IF(Basic34567891011121314151617181920212223[[#This Row],[نوع الخدمة]]="مخالفات", 50,
IF(Basic34567891011121314151617181920212223[[#This Row],[نوع الخدمة]]="كاش ان",
    IF(F129&lt;=100, 18, IF(F129&lt;=250, 23, IF(F129&lt;=500, 35, IF(F129&lt;=1000, 40, F129*0.04)))),
IF(Basic34567891011121314151617181920212223[[#This Row],[نوع الخدمة]]="كاش اوت",
    IF(F129&lt;=100, 15, IF(F129&lt;=250, 20, IF(F129&lt;=500, 30, IF(F129&lt;=1000, 35, F129*0.035)))),
0)))</f>
        <v>0</v>
      </c>
      <c r="H129" s="159">
        <f>IF(I129="مخالفات",50,Basic34567891011121314151617181920212223[[#This Row],[قيمة الرسوم / العموله]]+Basic34567891011121314151617181920212223[[#This Row],[قيمة الشحنه]])</f>
        <v>0</v>
      </c>
      <c r="I129" s="90"/>
      <c r="J129" s="142" t="str">
        <f t="shared" si="1"/>
        <v>10.5.2026</v>
      </c>
      <c r="L129" s="153">
        <v>118</v>
      </c>
      <c r="M129" s="92"/>
    </row>
    <row r="130" spans="1:13" ht="21.6" x14ac:dyDescent="0.65">
      <c r="A130" s="195"/>
      <c r="B130" s="140">
        <v>127</v>
      </c>
      <c r="C130" s="2"/>
      <c r="D130" s="1"/>
      <c r="E130" s="3"/>
      <c r="F130" s="1"/>
      <c r="G130" s="141">
        <f>IF(Basic34567891011121314151617181920212223[[#This Row],[نوع الخدمة]]="مخالفات", 50,
IF(Basic34567891011121314151617181920212223[[#This Row],[نوع الخدمة]]="كاش ان",
    IF(F130&lt;=100, 18, IF(F130&lt;=250, 23, IF(F130&lt;=500, 35, IF(F130&lt;=1000, 40, F130*0.04)))),
IF(Basic34567891011121314151617181920212223[[#This Row],[نوع الخدمة]]="كاش اوت",
    IF(F130&lt;=100, 15, IF(F130&lt;=250, 20, IF(F130&lt;=500, 30, IF(F130&lt;=1000, 35, F130*0.035)))),
0)))</f>
        <v>0</v>
      </c>
      <c r="H130" s="159">
        <f>IF(I130="مخالفات",50,Basic34567891011121314151617181920212223[[#This Row],[قيمة الرسوم / العموله]]+Basic34567891011121314151617181920212223[[#This Row],[قيمة الشحنه]])</f>
        <v>0</v>
      </c>
      <c r="I130" s="90"/>
      <c r="J130" s="142" t="str">
        <f t="shared" si="1"/>
        <v>10.5.2026</v>
      </c>
      <c r="L130" s="153">
        <v>119</v>
      </c>
      <c r="M130" s="92"/>
    </row>
    <row r="131" spans="1:13" ht="21.6" x14ac:dyDescent="0.65">
      <c r="A131" s="195"/>
      <c r="B131" s="140">
        <v>128</v>
      </c>
      <c r="C131" s="2"/>
      <c r="D131" s="1"/>
      <c r="E131" s="3"/>
      <c r="F131" s="1"/>
      <c r="G131" s="141">
        <f>IF(Basic34567891011121314151617181920212223[[#This Row],[نوع الخدمة]]="مخالفات", 50,
IF(Basic34567891011121314151617181920212223[[#This Row],[نوع الخدمة]]="كاش ان",
    IF(F131&lt;=100, 18, IF(F131&lt;=250, 23, IF(F131&lt;=500, 35, IF(F131&lt;=1000, 40, F131*0.04)))),
IF(Basic34567891011121314151617181920212223[[#This Row],[نوع الخدمة]]="كاش اوت",
    IF(F131&lt;=100, 15, IF(F131&lt;=250, 20, IF(F131&lt;=500, 30, IF(F131&lt;=1000, 35, F131*0.035)))),
0)))</f>
        <v>0</v>
      </c>
      <c r="H131" s="159">
        <f>IF(I131="مخالفات",50,Basic34567891011121314151617181920212223[[#This Row],[قيمة الرسوم / العموله]]+Basic34567891011121314151617181920212223[[#This Row],[قيمة الشحنه]])</f>
        <v>0</v>
      </c>
      <c r="I131" s="90"/>
      <c r="J131" s="142" t="str">
        <f t="shared" si="1"/>
        <v>10.5.2026</v>
      </c>
      <c r="L131" s="153">
        <v>120</v>
      </c>
      <c r="M131" s="92"/>
    </row>
    <row r="132" spans="1:13" ht="21.6" x14ac:dyDescent="0.65">
      <c r="A132" s="195"/>
      <c r="B132" s="140">
        <v>129</v>
      </c>
      <c r="C132" s="2"/>
      <c r="D132" s="1"/>
      <c r="E132" s="3"/>
      <c r="F132" s="1"/>
      <c r="G132" s="141">
        <f>IF(Basic34567891011121314151617181920212223[[#This Row],[نوع الخدمة]]="مخالفات", 50,
IF(Basic34567891011121314151617181920212223[[#This Row],[نوع الخدمة]]="كاش ان",
    IF(F132&lt;=100, 18, IF(F132&lt;=250, 23, IF(F132&lt;=500, 35, IF(F132&lt;=1000, 40, F132*0.04)))),
IF(Basic34567891011121314151617181920212223[[#This Row],[نوع الخدمة]]="كاش اوت",
    IF(F132&lt;=100, 15, IF(F132&lt;=250, 20, IF(F132&lt;=500, 30, IF(F132&lt;=1000, 35, F132*0.035)))),
0)))</f>
        <v>0</v>
      </c>
      <c r="H132" s="159">
        <f>IF(I132="مخالفات",50,Basic34567891011121314151617181920212223[[#This Row],[قيمة الرسوم / العموله]]+Basic34567891011121314151617181920212223[[#This Row],[قيمة الشحنه]])</f>
        <v>0</v>
      </c>
      <c r="I132" s="90"/>
      <c r="J132" s="142" t="str">
        <f t="shared" ref="J132:J195" si="2">M$3</f>
        <v>10.5.2026</v>
      </c>
      <c r="L132" s="153">
        <v>121</v>
      </c>
      <c r="M132" s="92"/>
    </row>
    <row r="133" spans="1:13" ht="21.6" x14ac:dyDescent="0.65">
      <c r="A133" s="195"/>
      <c r="B133" s="144">
        <v>130</v>
      </c>
      <c r="C133" s="2"/>
      <c r="D133" s="1"/>
      <c r="E133" s="3"/>
      <c r="F133" s="1"/>
      <c r="G133" s="141">
        <f>IF(Basic34567891011121314151617181920212223[[#This Row],[نوع الخدمة]]="مخالفات", 50,
IF(Basic34567891011121314151617181920212223[[#This Row],[نوع الخدمة]]="كاش ان",
    IF(F133&lt;=100, 18, IF(F133&lt;=250, 23, IF(F133&lt;=500, 35, IF(F133&lt;=1000, 40, F133*0.04)))),
IF(Basic34567891011121314151617181920212223[[#This Row],[نوع الخدمة]]="كاش اوت",
    IF(F133&lt;=100, 15, IF(F133&lt;=250, 20, IF(F133&lt;=500, 30, IF(F133&lt;=1000, 35, F133*0.035)))),
0)))</f>
        <v>0</v>
      </c>
      <c r="H133" s="159">
        <f>IF(I133="مخالفات",50,Basic34567891011121314151617181920212223[[#This Row],[قيمة الرسوم / العموله]]+Basic34567891011121314151617181920212223[[#This Row],[قيمة الشحنه]])</f>
        <v>0</v>
      </c>
      <c r="I133" s="90"/>
      <c r="J133" s="142" t="str">
        <f t="shared" si="2"/>
        <v>10.5.2026</v>
      </c>
      <c r="L133" s="153">
        <v>122</v>
      </c>
      <c r="M133" s="92"/>
    </row>
    <row r="134" spans="1:13" ht="21.6" x14ac:dyDescent="0.65">
      <c r="A134" s="195"/>
      <c r="B134" s="140">
        <v>131</v>
      </c>
      <c r="C134" s="2"/>
      <c r="D134" s="1"/>
      <c r="E134" s="3"/>
      <c r="F134" s="1"/>
      <c r="G134" s="141">
        <f>IF(Basic34567891011121314151617181920212223[[#This Row],[نوع الخدمة]]="مخالفات", 50,
IF(Basic34567891011121314151617181920212223[[#This Row],[نوع الخدمة]]="كاش ان",
    IF(F134&lt;=100, 18, IF(F134&lt;=250, 23, IF(F134&lt;=500, 35, IF(F134&lt;=1000, 40, F134*0.04)))),
IF(Basic34567891011121314151617181920212223[[#This Row],[نوع الخدمة]]="كاش اوت",
    IF(F134&lt;=100, 15, IF(F134&lt;=250, 20, IF(F134&lt;=500, 30, IF(F134&lt;=1000, 35, F134*0.035)))),
0)))</f>
        <v>0</v>
      </c>
      <c r="H134" s="159">
        <f>IF(I134="مخالفات",50,Basic34567891011121314151617181920212223[[#This Row],[قيمة الرسوم / العموله]]+Basic34567891011121314151617181920212223[[#This Row],[قيمة الشحنه]])</f>
        <v>0</v>
      </c>
      <c r="I134" s="90"/>
      <c r="J134" s="142" t="str">
        <f t="shared" si="2"/>
        <v>10.5.2026</v>
      </c>
      <c r="L134" s="153">
        <v>123</v>
      </c>
      <c r="M134" s="92"/>
    </row>
    <row r="135" spans="1:13" ht="21.6" x14ac:dyDescent="0.65">
      <c r="A135" s="195"/>
      <c r="B135" s="140">
        <v>132</v>
      </c>
      <c r="C135" s="2"/>
      <c r="D135" s="1"/>
      <c r="E135" s="3"/>
      <c r="F135" s="1"/>
      <c r="G135" s="141">
        <f>IF(Basic34567891011121314151617181920212223[[#This Row],[نوع الخدمة]]="مخالفات", 50,
IF(Basic34567891011121314151617181920212223[[#This Row],[نوع الخدمة]]="كاش ان",
    IF(F135&lt;=100, 18, IF(F135&lt;=250, 23, IF(F135&lt;=500, 35, IF(F135&lt;=1000, 40, F135*0.04)))),
IF(Basic34567891011121314151617181920212223[[#This Row],[نوع الخدمة]]="كاش اوت",
    IF(F135&lt;=100, 15, IF(F135&lt;=250, 20, IF(F135&lt;=500, 30, IF(F135&lt;=1000, 35, F135*0.035)))),
0)))</f>
        <v>0</v>
      </c>
      <c r="H135" s="159">
        <f>IF(I135="مخالفات",50,Basic34567891011121314151617181920212223[[#This Row],[قيمة الرسوم / العموله]]+Basic34567891011121314151617181920212223[[#This Row],[قيمة الشحنه]])</f>
        <v>0</v>
      </c>
      <c r="I135" s="90"/>
      <c r="J135" s="142" t="str">
        <f t="shared" si="2"/>
        <v>10.5.2026</v>
      </c>
      <c r="L135" s="153">
        <v>124</v>
      </c>
      <c r="M135" s="92"/>
    </row>
    <row r="136" spans="1:13" ht="21.6" x14ac:dyDescent="0.65">
      <c r="A136" s="195"/>
      <c r="B136" s="140">
        <v>133</v>
      </c>
      <c r="C136" s="2"/>
      <c r="D136" s="1"/>
      <c r="E136" s="3"/>
      <c r="F136" s="1"/>
      <c r="G136" s="141">
        <f>IF(Basic34567891011121314151617181920212223[[#This Row],[نوع الخدمة]]="مخالفات", 50,
IF(Basic34567891011121314151617181920212223[[#This Row],[نوع الخدمة]]="كاش ان",
    IF(F136&lt;=100, 18, IF(F136&lt;=250, 23, IF(F136&lt;=500, 35, IF(F136&lt;=1000, 40, F136*0.04)))),
IF(Basic34567891011121314151617181920212223[[#This Row],[نوع الخدمة]]="كاش اوت",
    IF(F136&lt;=100, 15, IF(F136&lt;=250, 20, IF(F136&lt;=500, 30, IF(F136&lt;=1000, 35, F136*0.035)))),
0)))</f>
        <v>0</v>
      </c>
      <c r="H136" s="159">
        <f>IF(I136="مخالفات",50,Basic34567891011121314151617181920212223[[#This Row],[قيمة الرسوم / العموله]]+Basic34567891011121314151617181920212223[[#This Row],[قيمة الشحنه]])</f>
        <v>0</v>
      </c>
      <c r="I136" s="90"/>
      <c r="J136" s="142" t="str">
        <f t="shared" si="2"/>
        <v>10.5.2026</v>
      </c>
      <c r="L136" s="153">
        <v>125</v>
      </c>
      <c r="M136" s="92"/>
    </row>
    <row r="137" spans="1:13" ht="21.6" x14ac:dyDescent="0.65">
      <c r="A137" s="195"/>
      <c r="B137" s="144">
        <v>134</v>
      </c>
      <c r="C137" s="2"/>
      <c r="D137" s="1"/>
      <c r="E137" s="3"/>
      <c r="F137" s="1"/>
      <c r="G137" s="141">
        <f>IF(Basic34567891011121314151617181920212223[[#This Row],[نوع الخدمة]]="مخالفات", 50,
IF(Basic34567891011121314151617181920212223[[#This Row],[نوع الخدمة]]="كاش ان",
    IF(F137&lt;=100, 18, IF(F137&lt;=250, 23, IF(F137&lt;=500, 35, IF(F137&lt;=1000, 40, F137*0.04)))),
IF(Basic34567891011121314151617181920212223[[#This Row],[نوع الخدمة]]="كاش اوت",
    IF(F137&lt;=100, 15, IF(F137&lt;=250, 20, IF(F137&lt;=500, 30, IF(F137&lt;=1000, 35, F137*0.035)))),
0)))</f>
        <v>0</v>
      </c>
      <c r="H137" s="159">
        <f>IF(I137="مخالفات",50,Basic34567891011121314151617181920212223[[#This Row],[قيمة الرسوم / العموله]]+Basic34567891011121314151617181920212223[[#This Row],[قيمة الشحنه]])</f>
        <v>0</v>
      </c>
      <c r="I137" s="90"/>
      <c r="J137" s="142" t="str">
        <f t="shared" si="2"/>
        <v>10.5.2026</v>
      </c>
      <c r="L137" s="153">
        <v>126</v>
      </c>
      <c r="M137" s="92"/>
    </row>
    <row r="138" spans="1:13" ht="21.6" x14ac:dyDescent="0.65">
      <c r="A138" s="195"/>
      <c r="B138" s="140">
        <v>135</v>
      </c>
      <c r="C138" s="2"/>
      <c r="D138" s="1"/>
      <c r="E138" s="3"/>
      <c r="F138" s="1"/>
      <c r="G138" s="141">
        <f>IF(Basic34567891011121314151617181920212223[[#This Row],[نوع الخدمة]]="مخالفات", 50,
IF(Basic34567891011121314151617181920212223[[#This Row],[نوع الخدمة]]="كاش ان",
    IF(F138&lt;=100, 18, IF(F138&lt;=250, 23, IF(F138&lt;=500, 35, IF(F138&lt;=1000, 40, F138*0.04)))),
IF(Basic34567891011121314151617181920212223[[#This Row],[نوع الخدمة]]="كاش اوت",
    IF(F138&lt;=100, 15, IF(F138&lt;=250, 20, IF(F138&lt;=500, 30, IF(F138&lt;=1000, 35, F138*0.035)))),
0)))</f>
        <v>0</v>
      </c>
      <c r="H138" s="159">
        <f>IF(I138="مخالفات",50,Basic34567891011121314151617181920212223[[#This Row],[قيمة الرسوم / العموله]]+Basic34567891011121314151617181920212223[[#This Row],[قيمة الشحنه]])</f>
        <v>0</v>
      </c>
      <c r="I138" s="90"/>
      <c r="J138" s="142" t="str">
        <f t="shared" si="2"/>
        <v>10.5.2026</v>
      </c>
      <c r="L138" s="153">
        <v>127</v>
      </c>
      <c r="M138" s="92"/>
    </row>
    <row r="139" spans="1:13" ht="21.6" x14ac:dyDescent="0.65">
      <c r="A139" s="195"/>
      <c r="B139" s="140">
        <v>136</v>
      </c>
      <c r="C139" s="2"/>
      <c r="D139" s="1"/>
      <c r="E139" s="3"/>
      <c r="F139" s="1"/>
      <c r="G139" s="141">
        <f>IF(Basic34567891011121314151617181920212223[[#This Row],[نوع الخدمة]]="مخالفات", 50,
IF(Basic34567891011121314151617181920212223[[#This Row],[نوع الخدمة]]="كاش ان",
    IF(F139&lt;=100, 18, IF(F139&lt;=250, 23, IF(F139&lt;=500, 35, IF(F139&lt;=1000, 40, F139*0.04)))),
IF(Basic34567891011121314151617181920212223[[#This Row],[نوع الخدمة]]="كاش اوت",
    IF(F139&lt;=100, 15, IF(F139&lt;=250, 20, IF(F139&lt;=500, 30, IF(F139&lt;=1000, 35, F139*0.035)))),
0)))</f>
        <v>0</v>
      </c>
      <c r="H139" s="159">
        <f>IF(I139="مخالفات",50,Basic34567891011121314151617181920212223[[#This Row],[قيمة الرسوم / العموله]]+Basic34567891011121314151617181920212223[[#This Row],[قيمة الشحنه]])</f>
        <v>0</v>
      </c>
      <c r="I139" s="90"/>
      <c r="J139" s="142" t="str">
        <f t="shared" si="2"/>
        <v>10.5.2026</v>
      </c>
      <c r="L139" s="153">
        <v>128</v>
      </c>
      <c r="M139" s="92"/>
    </row>
    <row r="140" spans="1:13" ht="21.6" x14ac:dyDescent="0.65">
      <c r="A140" s="195"/>
      <c r="B140" s="140">
        <v>137</v>
      </c>
      <c r="C140" s="2"/>
      <c r="D140" s="1"/>
      <c r="E140" s="3"/>
      <c r="F140" s="1"/>
      <c r="G140" s="141">
        <f>IF(Basic34567891011121314151617181920212223[[#This Row],[نوع الخدمة]]="مخالفات", 50,
IF(Basic34567891011121314151617181920212223[[#This Row],[نوع الخدمة]]="كاش ان",
    IF(F140&lt;=100, 18, IF(F140&lt;=250, 23, IF(F140&lt;=500, 35, IF(F140&lt;=1000, 40, F140*0.04)))),
IF(Basic34567891011121314151617181920212223[[#This Row],[نوع الخدمة]]="كاش اوت",
    IF(F140&lt;=100, 15, IF(F140&lt;=250, 20, IF(F140&lt;=500, 30, IF(F140&lt;=1000, 35, F140*0.035)))),
0)))</f>
        <v>0</v>
      </c>
      <c r="H140" s="159">
        <f>IF(I140="مخالفات",50,Basic34567891011121314151617181920212223[[#This Row],[قيمة الرسوم / العموله]]+Basic34567891011121314151617181920212223[[#This Row],[قيمة الشحنه]])</f>
        <v>0</v>
      </c>
      <c r="I140" s="90"/>
      <c r="J140" s="142" t="str">
        <f t="shared" si="2"/>
        <v>10.5.2026</v>
      </c>
      <c r="L140" s="153">
        <v>129</v>
      </c>
      <c r="M140" s="92"/>
    </row>
    <row r="141" spans="1:13" ht="21.6" x14ac:dyDescent="0.65">
      <c r="A141" s="195"/>
      <c r="B141" s="144">
        <v>138</v>
      </c>
      <c r="C141" s="2"/>
      <c r="D141" s="1"/>
      <c r="E141" s="3"/>
      <c r="F141" s="1"/>
      <c r="G141" s="141">
        <f>IF(Basic34567891011121314151617181920212223[[#This Row],[نوع الخدمة]]="مخالفات", 50,
IF(Basic34567891011121314151617181920212223[[#This Row],[نوع الخدمة]]="كاش ان",
    IF(F141&lt;=100, 18, IF(F141&lt;=250, 23, IF(F141&lt;=500, 35, IF(F141&lt;=1000, 40, F141*0.04)))),
IF(Basic34567891011121314151617181920212223[[#This Row],[نوع الخدمة]]="كاش اوت",
    IF(F141&lt;=100, 15, IF(F141&lt;=250, 20, IF(F141&lt;=500, 30, IF(F141&lt;=1000, 35, F141*0.035)))),
0)))</f>
        <v>0</v>
      </c>
      <c r="H141" s="159">
        <f>IF(I141="مخالفات",50,Basic34567891011121314151617181920212223[[#This Row],[قيمة الرسوم / العموله]]+Basic34567891011121314151617181920212223[[#This Row],[قيمة الشحنه]])</f>
        <v>0</v>
      </c>
      <c r="I141" s="90"/>
      <c r="J141" s="142" t="str">
        <f t="shared" si="2"/>
        <v>10.5.2026</v>
      </c>
      <c r="L141" s="153">
        <v>130</v>
      </c>
      <c r="M141" s="92"/>
    </row>
    <row r="142" spans="1:13" ht="21.6" x14ac:dyDescent="0.65">
      <c r="A142" s="195"/>
      <c r="B142" s="140">
        <v>139</v>
      </c>
      <c r="C142" s="2"/>
      <c r="D142" s="1"/>
      <c r="E142" s="3"/>
      <c r="F142" s="1"/>
      <c r="G142" s="141">
        <f>IF(Basic34567891011121314151617181920212223[[#This Row],[نوع الخدمة]]="مخالفات", 50,
IF(Basic34567891011121314151617181920212223[[#This Row],[نوع الخدمة]]="كاش ان",
    IF(F142&lt;=100, 18, IF(F142&lt;=250, 23, IF(F142&lt;=500, 35, IF(F142&lt;=1000, 40, F142*0.04)))),
IF(Basic34567891011121314151617181920212223[[#This Row],[نوع الخدمة]]="كاش اوت",
    IF(F142&lt;=100, 15, IF(F142&lt;=250, 20, IF(F142&lt;=500, 30, IF(F142&lt;=1000, 35, F142*0.035)))),
0)))</f>
        <v>0</v>
      </c>
      <c r="H142" s="159">
        <f>IF(I142="مخالفات",50,Basic34567891011121314151617181920212223[[#This Row],[قيمة الرسوم / العموله]]+Basic34567891011121314151617181920212223[[#This Row],[قيمة الشحنه]])</f>
        <v>0</v>
      </c>
      <c r="I142" s="90"/>
      <c r="J142" s="142" t="str">
        <f t="shared" si="2"/>
        <v>10.5.2026</v>
      </c>
      <c r="L142" s="153">
        <v>131</v>
      </c>
      <c r="M142" s="92"/>
    </row>
    <row r="143" spans="1:13" ht="21.6" x14ac:dyDescent="0.65">
      <c r="A143" s="195"/>
      <c r="B143" s="140">
        <v>140</v>
      </c>
      <c r="C143" s="2"/>
      <c r="D143" s="1"/>
      <c r="E143" s="3"/>
      <c r="F143" s="1"/>
      <c r="G143" s="141">
        <f>IF(Basic34567891011121314151617181920212223[[#This Row],[نوع الخدمة]]="مخالفات", 50,
IF(Basic34567891011121314151617181920212223[[#This Row],[نوع الخدمة]]="كاش ان",
    IF(F143&lt;=100, 18, IF(F143&lt;=250, 23, IF(F143&lt;=500, 35, IF(F143&lt;=1000, 40, F143*0.04)))),
IF(Basic34567891011121314151617181920212223[[#This Row],[نوع الخدمة]]="كاش اوت",
    IF(F143&lt;=100, 15, IF(F143&lt;=250, 20, IF(F143&lt;=500, 30, IF(F143&lt;=1000, 35, F143*0.035)))),
0)))</f>
        <v>0</v>
      </c>
      <c r="H143" s="159">
        <f>IF(I143="مخالفات",50,Basic34567891011121314151617181920212223[[#This Row],[قيمة الرسوم / العموله]]+Basic34567891011121314151617181920212223[[#This Row],[قيمة الشحنه]])</f>
        <v>0</v>
      </c>
      <c r="I143" s="90"/>
      <c r="J143" s="142" t="str">
        <f t="shared" si="2"/>
        <v>10.5.2026</v>
      </c>
      <c r="L143" s="153">
        <v>132</v>
      </c>
      <c r="M143" s="92"/>
    </row>
    <row r="144" spans="1:13" ht="21.6" x14ac:dyDescent="0.65">
      <c r="A144" s="195"/>
      <c r="B144" s="140">
        <v>141</v>
      </c>
      <c r="C144" s="2"/>
      <c r="D144" s="1"/>
      <c r="E144" s="3"/>
      <c r="F144" s="1"/>
      <c r="G144" s="141">
        <f>IF(Basic34567891011121314151617181920212223[[#This Row],[نوع الخدمة]]="مخالفات", 50,
IF(Basic34567891011121314151617181920212223[[#This Row],[نوع الخدمة]]="كاش ان",
    IF(F144&lt;=100, 18, IF(F144&lt;=250, 23, IF(F144&lt;=500, 35, IF(F144&lt;=1000, 40, F144*0.04)))),
IF(Basic34567891011121314151617181920212223[[#This Row],[نوع الخدمة]]="كاش اوت",
    IF(F144&lt;=100, 15, IF(F144&lt;=250, 20, IF(F144&lt;=500, 30, IF(F144&lt;=1000, 35, F144*0.035)))),
0)))</f>
        <v>0</v>
      </c>
      <c r="H144" s="159">
        <f>IF(I144="مخالفات",50,Basic34567891011121314151617181920212223[[#This Row],[قيمة الرسوم / العموله]]+Basic34567891011121314151617181920212223[[#This Row],[قيمة الشحنه]])</f>
        <v>0</v>
      </c>
      <c r="I144" s="90"/>
      <c r="J144" s="142" t="str">
        <f t="shared" si="2"/>
        <v>10.5.2026</v>
      </c>
      <c r="L144" s="153">
        <v>133</v>
      </c>
      <c r="M144" s="92"/>
    </row>
    <row r="145" spans="1:13" ht="21.6" x14ac:dyDescent="0.65">
      <c r="A145" s="195"/>
      <c r="B145" s="144">
        <v>142</v>
      </c>
      <c r="C145" s="2"/>
      <c r="D145" s="1"/>
      <c r="E145" s="3"/>
      <c r="F145" s="1"/>
      <c r="G145" s="141">
        <f>IF(Basic34567891011121314151617181920212223[[#This Row],[نوع الخدمة]]="مخالفات", 50,
IF(Basic34567891011121314151617181920212223[[#This Row],[نوع الخدمة]]="كاش ان",
    IF(F145&lt;=100, 18, IF(F145&lt;=250, 23, IF(F145&lt;=500, 35, IF(F145&lt;=1000, 40, F145*0.04)))),
IF(Basic34567891011121314151617181920212223[[#This Row],[نوع الخدمة]]="كاش اوت",
    IF(F145&lt;=100, 15, IF(F145&lt;=250, 20, IF(F145&lt;=500, 30, IF(F145&lt;=1000, 35, F145*0.035)))),
0)))</f>
        <v>0</v>
      </c>
      <c r="H145" s="159">
        <f>IF(I145="مخالفات",50,Basic34567891011121314151617181920212223[[#This Row],[قيمة الرسوم / العموله]]+Basic34567891011121314151617181920212223[[#This Row],[قيمة الشحنه]])</f>
        <v>0</v>
      </c>
      <c r="I145" s="90"/>
      <c r="J145" s="142" t="str">
        <f t="shared" si="2"/>
        <v>10.5.2026</v>
      </c>
      <c r="L145" s="153">
        <v>134</v>
      </c>
      <c r="M145" s="92"/>
    </row>
    <row r="146" spans="1:13" ht="21.6" x14ac:dyDescent="0.65">
      <c r="A146" s="195"/>
      <c r="B146" s="140">
        <v>143</v>
      </c>
      <c r="C146" s="2"/>
      <c r="D146" s="1"/>
      <c r="E146" s="3"/>
      <c r="F146" s="1"/>
      <c r="G146" s="141">
        <f>IF(Basic34567891011121314151617181920212223[[#This Row],[نوع الخدمة]]="مخالفات", 50,
IF(Basic34567891011121314151617181920212223[[#This Row],[نوع الخدمة]]="كاش ان",
    IF(F146&lt;=100, 18, IF(F146&lt;=250, 23, IF(F146&lt;=500, 35, IF(F146&lt;=1000, 40, F146*0.04)))),
IF(Basic34567891011121314151617181920212223[[#This Row],[نوع الخدمة]]="كاش اوت",
    IF(F146&lt;=100, 15, IF(F146&lt;=250, 20, IF(F146&lt;=500, 30, IF(F146&lt;=1000, 35, F146*0.035)))),
0)))</f>
        <v>0</v>
      </c>
      <c r="H146" s="159">
        <f>IF(I146="مخالفات",50,Basic34567891011121314151617181920212223[[#This Row],[قيمة الرسوم / العموله]]+Basic34567891011121314151617181920212223[[#This Row],[قيمة الشحنه]])</f>
        <v>0</v>
      </c>
      <c r="I146" s="90"/>
      <c r="J146" s="142" t="str">
        <f t="shared" si="2"/>
        <v>10.5.2026</v>
      </c>
      <c r="L146" s="153">
        <v>135</v>
      </c>
      <c r="M146" s="92"/>
    </row>
    <row r="147" spans="1:13" ht="21.6" x14ac:dyDescent="0.65">
      <c r="A147" s="195"/>
      <c r="B147" s="140">
        <v>144</v>
      </c>
      <c r="C147" s="2"/>
      <c r="D147" s="1"/>
      <c r="E147" s="3"/>
      <c r="F147" s="1"/>
      <c r="G147" s="141">
        <f>IF(Basic34567891011121314151617181920212223[[#This Row],[نوع الخدمة]]="مخالفات", 50,
IF(Basic34567891011121314151617181920212223[[#This Row],[نوع الخدمة]]="كاش ان",
    IF(F147&lt;=100, 18, IF(F147&lt;=250, 23, IF(F147&lt;=500, 35, IF(F147&lt;=1000, 40, F147*0.04)))),
IF(Basic34567891011121314151617181920212223[[#This Row],[نوع الخدمة]]="كاش اوت",
    IF(F147&lt;=100, 15, IF(F147&lt;=250, 20, IF(F147&lt;=500, 30, IF(F147&lt;=1000, 35, F147*0.035)))),
0)))</f>
        <v>0</v>
      </c>
      <c r="H147" s="159">
        <f>IF(I147="مخالفات",50,Basic34567891011121314151617181920212223[[#This Row],[قيمة الرسوم / العموله]]+Basic34567891011121314151617181920212223[[#This Row],[قيمة الشحنه]])</f>
        <v>0</v>
      </c>
      <c r="I147" s="90"/>
      <c r="J147" s="142" t="str">
        <f t="shared" si="2"/>
        <v>10.5.2026</v>
      </c>
      <c r="L147" s="153">
        <v>136</v>
      </c>
      <c r="M147" s="92"/>
    </row>
    <row r="148" spans="1:13" ht="21.6" x14ac:dyDescent="0.65">
      <c r="A148" s="195"/>
      <c r="B148" s="140">
        <v>145</v>
      </c>
      <c r="C148" s="2"/>
      <c r="D148" s="1"/>
      <c r="E148" s="3"/>
      <c r="F148" s="1"/>
      <c r="G148" s="141">
        <f>IF(Basic34567891011121314151617181920212223[[#This Row],[نوع الخدمة]]="مخالفات", 50,
IF(Basic34567891011121314151617181920212223[[#This Row],[نوع الخدمة]]="كاش ان",
    IF(F148&lt;=100, 18, IF(F148&lt;=250, 23, IF(F148&lt;=500, 35, IF(F148&lt;=1000, 40, F148*0.04)))),
IF(Basic34567891011121314151617181920212223[[#This Row],[نوع الخدمة]]="كاش اوت",
    IF(F148&lt;=100, 15, IF(F148&lt;=250, 20, IF(F148&lt;=500, 30, IF(F148&lt;=1000, 35, F148*0.035)))),
0)))</f>
        <v>0</v>
      </c>
      <c r="H148" s="159">
        <f>IF(I148="مخالفات",50,Basic34567891011121314151617181920212223[[#This Row],[قيمة الرسوم / العموله]]+Basic34567891011121314151617181920212223[[#This Row],[قيمة الشحنه]])</f>
        <v>0</v>
      </c>
      <c r="I148" s="90"/>
      <c r="J148" s="142" t="str">
        <f t="shared" si="2"/>
        <v>10.5.2026</v>
      </c>
      <c r="L148" s="153">
        <v>137</v>
      </c>
      <c r="M148" s="92"/>
    </row>
    <row r="149" spans="1:13" ht="21.6" x14ac:dyDescent="0.65">
      <c r="A149" s="195"/>
      <c r="B149" s="144">
        <v>146</v>
      </c>
      <c r="C149" s="2"/>
      <c r="D149" s="1"/>
      <c r="E149" s="3"/>
      <c r="F149" s="1"/>
      <c r="G149" s="141">
        <f>IF(Basic34567891011121314151617181920212223[[#This Row],[نوع الخدمة]]="مخالفات", 50,
IF(Basic34567891011121314151617181920212223[[#This Row],[نوع الخدمة]]="كاش ان",
    IF(F149&lt;=100, 18, IF(F149&lt;=250, 23, IF(F149&lt;=500, 35, IF(F149&lt;=1000, 40, F149*0.04)))),
IF(Basic34567891011121314151617181920212223[[#This Row],[نوع الخدمة]]="كاش اوت",
    IF(F149&lt;=100, 15, IF(F149&lt;=250, 20, IF(F149&lt;=500, 30, IF(F149&lt;=1000, 35, F149*0.035)))),
0)))</f>
        <v>0</v>
      </c>
      <c r="H149" s="159">
        <f>IF(I149="مخالفات",50,Basic34567891011121314151617181920212223[[#This Row],[قيمة الرسوم / العموله]]+Basic34567891011121314151617181920212223[[#This Row],[قيمة الشحنه]])</f>
        <v>0</v>
      </c>
      <c r="I149" s="90"/>
      <c r="J149" s="142" t="str">
        <f t="shared" si="2"/>
        <v>10.5.2026</v>
      </c>
      <c r="L149" s="153">
        <v>138</v>
      </c>
      <c r="M149" s="92"/>
    </row>
    <row r="150" spans="1:13" ht="21.6" x14ac:dyDescent="0.65">
      <c r="A150" s="195"/>
      <c r="B150" s="140">
        <v>147</v>
      </c>
      <c r="C150" s="2"/>
      <c r="D150" s="1"/>
      <c r="E150" s="3"/>
      <c r="F150" s="1"/>
      <c r="G150" s="141">
        <f>IF(Basic34567891011121314151617181920212223[[#This Row],[نوع الخدمة]]="مخالفات", 50,
IF(Basic34567891011121314151617181920212223[[#This Row],[نوع الخدمة]]="كاش ان",
    IF(F150&lt;=100, 18, IF(F150&lt;=250, 23, IF(F150&lt;=500, 35, IF(F150&lt;=1000, 40, F150*0.04)))),
IF(Basic34567891011121314151617181920212223[[#This Row],[نوع الخدمة]]="كاش اوت",
    IF(F150&lt;=100, 15, IF(F150&lt;=250, 20, IF(F150&lt;=500, 30, IF(F150&lt;=1000, 35, F150*0.035)))),
0)))</f>
        <v>0</v>
      </c>
      <c r="H150" s="159">
        <f>IF(I150="مخالفات",50,Basic34567891011121314151617181920212223[[#This Row],[قيمة الرسوم / العموله]]+Basic34567891011121314151617181920212223[[#This Row],[قيمة الشحنه]])</f>
        <v>0</v>
      </c>
      <c r="I150" s="90"/>
      <c r="J150" s="142" t="str">
        <f t="shared" si="2"/>
        <v>10.5.2026</v>
      </c>
      <c r="L150" s="153">
        <v>139</v>
      </c>
      <c r="M150" s="92"/>
    </row>
    <row r="151" spans="1:13" ht="21.6" x14ac:dyDescent="0.65">
      <c r="A151" s="195"/>
      <c r="B151" s="140">
        <v>148</v>
      </c>
      <c r="C151" s="2"/>
      <c r="D151" s="1"/>
      <c r="E151" s="3"/>
      <c r="F151" s="1"/>
      <c r="G151" s="141">
        <f>IF(Basic34567891011121314151617181920212223[[#This Row],[نوع الخدمة]]="مخالفات", 50,
IF(Basic34567891011121314151617181920212223[[#This Row],[نوع الخدمة]]="كاش ان",
    IF(F151&lt;=100, 18, IF(F151&lt;=250, 23, IF(F151&lt;=500, 35, IF(F151&lt;=1000, 40, F151*0.04)))),
IF(Basic34567891011121314151617181920212223[[#This Row],[نوع الخدمة]]="كاش اوت",
    IF(F151&lt;=100, 15, IF(F151&lt;=250, 20, IF(F151&lt;=500, 30, IF(F151&lt;=1000, 35, F151*0.035)))),
0)))</f>
        <v>0</v>
      </c>
      <c r="H151" s="159">
        <f>IF(I151="مخالفات",50,Basic34567891011121314151617181920212223[[#This Row],[قيمة الرسوم / العموله]]+Basic34567891011121314151617181920212223[[#This Row],[قيمة الشحنه]])</f>
        <v>0</v>
      </c>
      <c r="I151" s="90"/>
      <c r="J151" s="142" t="str">
        <f t="shared" si="2"/>
        <v>10.5.2026</v>
      </c>
      <c r="L151" s="153">
        <v>140</v>
      </c>
      <c r="M151" s="92"/>
    </row>
    <row r="152" spans="1:13" ht="21.6" x14ac:dyDescent="0.65">
      <c r="A152" s="195"/>
      <c r="B152" s="140">
        <v>149</v>
      </c>
      <c r="C152" s="2"/>
      <c r="D152" s="1"/>
      <c r="E152" s="3"/>
      <c r="F152" s="1"/>
      <c r="G152" s="141">
        <f>IF(Basic34567891011121314151617181920212223[[#This Row],[نوع الخدمة]]="مخالفات", 50,
IF(Basic34567891011121314151617181920212223[[#This Row],[نوع الخدمة]]="كاش ان",
    IF(F152&lt;=100, 18, IF(F152&lt;=250, 23, IF(F152&lt;=500, 35, IF(F152&lt;=1000, 40, F152*0.04)))),
IF(Basic34567891011121314151617181920212223[[#This Row],[نوع الخدمة]]="كاش اوت",
    IF(F152&lt;=100, 15, IF(F152&lt;=250, 20, IF(F152&lt;=500, 30, IF(F152&lt;=1000, 35, F152*0.035)))),
0)))</f>
        <v>0</v>
      </c>
      <c r="H152" s="159">
        <f>IF(I152="مخالفات",50,Basic34567891011121314151617181920212223[[#This Row],[قيمة الرسوم / العموله]]+Basic34567891011121314151617181920212223[[#This Row],[قيمة الشحنه]])</f>
        <v>0</v>
      </c>
      <c r="I152" s="90"/>
      <c r="J152" s="142" t="str">
        <f t="shared" si="2"/>
        <v>10.5.2026</v>
      </c>
      <c r="L152" s="153">
        <v>141</v>
      </c>
      <c r="M152" s="92"/>
    </row>
    <row r="153" spans="1:13" ht="21.6" x14ac:dyDescent="0.65">
      <c r="A153" s="195"/>
      <c r="B153" s="144">
        <v>150</v>
      </c>
      <c r="C153" s="2"/>
      <c r="D153" s="1"/>
      <c r="E153" s="3"/>
      <c r="F153" s="1"/>
      <c r="G153" s="141">
        <f>IF(Basic34567891011121314151617181920212223[[#This Row],[نوع الخدمة]]="مخالفات", 50,
IF(Basic34567891011121314151617181920212223[[#This Row],[نوع الخدمة]]="كاش ان",
    IF(F153&lt;=100, 18, IF(F153&lt;=250, 23, IF(F153&lt;=500, 35, IF(F153&lt;=1000, 40, F153*0.04)))),
IF(Basic34567891011121314151617181920212223[[#This Row],[نوع الخدمة]]="كاش اوت",
    IF(F153&lt;=100, 15, IF(F153&lt;=250, 20, IF(F153&lt;=500, 30, IF(F153&lt;=1000, 35, F153*0.035)))),
0)))</f>
        <v>0</v>
      </c>
      <c r="H153" s="159">
        <f>IF(I153="مخالفات",50,Basic34567891011121314151617181920212223[[#This Row],[قيمة الرسوم / العموله]]+Basic34567891011121314151617181920212223[[#This Row],[قيمة الشحنه]])</f>
        <v>0</v>
      </c>
      <c r="I153" s="90"/>
      <c r="J153" s="142" t="str">
        <f t="shared" si="2"/>
        <v>10.5.2026</v>
      </c>
      <c r="L153" s="153">
        <v>142</v>
      </c>
      <c r="M153" s="92"/>
    </row>
    <row r="154" spans="1:13" ht="21.6" x14ac:dyDescent="0.65">
      <c r="A154" s="195"/>
      <c r="B154" s="140">
        <v>151</v>
      </c>
      <c r="C154" s="2"/>
      <c r="D154" s="1"/>
      <c r="E154" s="3"/>
      <c r="F154" s="1"/>
      <c r="G154" s="141">
        <f>IF(Basic34567891011121314151617181920212223[[#This Row],[نوع الخدمة]]="مخالفات", 50,
IF(Basic34567891011121314151617181920212223[[#This Row],[نوع الخدمة]]="كاش ان",
    IF(F154&lt;=100, 18, IF(F154&lt;=250, 23, IF(F154&lt;=500, 35, IF(F154&lt;=1000, 40, F154*0.04)))),
IF(Basic34567891011121314151617181920212223[[#This Row],[نوع الخدمة]]="كاش اوت",
    IF(F154&lt;=100, 15, IF(F154&lt;=250, 20, IF(F154&lt;=500, 30, IF(F154&lt;=1000, 35, F154*0.035)))),
0)))</f>
        <v>0</v>
      </c>
      <c r="H154" s="159">
        <f>IF(I154="مخالفات",50,Basic34567891011121314151617181920212223[[#This Row],[قيمة الرسوم / العموله]]+Basic34567891011121314151617181920212223[[#This Row],[قيمة الشحنه]])</f>
        <v>0</v>
      </c>
      <c r="I154" s="90"/>
      <c r="J154" s="142" t="str">
        <f t="shared" si="2"/>
        <v>10.5.2026</v>
      </c>
      <c r="L154" s="153">
        <v>143</v>
      </c>
      <c r="M154" s="92"/>
    </row>
    <row r="155" spans="1:13" ht="21.6" x14ac:dyDescent="0.65">
      <c r="A155" s="195"/>
      <c r="B155" s="140">
        <v>152</v>
      </c>
      <c r="C155" s="2"/>
      <c r="D155" s="1"/>
      <c r="E155" s="3"/>
      <c r="F155" s="1"/>
      <c r="G155" s="141">
        <f>IF(Basic34567891011121314151617181920212223[[#This Row],[نوع الخدمة]]="مخالفات", 50,
IF(Basic34567891011121314151617181920212223[[#This Row],[نوع الخدمة]]="كاش ان",
    IF(F155&lt;=100, 18, IF(F155&lt;=250, 23, IF(F155&lt;=500, 35, IF(F155&lt;=1000, 40, F155*0.04)))),
IF(Basic34567891011121314151617181920212223[[#This Row],[نوع الخدمة]]="كاش اوت",
    IF(F155&lt;=100, 15, IF(F155&lt;=250, 20, IF(F155&lt;=500, 30, IF(F155&lt;=1000, 35, F155*0.035)))),
0)))</f>
        <v>0</v>
      </c>
      <c r="H155" s="159">
        <f>IF(I155="مخالفات",50,Basic34567891011121314151617181920212223[[#This Row],[قيمة الرسوم / العموله]]+Basic34567891011121314151617181920212223[[#This Row],[قيمة الشحنه]])</f>
        <v>0</v>
      </c>
      <c r="I155" s="90"/>
      <c r="J155" s="142" t="str">
        <f t="shared" si="2"/>
        <v>10.5.2026</v>
      </c>
      <c r="L155" s="153">
        <v>144</v>
      </c>
      <c r="M155" s="92"/>
    </row>
    <row r="156" spans="1:13" ht="21.6" x14ac:dyDescent="0.65">
      <c r="A156" s="195"/>
      <c r="B156" s="140">
        <v>153</v>
      </c>
      <c r="C156" s="2"/>
      <c r="D156" s="1"/>
      <c r="E156" s="3"/>
      <c r="F156" s="1"/>
      <c r="G156" s="141">
        <f>IF(Basic34567891011121314151617181920212223[[#This Row],[نوع الخدمة]]="مخالفات", 50,
IF(Basic34567891011121314151617181920212223[[#This Row],[نوع الخدمة]]="كاش ان",
    IF(F156&lt;=100, 18, IF(F156&lt;=250, 23, IF(F156&lt;=500, 35, IF(F156&lt;=1000, 40, F156*0.04)))),
IF(Basic34567891011121314151617181920212223[[#This Row],[نوع الخدمة]]="كاش اوت",
    IF(F156&lt;=100, 15, IF(F156&lt;=250, 20, IF(F156&lt;=500, 30, IF(F156&lt;=1000, 35, F156*0.035)))),
0)))</f>
        <v>0</v>
      </c>
      <c r="H156" s="159">
        <f>IF(I156="مخالفات",50,Basic34567891011121314151617181920212223[[#This Row],[قيمة الرسوم / العموله]]+Basic34567891011121314151617181920212223[[#This Row],[قيمة الشحنه]])</f>
        <v>0</v>
      </c>
      <c r="I156" s="90"/>
      <c r="J156" s="142" t="str">
        <f t="shared" si="2"/>
        <v>10.5.2026</v>
      </c>
      <c r="L156" s="153">
        <v>145</v>
      </c>
      <c r="M156" s="92"/>
    </row>
    <row r="157" spans="1:13" ht="21.6" x14ac:dyDescent="0.65">
      <c r="A157" s="195"/>
      <c r="B157" s="144">
        <v>154</v>
      </c>
      <c r="C157" s="2"/>
      <c r="D157" s="1"/>
      <c r="E157" s="3"/>
      <c r="F157" s="1"/>
      <c r="G157" s="141">
        <f>IF(Basic34567891011121314151617181920212223[[#This Row],[نوع الخدمة]]="مخالفات", 50,
IF(Basic34567891011121314151617181920212223[[#This Row],[نوع الخدمة]]="كاش ان",
    IF(F157&lt;=100, 18, IF(F157&lt;=250, 23, IF(F157&lt;=500, 35, IF(F157&lt;=1000, 40, F157*0.04)))),
IF(Basic34567891011121314151617181920212223[[#This Row],[نوع الخدمة]]="كاش اوت",
    IF(F157&lt;=100, 15, IF(F157&lt;=250, 20, IF(F157&lt;=500, 30, IF(F157&lt;=1000, 35, F157*0.035)))),
0)))</f>
        <v>0</v>
      </c>
      <c r="H157" s="159">
        <f>IF(I157="مخالفات",50,Basic34567891011121314151617181920212223[[#This Row],[قيمة الرسوم / العموله]]+Basic34567891011121314151617181920212223[[#This Row],[قيمة الشحنه]])</f>
        <v>0</v>
      </c>
      <c r="I157" s="90"/>
      <c r="J157" s="142" t="str">
        <f t="shared" si="2"/>
        <v>10.5.2026</v>
      </c>
      <c r="L157" s="153">
        <v>146</v>
      </c>
      <c r="M157" s="92"/>
    </row>
    <row r="158" spans="1:13" ht="21.6" x14ac:dyDescent="0.65">
      <c r="A158" s="195"/>
      <c r="B158" s="140">
        <v>155</v>
      </c>
      <c r="C158" s="2"/>
      <c r="D158" s="1"/>
      <c r="E158" s="3"/>
      <c r="F158" s="1"/>
      <c r="G158" s="141">
        <f>IF(Basic34567891011121314151617181920212223[[#This Row],[نوع الخدمة]]="مخالفات", 50,
IF(Basic34567891011121314151617181920212223[[#This Row],[نوع الخدمة]]="كاش ان",
    IF(F158&lt;=100, 18, IF(F158&lt;=250, 23, IF(F158&lt;=500, 35, IF(F158&lt;=1000, 40, F158*0.04)))),
IF(Basic34567891011121314151617181920212223[[#This Row],[نوع الخدمة]]="كاش اوت",
    IF(F158&lt;=100, 15, IF(F158&lt;=250, 20, IF(F158&lt;=500, 30, IF(F158&lt;=1000, 35, F158*0.035)))),
0)))</f>
        <v>0</v>
      </c>
      <c r="H158" s="159">
        <f>IF(I158="مخالفات",50,Basic34567891011121314151617181920212223[[#This Row],[قيمة الرسوم / العموله]]+Basic34567891011121314151617181920212223[[#This Row],[قيمة الشحنه]])</f>
        <v>0</v>
      </c>
      <c r="I158" s="90"/>
      <c r="J158" s="142" t="str">
        <f t="shared" si="2"/>
        <v>10.5.2026</v>
      </c>
      <c r="L158" s="153">
        <v>147</v>
      </c>
      <c r="M158" s="92"/>
    </row>
    <row r="159" spans="1:13" ht="21.6" x14ac:dyDescent="0.65">
      <c r="A159" s="195"/>
      <c r="B159" s="140">
        <v>156</v>
      </c>
      <c r="C159" s="2"/>
      <c r="D159" s="1"/>
      <c r="E159" s="3"/>
      <c r="F159" s="1"/>
      <c r="G159" s="141">
        <f>IF(Basic34567891011121314151617181920212223[[#This Row],[نوع الخدمة]]="مخالفات", 50,
IF(Basic34567891011121314151617181920212223[[#This Row],[نوع الخدمة]]="كاش ان",
    IF(F159&lt;=100, 18, IF(F159&lt;=250, 23, IF(F159&lt;=500, 35, IF(F159&lt;=1000, 40, F159*0.04)))),
IF(Basic34567891011121314151617181920212223[[#This Row],[نوع الخدمة]]="كاش اوت",
    IF(F159&lt;=100, 15, IF(F159&lt;=250, 20, IF(F159&lt;=500, 30, IF(F159&lt;=1000, 35, F159*0.035)))),
0)))</f>
        <v>0</v>
      </c>
      <c r="H159" s="159">
        <f>IF(I159="مخالفات",50,Basic34567891011121314151617181920212223[[#This Row],[قيمة الرسوم / العموله]]+Basic34567891011121314151617181920212223[[#This Row],[قيمة الشحنه]])</f>
        <v>0</v>
      </c>
      <c r="I159" s="90"/>
      <c r="J159" s="142" t="str">
        <f t="shared" si="2"/>
        <v>10.5.2026</v>
      </c>
      <c r="L159" s="153">
        <v>148</v>
      </c>
      <c r="M159" s="92"/>
    </row>
    <row r="160" spans="1:13" ht="21.6" x14ac:dyDescent="0.65">
      <c r="A160" s="195"/>
      <c r="B160" s="140">
        <v>157</v>
      </c>
      <c r="C160" s="2"/>
      <c r="D160" s="1"/>
      <c r="E160" s="3"/>
      <c r="F160" s="1"/>
      <c r="G160" s="141">
        <f>IF(Basic34567891011121314151617181920212223[[#This Row],[نوع الخدمة]]="مخالفات", 50,
IF(Basic34567891011121314151617181920212223[[#This Row],[نوع الخدمة]]="كاش ان",
    IF(F160&lt;=100, 18, IF(F160&lt;=250, 23, IF(F160&lt;=500, 35, IF(F160&lt;=1000, 40, F160*0.04)))),
IF(Basic34567891011121314151617181920212223[[#This Row],[نوع الخدمة]]="كاش اوت",
    IF(F160&lt;=100, 15, IF(F160&lt;=250, 20, IF(F160&lt;=500, 30, IF(F160&lt;=1000, 35, F160*0.035)))),
0)))</f>
        <v>0</v>
      </c>
      <c r="H160" s="159">
        <f>IF(I160="مخالفات",50,Basic34567891011121314151617181920212223[[#This Row],[قيمة الرسوم / العموله]]+Basic34567891011121314151617181920212223[[#This Row],[قيمة الشحنه]])</f>
        <v>0</v>
      </c>
      <c r="I160" s="90"/>
      <c r="J160" s="142" t="str">
        <f t="shared" si="2"/>
        <v>10.5.2026</v>
      </c>
      <c r="L160" s="153">
        <v>149</v>
      </c>
      <c r="M160" s="92"/>
    </row>
    <row r="161" spans="1:13" ht="21.6" x14ac:dyDescent="0.65">
      <c r="A161" s="195"/>
      <c r="B161" s="144">
        <v>158</v>
      </c>
      <c r="C161" s="2"/>
      <c r="D161" s="1"/>
      <c r="E161" s="3"/>
      <c r="F161" s="1"/>
      <c r="G161" s="141">
        <f>IF(Basic34567891011121314151617181920212223[[#This Row],[نوع الخدمة]]="مخالفات", 50,
IF(Basic34567891011121314151617181920212223[[#This Row],[نوع الخدمة]]="كاش ان",
    IF(F161&lt;=100, 18, IF(F161&lt;=250, 23, IF(F161&lt;=500, 35, IF(F161&lt;=1000, 40, F161*0.04)))),
IF(Basic34567891011121314151617181920212223[[#This Row],[نوع الخدمة]]="كاش اوت",
    IF(F161&lt;=100, 15, IF(F161&lt;=250, 20, IF(F161&lt;=500, 30, IF(F161&lt;=1000, 35, F161*0.035)))),
0)))</f>
        <v>0</v>
      </c>
      <c r="H161" s="159">
        <f>IF(I161="مخالفات",50,Basic34567891011121314151617181920212223[[#This Row],[قيمة الرسوم / العموله]]+Basic34567891011121314151617181920212223[[#This Row],[قيمة الشحنه]])</f>
        <v>0</v>
      </c>
      <c r="I161" s="90"/>
      <c r="J161" s="142" t="str">
        <f t="shared" si="2"/>
        <v>10.5.2026</v>
      </c>
      <c r="L161" s="153">
        <v>150</v>
      </c>
      <c r="M161" s="92"/>
    </row>
    <row r="162" spans="1:13" ht="21.6" x14ac:dyDescent="0.65">
      <c r="A162" s="195"/>
      <c r="B162" s="140">
        <v>159</v>
      </c>
      <c r="C162" s="2"/>
      <c r="D162" s="1"/>
      <c r="E162" s="3"/>
      <c r="F162" s="1"/>
      <c r="G162" s="141">
        <f>IF(Basic34567891011121314151617181920212223[[#This Row],[نوع الخدمة]]="مخالفات", 50,
IF(Basic34567891011121314151617181920212223[[#This Row],[نوع الخدمة]]="كاش ان",
    IF(F162&lt;=100, 18, IF(F162&lt;=250, 23, IF(F162&lt;=500, 35, IF(F162&lt;=1000, 40, F162*0.04)))),
IF(Basic34567891011121314151617181920212223[[#This Row],[نوع الخدمة]]="كاش اوت",
    IF(F162&lt;=100, 15, IF(F162&lt;=250, 20, IF(F162&lt;=500, 30, IF(F162&lt;=1000, 35, F162*0.035)))),
0)))</f>
        <v>0</v>
      </c>
      <c r="H162" s="159">
        <f>IF(I162="مخالفات",50,Basic34567891011121314151617181920212223[[#This Row],[قيمة الرسوم / العموله]]+Basic34567891011121314151617181920212223[[#This Row],[قيمة الشحنه]])</f>
        <v>0</v>
      </c>
      <c r="I162" s="90"/>
      <c r="J162" s="142" t="str">
        <f t="shared" si="2"/>
        <v>10.5.2026</v>
      </c>
      <c r="L162" s="153">
        <v>151</v>
      </c>
      <c r="M162" s="92"/>
    </row>
    <row r="163" spans="1:13" ht="21.6" x14ac:dyDescent="0.65">
      <c r="A163" s="195"/>
      <c r="B163" s="140">
        <v>160</v>
      </c>
      <c r="C163" s="2"/>
      <c r="D163" s="1"/>
      <c r="E163" s="3"/>
      <c r="F163" s="1"/>
      <c r="G163" s="141">
        <f>IF(Basic34567891011121314151617181920212223[[#This Row],[نوع الخدمة]]="مخالفات", 50,
IF(Basic34567891011121314151617181920212223[[#This Row],[نوع الخدمة]]="كاش ان",
    IF(F163&lt;=100, 18, IF(F163&lt;=250, 23, IF(F163&lt;=500, 35, IF(F163&lt;=1000, 40, F163*0.04)))),
IF(Basic34567891011121314151617181920212223[[#This Row],[نوع الخدمة]]="كاش اوت",
    IF(F163&lt;=100, 15, IF(F163&lt;=250, 20, IF(F163&lt;=500, 30, IF(F163&lt;=1000, 35, F163*0.035)))),
0)))</f>
        <v>0</v>
      </c>
      <c r="H163" s="159">
        <f>IF(I163="مخالفات",50,Basic34567891011121314151617181920212223[[#This Row],[قيمة الرسوم / العموله]]+Basic34567891011121314151617181920212223[[#This Row],[قيمة الشحنه]])</f>
        <v>0</v>
      </c>
      <c r="I163" s="90"/>
      <c r="J163" s="142" t="str">
        <f t="shared" si="2"/>
        <v>10.5.2026</v>
      </c>
      <c r="L163" s="153">
        <v>152</v>
      </c>
      <c r="M163" s="92"/>
    </row>
    <row r="164" spans="1:13" ht="21.6" x14ac:dyDescent="0.65">
      <c r="A164" s="195"/>
      <c r="B164" s="140">
        <v>161</v>
      </c>
      <c r="C164" s="2"/>
      <c r="D164" s="1"/>
      <c r="E164" s="3"/>
      <c r="F164" s="1"/>
      <c r="G164" s="141">
        <f>IF(Basic34567891011121314151617181920212223[[#This Row],[نوع الخدمة]]="مخالفات", 50,
IF(Basic34567891011121314151617181920212223[[#This Row],[نوع الخدمة]]="كاش ان",
    IF(F164&lt;=100, 18, IF(F164&lt;=250, 23, IF(F164&lt;=500, 35, IF(F164&lt;=1000, 40, F164*0.04)))),
IF(Basic34567891011121314151617181920212223[[#This Row],[نوع الخدمة]]="كاش اوت",
    IF(F164&lt;=100, 15, IF(F164&lt;=250, 20, IF(F164&lt;=500, 30, IF(F164&lt;=1000, 35, F164*0.035)))),
0)))</f>
        <v>0</v>
      </c>
      <c r="H164" s="159">
        <f>IF(I164="مخالفات",50,Basic34567891011121314151617181920212223[[#This Row],[قيمة الرسوم / العموله]]+Basic34567891011121314151617181920212223[[#This Row],[قيمة الشحنه]])</f>
        <v>0</v>
      </c>
      <c r="I164" s="90"/>
      <c r="J164" s="142" t="str">
        <f t="shared" si="2"/>
        <v>10.5.2026</v>
      </c>
      <c r="L164" s="153">
        <v>153</v>
      </c>
      <c r="M164" s="92"/>
    </row>
    <row r="165" spans="1:13" ht="21.6" x14ac:dyDescent="0.65">
      <c r="A165" s="195"/>
      <c r="B165" s="144">
        <v>162</v>
      </c>
      <c r="C165" s="2"/>
      <c r="D165" s="1"/>
      <c r="E165" s="3"/>
      <c r="F165" s="1"/>
      <c r="G165" s="141">
        <f>IF(Basic34567891011121314151617181920212223[[#This Row],[نوع الخدمة]]="مخالفات", 50,
IF(Basic34567891011121314151617181920212223[[#This Row],[نوع الخدمة]]="كاش ان",
    IF(F165&lt;=100, 18, IF(F165&lt;=250, 23, IF(F165&lt;=500, 35, IF(F165&lt;=1000, 40, F165*0.04)))),
IF(Basic34567891011121314151617181920212223[[#This Row],[نوع الخدمة]]="كاش اوت",
    IF(F165&lt;=100, 15, IF(F165&lt;=250, 20, IF(F165&lt;=500, 30, IF(F165&lt;=1000, 35, F165*0.035)))),
0)))</f>
        <v>0</v>
      </c>
      <c r="H165" s="159">
        <f>IF(I165="مخالفات",50,Basic34567891011121314151617181920212223[[#This Row],[قيمة الرسوم / العموله]]+Basic34567891011121314151617181920212223[[#This Row],[قيمة الشحنه]])</f>
        <v>0</v>
      </c>
      <c r="I165" s="90"/>
      <c r="J165" s="142" t="str">
        <f t="shared" si="2"/>
        <v>10.5.2026</v>
      </c>
      <c r="L165" s="153">
        <v>154</v>
      </c>
      <c r="M165" s="92"/>
    </row>
    <row r="166" spans="1:13" ht="21.6" x14ac:dyDescent="0.65">
      <c r="A166" s="195"/>
      <c r="B166" s="140">
        <v>163</v>
      </c>
      <c r="C166" s="2"/>
      <c r="D166" s="1"/>
      <c r="E166" s="3"/>
      <c r="F166" s="1"/>
      <c r="G166" s="141">
        <f>IF(Basic34567891011121314151617181920212223[[#This Row],[نوع الخدمة]]="مخالفات", 50,
IF(Basic34567891011121314151617181920212223[[#This Row],[نوع الخدمة]]="كاش ان",
    IF(F166&lt;=100, 18, IF(F166&lt;=250, 23, IF(F166&lt;=500, 35, IF(F166&lt;=1000, 40, F166*0.04)))),
IF(Basic34567891011121314151617181920212223[[#This Row],[نوع الخدمة]]="كاش اوت",
    IF(F166&lt;=100, 15, IF(F166&lt;=250, 20, IF(F166&lt;=500, 30, IF(F166&lt;=1000, 35, F166*0.035)))),
0)))</f>
        <v>0</v>
      </c>
      <c r="H166" s="159">
        <f>IF(I166="مخالفات",50,Basic34567891011121314151617181920212223[[#This Row],[قيمة الرسوم / العموله]]+Basic34567891011121314151617181920212223[[#This Row],[قيمة الشحنه]])</f>
        <v>0</v>
      </c>
      <c r="I166" s="90"/>
      <c r="J166" s="142" t="str">
        <f t="shared" si="2"/>
        <v>10.5.2026</v>
      </c>
      <c r="L166" s="153">
        <v>155</v>
      </c>
      <c r="M166" s="92"/>
    </row>
    <row r="167" spans="1:13" ht="21.6" x14ac:dyDescent="0.65">
      <c r="A167" s="195"/>
      <c r="B167" s="140">
        <v>164</v>
      </c>
      <c r="C167" s="2"/>
      <c r="D167" s="1"/>
      <c r="E167" s="3"/>
      <c r="F167" s="1"/>
      <c r="G167" s="141">
        <f>IF(Basic34567891011121314151617181920212223[[#This Row],[نوع الخدمة]]="مخالفات", 50,
IF(Basic34567891011121314151617181920212223[[#This Row],[نوع الخدمة]]="كاش ان",
    IF(F167&lt;=100, 18, IF(F167&lt;=250, 23, IF(F167&lt;=500, 35, IF(F167&lt;=1000, 40, F167*0.04)))),
IF(Basic34567891011121314151617181920212223[[#This Row],[نوع الخدمة]]="كاش اوت",
    IF(F167&lt;=100, 15, IF(F167&lt;=250, 20, IF(F167&lt;=500, 30, IF(F167&lt;=1000, 35, F167*0.035)))),
0)))</f>
        <v>0</v>
      </c>
      <c r="H167" s="159">
        <f>IF(I167="مخالفات",50,Basic34567891011121314151617181920212223[[#This Row],[قيمة الرسوم / العموله]]+Basic34567891011121314151617181920212223[[#This Row],[قيمة الشحنه]])</f>
        <v>0</v>
      </c>
      <c r="I167" s="90"/>
      <c r="J167" s="142" t="str">
        <f t="shared" si="2"/>
        <v>10.5.2026</v>
      </c>
      <c r="L167" s="153">
        <v>156</v>
      </c>
      <c r="M167" s="92"/>
    </row>
    <row r="168" spans="1:13" ht="21.6" x14ac:dyDescent="0.65">
      <c r="A168" s="195"/>
      <c r="B168" s="140">
        <v>165</v>
      </c>
      <c r="C168" s="2"/>
      <c r="D168" s="1"/>
      <c r="E168" s="3"/>
      <c r="F168" s="1"/>
      <c r="G168" s="141">
        <f>IF(Basic34567891011121314151617181920212223[[#This Row],[نوع الخدمة]]="مخالفات", 50,
IF(Basic34567891011121314151617181920212223[[#This Row],[نوع الخدمة]]="كاش ان",
    IF(F168&lt;=100, 18, IF(F168&lt;=250, 23, IF(F168&lt;=500, 35, IF(F168&lt;=1000, 40, F168*0.04)))),
IF(Basic34567891011121314151617181920212223[[#This Row],[نوع الخدمة]]="كاش اوت",
    IF(F168&lt;=100, 15, IF(F168&lt;=250, 20, IF(F168&lt;=500, 30, IF(F168&lt;=1000, 35, F168*0.035)))),
0)))</f>
        <v>0</v>
      </c>
      <c r="H168" s="159">
        <f>IF(I168="مخالفات",50,Basic34567891011121314151617181920212223[[#This Row],[قيمة الرسوم / العموله]]+Basic34567891011121314151617181920212223[[#This Row],[قيمة الشحنه]])</f>
        <v>0</v>
      </c>
      <c r="I168" s="90"/>
      <c r="J168" s="142" t="str">
        <f t="shared" si="2"/>
        <v>10.5.2026</v>
      </c>
      <c r="L168" s="153">
        <v>157</v>
      </c>
      <c r="M168" s="92"/>
    </row>
    <row r="169" spans="1:13" ht="21.6" x14ac:dyDescent="0.65">
      <c r="A169" s="195"/>
      <c r="B169" s="144">
        <v>166</v>
      </c>
      <c r="C169" s="2"/>
      <c r="D169" s="1"/>
      <c r="E169" s="3"/>
      <c r="F169" s="1"/>
      <c r="G169" s="141">
        <f>IF(Basic34567891011121314151617181920212223[[#This Row],[نوع الخدمة]]="مخالفات", 50,
IF(Basic34567891011121314151617181920212223[[#This Row],[نوع الخدمة]]="كاش ان",
    IF(F169&lt;=100, 18, IF(F169&lt;=250, 23, IF(F169&lt;=500, 35, IF(F169&lt;=1000, 40, F169*0.04)))),
IF(Basic34567891011121314151617181920212223[[#This Row],[نوع الخدمة]]="كاش اوت",
    IF(F169&lt;=100, 15, IF(F169&lt;=250, 20, IF(F169&lt;=500, 30, IF(F169&lt;=1000, 35, F169*0.035)))),
0)))</f>
        <v>0</v>
      </c>
      <c r="H169" s="159">
        <f>IF(I169="مخالفات",50,Basic34567891011121314151617181920212223[[#This Row],[قيمة الرسوم / العموله]]+Basic34567891011121314151617181920212223[[#This Row],[قيمة الشحنه]])</f>
        <v>0</v>
      </c>
      <c r="I169" s="90"/>
      <c r="J169" s="142" t="str">
        <f t="shared" si="2"/>
        <v>10.5.2026</v>
      </c>
      <c r="L169" s="153">
        <v>158</v>
      </c>
      <c r="M169" s="92"/>
    </row>
    <row r="170" spans="1:13" ht="21.6" x14ac:dyDescent="0.65">
      <c r="A170" s="195"/>
      <c r="B170" s="140">
        <v>167</v>
      </c>
      <c r="C170" s="2"/>
      <c r="D170" s="1"/>
      <c r="E170" s="3"/>
      <c r="F170" s="1"/>
      <c r="G170" s="141">
        <f>IF(Basic34567891011121314151617181920212223[[#This Row],[نوع الخدمة]]="مخالفات", 50,
IF(Basic34567891011121314151617181920212223[[#This Row],[نوع الخدمة]]="كاش ان",
    IF(F170&lt;=100, 18, IF(F170&lt;=250, 23, IF(F170&lt;=500, 35, IF(F170&lt;=1000, 40, F170*0.04)))),
IF(Basic34567891011121314151617181920212223[[#This Row],[نوع الخدمة]]="كاش اوت",
    IF(F170&lt;=100, 15, IF(F170&lt;=250, 20, IF(F170&lt;=500, 30, IF(F170&lt;=1000, 35, F170*0.035)))),
0)))</f>
        <v>0</v>
      </c>
      <c r="H170" s="159">
        <f>IF(I170="مخالفات",50,Basic34567891011121314151617181920212223[[#This Row],[قيمة الرسوم / العموله]]+Basic34567891011121314151617181920212223[[#This Row],[قيمة الشحنه]])</f>
        <v>0</v>
      </c>
      <c r="I170" s="90"/>
      <c r="J170" s="142" t="str">
        <f t="shared" si="2"/>
        <v>10.5.2026</v>
      </c>
      <c r="L170" s="153">
        <v>159</v>
      </c>
      <c r="M170" s="92"/>
    </row>
    <row r="171" spans="1:13" ht="21.6" x14ac:dyDescent="0.65">
      <c r="A171" s="195"/>
      <c r="B171" s="140">
        <v>168</v>
      </c>
      <c r="C171" s="2"/>
      <c r="D171" s="1"/>
      <c r="E171" s="3"/>
      <c r="F171" s="1"/>
      <c r="G171" s="141">
        <f>IF(Basic34567891011121314151617181920212223[[#This Row],[نوع الخدمة]]="مخالفات", 50,
IF(Basic34567891011121314151617181920212223[[#This Row],[نوع الخدمة]]="كاش ان",
    IF(F171&lt;=100, 18, IF(F171&lt;=250, 23, IF(F171&lt;=500, 35, IF(F171&lt;=1000, 40, F171*0.04)))),
IF(Basic34567891011121314151617181920212223[[#This Row],[نوع الخدمة]]="كاش اوت",
    IF(F171&lt;=100, 15, IF(F171&lt;=250, 20, IF(F171&lt;=500, 30, IF(F171&lt;=1000, 35, F171*0.035)))),
0)))</f>
        <v>0</v>
      </c>
      <c r="H171" s="159">
        <f>IF(I171="مخالفات",50,Basic34567891011121314151617181920212223[[#This Row],[قيمة الرسوم / العموله]]+Basic34567891011121314151617181920212223[[#This Row],[قيمة الشحنه]])</f>
        <v>0</v>
      </c>
      <c r="I171" s="90"/>
      <c r="J171" s="142" t="str">
        <f t="shared" si="2"/>
        <v>10.5.2026</v>
      </c>
      <c r="L171" s="153">
        <v>160</v>
      </c>
      <c r="M171" s="92"/>
    </row>
    <row r="172" spans="1:13" ht="21.6" x14ac:dyDescent="0.65">
      <c r="A172" s="195"/>
      <c r="B172" s="140">
        <v>169</v>
      </c>
      <c r="C172" s="2"/>
      <c r="D172" s="1"/>
      <c r="E172" s="3"/>
      <c r="F172" s="1"/>
      <c r="G172" s="141">
        <f>IF(Basic34567891011121314151617181920212223[[#This Row],[نوع الخدمة]]="مخالفات", 50,
IF(Basic34567891011121314151617181920212223[[#This Row],[نوع الخدمة]]="كاش ان",
    IF(F172&lt;=100, 18, IF(F172&lt;=250, 23, IF(F172&lt;=500, 35, IF(F172&lt;=1000, 40, F172*0.04)))),
IF(Basic34567891011121314151617181920212223[[#This Row],[نوع الخدمة]]="كاش اوت",
    IF(F172&lt;=100, 15, IF(F172&lt;=250, 20, IF(F172&lt;=500, 30, IF(F172&lt;=1000, 35, F172*0.035)))),
0)))</f>
        <v>0</v>
      </c>
      <c r="H172" s="159">
        <f>IF(I172="مخالفات",50,Basic34567891011121314151617181920212223[[#This Row],[قيمة الرسوم / العموله]]+Basic34567891011121314151617181920212223[[#This Row],[قيمة الشحنه]])</f>
        <v>0</v>
      </c>
      <c r="I172" s="90"/>
      <c r="J172" s="142" t="str">
        <f t="shared" si="2"/>
        <v>10.5.2026</v>
      </c>
      <c r="L172" s="153">
        <v>161</v>
      </c>
      <c r="M172" s="92"/>
    </row>
    <row r="173" spans="1:13" ht="21.6" x14ac:dyDescent="0.65">
      <c r="A173" s="195"/>
      <c r="B173" s="144">
        <v>170</v>
      </c>
      <c r="C173" s="2"/>
      <c r="D173" s="1"/>
      <c r="E173" s="3"/>
      <c r="F173" s="1"/>
      <c r="G173" s="141">
        <f>IF(Basic34567891011121314151617181920212223[[#This Row],[نوع الخدمة]]="مخالفات", 50,
IF(Basic34567891011121314151617181920212223[[#This Row],[نوع الخدمة]]="كاش ان",
    IF(F173&lt;=100, 18, IF(F173&lt;=250, 23, IF(F173&lt;=500, 35, IF(F173&lt;=1000, 40, F173*0.04)))),
IF(Basic34567891011121314151617181920212223[[#This Row],[نوع الخدمة]]="كاش اوت",
    IF(F173&lt;=100, 15, IF(F173&lt;=250, 20, IF(F173&lt;=500, 30, IF(F173&lt;=1000, 35, F173*0.035)))),
0)))</f>
        <v>0</v>
      </c>
      <c r="H173" s="159">
        <f>IF(I173="مخالفات",50,Basic34567891011121314151617181920212223[[#This Row],[قيمة الرسوم / العموله]]+Basic34567891011121314151617181920212223[[#This Row],[قيمة الشحنه]])</f>
        <v>0</v>
      </c>
      <c r="I173" s="90"/>
      <c r="J173" s="142" t="str">
        <f t="shared" si="2"/>
        <v>10.5.2026</v>
      </c>
      <c r="L173" s="153">
        <v>162</v>
      </c>
      <c r="M173" s="92"/>
    </row>
    <row r="174" spans="1:13" ht="21.6" x14ac:dyDescent="0.65">
      <c r="A174" s="195"/>
      <c r="B174" s="140">
        <v>171</v>
      </c>
      <c r="C174" s="2"/>
      <c r="D174" s="1"/>
      <c r="E174" s="3"/>
      <c r="F174" s="1"/>
      <c r="G174" s="141">
        <f>IF(Basic34567891011121314151617181920212223[[#This Row],[نوع الخدمة]]="مخالفات", 50,
IF(Basic34567891011121314151617181920212223[[#This Row],[نوع الخدمة]]="كاش ان",
    IF(F174&lt;=100, 18, IF(F174&lt;=250, 23, IF(F174&lt;=500, 35, IF(F174&lt;=1000, 40, F174*0.04)))),
IF(Basic34567891011121314151617181920212223[[#This Row],[نوع الخدمة]]="كاش اوت",
    IF(F174&lt;=100, 15, IF(F174&lt;=250, 20, IF(F174&lt;=500, 30, IF(F174&lt;=1000, 35, F174*0.035)))),
0)))</f>
        <v>0</v>
      </c>
      <c r="H174" s="159">
        <f>IF(I174="مخالفات",50,Basic34567891011121314151617181920212223[[#This Row],[قيمة الرسوم / العموله]]+Basic34567891011121314151617181920212223[[#This Row],[قيمة الشحنه]])</f>
        <v>0</v>
      </c>
      <c r="I174" s="90"/>
      <c r="J174" s="142" t="str">
        <f t="shared" si="2"/>
        <v>10.5.2026</v>
      </c>
      <c r="L174" s="153">
        <v>163</v>
      </c>
      <c r="M174" s="92"/>
    </row>
    <row r="175" spans="1:13" ht="21.6" x14ac:dyDescent="0.65">
      <c r="A175" s="195"/>
      <c r="B175" s="140">
        <v>172</v>
      </c>
      <c r="C175" s="2"/>
      <c r="D175" s="1"/>
      <c r="E175" s="3"/>
      <c r="F175" s="1"/>
      <c r="G175" s="141">
        <f>IF(Basic34567891011121314151617181920212223[[#This Row],[نوع الخدمة]]="مخالفات", 50,
IF(Basic34567891011121314151617181920212223[[#This Row],[نوع الخدمة]]="كاش ان",
    IF(F175&lt;=100, 18, IF(F175&lt;=250, 23, IF(F175&lt;=500, 35, IF(F175&lt;=1000, 40, F175*0.04)))),
IF(Basic34567891011121314151617181920212223[[#This Row],[نوع الخدمة]]="كاش اوت",
    IF(F175&lt;=100, 15, IF(F175&lt;=250, 20, IF(F175&lt;=500, 30, IF(F175&lt;=1000, 35, F175*0.035)))),
0)))</f>
        <v>0</v>
      </c>
      <c r="H175" s="159">
        <f>IF(I175="مخالفات",50,Basic34567891011121314151617181920212223[[#This Row],[قيمة الرسوم / العموله]]+Basic34567891011121314151617181920212223[[#This Row],[قيمة الشحنه]])</f>
        <v>0</v>
      </c>
      <c r="I175" s="90"/>
      <c r="J175" s="142" t="str">
        <f t="shared" si="2"/>
        <v>10.5.2026</v>
      </c>
      <c r="L175" s="153">
        <v>164</v>
      </c>
      <c r="M175" s="92"/>
    </row>
    <row r="176" spans="1:13" ht="21.6" x14ac:dyDescent="0.65">
      <c r="A176" s="195"/>
      <c r="B176" s="140">
        <v>173</v>
      </c>
      <c r="C176" s="2"/>
      <c r="D176" s="1"/>
      <c r="E176" s="3"/>
      <c r="F176" s="1"/>
      <c r="G176" s="141">
        <f>IF(Basic34567891011121314151617181920212223[[#This Row],[نوع الخدمة]]="مخالفات", 50,
IF(Basic34567891011121314151617181920212223[[#This Row],[نوع الخدمة]]="كاش ان",
    IF(F176&lt;=100, 18, IF(F176&lt;=250, 23, IF(F176&lt;=500, 35, IF(F176&lt;=1000, 40, F176*0.04)))),
IF(Basic34567891011121314151617181920212223[[#This Row],[نوع الخدمة]]="كاش اوت",
    IF(F176&lt;=100, 15, IF(F176&lt;=250, 20, IF(F176&lt;=500, 30, IF(F176&lt;=1000, 35, F176*0.035)))),
0)))</f>
        <v>0</v>
      </c>
      <c r="H176" s="159">
        <f>IF(I176="مخالفات",50,Basic34567891011121314151617181920212223[[#This Row],[قيمة الرسوم / العموله]]+Basic34567891011121314151617181920212223[[#This Row],[قيمة الشحنه]])</f>
        <v>0</v>
      </c>
      <c r="I176" s="90"/>
      <c r="J176" s="142" t="str">
        <f t="shared" si="2"/>
        <v>10.5.2026</v>
      </c>
      <c r="L176" s="153">
        <v>165</v>
      </c>
      <c r="M176" s="92"/>
    </row>
    <row r="177" spans="1:13" ht="21.6" x14ac:dyDescent="0.65">
      <c r="A177" s="195"/>
      <c r="B177" s="144">
        <v>174</v>
      </c>
      <c r="C177" s="2"/>
      <c r="D177" s="1"/>
      <c r="E177" s="3"/>
      <c r="F177" s="1"/>
      <c r="G177" s="141">
        <f>IF(Basic34567891011121314151617181920212223[[#This Row],[نوع الخدمة]]="مخالفات", 50,
IF(Basic34567891011121314151617181920212223[[#This Row],[نوع الخدمة]]="كاش ان",
    IF(F177&lt;=100, 18, IF(F177&lt;=250, 23, IF(F177&lt;=500, 35, IF(F177&lt;=1000, 40, F177*0.04)))),
IF(Basic34567891011121314151617181920212223[[#This Row],[نوع الخدمة]]="كاش اوت",
    IF(F177&lt;=100, 15, IF(F177&lt;=250, 20, IF(F177&lt;=500, 30, IF(F177&lt;=1000, 35, F177*0.035)))),
0)))</f>
        <v>0</v>
      </c>
      <c r="H177" s="159">
        <f>IF(I177="مخالفات",50,Basic34567891011121314151617181920212223[[#This Row],[قيمة الرسوم / العموله]]+Basic34567891011121314151617181920212223[[#This Row],[قيمة الشحنه]])</f>
        <v>0</v>
      </c>
      <c r="I177" s="90"/>
      <c r="J177" s="142" t="str">
        <f t="shared" si="2"/>
        <v>10.5.2026</v>
      </c>
      <c r="L177" s="153">
        <v>166</v>
      </c>
      <c r="M177" s="92"/>
    </row>
    <row r="178" spans="1:13" ht="21.6" x14ac:dyDescent="0.65">
      <c r="A178" s="195"/>
      <c r="B178" s="140">
        <v>175</v>
      </c>
      <c r="C178" s="2"/>
      <c r="D178" s="1"/>
      <c r="E178" s="3"/>
      <c r="F178" s="1"/>
      <c r="G178" s="141">
        <f>IF(Basic34567891011121314151617181920212223[[#This Row],[نوع الخدمة]]="مخالفات", 50,
IF(Basic34567891011121314151617181920212223[[#This Row],[نوع الخدمة]]="كاش ان",
    IF(F178&lt;=100, 18, IF(F178&lt;=250, 23, IF(F178&lt;=500, 35, IF(F178&lt;=1000, 40, F178*0.04)))),
IF(Basic34567891011121314151617181920212223[[#This Row],[نوع الخدمة]]="كاش اوت",
    IF(F178&lt;=100, 15, IF(F178&lt;=250, 20, IF(F178&lt;=500, 30, IF(F178&lt;=1000, 35, F178*0.035)))),
0)))</f>
        <v>0</v>
      </c>
      <c r="H178" s="159">
        <f>IF(I178="مخالفات",50,Basic34567891011121314151617181920212223[[#This Row],[قيمة الرسوم / العموله]]+Basic34567891011121314151617181920212223[[#This Row],[قيمة الشحنه]])</f>
        <v>0</v>
      </c>
      <c r="I178" s="90"/>
      <c r="J178" s="142" t="str">
        <f t="shared" si="2"/>
        <v>10.5.2026</v>
      </c>
      <c r="L178" s="153">
        <v>167</v>
      </c>
      <c r="M178" s="92"/>
    </row>
    <row r="179" spans="1:13" ht="21.6" x14ac:dyDescent="0.65">
      <c r="A179" s="195"/>
      <c r="B179" s="140">
        <v>176</v>
      </c>
      <c r="C179" s="2"/>
      <c r="D179" s="1"/>
      <c r="E179" s="3"/>
      <c r="F179" s="1"/>
      <c r="G179" s="141">
        <f>IF(Basic34567891011121314151617181920212223[[#This Row],[نوع الخدمة]]="مخالفات", 50,
IF(Basic34567891011121314151617181920212223[[#This Row],[نوع الخدمة]]="كاش ان",
    IF(F179&lt;=100, 18, IF(F179&lt;=250, 23, IF(F179&lt;=500, 35, IF(F179&lt;=1000, 40, F179*0.04)))),
IF(Basic34567891011121314151617181920212223[[#This Row],[نوع الخدمة]]="كاش اوت",
    IF(F179&lt;=100, 15, IF(F179&lt;=250, 20, IF(F179&lt;=500, 30, IF(F179&lt;=1000, 35, F179*0.035)))),
0)))</f>
        <v>0</v>
      </c>
      <c r="H179" s="159">
        <f>IF(I179="مخالفات",50,Basic34567891011121314151617181920212223[[#This Row],[قيمة الرسوم / العموله]]+Basic34567891011121314151617181920212223[[#This Row],[قيمة الشحنه]])</f>
        <v>0</v>
      </c>
      <c r="I179" s="90"/>
      <c r="J179" s="142" t="str">
        <f t="shared" si="2"/>
        <v>10.5.2026</v>
      </c>
      <c r="L179" s="153">
        <v>168</v>
      </c>
      <c r="M179" s="92"/>
    </row>
    <row r="180" spans="1:13" ht="21.6" x14ac:dyDescent="0.65">
      <c r="A180" s="195"/>
      <c r="B180" s="140">
        <v>177</v>
      </c>
      <c r="C180" s="2"/>
      <c r="D180" s="1"/>
      <c r="E180" s="3"/>
      <c r="F180" s="1"/>
      <c r="G180" s="141">
        <f>IF(Basic34567891011121314151617181920212223[[#This Row],[نوع الخدمة]]="مخالفات", 50,
IF(Basic34567891011121314151617181920212223[[#This Row],[نوع الخدمة]]="كاش ان",
    IF(F180&lt;=100, 18, IF(F180&lt;=250, 23, IF(F180&lt;=500, 35, IF(F180&lt;=1000, 40, F180*0.04)))),
IF(Basic34567891011121314151617181920212223[[#This Row],[نوع الخدمة]]="كاش اوت",
    IF(F180&lt;=100, 15, IF(F180&lt;=250, 20, IF(F180&lt;=500, 30, IF(F180&lt;=1000, 35, F180*0.035)))),
0)))</f>
        <v>0</v>
      </c>
      <c r="H180" s="159">
        <f>IF(I180="مخالفات",50,Basic34567891011121314151617181920212223[[#This Row],[قيمة الرسوم / العموله]]+Basic34567891011121314151617181920212223[[#This Row],[قيمة الشحنه]])</f>
        <v>0</v>
      </c>
      <c r="I180" s="90"/>
      <c r="J180" s="142" t="str">
        <f t="shared" si="2"/>
        <v>10.5.2026</v>
      </c>
      <c r="L180" s="153">
        <v>169</v>
      </c>
      <c r="M180" s="92"/>
    </row>
    <row r="181" spans="1:13" ht="21.6" x14ac:dyDescent="0.65">
      <c r="A181" s="195"/>
      <c r="B181" s="144">
        <v>178</v>
      </c>
      <c r="C181" s="2"/>
      <c r="D181" s="1"/>
      <c r="E181" s="3"/>
      <c r="F181" s="1"/>
      <c r="G181" s="141">
        <f>IF(Basic34567891011121314151617181920212223[[#This Row],[نوع الخدمة]]="مخالفات", 50,
IF(Basic34567891011121314151617181920212223[[#This Row],[نوع الخدمة]]="كاش ان",
    IF(F181&lt;=100, 18, IF(F181&lt;=250, 23, IF(F181&lt;=500, 35, IF(F181&lt;=1000, 40, F181*0.04)))),
IF(Basic34567891011121314151617181920212223[[#This Row],[نوع الخدمة]]="كاش اوت",
    IF(F181&lt;=100, 15, IF(F181&lt;=250, 20, IF(F181&lt;=500, 30, IF(F181&lt;=1000, 35, F181*0.035)))),
0)))</f>
        <v>0</v>
      </c>
      <c r="H181" s="159">
        <f>IF(I181="مخالفات",50,Basic34567891011121314151617181920212223[[#This Row],[قيمة الرسوم / العموله]]+Basic34567891011121314151617181920212223[[#This Row],[قيمة الشحنه]])</f>
        <v>0</v>
      </c>
      <c r="I181" s="90"/>
      <c r="J181" s="142" t="str">
        <f t="shared" si="2"/>
        <v>10.5.2026</v>
      </c>
      <c r="L181" s="153">
        <v>170</v>
      </c>
      <c r="M181" s="92"/>
    </row>
    <row r="182" spans="1:13" ht="21.6" x14ac:dyDescent="0.65">
      <c r="A182" s="195"/>
      <c r="B182" s="140">
        <v>179</v>
      </c>
      <c r="C182" s="2"/>
      <c r="D182" s="1"/>
      <c r="E182" s="3"/>
      <c r="F182" s="1"/>
      <c r="G182" s="141">
        <f>IF(Basic34567891011121314151617181920212223[[#This Row],[نوع الخدمة]]="مخالفات", 50,
IF(Basic34567891011121314151617181920212223[[#This Row],[نوع الخدمة]]="كاش ان",
    IF(F182&lt;=100, 18, IF(F182&lt;=250, 23, IF(F182&lt;=500, 35, IF(F182&lt;=1000, 40, F182*0.04)))),
IF(Basic34567891011121314151617181920212223[[#This Row],[نوع الخدمة]]="كاش اوت",
    IF(F182&lt;=100, 15, IF(F182&lt;=250, 20, IF(F182&lt;=500, 30, IF(F182&lt;=1000, 35, F182*0.035)))),
0)))</f>
        <v>0</v>
      </c>
      <c r="H182" s="159">
        <f>IF(I182="مخالفات",50,Basic34567891011121314151617181920212223[[#This Row],[قيمة الرسوم / العموله]]+Basic34567891011121314151617181920212223[[#This Row],[قيمة الشحنه]])</f>
        <v>0</v>
      </c>
      <c r="I182" s="90"/>
      <c r="J182" s="142" t="str">
        <f t="shared" si="2"/>
        <v>10.5.2026</v>
      </c>
      <c r="L182" s="153">
        <v>171</v>
      </c>
      <c r="M182" s="92"/>
    </row>
    <row r="183" spans="1:13" ht="21.6" x14ac:dyDescent="0.65">
      <c r="A183" s="195"/>
      <c r="B183" s="140">
        <v>180</v>
      </c>
      <c r="C183" s="2"/>
      <c r="D183" s="1"/>
      <c r="E183" s="3"/>
      <c r="F183" s="1"/>
      <c r="G183" s="141">
        <f>IF(Basic34567891011121314151617181920212223[[#This Row],[نوع الخدمة]]="مخالفات", 50,
IF(Basic34567891011121314151617181920212223[[#This Row],[نوع الخدمة]]="كاش ان",
    IF(F183&lt;=100, 18, IF(F183&lt;=250, 23, IF(F183&lt;=500, 35, IF(F183&lt;=1000, 40, F183*0.04)))),
IF(Basic34567891011121314151617181920212223[[#This Row],[نوع الخدمة]]="كاش اوت",
    IF(F183&lt;=100, 15, IF(F183&lt;=250, 20, IF(F183&lt;=500, 30, IF(F183&lt;=1000, 35, F183*0.035)))),
0)))</f>
        <v>0</v>
      </c>
      <c r="H183" s="159">
        <f>IF(I183="مخالفات",50,Basic34567891011121314151617181920212223[[#This Row],[قيمة الرسوم / العموله]]+Basic34567891011121314151617181920212223[[#This Row],[قيمة الشحنه]])</f>
        <v>0</v>
      </c>
      <c r="I183" s="90"/>
      <c r="J183" s="142" t="str">
        <f t="shared" si="2"/>
        <v>10.5.2026</v>
      </c>
      <c r="L183" s="153">
        <v>172</v>
      </c>
      <c r="M183" s="92"/>
    </row>
    <row r="184" spans="1:13" ht="21.6" x14ac:dyDescent="0.65">
      <c r="A184" s="195"/>
      <c r="B184" s="140">
        <v>181</v>
      </c>
      <c r="C184" s="2"/>
      <c r="D184" s="1"/>
      <c r="E184" s="3"/>
      <c r="F184" s="1"/>
      <c r="G184" s="141">
        <f>IF(Basic34567891011121314151617181920212223[[#This Row],[نوع الخدمة]]="مخالفات", 50,
IF(Basic34567891011121314151617181920212223[[#This Row],[نوع الخدمة]]="كاش ان",
    IF(F184&lt;=100, 18, IF(F184&lt;=250, 23, IF(F184&lt;=500, 35, IF(F184&lt;=1000, 40, F184*0.04)))),
IF(Basic34567891011121314151617181920212223[[#This Row],[نوع الخدمة]]="كاش اوت",
    IF(F184&lt;=100, 15, IF(F184&lt;=250, 20, IF(F184&lt;=500, 30, IF(F184&lt;=1000, 35, F184*0.035)))),
0)))</f>
        <v>0</v>
      </c>
      <c r="H184" s="159">
        <f>IF(I184="مخالفات",50,Basic34567891011121314151617181920212223[[#This Row],[قيمة الرسوم / العموله]]+Basic34567891011121314151617181920212223[[#This Row],[قيمة الشحنه]])</f>
        <v>0</v>
      </c>
      <c r="I184" s="90"/>
      <c r="J184" s="142" t="str">
        <f t="shared" si="2"/>
        <v>10.5.2026</v>
      </c>
      <c r="L184" s="153">
        <v>173</v>
      </c>
      <c r="M184" s="92"/>
    </row>
    <row r="185" spans="1:13" ht="21.6" x14ac:dyDescent="0.65">
      <c r="A185" s="195"/>
      <c r="B185" s="144">
        <v>182</v>
      </c>
      <c r="C185" s="2"/>
      <c r="D185" s="1"/>
      <c r="E185" s="3"/>
      <c r="F185" s="1"/>
      <c r="G185" s="141">
        <f>IF(Basic34567891011121314151617181920212223[[#This Row],[نوع الخدمة]]="مخالفات", 50,
IF(Basic34567891011121314151617181920212223[[#This Row],[نوع الخدمة]]="كاش ان",
    IF(F185&lt;=100, 18, IF(F185&lt;=250, 23, IF(F185&lt;=500, 35, IF(F185&lt;=1000, 40, F185*0.04)))),
IF(Basic34567891011121314151617181920212223[[#This Row],[نوع الخدمة]]="كاش اوت",
    IF(F185&lt;=100, 15, IF(F185&lt;=250, 20, IF(F185&lt;=500, 30, IF(F185&lt;=1000, 35, F185*0.035)))),
0)))</f>
        <v>0</v>
      </c>
      <c r="H185" s="159">
        <f>IF(I185="مخالفات",50,Basic34567891011121314151617181920212223[[#This Row],[قيمة الرسوم / العموله]]+Basic34567891011121314151617181920212223[[#This Row],[قيمة الشحنه]])</f>
        <v>0</v>
      </c>
      <c r="I185" s="90"/>
      <c r="J185" s="142" t="str">
        <f t="shared" si="2"/>
        <v>10.5.2026</v>
      </c>
      <c r="L185" s="153">
        <v>174</v>
      </c>
      <c r="M185" s="92"/>
    </row>
    <row r="186" spans="1:13" ht="21.6" x14ac:dyDescent="0.65">
      <c r="A186" s="195"/>
      <c r="B186" s="140">
        <v>183</v>
      </c>
      <c r="C186" s="2"/>
      <c r="D186" s="1"/>
      <c r="E186" s="3"/>
      <c r="F186" s="1"/>
      <c r="G186" s="141">
        <f>IF(Basic34567891011121314151617181920212223[[#This Row],[نوع الخدمة]]="مخالفات", 50,
IF(Basic34567891011121314151617181920212223[[#This Row],[نوع الخدمة]]="كاش ان",
    IF(F186&lt;=100, 18, IF(F186&lt;=250, 23, IF(F186&lt;=500, 35, IF(F186&lt;=1000, 40, F186*0.04)))),
IF(Basic34567891011121314151617181920212223[[#This Row],[نوع الخدمة]]="كاش اوت",
    IF(F186&lt;=100, 15, IF(F186&lt;=250, 20, IF(F186&lt;=500, 30, IF(F186&lt;=1000, 35, F186*0.035)))),
0)))</f>
        <v>0</v>
      </c>
      <c r="H186" s="159">
        <f>IF(I186="مخالفات",50,Basic34567891011121314151617181920212223[[#This Row],[قيمة الرسوم / العموله]]+Basic34567891011121314151617181920212223[[#This Row],[قيمة الشحنه]])</f>
        <v>0</v>
      </c>
      <c r="I186" s="90"/>
      <c r="J186" s="142" t="str">
        <f t="shared" si="2"/>
        <v>10.5.2026</v>
      </c>
      <c r="L186" s="153">
        <v>175</v>
      </c>
      <c r="M186" s="92"/>
    </row>
    <row r="187" spans="1:13" ht="21.6" x14ac:dyDescent="0.65">
      <c r="A187" s="195"/>
      <c r="B187" s="140">
        <v>184</v>
      </c>
      <c r="C187" s="2"/>
      <c r="D187" s="1"/>
      <c r="E187" s="3"/>
      <c r="F187" s="1"/>
      <c r="G187" s="141">
        <f>IF(Basic34567891011121314151617181920212223[[#This Row],[نوع الخدمة]]="مخالفات", 50,
IF(Basic34567891011121314151617181920212223[[#This Row],[نوع الخدمة]]="كاش ان",
    IF(F187&lt;=100, 18, IF(F187&lt;=250, 23, IF(F187&lt;=500, 35, IF(F187&lt;=1000, 40, F187*0.04)))),
IF(Basic34567891011121314151617181920212223[[#This Row],[نوع الخدمة]]="كاش اوت",
    IF(F187&lt;=100, 15, IF(F187&lt;=250, 20, IF(F187&lt;=500, 30, IF(F187&lt;=1000, 35, F187*0.035)))),
0)))</f>
        <v>0</v>
      </c>
      <c r="H187" s="159">
        <f>IF(I187="مخالفات",50,Basic34567891011121314151617181920212223[[#This Row],[قيمة الرسوم / العموله]]+Basic34567891011121314151617181920212223[[#This Row],[قيمة الشحنه]])</f>
        <v>0</v>
      </c>
      <c r="I187" s="90"/>
      <c r="J187" s="142" t="str">
        <f t="shared" si="2"/>
        <v>10.5.2026</v>
      </c>
      <c r="L187" s="153">
        <v>176</v>
      </c>
      <c r="M187" s="92"/>
    </row>
    <row r="188" spans="1:13" ht="21.6" x14ac:dyDescent="0.65">
      <c r="A188" s="195"/>
      <c r="B188" s="140">
        <v>185</v>
      </c>
      <c r="C188" s="2"/>
      <c r="D188" s="1"/>
      <c r="E188" s="3"/>
      <c r="F188" s="1"/>
      <c r="G188" s="141">
        <f>IF(Basic34567891011121314151617181920212223[[#This Row],[نوع الخدمة]]="مخالفات", 50,
IF(Basic34567891011121314151617181920212223[[#This Row],[نوع الخدمة]]="كاش ان",
    IF(F188&lt;=100, 18, IF(F188&lt;=250, 23, IF(F188&lt;=500, 35, IF(F188&lt;=1000, 40, F188*0.04)))),
IF(Basic34567891011121314151617181920212223[[#This Row],[نوع الخدمة]]="كاش اوت",
    IF(F188&lt;=100, 15, IF(F188&lt;=250, 20, IF(F188&lt;=500, 30, IF(F188&lt;=1000, 35, F188*0.035)))),
0)))</f>
        <v>0</v>
      </c>
      <c r="H188" s="159">
        <f>IF(I188="مخالفات",50,Basic34567891011121314151617181920212223[[#This Row],[قيمة الرسوم / العموله]]+Basic34567891011121314151617181920212223[[#This Row],[قيمة الشحنه]])</f>
        <v>0</v>
      </c>
      <c r="I188" s="90"/>
      <c r="J188" s="142" t="str">
        <f t="shared" si="2"/>
        <v>10.5.2026</v>
      </c>
      <c r="L188" s="153">
        <v>177</v>
      </c>
      <c r="M188" s="92"/>
    </row>
    <row r="189" spans="1:13" ht="21.6" x14ac:dyDescent="0.65">
      <c r="A189" s="195"/>
      <c r="B189" s="144">
        <v>186</v>
      </c>
      <c r="C189" s="2"/>
      <c r="D189" s="1"/>
      <c r="E189" s="3"/>
      <c r="F189" s="1"/>
      <c r="G189" s="141">
        <f>IF(Basic34567891011121314151617181920212223[[#This Row],[نوع الخدمة]]="مخالفات", 50,
IF(Basic34567891011121314151617181920212223[[#This Row],[نوع الخدمة]]="كاش ان",
    IF(F189&lt;=100, 18, IF(F189&lt;=250, 23, IF(F189&lt;=500, 35, IF(F189&lt;=1000, 40, F189*0.04)))),
IF(Basic34567891011121314151617181920212223[[#This Row],[نوع الخدمة]]="كاش اوت",
    IF(F189&lt;=100, 15, IF(F189&lt;=250, 20, IF(F189&lt;=500, 30, IF(F189&lt;=1000, 35, F189*0.035)))),
0)))</f>
        <v>0</v>
      </c>
      <c r="H189" s="159">
        <f>IF(I189="مخالفات",50,Basic34567891011121314151617181920212223[[#This Row],[قيمة الرسوم / العموله]]+Basic34567891011121314151617181920212223[[#This Row],[قيمة الشحنه]])</f>
        <v>0</v>
      </c>
      <c r="I189" s="90"/>
      <c r="J189" s="142" t="str">
        <f t="shared" si="2"/>
        <v>10.5.2026</v>
      </c>
      <c r="L189" s="153">
        <v>178</v>
      </c>
      <c r="M189" s="92"/>
    </row>
    <row r="190" spans="1:13" ht="21.6" x14ac:dyDescent="0.65">
      <c r="A190" s="195"/>
      <c r="B190" s="140">
        <v>187</v>
      </c>
      <c r="C190" s="2"/>
      <c r="D190" s="1"/>
      <c r="E190" s="3"/>
      <c r="F190" s="1"/>
      <c r="G190" s="141">
        <f>IF(Basic34567891011121314151617181920212223[[#This Row],[نوع الخدمة]]="مخالفات", 50,
IF(Basic34567891011121314151617181920212223[[#This Row],[نوع الخدمة]]="كاش ان",
    IF(F190&lt;=100, 18, IF(F190&lt;=250, 23, IF(F190&lt;=500, 35, IF(F190&lt;=1000, 40, F190*0.04)))),
IF(Basic34567891011121314151617181920212223[[#This Row],[نوع الخدمة]]="كاش اوت",
    IF(F190&lt;=100, 15, IF(F190&lt;=250, 20, IF(F190&lt;=500, 30, IF(F190&lt;=1000, 35, F190*0.035)))),
0)))</f>
        <v>0</v>
      </c>
      <c r="H190" s="159">
        <f>IF(I190="مخالفات",50,Basic34567891011121314151617181920212223[[#This Row],[قيمة الرسوم / العموله]]+Basic34567891011121314151617181920212223[[#This Row],[قيمة الشحنه]])</f>
        <v>0</v>
      </c>
      <c r="I190" s="90"/>
      <c r="J190" s="142" t="str">
        <f t="shared" si="2"/>
        <v>10.5.2026</v>
      </c>
      <c r="L190" s="153">
        <v>179</v>
      </c>
      <c r="M190" s="92"/>
    </row>
    <row r="191" spans="1:13" ht="21.6" x14ac:dyDescent="0.65">
      <c r="A191" s="195"/>
      <c r="B191" s="140">
        <v>188</v>
      </c>
      <c r="C191" s="2"/>
      <c r="D191" s="1"/>
      <c r="E191" s="3"/>
      <c r="F191" s="1"/>
      <c r="G191" s="141">
        <f>IF(Basic34567891011121314151617181920212223[[#This Row],[نوع الخدمة]]="مخالفات", 50,
IF(Basic34567891011121314151617181920212223[[#This Row],[نوع الخدمة]]="كاش ان",
    IF(F191&lt;=100, 18, IF(F191&lt;=250, 23, IF(F191&lt;=500, 35, IF(F191&lt;=1000, 40, F191*0.04)))),
IF(Basic34567891011121314151617181920212223[[#This Row],[نوع الخدمة]]="كاش اوت",
    IF(F191&lt;=100, 15, IF(F191&lt;=250, 20, IF(F191&lt;=500, 30, IF(F191&lt;=1000, 35, F191*0.035)))),
0)))</f>
        <v>0</v>
      </c>
      <c r="H191" s="159">
        <f>IF(I191="مخالفات",50,Basic34567891011121314151617181920212223[[#This Row],[قيمة الرسوم / العموله]]+Basic34567891011121314151617181920212223[[#This Row],[قيمة الشحنه]])</f>
        <v>0</v>
      </c>
      <c r="I191" s="90"/>
      <c r="J191" s="142" t="str">
        <f t="shared" si="2"/>
        <v>10.5.2026</v>
      </c>
      <c r="L191" s="153">
        <v>180</v>
      </c>
      <c r="M191" s="92"/>
    </row>
    <row r="192" spans="1:13" ht="21.6" x14ac:dyDescent="0.65">
      <c r="A192" s="195"/>
      <c r="B192" s="140">
        <v>189</v>
      </c>
      <c r="C192" s="2"/>
      <c r="D192" s="1"/>
      <c r="E192" s="3"/>
      <c r="F192" s="1"/>
      <c r="G192" s="141">
        <f>IF(Basic34567891011121314151617181920212223[[#This Row],[نوع الخدمة]]="مخالفات", 50,
IF(Basic34567891011121314151617181920212223[[#This Row],[نوع الخدمة]]="كاش ان",
    IF(F192&lt;=100, 18, IF(F192&lt;=250, 23, IF(F192&lt;=500, 35, IF(F192&lt;=1000, 40, F192*0.04)))),
IF(Basic34567891011121314151617181920212223[[#This Row],[نوع الخدمة]]="كاش اوت",
    IF(F192&lt;=100, 15, IF(F192&lt;=250, 20, IF(F192&lt;=500, 30, IF(F192&lt;=1000, 35, F192*0.035)))),
0)))</f>
        <v>0</v>
      </c>
      <c r="H192" s="159">
        <f>IF(I192="مخالفات",50,Basic34567891011121314151617181920212223[[#This Row],[قيمة الرسوم / العموله]]+Basic34567891011121314151617181920212223[[#This Row],[قيمة الشحنه]])</f>
        <v>0</v>
      </c>
      <c r="I192" s="90"/>
      <c r="J192" s="142" t="str">
        <f t="shared" si="2"/>
        <v>10.5.2026</v>
      </c>
      <c r="L192" s="153">
        <v>181</v>
      </c>
      <c r="M192" s="92"/>
    </row>
    <row r="193" spans="1:13" ht="21.6" x14ac:dyDescent="0.65">
      <c r="A193" s="195"/>
      <c r="B193" s="144">
        <v>190</v>
      </c>
      <c r="C193" s="2"/>
      <c r="D193" s="1"/>
      <c r="E193" s="3"/>
      <c r="F193" s="1"/>
      <c r="G193" s="141">
        <f>IF(Basic34567891011121314151617181920212223[[#This Row],[نوع الخدمة]]="مخالفات", 50,
IF(Basic34567891011121314151617181920212223[[#This Row],[نوع الخدمة]]="كاش ان",
    IF(F193&lt;=100, 18, IF(F193&lt;=250, 23, IF(F193&lt;=500, 35, IF(F193&lt;=1000, 40, F193*0.04)))),
IF(Basic34567891011121314151617181920212223[[#This Row],[نوع الخدمة]]="كاش اوت",
    IF(F193&lt;=100, 15, IF(F193&lt;=250, 20, IF(F193&lt;=500, 30, IF(F193&lt;=1000, 35, F193*0.035)))),
0)))</f>
        <v>0</v>
      </c>
      <c r="H193" s="159">
        <f>IF(I193="مخالفات",50,Basic34567891011121314151617181920212223[[#This Row],[قيمة الرسوم / العموله]]+Basic34567891011121314151617181920212223[[#This Row],[قيمة الشحنه]])</f>
        <v>0</v>
      </c>
      <c r="I193" s="90"/>
      <c r="J193" s="142" t="str">
        <f t="shared" si="2"/>
        <v>10.5.2026</v>
      </c>
      <c r="L193" s="153">
        <v>182</v>
      </c>
      <c r="M193" s="92"/>
    </row>
    <row r="194" spans="1:13" ht="21.6" x14ac:dyDescent="0.65">
      <c r="A194" s="195"/>
      <c r="B194" s="140">
        <v>191</v>
      </c>
      <c r="C194" s="2"/>
      <c r="D194" s="1"/>
      <c r="E194" s="3"/>
      <c r="F194" s="1"/>
      <c r="G194" s="141">
        <f>IF(Basic34567891011121314151617181920212223[[#This Row],[نوع الخدمة]]="مخالفات", 50,
IF(Basic34567891011121314151617181920212223[[#This Row],[نوع الخدمة]]="كاش ان",
    IF(F194&lt;=100, 18, IF(F194&lt;=250, 23, IF(F194&lt;=500, 35, IF(F194&lt;=1000, 40, F194*0.04)))),
IF(Basic34567891011121314151617181920212223[[#This Row],[نوع الخدمة]]="كاش اوت",
    IF(F194&lt;=100, 15, IF(F194&lt;=250, 20, IF(F194&lt;=500, 30, IF(F194&lt;=1000, 35, F194*0.035)))),
0)))</f>
        <v>0</v>
      </c>
      <c r="H194" s="159">
        <f>IF(I194="مخالفات",50,Basic34567891011121314151617181920212223[[#This Row],[قيمة الرسوم / العموله]]+Basic34567891011121314151617181920212223[[#This Row],[قيمة الشحنه]])</f>
        <v>0</v>
      </c>
      <c r="I194" s="90"/>
      <c r="J194" s="142" t="str">
        <f t="shared" si="2"/>
        <v>10.5.2026</v>
      </c>
      <c r="L194" s="153">
        <v>183</v>
      </c>
      <c r="M194" s="92"/>
    </row>
    <row r="195" spans="1:13" ht="21.6" x14ac:dyDescent="0.65">
      <c r="A195" s="195"/>
      <c r="B195" s="140">
        <v>192</v>
      </c>
      <c r="C195" s="2"/>
      <c r="D195" s="1"/>
      <c r="E195" s="3"/>
      <c r="F195" s="1"/>
      <c r="G195" s="141">
        <f>IF(Basic34567891011121314151617181920212223[[#This Row],[نوع الخدمة]]="مخالفات", 50,
IF(Basic34567891011121314151617181920212223[[#This Row],[نوع الخدمة]]="كاش ان",
    IF(F195&lt;=100, 18, IF(F195&lt;=250, 23, IF(F195&lt;=500, 35, IF(F195&lt;=1000, 40, F195*0.04)))),
IF(Basic34567891011121314151617181920212223[[#This Row],[نوع الخدمة]]="كاش اوت",
    IF(F195&lt;=100, 15, IF(F195&lt;=250, 20, IF(F195&lt;=500, 30, IF(F195&lt;=1000, 35, F195*0.035)))),
0)))</f>
        <v>0</v>
      </c>
      <c r="H195" s="159">
        <f>IF(I195="مخالفات",50,Basic34567891011121314151617181920212223[[#This Row],[قيمة الرسوم / العموله]]+Basic34567891011121314151617181920212223[[#This Row],[قيمة الشحنه]])</f>
        <v>0</v>
      </c>
      <c r="I195" s="90"/>
      <c r="J195" s="142" t="str">
        <f t="shared" si="2"/>
        <v>10.5.2026</v>
      </c>
      <c r="L195" s="153">
        <v>184</v>
      </c>
      <c r="M195" s="92"/>
    </row>
    <row r="196" spans="1:13" ht="21.6" x14ac:dyDescent="0.65">
      <c r="A196" s="195"/>
      <c r="B196" s="140">
        <v>193</v>
      </c>
      <c r="C196" s="2"/>
      <c r="D196" s="1"/>
      <c r="E196" s="3"/>
      <c r="F196" s="1"/>
      <c r="G196" s="141">
        <f>IF(Basic34567891011121314151617181920212223[[#This Row],[نوع الخدمة]]="مخالفات", 50,
IF(Basic34567891011121314151617181920212223[[#This Row],[نوع الخدمة]]="كاش ان",
    IF(F196&lt;=100, 18, IF(F196&lt;=250, 23, IF(F196&lt;=500, 35, IF(F196&lt;=1000, 40, F196*0.04)))),
IF(Basic34567891011121314151617181920212223[[#This Row],[نوع الخدمة]]="كاش اوت",
    IF(F196&lt;=100, 15, IF(F196&lt;=250, 20, IF(F196&lt;=500, 30, IF(F196&lt;=1000, 35, F196*0.035)))),
0)))</f>
        <v>0</v>
      </c>
      <c r="H196" s="159">
        <f>IF(I196="مخالفات",50,Basic34567891011121314151617181920212223[[#This Row],[قيمة الرسوم / العموله]]+Basic34567891011121314151617181920212223[[#This Row],[قيمة الشحنه]])</f>
        <v>0</v>
      </c>
      <c r="I196" s="90"/>
      <c r="J196" s="142" t="str">
        <f t="shared" ref="J196:J226" si="3">M$3</f>
        <v>10.5.2026</v>
      </c>
      <c r="L196" s="153">
        <v>185</v>
      </c>
      <c r="M196" s="92"/>
    </row>
    <row r="197" spans="1:13" ht="21.6" x14ac:dyDescent="0.65">
      <c r="A197" s="195"/>
      <c r="B197" s="144">
        <v>194</v>
      </c>
      <c r="C197" s="2"/>
      <c r="D197" s="1"/>
      <c r="E197" s="3"/>
      <c r="F197" s="1"/>
      <c r="G197" s="141">
        <f>IF(Basic34567891011121314151617181920212223[[#This Row],[نوع الخدمة]]="مخالفات", 50,
IF(Basic34567891011121314151617181920212223[[#This Row],[نوع الخدمة]]="كاش ان",
    IF(F197&lt;=100, 18, IF(F197&lt;=250, 23, IF(F197&lt;=500, 35, IF(F197&lt;=1000, 40, F197*0.04)))),
IF(Basic34567891011121314151617181920212223[[#This Row],[نوع الخدمة]]="كاش اوت",
    IF(F197&lt;=100, 15, IF(F197&lt;=250, 20, IF(F197&lt;=500, 30, IF(F197&lt;=1000, 35, F197*0.035)))),
0)))</f>
        <v>0</v>
      </c>
      <c r="H197" s="159">
        <f>IF(I197="مخالفات",50,Basic34567891011121314151617181920212223[[#This Row],[قيمة الرسوم / العموله]]+Basic34567891011121314151617181920212223[[#This Row],[قيمة الشحنه]])</f>
        <v>0</v>
      </c>
      <c r="I197" s="90"/>
      <c r="J197" s="142" t="str">
        <f t="shared" si="3"/>
        <v>10.5.2026</v>
      </c>
      <c r="L197" s="153">
        <v>186</v>
      </c>
      <c r="M197" s="92"/>
    </row>
    <row r="198" spans="1:13" ht="21.6" x14ac:dyDescent="0.65">
      <c r="A198" s="195"/>
      <c r="B198" s="140">
        <v>195</v>
      </c>
      <c r="C198" s="2"/>
      <c r="D198" s="1"/>
      <c r="E198" s="3"/>
      <c r="F198" s="1"/>
      <c r="G198" s="141">
        <f>IF(Basic34567891011121314151617181920212223[[#This Row],[نوع الخدمة]]="مخالفات", 50,
IF(Basic34567891011121314151617181920212223[[#This Row],[نوع الخدمة]]="كاش ان",
    IF(F198&lt;=100, 18, IF(F198&lt;=250, 23, IF(F198&lt;=500, 35, IF(F198&lt;=1000, 40, F198*0.04)))),
IF(Basic34567891011121314151617181920212223[[#This Row],[نوع الخدمة]]="كاش اوت",
    IF(F198&lt;=100, 15, IF(F198&lt;=250, 20, IF(F198&lt;=500, 30, IF(F198&lt;=1000, 35, F198*0.035)))),
0)))</f>
        <v>0</v>
      </c>
      <c r="H198" s="159">
        <f>IF(I198="مخالفات",50,Basic34567891011121314151617181920212223[[#This Row],[قيمة الرسوم / العموله]]+Basic34567891011121314151617181920212223[[#This Row],[قيمة الشحنه]])</f>
        <v>0</v>
      </c>
      <c r="I198" s="90"/>
      <c r="J198" s="142" t="str">
        <f t="shared" si="3"/>
        <v>10.5.2026</v>
      </c>
      <c r="L198" s="153">
        <v>187</v>
      </c>
      <c r="M198" s="92"/>
    </row>
    <row r="199" spans="1:13" ht="21.6" x14ac:dyDescent="0.65">
      <c r="A199" s="195"/>
      <c r="B199" s="140">
        <v>196</v>
      </c>
      <c r="C199" s="2"/>
      <c r="D199" s="1"/>
      <c r="E199" s="3"/>
      <c r="F199" s="1"/>
      <c r="G199" s="141">
        <f>IF(Basic34567891011121314151617181920212223[[#This Row],[نوع الخدمة]]="مخالفات", 50,
IF(Basic34567891011121314151617181920212223[[#This Row],[نوع الخدمة]]="كاش ان",
    IF(F199&lt;=100, 18, IF(F199&lt;=250, 23, IF(F199&lt;=500, 35, IF(F199&lt;=1000, 40, F199*0.04)))),
IF(Basic34567891011121314151617181920212223[[#This Row],[نوع الخدمة]]="كاش اوت",
    IF(F199&lt;=100, 15, IF(F199&lt;=250, 20, IF(F199&lt;=500, 30, IF(F199&lt;=1000, 35, F199*0.035)))),
0)))</f>
        <v>0</v>
      </c>
      <c r="H199" s="159">
        <f>IF(I199="مخالفات",50,Basic34567891011121314151617181920212223[[#This Row],[قيمة الرسوم / العموله]]+Basic34567891011121314151617181920212223[[#This Row],[قيمة الشحنه]])</f>
        <v>0</v>
      </c>
      <c r="I199" s="90"/>
      <c r="J199" s="142" t="str">
        <f t="shared" si="3"/>
        <v>10.5.2026</v>
      </c>
      <c r="L199" s="153">
        <v>188</v>
      </c>
      <c r="M199" s="92"/>
    </row>
    <row r="200" spans="1:13" ht="21.6" x14ac:dyDescent="0.65">
      <c r="A200" s="195"/>
      <c r="B200" s="140">
        <v>197</v>
      </c>
      <c r="C200" s="2"/>
      <c r="D200" s="1"/>
      <c r="E200" s="3"/>
      <c r="F200" s="1"/>
      <c r="G200" s="141">
        <f>IF(Basic34567891011121314151617181920212223[[#This Row],[نوع الخدمة]]="مخالفات", 50,
IF(Basic34567891011121314151617181920212223[[#This Row],[نوع الخدمة]]="كاش ان",
    IF(F200&lt;=100, 18, IF(F200&lt;=250, 23, IF(F200&lt;=500, 35, IF(F200&lt;=1000, 40, F200*0.04)))),
IF(Basic34567891011121314151617181920212223[[#This Row],[نوع الخدمة]]="كاش اوت",
    IF(F200&lt;=100, 15, IF(F200&lt;=250, 20, IF(F200&lt;=500, 30, IF(F200&lt;=1000, 35, F200*0.035)))),
0)))</f>
        <v>0</v>
      </c>
      <c r="H200" s="159">
        <f>IF(I200="مخالفات",50,Basic34567891011121314151617181920212223[[#This Row],[قيمة الرسوم / العموله]]+Basic34567891011121314151617181920212223[[#This Row],[قيمة الشحنه]])</f>
        <v>0</v>
      </c>
      <c r="I200" s="90"/>
      <c r="J200" s="142" t="str">
        <f t="shared" si="3"/>
        <v>10.5.2026</v>
      </c>
      <c r="L200" s="153">
        <v>189</v>
      </c>
      <c r="M200" s="92"/>
    </row>
    <row r="201" spans="1:13" ht="21.6" x14ac:dyDescent="0.65">
      <c r="A201" s="195"/>
      <c r="B201" s="144">
        <v>198</v>
      </c>
      <c r="C201" s="2"/>
      <c r="D201" s="1"/>
      <c r="E201" s="3"/>
      <c r="F201" s="1"/>
      <c r="G201" s="141">
        <f>IF(Basic34567891011121314151617181920212223[[#This Row],[نوع الخدمة]]="مخالفات", 50,
IF(Basic34567891011121314151617181920212223[[#This Row],[نوع الخدمة]]="كاش ان",
    IF(F201&lt;=100, 18, IF(F201&lt;=250, 23, IF(F201&lt;=500, 35, IF(F201&lt;=1000, 40, F201*0.04)))),
IF(Basic34567891011121314151617181920212223[[#This Row],[نوع الخدمة]]="كاش اوت",
    IF(F201&lt;=100, 15, IF(F201&lt;=250, 20, IF(F201&lt;=500, 30, IF(F201&lt;=1000, 35, F201*0.035)))),
0)))</f>
        <v>0</v>
      </c>
      <c r="H201" s="159">
        <f>IF(I201="مخالفات",50,Basic34567891011121314151617181920212223[[#This Row],[قيمة الرسوم / العموله]]+Basic34567891011121314151617181920212223[[#This Row],[قيمة الشحنه]])</f>
        <v>0</v>
      </c>
      <c r="I201" s="90"/>
      <c r="J201" s="142" t="str">
        <f t="shared" si="3"/>
        <v>10.5.2026</v>
      </c>
      <c r="L201" s="153">
        <v>190</v>
      </c>
      <c r="M201" s="92"/>
    </row>
    <row r="202" spans="1:13" ht="21.6" x14ac:dyDescent="0.65">
      <c r="A202" s="195"/>
      <c r="B202" s="140">
        <v>199</v>
      </c>
      <c r="C202" s="2"/>
      <c r="D202" s="1"/>
      <c r="E202" s="3"/>
      <c r="F202" s="1"/>
      <c r="G202" s="141">
        <f>IF(Basic34567891011121314151617181920212223[[#This Row],[نوع الخدمة]]="مخالفات", 50,
IF(Basic34567891011121314151617181920212223[[#This Row],[نوع الخدمة]]="كاش ان",
    IF(F202&lt;=100, 18, IF(F202&lt;=250, 23, IF(F202&lt;=500, 35, IF(F202&lt;=1000, 40, F202*0.04)))),
IF(Basic34567891011121314151617181920212223[[#This Row],[نوع الخدمة]]="كاش اوت",
    IF(F202&lt;=100, 15, IF(F202&lt;=250, 20, IF(F202&lt;=500, 30, IF(F202&lt;=1000, 35, F202*0.035)))),
0)))</f>
        <v>0</v>
      </c>
      <c r="H202" s="159">
        <f>IF(I202="مخالفات",50,Basic34567891011121314151617181920212223[[#This Row],[قيمة الرسوم / العموله]]+Basic34567891011121314151617181920212223[[#This Row],[قيمة الشحنه]])</f>
        <v>0</v>
      </c>
      <c r="I202" s="90"/>
      <c r="J202" s="142" t="str">
        <f t="shared" si="3"/>
        <v>10.5.2026</v>
      </c>
      <c r="L202" s="153">
        <v>191</v>
      </c>
      <c r="M202" s="92"/>
    </row>
    <row r="203" spans="1:13" ht="21.6" x14ac:dyDescent="0.65">
      <c r="A203" s="195"/>
      <c r="B203" s="140">
        <v>200</v>
      </c>
      <c r="C203" s="2"/>
      <c r="D203" s="1"/>
      <c r="E203" s="3"/>
      <c r="F203" s="1"/>
      <c r="G203" s="141">
        <f>IF(Basic34567891011121314151617181920212223[[#This Row],[نوع الخدمة]]="مخالفات", 50,
IF(Basic34567891011121314151617181920212223[[#This Row],[نوع الخدمة]]="كاش ان",
    IF(F203&lt;=100, 18, IF(F203&lt;=250, 23, IF(F203&lt;=500, 35, IF(F203&lt;=1000, 40, F203*0.04)))),
IF(Basic34567891011121314151617181920212223[[#This Row],[نوع الخدمة]]="كاش اوت",
    IF(F203&lt;=100, 15, IF(F203&lt;=250, 20, IF(F203&lt;=500, 30, IF(F203&lt;=1000, 35, F203*0.035)))),
0)))</f>
        <v>0</v>
      </c>
      <c r="H203" s="159">
        <f>IF(I203="مخالفات",50,Basic34567891011121314151617181920212223[[#This Row],[قيمة الرسوم / العموله]]+Basic34567891011121314151617181920212223[[#This Row],[قيمة الشحنه]])</f>
        <v>0</v>
      </c>
      <c r="I203" s="90"/>
      <c r="J203" s="142" t="str">
        <f t="shared" si="3"/>
        <v>10.5.2026</v>
      </c>
      <c r="L203" s="153">
        <v>192</v>
      </c>
      <c r="M203" s="92"/>
    </row>
    <row r="204" spans="1:13" ht="21.6" x14ac:dyDescent="0.65">
      <c r="A204" s="195"/>
      <c r="B204" s="140">
        <v>201</v>
      </c>
      <c r="C204" s="2"/>
      <c r="D204" s="1"/>
      <c r="E204" s="3"/>
      <c r="F204" s="1"/>
      <c r="G204" s="141">
        <f>IF(Basic34567891011121314151617181920212223[[#This Row],[نوع الخدمة]]="مخالفات", 50,
IF(Basic34567891011121314151617181920212223[[#This Row],[نوع الخدمة]]="كاش ان",
    IF(F204&lt;=100, 18, IF(F204&lt;=250, 23, IF(F204&lt;=500, 35, IF(F204&lt;=1000, 40, F204*0.04)))),
IF(Basic34567891011121314151617181920212223[[#This Row],[نوع الخدمة]]="كاش اوت",
    IF(F204&lt;=100, 15, IF(F204&lt;=250, 20, IF(F204&lt;=500, 30, IF(F204&lt;=1000, 35, F204*0.035)))),
0)))</f>
        <v>0</v>
      </c>
      <c r="H204" s="159">
        <f>IF(I204="مخالفات",50,Basic34567891011121314151617181920212223[[#This Row],[قيمة الرسوم / العموله]]+Basic34567891011121314151617181920212223[[#This Row],[قيمة الشحنه]])</f>
        <v>0</v>
      </c>
      <c r="I204" s="90"/>
      <c r="J204" s="142" t="str">
        <f t="shared" si="3"/>
        <v>10.5.2026</v>
      </c>
      <c r="L204" s="153">
        <v>193</v>
      </c>
      <c r="M204" s="92"/>
    </row>
    <row r="205" spans="1:13" ht="21.6" x14ac:dyDescent="0.65">
      <c r="A205" s="195"/>
      <c r="B205" s="144">
        <v>202</v>
      </c>
      <c r="C205" s="2"/>
      <c r="D205" s="1"/>
      <c r="E205" s="3"/>
      <c r="F205" s="1"/>
      <c r="G205" s="141">
        <f>IF(Basic34567891011121314151617181920212223[[#This Row],[نوع الخدمة]]="مخالفات", 50,
IF(Basic34567891011121314151617181920212223[[#This Row],[نوع الخدمة]]="كاش ان",
    IF(F205&lt;=100, 18, IF(F205&lt;=250, 23, IF(F205&lt;=500, 35, IF(F205&lt;=1000, 40, F205*0.04)))),
IF(Basic34567891011121314151617181920212223[[#This Row],[نوع الخدمة]]="كاش اوت",
    IF(F205&lt;=100, 15, IF(F205&lt;=250, 20, IF(F205&lt;=500, 30, IF(F205&lt;=1000, 35, F205*0.035)))),
0)))</f>
        <v>0</v>
      </c>
      <c r="H205" s="159">
        <f>IF(I205="مخالفات",50,Basic34567891011121314151617181920212223[[#This Row],[قيمة الرسوم / العموله]]+Basic34567891011121314151617181920212223[[#This Row],[قيمة الشحنه]])</f>
        <v>0</v>
      </c>
      <c r="I205" s="90"/>
      <c r="J205" s="142" t="str">
        <f t="shared" si="3"/>
        <v>10.5.2026</v>
      </c>
      <c r="L205" s="153">
        <v>194</v>
      </c>
      <c r="M205" s="92"/>
    </row>
    <row r="206" spans="1:13" ht="21.6" x14ac:dyDescent="0.65">
      <c r="A206" s="195"/>
      <c r="B206" s="140">
        <v>203</v>
      </c>
      <c r="C206" s="2"/>
      <c r="D206" s="1"/>
      <c r="E206" s="3"/>
      <c r="F206" s="1"/>
      <c r="G206" s="141">
        <f>IF(Basic34567891011121314151617181920212223[[#This Row],[نوع الخدمة]]="مخالفات", 50,
IF(Basic34567891011121314151617181920212223[[#This Row],[نوع الخدمة]]="كاش ان",
    IF(F206&lt;=100, 18, IF(F206&lt;=250, 23, IF(F206&lt;=500, 35, IF(F206&lt;=1000, 40, F206*0.04)))),
IF(Basic34567891011121314151617181920212223[[#This Row],[نوع الخدمة]]="كاش اوت",
    IF(F206&lt;=100, 15, IF(F206&lt;=250, 20, IF(F206&lt;=500, 30, IF(F206&lt;=1000, 35, F206*0.035)))),
0)))</f>
        <v>0</v>
      </c>
      <c r="H206" s="159">
        <f>IF(I206="مخالفات",50,Basic34567891011121314151617181920212223[[#This Row],[قيمة الرسوم / العموله]]+Basic34567891011121314151617181920212223[[#This Row],[قيمة الشحنه]])</f>
        <v>0</v>
      </c>
      <c r="I206" s="90"/>
      <c r="J206" s="142" t="str">
        <f t="shared" si="3"/>
        <v>10.5.2026</v>
      </c>
      <c r="L206" s="153">
        <v>195</v>
      </c>
      <c r="M206" s="92"/>
    </row>
    <row r="207" spans="1:13" ht="21.6" x14ac:dyDescent="0.65">
      <c r="A207" s="195"/>
      <c r="B207" s="140">
        <v>204</v>
      </c>
      <c r="C207" s="2"/>
      <c r="D207" s="1"/>
      <c r="E207" s="3"/>
      <c r="F207" s="1"/>
      <c r="G207" s="141">
        <f>IF(Basic34567891011121314151617181920212223[[#This Row],[نوع الخدمة]]="مخالفات", 50,
IF(Basic34567891011121314151617181920212223[[#This Row],[نوع الخدمة]]="كاش ان",
    IF(F207&lt;=100, 18, IF(F207&lt;=250, 23, IF(F207&lt;=500, 35, IF(F207&lt;=1000, 40, F207*0.04)))),
IF(Basic34567891011121314151617181920212223[[#This Row],[نوع الخدمة]]="كاش اوت",
    IF(F207&lt;=100, 15, IF(F207&lt;=250, 20, IF(F207&lt;=500, 30, IF(F207&lt;=1000, 35, F207*0.035)))),
0)))</f>
        <v>0</v>
      </c>
      <c r="H207" s="159">
        <f>IF(I207="مخالفات",50,Basic34567891011121314151617181920212223[[#This Row],[قيمة الرسوم / العموله]]+Basic34567891011121314151617181920212223[[#This Row],[قيمة الشحنه]])</f>
        <v>0</v>
      </c>
      <c r="I207" s="90"/>
      <c r="J207" s="142" t="str">
        <f t="shared" si="3"/>
        <v>10.5.2026</v>
      </c>
      <c r="L207" s="153">
        <v>196</v>
      </c>
      <c r="M207" s="92"/>
    </row>
    <row r="208" spans="1:13" ht="21.6" x14ac:dyDescent="0.65">
      <c r="A208" s="195"/>
      <c r="B208" s="140">
        <v>205</v>
      </c>
      <c r="C208" s="2"/>
      <c r="D208" s="1"/>
      <c r="E208" s="3"/>
      <c r="F208" s="1"/>
      <c r="G208" s="141">
        <f>IF(Basic34567891011121314151617181920212223[[#This Row],[نوع الخدمة]]="مخالفات", 50,
IF(Basic34567891011121314151617181920212223[[#This Row],[نوع الخدمة]]="كاش ان",
    IF(F208&lt;=100, 18, IF(F208&lt;=250, 23, IF(F208&lt;=500, 35, IF(F208&lt;=1000, 40, F208*0.04)))),
IF(Basic34567891011121314151617181920212223[[#This Row],[نوع الخدمة]]="كاش اوت",
    IF(F208&lt;=100, 15, IF(F208&lt;=250, 20, IF(F208&lt;=500, 30, IF(F208&lt;=1000, 35, F208*0.035)))),
0)))</f>
        <v>0</v>
      </c>
      <c r="H208" s="159">
        <f>IF(I208="مخالفات",50,Basic34567891011121314151617181920212223[[#This Row],[قيمة الرسوم / العموله]]+Basic34567891011121314151617181920212223[[#This Row],[قيمة الشحنه]])</f>
        <v>0</v>
      </c>
      <c r="I208" s="90"/>
      <c r="J208" s="142" t="str">
        <f t="shared" si="3"/>
        <v>10.5.2026</v>
      </c>
      <c r="L208" s="153">
        <v>197</v>
      </c>
      <c r="M208" s="92"/>
    </row>
    <row r="209" spans="1:13" ht="21.6" x14ac:dyDescent="0.65">
      <c r="A209" s="195"/>
      <c r="B209" s="144">
        <v>206</v>
      </c>
      <c r="C209" s="2"/>
      <c r="D209" s="1"/>
      <c r="E209" s="3"/>
      <c r="F209" s="1"/>
      <c r="G209" s="141">
        <f>IF(Basic34567891011121314151617181920212223[[#This Row],[نوع الخدمة]]="مخالفات", 50,
IF(Basic34567891011121314151617181920212223[[#This Row],[نوع الخدمة]]="كاش ان",
    IF(F209&lt;=100, 18, IF(F209&lt;=250, 23, IF(F209&lt;=500, 35, IF(F209&lt;=1000, 40, F209*0.04)))),
IF(Basic34567891011121314151617181920212223[[#This Row],[نوع الخدمة]]="كاش اوت",
    IF(F209&lt;=100, 15, IF(F209&lt;=250, 20, IF(F209&lt;=500, 30, IF(F209&lt;=1000, 35, F209*0.035)))),
0)))</f>
        <v>0</v>
      </c>
      <c r="H209" s="159">
        <f>IF(I209="مخالفات",50,Basic34567891011121314151617181920212223[[#This Row],[قيمة الرسوم / العموله]]+Basic34567891011121314151617181920212223[[#This Row],[قيمة الشحنه]])</f>
        <v>0</v>
      </c>
      <c r="I209" s="90"/>
      <c r="J209" s="142" t="str">
        <f t="shared" si="3"/>
        <v>10.5.2026</v>
      </c>
      <c r="L209" s="153">
        <v>198</v>
      </c>
      <c r="M209" s="92"/>
    </row>
    <row r="210" spans="1:13" ht="21.6" x14ac:dyDescent="0.65">
      <c r="A210" s="195"/>
      <c r="B210" s="140">
        <v>207</v>
      </c>
      <c r="C210" s="2"/>
      <c r="D210" s="1"/>
      <c r="E210" s="3"/>
      <c r="F210" s="1"/>
      <c r="G210" s="141">
        <f>IF(Basic34567891011121314151617181920212223[[#This Row],[نوع الخدمة]]="مخالفات", 50,
IF(Basic34567891011121314151617181920212223[[#This Row],[نوع الخدمة]]="كاش ان",
    IF(F210&lt;=100, 18, IF(F210&lt;=250, 23, IF(F210&lt;=500, 35, IF(F210&lt;=1000, 40, F210*0.04)))),
IF(Basic34567891011121314151617181920212223[[#This Row],[نوع الخدمة]]="كاش اوت",
    IF(F210&lt;=100, 15, IF(F210&lt;=250, 20, IF(F210&lt;=500, 30, IF(F210&lt;=1000, 35, F210*0.035)))),
0)))</f>
        <v>0</v>
      </c>
      <c r="H210" s="159">
        <f>IF(I210="مخالفات",50,Basic34567891011121314151617181920212223[[#This Row],[قيمة الرسوم / العموله]]+Basic34567891011121314151617181920212223[[#This Row],[قيمة الشحنه]])</f>
        <v>0</v>
      </c>
      <c r="I210" s="90"/>
      <c r="J210" s="142" t="str">
        <f t="shared" si="3"/>
        <v>10.5.2026</v>
      </c>
      <c r="L210" s="153">
        <v>199</v>
      </c>
      <c r="M210" s="92"/>
    </row>
    <row r="211" spans="1:13" ht="21.6" x14ac:dyDescent="0.65">
      <c r="A211" s="195"/>
      <c r="B211" s="140">
        <v>208</v>
      </c>
      <c r="C211" s="2"/>
      <c r="D211" s="1"/>
      <c r="E211" s="3"/>
      <c r="F211" s="1"/>
      <c r="G211" s="141">
        <f>IF(Basic34567891011121314151617181920212223[[#This Row],[نوع الخدمة]]="مخالفات", 50,
IF(Basic34567891011121314151617181920212223[[#This Row],[نوع الخدمة]]="كاش ان",
    IF(F211&lt;=100, 18, IF(F211&lt;=250, 23, IF(F211&lt;=500, 35, IF(F211&lt;=1000, 40, F211*0.04)))),
IF(Basic34567891011121314151617181920212223[[#This Row],[نوع الخدمة]]="كاش اوت",
    IF(F211&lt;=100, 15, IF(F211&lt;=250, 20, IF(F211&lt;=500, 30, IF(F211&lt;=1000, 35, F211*0.035)))),
0)))</f>
        <v>0</v>
      </c>
      <c r="H211" s="159">
        <f>IF(I211="مخالفات",50,Basic34567891011121314151617181920212223[[#This Row],[قيمة الرسوم / العموله]]+Basic34567891011121314151617181920212223[[#This Row],[قيمة الشحنه]])</f>
        <v>0</v>
      </c>
      <c r="I211" s="90"/>
      <c r="J211" s="142" t="str">
        <f t="shared" si="3"/>
        <v>10.5.2026</v>
      </c>
      <c r="L211" s="153">
        <v>200</v>
      </c>
      <c r="M211" s="92"/>
    </row>
    <row r="212" spans="1:13" ht="21.6" x14ac:dyDescent="0.65">
      <c r="A212" s="195"/>
      <c r="B212" s="140">
        <v>209</v>
      </c>
      <c r="C212" s="2"/>
      <c r="D212" s="1"/>
      <c r="E212" s="3"/>
      <c r="F212" s="1"/>
      <c r="G212" s="141">
        <f>IF(Basic34567891011121314151617181920212223[[#This Row],[نوع الخدمة]]="مخالفات", 50,
IF(Basic34567891011121314151617181920212223[[#This Row],[نوع الخدمة]]="كاش ان",
    IF(F212&lt;=100, 18, IF(F212&lt;=250, 23, IF(F212&lt;=500, 35, IF(F212&lt;=1000, 40, F212*0.04)))),
IF(Basic34567891011121314151617181920212223[[#This Row],[نوع الخدمة]]="كاش اوت",
    IF(F212&lt;=100, 15, IF(F212&lt;=250, 20, IF(F212&lt;=500, 30, IF(F212&lt;=1000, 35, F212*0.035)))),
0)))</f>
        <v>0</v>
      </c>
      <c r="H212" s="159">
        <f>IF(I212="مخالفات",50,Basic34567891011121314151617181920212223[[#This Row],[قيمة الرسوم / العموله]]+Basic34567891011121314151617181920212223[[#This Row],[قيمة الشحنه]])</f>
        <v>0</v>
      </c>
      <c r="I212" s="90"/>
      <c r="J212" s="142" t="str">
        <f t="shared" si="3"/>
        <v>10.5.2026</v>
      </c>
      <c r="L212" s="153">
        <v>201</v>
      </c>
      <c r="M212" s="92"/>
    </row>
    <row r="213" spans="1:13" ht="21.6" x14ac:dyDescent="0.65">
      <c r="A213" s="195"/>
      <c r="B213" s="144">
        <v>210</v>
      </c>
      <c r="C213" s="2"/>
      <c r="D213" s="1"/>
      <c r="E213" s="3"/>
      <c r="F213" s="1"/>
      <c r="G213" s="141">
        <f>IF(Basic34567891011121314151617181920212223[[#This Row],[نوع الخدمة]]="مخالفات", 50,
IF(Basic34567891011121314151617181920212223[[#This Row],[نوع الخدمة]]="كاش ان",
    IF(F213&lt;=100, 18, IF(F213&lt;=250, 23, IF(F213&lt;=500, 35, IF(F213&lt;=1000, 40, F213*0.04)))),
IF(Basic34567891011121314151617181920212223[[#This Row],[نوع الخدمة]]="كاش اوت",
    IF(F213&lt;=100, 15, IF(F213&lt;=250, 20, IF(F213&lt;=500, 30, IF(F213&lt;=1000, 35, F213*0.035)))),
0)))</f>
        <v>0</v>
      </c>
      <c r="H213" s="159">
        <f>IF(I213="مخالفات",50,Basic34567891011121314151617181920212223[[#This Row],[قيمة الرسوم / العموله]]+Basic34567891011121314151617181920212223[[#This Row],[قيمة الشحنه]])</f>
        <v>0</v>
      </c>
      <c r="I213" s="90"/>
      <c r="J213" s="142" t="str">
        <f t="shared" si="3"/>
        <v>10.5.2026</v>
      </c>
      <c r="L213" s="153">
        <v>202</v>
      </c>
      <c r="M213" s="92"/>
    </row>
    <row r="214" spans="1:13" ht="21.6" x14ac:dyDescent="0.65">
      <c r="A214" s="195"/>
      <c r="B214" s="140">
        <v>211</v>
      </c>
      <c r="C214" s="2"/>
      <c r="D214" s="1"/>
      <c r="E214" s="3"/>
      <c r="F214" s="1"/>
      <c r="G214" s="141">
        <f>IF(Basic34567891011121314151617181920212223[[#This Row],[نوع الخدمة]]="مخالفات", 50,
IF(Basic34567891011121314151617181920212223[[#This Row],[نوع الخدمة]]="كاش ان",
    IF(F214&lt;=100, 18, IF(F214&lt;=250, 23, IF(F214&lt;=500, 35, IF(F214&lt;=1000, 40, F214*0.04)))),
IF(Basic34567891011121314151617181920212223[[#This Row],[نوع الخدمة]]="كاش اوت",
    IF(F214&lt;=100, 15, IF(F214&lt;=250, 20, IF(F214&lt;=500, 30, IF(F214&lt;=1000, 35, F214*0.035)))),
0)))</f>
        <v>0</v>
      </c>
      <c r="H214" s="159">
        <f>IF(I214="مخالفات",50,Basic34567891011121314151617181920212223[[#This Row],[قيمة الرسوم / العموله]]+Basic34567891011121314151617181920212223[[#This Row],[قيمة الشحنه]])</f>
        <v>0</v>
      </c>
      <c r="I214" s="90"/>
      <c r="J214" s="142" t="str">
        <f t="shared" si="3"/>
        <v>10.5.2026</v>
      </c>
      <c r="L214" s="153">
        <v>203</v>
      </c>
      <c r="M214" s="92"/>
    </row>
    <row r="215" spans="1:13" ht="21.6" x14ac:dyDescent="0.65">
      <c r="A215" s="195"/>
      <c r="B215" s="140">
        <v>212</v>
      </c>
      <c r="C215" s="2"/>
      <c r="D215" s="1"/>
      <c r="E215" s="3"/>
      <c r="F215" s="1"/>
      <c r="G215" s="141">
        <f>IF(Basic34567891011121314151617181920212223[[#This Row],[نوع الخدمة]]="مخالفات", 50,
IF(Basic34567891011121314151617181920212223[[#This Row],[نوع الخدمة]]="كاش ان",
    IF(F215&lt;=100, 18, IF(F215&lt;=250, 23, IF(F215&lt;=500, 35, IF(F215&lt;=1000, 40, F215*0.04)))),
IF(Basic34567891011121314151617181920212223[[#This Row],[نوع الخدمة]]="كاش اوت",
    IF(F215&lt;=100, 15, IF(F215&lt;=250, 20, IF(F215&lt;=500, 30, IF(F215&lt;=1000, 35, F215*0.035)))),
0)))</f>
        <v>0</v>
      </c>
      <c r="H215" s="159">
        <f>IF(I215="مخالفات",50,Basic34567891011121314151617181920212223[[#This Row],[قيمة الرسوم / العموله]]+Basic34567891011121314151617181920212223[[#This Row],[قيمة الشحنه]])</f>
        <v>0</v>
      </c>
      <c r="I215" s="90"/>
      <c r="J215" s="142" t="str">
        <f t="shared" si="3"/>
        <v>10.5.2026</v>
      </c>
      <c r="L215" s="153">
        <v>204</v>
      </c>
      <c r="M215" s="92"/>
    </row>
    <row r="216" spans="1:13" ht="21.6" x14ac:dyDescent="0.65">
      <c r="A216" s="195"/>
      <c r="B216" s="140">
        <v>213</v>
      </c>
      <c r="C216" s="2"/>
      <c r="D216" s="1"/>
      <c r="E216" s="3"/>
      <c r="F216" s="1"/>
      <c r="G216" s="141">
        <f>IF(Basic34567891011121314151617181920212223[[#This Row],[نوع الخدمة]]="مخالفات", 50,
IF(Basic34567891011121314151617181920212223[[#This Row],[نوع الخدمة]]="كاش ان",
    IF(F216&lt;=100, 18, IF(F216&lt;=250, 23, IF(F216&lt;=500, 35, IF(F216&lt;=1000, 40, F216*0.04)))),
IF(Basic34567891011121314151617181920212223[[#This Row],[نوع الخدمة]]="كاش اوت",
    IF(F216&lt;=100, 15, IF(F216&lt;=250, 20, IF(F216&lt;=500, 30, IF(F216&lt;=1000, 35, F216*0.035)))),
0)))</f>
        <v>0</v>
      </c>
      <c r="H216" s="159">
        <f>IF(I216="مخالفات",50,Basic34567891011121314151617181920212223[[#This Row],[قيمة الرسوم / العموله]]+Basic34567891011121314151617181920212223[[#This Row],[قيمة الشحنه]])</f>
        <v>0</v>
      </c>
      <c r="I216" s="90"/>
      <c r="J216" s="142" t="str">
        <f t="shared" si="3"/>
        <v>10.5.2026</v>
      </c>
      <c r="L216" s="153">
        <v>205</v>
      </c>
      <c r="M216" s="92"/>
    </row>
    <row r="217" spans="1:13" ht="21.6" x14ac:dyDescent="0.65">
      <c r="A217" s="195"/>
      <c r="B217" s="144">
        <v>214</v>
      </c>
      <c r="C217" s="2"/>
      <c r="D217" s="1"/>
      <c r="E217" s="3"/>
      <c r="F217" s="1"/>
      <c r="G217" s="141">
        <f>IF(Basic34567891011121314151617181920212223[[#This Row],[نوع الخدمة]]="مخالفات", 50,
IF(Basic34567891011121314151617181920212223[[#This Row],[نوع الخدمة]]="كاش ان",
    IF(F217&lt;=100, 18, IF(F217&lt;=250, 23, IF(F217&lt;=500, 35, IF(F217&lt;=1000, 40, F217*0.04)))),
IF(Basic34567891011121314151617181920212223[[#This Row],[نوع الخدمة]]="كاش اوت",
    IF(F217&lt;=100, 15, IF(F217&lt;=250, 20, IF(F217&lt;=500, 30, IF(F217&lt;=1000, 35, F217*0.035)))),
0)))</f>
        <v>0</v>
      </c>
      <c r="H217" s="159">
        <f>IF(I217="مخالفات",50,Basic34567891011121314151617181920212223[[#This Row],[قيمة الرسوم / العموله]]+Basic34567891011121314151617181920212223[[#This Row],[قيمة الشحنه]])</f>
        <v>0</v>
      </c>
      <c r="I217" s="90"/>
      <c r="J217" s="142" t="str">
        <f t="shared" si="3"/>
        <v>10.5.2026</v>
      </c>
      <c r="L217" s="153">
        <v>206</v>
      </c>
      <c r="M217" s="92"/>
    </row>
    <row r="218" spans="1:13" ht="21.6" x14ac:dyDescent="0.65">
      <c r="A218" s="195"/>
      <c r="B218" s="140">
        <v>215</v>
      </c>
      <c r="C218" s="2"/>
      <c r="D218" s="1"/>
      <c r="E218" s="3"/>
      <c r="F218" s="1"/>
      <c r="G218" s="141">
        <f>IF(Basic34567891011121314151617181920212223[[#This Row],[نوع الخدمة]]="مخالفات", 50,
IF(Basic34567891011121314151617181920212223[[#This Row],[نوع الخدمة]]="كاش ان",
    IF(F218&lt;=100, 18, IF(F218&lt;=250, 23, IF(F218&lt;=500, 35, IF(F218&lt;=1000, 40, F218*0.04)))),
IF(Basic34567891011121314151617181920212223[[#This Row],[نوع الخدمة]]="كاش اوت",
    IF(F218&lt;=100, 15, IF(F218&lt;=250, 20, IF(F218&lt;=500, 30, IF(F218&lt;=1000, 35, F218*0.035)))),
0)))</f>
        <v>0</v>
      </c>
      <c r="H218" s="159">
        <f>IF(I218="مخالفات",50,Basic34567891011121314151617181920212223[[#This Row],[قيمة الرسوم / العموله]]+Basic34567891011121314151617181920212223[[#This Row],[قيمة الشحنه]])</f>
        <v>0</v>
      </c>
      <c r="I218" s="90"/>
      <c r="J218" s="142" t="str">
        <f t="shared" si="3"/>
        <v>10.5.2026</v>
      </c>
      <c r="L218" s="153">
        <v>207</v>
      </c>
      <c r="M218" s="92"/>
    </row>
    <row r="219" spans="1:13" ht="21.6" x14ac:dyDescent="0.65">
      <c r="A219" s="195"/>
      <c r="B219" s="140">
        <v>216</v>
      </c>
      <c r="C219" s="2"/>
      <c r="D219" s="1"/>
      <c r="E219" s="3"/>
      <c r="F219" s="1"/>
      <c r="G219" s="141">
        <f>IF(Basic34567891011121314151617181920212223[[#This Row],[نوع الخدمة]]="مخالفات", 50,
IF(Basic34567891011121314151617181920212223[[#This Row],[نوع الخدمة]]="كاش ان",
    IF(F219&lt;=100, 18, IF(F219&lt;=250, 23, IF(F219&lt;=500, 35, IF(F219&lt;=1000, 40, F219*0.04)))),
IF(Basic34567891011121314151617181920212223[[#This Row],[نوع الخدمة]]="كاش اوت",
    IF(F219&lt;=100, 15, IF(F219&lt;=250, 20, IF(F219&lt;=500, 30, IF(F219&lt;=1000, 35, F219*0.035)))),
0)))</f>
        <v>0</v>
      </c>
      <c r="H219" s="159">
        <f>IF(I219="مخالفات",50,Basic34567891011121314151617181920212223[[#This Row],[قيمة الرسوم / العموله]]+Basic34567891011121314151617181920212223[[#This Row],[قيمة الشحنه]])</f>
        <v>0</v>
      </c>
      <c r="I219" s="90"/>
      <c r="J219" s="142" t="str">
        <f t="shared" si="3"/>
        <v>10.5.2026</v>
      </c>
      <c r="L219" s="153">
        <v>208</v>
      </c>
      <c r="M219" s="92"/>
    </row>
    <row r="220" spans="1:13" ht="21.6" x14ac:dyDescent="0.65">
      <c r="A220" s="195"/>
      <c r="B220" s="140">
        <v>217</v>
      </c>
      <c r="C220" s="2"/>
      <c r="D220" s="1"/>
      <c r="E220" s="3"/>
      <c r="F220" s="1"/>
      <c r="G220" s="141">
        <f>IF(Basic34567891011121314151617181920212223[[#This Row],[نوع الخدمة]]="مخالفات", 50,
IF(Basic34567891011121314151617181920212223[[#This Row],[نوع الخدمة]]="كاش ان",
    IF(F220&lt;=100, 18, IF(F220&lt;=250, 23, IF(F220&lt;=500, 35, IF(F220&lt;=1000, 40, F220*0.04)))),
IF(Basic34567891011121314151617181920212223[[#This Row],[نوع الخدمة]]="كاش اوت",
    IF(F220&lt;=100, 15, IF(F220&lt;=250, 20, IF(F220&lt;=500, 30, IF(F220&lt;=1000, 35, F220*0.035)))),
0)))</f>
        <v>0</v>
      </c>
      <c r="H220" s="159">
        <f>IF(I220="مخالفات",50,Basic34567891011121314151617181920212223[[#This Row],[قيمة الرسوم / العموله]]+Basic34567891011121314151617181920212223[[#This Row],[قيمة الشحنه]])</f>
        <v>0</v>
      </c>
      <c r="I220" s="90"/>
      <c r="J220" s="142" t="str">
        <f t="shared" si="3"/>
        <v>10.5.2026</v>
      </c>
      <c r="L220" s="153">
        <v>209</v>
      </c>
      <c r="M220" s="92"/>
    </row>
    <row r="221" spans="1:13" ht="21.6" x14ac:dyDescent="0.65">
      <c r="A221" s="195"/>
      <c r="B221" s="144">
        <v>218</v>
      </c>
      <c r="C221" s="2"/>
      <c r="D221" s="1"/>
      <c r="E221" s="3"/>
      <c r="F221" s="1"/>
      <c r="G221" s="141">
        <f>IF(Basic34567891011121314151617181920212223[[#This Row],[نوع الخدمة]]="مخالفات", 50,
IF(Basic34567891011121314151617181920212223[[#This Row],[نوع الخدمة]]="كاش ان",
    IF(F221&lt;=100, 18, IF(F221&lt;=250, 23, IF(F221&lt;=500, 35, IF(F221&lt;=1000, 40, F221*0.04)))),
IF(Basic34567891011121314151617181920212223[[#This Row],[نوع الخدمة]]="كاش اوت",
    IF(F221&lt;=100, 15, IF(F221&lt;=250, 20, IF(F221&lt;=500, 30, IF(F221&lt;=1000, 35, F221*0.035)))),
0)))</f>
        <v>0</v>
      </c>
      <c r="H221" s="159">
        <f>IF(I221="مخالفات",50,Basic34567891011121314151617181920212223[[#This Row],[قيمة الرسوم / العموله]]+Basic34567891011121314151617181920212223[[#This Row],[قيمة الشحنه]])</f>
        <v>0</v>
      </c>
      <c r="I221" s="90"/>
      <c r="J221" s="142" t="str">
        <f t="shared" si="3"/>
        <v>10.5.2026</v>
      </c>
      <c r="L221" s="153">
        <v>210</v>
      </c>
      <c r="M221" s="92"/>
    </row>
    <row r="222" spans="1:13" ht="21.6" x14ac:dyDescent="0.65">
      <c r="A222" s="195"/>
      <c r="B222" s="140">
        <v>219</v>
      </c>
      <c r="C222" s="2"/>
      <c r="D222" s="1"/>
      <c r="E222" s="3"/>
      <c r="F222" s="1"/>
      <c r="G222" s="141">
        <f>IF(Basic34567891011121314151617181920212223[[#This Row],[نوع الخدمة]]="مخالفات", 50,
IF(Basic34567891011121314151617181920212223[[#This Row],[نوع الخدمة]]="كاش ان",
    IF(F222&lt;=100, 18, IF(F222&lt;=250, 23, IF(F222&lt;=500, 35, IF(F222&lt;=1000, 40, F222*0.04)))),
IF(Basic34567891011121314151617181920212223[[#This Row],[نوع الخدمة]]="كاش اوت",
    IF(F222&lt;=100, 15, IF(F222&lt;=250, 20, IF(F222&lt;=500, 30, IF(F222&lt;=1000, 35, F222*0.035)))),
0)))</f>
        <v>0</v>
      </c>
      <c r="H222" s="159">
        <f>IF(I222="مخالفات",50,Basic34567891011121314151617181920212223[[#This Row],[قيمة الرسوم / العموله]]+Basic34567891011121314151617181920212223[[#This Row],[قيمة الشحنه]])</f>
        <v>0</v>
      </c>
      <c r="I222" s="90"/>
      <c r="J222" s="142" t="str">
        <f t="shared" si="3"/>
        <v>10.5.2026</v>
      </c>
      <c r="L222" s="153">
        <v>211</v>
      </c>
      <c r="M222" s="92"/>
    </row>
    <row r="223" spans="1:13" ht="21.6" x14ac:dyDescent="0.65">
      <c r="A223" s="195"/>
      <c r="B223" s="140">
        <v>220</v>
      </c>
      <c r="C223" s="2"/>
      <c r="D223" s="1"/>
      <c r="E223" s="3"/>
      <c r="F223" s="1"/>
      <c r="G223" s="141">
        <f>IF(Basic34567891011121314151617181920212223[[#This Row],[نوع الخدمة]]="مخالفات", 50,
IF(Basic34567891011121314151617181920212223[[#This Row],[نوع الخدمة]]="كاش ان",
    IF(F223&lt;=100, 18, IF(F223&lt;=250, 23, IF(F223&lt;=500, 35, IF(F223&lt;=1000, 40, F223*0.04)))),
IF(Basic34567891011121314151617181920212223[[#This Row],[نوع الخدمة]]="كاش اوت",
    IF(F223&lt;=100, 15, IF(F223&lt;=250, 20, IF(F223&lt;=500, 30, IF(F223&lt;=1000, 35, F223*0.035)))),
0)))</f>
        <v>0</v>
      </c>
      <c r="H223" s="159">
        <f>IF(I223="مخالفات",50,Basic34567891011121314151617181920212223[[#This Row],[قيمة الرسوم / العموله]]+Basic34567891011121314151617181920212223[[#This Row],[قيمة الشحنه]])</f>
        <v>0</v>
      </c>
      <c r="I223" s="90"/>
      <c r="J223" s="142" t="str">
        <f t="shared" si="3"/>
        <v>10.5.2026</v>
      </c>
      <c r="L223" s="153">
        <v>212</v>
      </c>
      <c r="M223" s="92"/>
    </row>
    <row r="224" spans="1:13" ht="21.6" x14ac:dyDescent="0.65">
      <c r="A224" s="195"/>
      <c r="B224" s="140">
        <v>221</v>
      </c>
      <c r="C224" s="2"/>
      <c r="D224" s="1"/>
      <c r="E224" s="3"/>
      <c r="F224" s="1"/>
      <c r="G224" s="141">
        <f>IF(Basic34567891011121314151617181920212223[[#This Row],[نوع الخدمة]]="مخالفات", 50,
IF(Basic34567891011121314151617181920212223[[#This Row],[نوع الخدمة]]="كاش ان",
    IF(F224&lt;=100, 18, IF(F224&lt;=250, 23, IF(F224&lt;=500, 35, IF(F224&lt;=1000, 40, F224*0.04)))),
IF(Basic34567891011121314151617181920212223[[#This Row],[نوع الخدمة]]="كاش اوت",
    IF(F224&lt;=100, 15, IF(F224&lt;=250, 20, IF(F224&lt;=500, 30, IF(F224&lt;=1000, 35, F224*0.035)))),
0)))</f>
        <v>0</v>
      </c>
      <c r="H224" s="159">
        <f>IF(I224="مخالفات",50,Basic34567891011121314151617181920212223[[#This Row],[قيمة الرسوم / العموله]]+Basic34567891011121314151617181920212223[[#This Row],[قيمة الشحنه]])</f>
        <v>0</v>
      </c>
      <c r="I224" s="90"/>
      <c r="J224" s="142" t="str">
        <f t="shared" si="3"/>
        <v>10.5.2026</v>
      </c>
      <c r="L224" s="153">
        <v>213</v>
      </c>
      <c r="M224" s="92"/>
    </row>
    <row r="225" spans="1:13" ht="21.6" x14ac:dyDescent="0.65">
      <c r="A225" s="195"/>
      <c r="B225" s="144">
        <v>222</v>
      </c>
      <c r="C225" s="2"/>
      <c r="D225" s="1"/>
      <c r="E225" s="3"/>
      <c r="F225" s="1"/>
      <c r="G225" s="141">
        <f>IF(Basic34567891011121314151617181920212223[[#This Row],[نوع الخدمة]]="مخالفات", 50,
IF(Basic34567891011121314151617181920212223[[#This Row],[نوع الخدمة]]="كاش ان",
    IF(F225&lt;=100, 18, IF(F225&lt;=250, 23, IF(F225&lt;=500, 35, IF(F225&lt;=1000, 40, F225*0.04)))),
IF(Basic34567891011121314151617181920212223[[#This Row],[نوع الخدمة]]="كاش اوت",
    IF(F225&lt;=100, 15, IF(F225&lt;=250, 20, IF(F225&lt;=500, 30, IF(F225&lt;=1000, 35, F225*0.035)))),
0)))</f>
        <v>0</v>
      </c>
      <c r="H225" s="159">
        <f>IF(I225="مخالفات",50,Basic34567891011121314151617181920212223[[#This Row],[قيمة الرسوم / العموله]]+Basic34567891011121314151617181920212223[[#This Row],[قيمة الشحنه]])</f>
        <v>0</v>
      </c>
      <c r="I225" s="90"/>
      <c r="J225" s="142" t="str">
        <f t="shared" si="3"/>
        <v>10.5.2026</v>
      </c>
      <c r="L225" s="153">
        <v>214</v>
      </c>
      <c r="M225" s="92"/>
    </row>
    <row r="226" spans="1:13" ht="21.6" x14ac:dyDescent="0.65">
      <c r="A226" s="195"/>
      <c r="B226" s="140">
        <v>223</v>
      </c>
      <c r="C226" s="4"/>
      <c r="D226" s="5"/>
      <c r="E226" s="6"/>
      <c r="F226" s="5"/>
      <c r="G226" s="141">
        <f>IF(Basic34567891011121314151617181920212223[[#This Row],[نوع الخدمة]]="مخالفات", 50,
IF(Basic34567891011121314151617181920212223[[#This Row],[نوع الخدمة]]="كاش ان",
    IF(F226&lt;=100, 18, IF(F226&lt;=250, 23, IF(F226&lt;=500, 35, IF(F226&lt;=1000, 40, F226*0.04)))),
IF(Basic34567891011121314151617181920212223[[#This Row],[نوع الخدمة]]="كاش اوت",
    IF(F226&lt;=100, 15, IF(F226&lt;=250, 20, IF(F226&lt;=500, 30, IF(F226&lt;=1000, 35, F226*0.035)))),
0)))</f>
        <v>0</v>
      </c>
      <c r="H226" s="160">
        <f>IF(I226="مخالفات",50,Basic34567891011121314151617181920212223[[#This Row],[قيمة الرسوم / العموله]]+Basic34567891011121314151617181920212223[[#This Row],[قيمة الشحنه]])</f>
        <v>0</v>
      </c>
      <c r="I226" s="90"/>
      <c r="J226" s="142" t="str">
        <f t="shared" si="3"/>
        <v>10.5.2026</v>
      </c>
      <c r="L226" s="156">
        <v>215</v>
      </c>
      <c r="M226" s="93"/>
    </row>
  </sheetData>
  <sheetProtection algorithmName="SHA-512" hashValue="dGWiLVgYW+Zl35Wq0z0w7pm549ZNXxQpZSYmJb3tm8lDnDrzT1EVqWNANnnLYeWZw0StFyfbX2/D2LFK4hT5mQ==" saltValue="3d3AvHZoDIaJisRY/ILM0A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87" priority="12" operator="equal">
      <formula>$BH$10</formula>
    </cfRule>
    <cfRule type="cellIs" dxfId="86" priority="13" operator="equal">
      <formula>$BH$9</formula>
    </cfRule>
    <cfRule type="cellIs" dxfId="85" priority="14" operator="equal">
      <formula>$BH$8</formula>
    </cfRule>
  </conditionalFormatting>
  <conditionalFormatting sqref="P11">
    <cfRule type="cellIs" dxfId="84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{75CBA447-41FA-4CAA-92C0-33B7200DF726}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{53AE2DF2-06D0-4230-AFFA-5717EAEE3320}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{689057C9-DEBE-410D-8BA5-1CA15E35372F}</x14:id>
        </ext>
      </extLst>
    </cfRule>
  </conditionalFormatting>
  <dataValidations count="2">
    <dataValidation type="textLength" operator="equal" allowBlank="1" showInputMessage="1" showErrorMessage="1" errorTitle="يجب إخال رقم IPN صحيح 13 رقم" sqref="C1:C1048576" xr:uid="{00000000-0002-0000-0900-000000000000}">
      <formula1>13</formula1>
    </dataValidation>
    <dataValidation type="list" allowBlank="1" showInputMessage="1" showErrorMessage="1" sqref="I4:I226" xr:uid="{00000000-0002-0000-0900-000001000000}">
      <formula1>$BH$8:$BH$10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5CBA447-41FA-4CAA-92C0-33B7200DF726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53AE2DF2-06D0-4230-AFFA-5717EAEE3320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689057C9-DEBE-410D-8BA5-1CA15E35372F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H226"/>
  <sheetViews>
    <sheetView showGridLines="0" showRowColHeaders="0" rightToLeft="1" topLeftCell="E1" zoomScale="80" zoomScaleNormal="80" workbookViewId="0">
      <selection activeCell="P11" sqref="P11"/>
    </sheetView>
  </sheetViews>
  <sheetFormatPr defaultColWidth="9.109375" defaultRowHeight="14.4" x14ac:dyDescent="0.3"/>
  <cols>
    <col min="1" max="1" width="4.109375" style="124" customWidth="1"/>
    <col min="2" max="2" width="6.5546875" style="125" bestFit="1" customWidth="1"/>
    <col min="3" max="3" width="27.88671875" style="126" customWidth="1"/>
    <col min="4" max="4" width="15.6640625" style="124" customWidth="1"/>
    <col min="5" max="5" width="17.5546875" style="157" customWidth="1"/>
    <col min="6" max="6" width="12.88671875" style="124" bestFit="1" customWidth="1"/>
    <col min="7" max="7" width="19" style="124" bestFit="1" customWidth="1"/>
    <col min="8" max="8" width="19" style="124" customWidth="1"/>
    <col min="9" max="9" width="12.44140625" style="128" bestFit="1" customWidth="1"/>
    <col min="10" max="10" width="17.5546875" style="129" customWidth="1"/>
    <col min="11" max="11" width="3.5546875" style="124" customWidth="1"/>
    <col min="12" max="12" width="8.5546875" style="124" bestFit="1" customWidth="1"/>
    <col min="13" max="13" width="24.88671875" style="124" customWidth="1"/>
    <col min="14" max="14" width="2.88671875" style="124" customWidth="1"/>
    <col min="15" max="15" width="26.5546875" style="124" bestFit="1" customWidth="1"/>
    <col min="16" max="16" width="14.109375" style="124" customWidth="1"/>
    <col min="17" max="17" width="3.5546875" style="124" customWidth="1"/>
    <col min="18" max="19" width="17.33203125" style="128" customWidth="1"/>
    <col min="20" max="20" width="11.5546875" style="128" bestFit="1" customWidth="1"/>
    <col min="21" max="21" width="10.5546875" style="128" bestFit="1" customWidth="1"/>
    <col min="22" max="22" width="10.109375" style="128" bestFit="1" customWidth="1"/>
    <col min="23" max="23" width="8.5546875" style="128" customWidth="1"/>
    <col min="24" max="24" width="12.6640625" style="124" customWidth="1"/>
    <col min="25" max="16384" width="9.109375" style="124"/>
  </cols>
  <sheetData>
    <row r="1" spans="1:60" x14ac:dyDescent="0.3">
      <c r="E1" s="127">
        <f>Total!F5</f>
        <v>69</v>
      </c>
      <c r="F1" s="192" t="str">
        <f>Total!G5</f>
        <v>العبور</v>
      </c>
      <c r="G1" s="192"/>
      <c r="H1" s="192"/>
    </row>
    <row r="3" spans="1:60" ht="15.6" x14ac:dyDescent="0.3">
      <c r="B3" s="130" t="s">
        <v>0</v>
      </c>
      <c r="C3" s="131" t="s">
        <v>1</v>
      </c>
      <c r="D3" s="132" t="s">
        <v>2</v>
      </c>
      <c r="E3" s="133" t="s">
        <v>3</v>
      </c>
      <c r="F3" s="132" t="s">
        <v>4</v>
      </c>
      <c r="G3" s="132" t="s">
        <v>5</v>
      </c>
      <c r="H3" s="132" t="s">
        <v>76</v>
      </c>
      <c r="I3" s="132" t="s">
        <v>6</v>
      </c>
      <c r="J3" s="134" t="s">
        <v>7</v>
      </c>
      <c r="L3" s="135" t="s">
        <v>7</v>
      </c>
      <c r="M3" s="7" t="s">
        <v>96</v>
      </c>
      <c r="O3" s="137" t="s">
        <v>17</v>
      </c>
      <c r="P3" s="138">
        <f>M5+M6</f>
        <v>0</v>
      </c>
      <c r="T3" s="173"/>
      <c r="U3" s="173"/>
      <c r="V3" s="173"/>
      <c r="W3" s="173"/>
      <c r="X3" s="139"/>
    </row>
    <row r="4" spans="1:60" ht="21.6" x14ac:dyDescent="0.65">
      <c r="A4" s="195"/>
      <c r="B4" s="140">
        <v>1</v>
      </c>
      <c r="C4" s="8"/>
      <c r="D4" s="9"/>
      <c r="E4" s="10"/>
      <c r="F4" s="9"/>
      <c r="G4" s="141">
        <f>IF(Basic345678910111213141516171819202122[[#This Row],[نوع الخدمة]]="مخالفات", 50,
IF(Basic345678910111213141516171819202122[[#This Row],[نوع الخدمة]]="كاش ان",
    IF(F4&lt;=100, 18, IF(F4&lt;=250, 23, IF(F4&lt;=500, 35, IF(F4&lt;=1000, 40, F4*0.04)))),
IF(Basic345678910111213141516171819202122[[#This Row],[نوع الخدمة]]="كاش اوت",
    IF(F4&lt;=100, 15, IF(F4&lt;=250, 20, IF(F4&lt;=500, 30, IF(F4&lt;=1000, 35, F4*0.035)))),
0)))</f>
        <v>0</v>
      </c>
      <c r="H4" s="141">
        <f>IF(I4="مخالفات",50,Basic345678910111213141516171819202122[[#This Row],[قيمة الرسوم / العموله]]+Basic345678910111213141516171819202122[[#This Row],[قيمة الشحنه]])</f>
        <v>0</v>
      </c>
      <c r="I4" s="90"/>
      <c r="J4" s="142" t="str">
        <f t="shared" ref="J4:J67" si="0">M$3</f>
        <v>11.5.2026</v>
      </c>
      <c r="L4" s="135" t="s">
        <v>26</v>
      </c>
      <c r="M4" s="90">
        <v>0</v>
      </c>
      <c r="O4" s="137" t="s">
        <v>18</v>
      </c>
      <c r="P4" s="138">
        <f>M4</f>
        <v>0</v>
      </c>
      <c r="S4" s="143" t="s">
        <v>22</v>
      </c>
      <c r="T4" s="143" t="s">
        <v>23</v>
      </c>
      <c r="U4" s="173"/>
      <c r="V4" s="173"/>
      <c r="W4" s="173"/>
      <c r="X4" s="139"/>
    </row>
    <row r="5" spans="1:60" ht="21.6" x14ac:dyDescent="0.65">
      <c r="A5" s="195"/>
      <c r="B5" s="144">
        <v>2</v>
      </c>
      <c r="C5" s="8"/>
      <c r="D5" s="9"/>
      <c r="E5" s="10"/>
      <c r="F5" s="9"/>
      <c r="G5" s="141">
        <f>IF(Basic345678910111213141516171819202122[[#This Row],[نوع الخدمة]]="مخالفات", 50,
IF(Basic345678910111213141516171819202122[[#This Row],[نوع الخدمة]]="كاش ان",
    IF(F5&lt;=100, 18, IF(F5&lt;=250, 23, IF(F5&lt;=500, 35, IF(F5&lt;=1000, 40, F5*0.04)))),
IF(Basic345678910111213141516171819202122[[#This Row],[نوع الخدمة]]="كاش اوت",
    IF(F5&lt;=100, 15, IF(F5&lt;=250, 20, IF(F5&lt;=500, 30, IF(F5&lt;=1000, 35, F5*0.035)))),
0)))</f>
        <v>0</v>
      </c>
      <c r="H5" s="141">
        <f>IF(I5="مخالفات",50,Basic345678910111213141516171819202122[[#This Row],[قيمة الرسوم / العموله]]+Basic345678910111213141516171819202122[[#This Row],[قيمة الشحنه]])</f>
        <v>0</v>
      </c>
      <c r="I5" s="90"/>
      <c r="J5" s="142" t="str">
        <f t="shared" si="0"/>
        <v>11.5.2026</v>
      </c>
      <c r="L5" s="135" t="s">
        <v>27</v>
      </c>
      <c r="M5" s="90"/>
      <c r="O5" s="137" t="s">
        <v>19</v>
      </c>
      <c r="P5" s="138">
        <f>SUMIF(Basic345678910111213141516171819202122[نوع الخدمة],"كاش ان",Basic345678910111213141516171819202122[قيمة الشحنه])</f>
        <v>0</v>
      </c>
      <c r="S5" s="145">
        <f>P5+P9+P12+P7</f>
        <v>0</v>
      </c>
      <c r="T5" s="145">
        <f>P3</f>
        <v>0</v>
      </c>
    </row>
    <row r="6" spans="1:60" ht="21.6" x14ac:dyDescent="0.65">
      <c r="A6" s="195"/>
      <c r="B6" s="140">
        <v>3</v>
      </c>
      <c r="C6" s="8"/>
      <c r="D6" s="9"/>
      <c r="E6" s="10"/>
      <c r="F6" s="9"/>
      <c r="G6" s="141">
        <f>IF(Basic345678910111213141516171819202122[[#This Row],[نوع الخدمة]]="مخالفات", 50,
IF(Basic345678910111213141516171819202122[[#This Row],[نوع الخدمة]]="كاش ان",
    IF(F6&lt;=100, 18, IF(F6&lt;=250, 23, IF(F6&lt;=500, 35, IF(F6&lt;=1000, 40, F6*0.04)))),
IF(Basic345678910111213141516171819202122[[#This Row],[نوع الخدمة]]="كاش اوت",
    IF(F6&lt;=100, 15, IF(F6&lt;=250, 20, IF(F6&lt;=500, 30, IF(F6&lt;=1000, 35, F6*0.035)))),
0)))</f>
        <v>0</v>
      </c>
      <c r="H6" s="141">
        <f>IF(I6="مخالفات",50,Basic345678910111213141516171819202122[[#This Row],[قيمة الرسوم / العموله]]+Basic345678910111213141516171819202122[[#This Row],[قيمة الشحنه]])</f>
        <v>0</v>
      </c>
      <c r="I6" s="90"/>
      <c r="J6" s="142" t="str">
        <f t="shared" si="0"/>
        <v>11.5.2026</v>
      </c>
      <c r="L6" s="135" t="s">
        <v>28</v>
      </c>
      <c r="M6" s="90"/>
      <c r="O6" s="146" t="s">
        <v>12</v>
      </c>
      <c r="P6" s="138">
        <f>P3*150</f>
        <v>0</v>
      </c>
    </row>
    <row r="7" spans="1:60" ht="21.6" x14ac:dyDescent="0.65">
      <c r="A7" s="195"/>
      <c r="B7" s="140">
        <v>4</v>
      </c>
      <c r="C7" s="8"/>
      <c r="D7" s="9"/>
      <c r="E7" s="10"/>
      <c r="F7" s="9"/>
      <c r="G7" s="141">
        <f>IF(Basic345678910111213141516171819202122[[#This Row],[نوع الخدمة]]="مخالفات", 50,
IF(Basic345678910111213141516171819202122[[#This Row],[نوع الخدمة]]="كاش ان",
    IF(F7&lt;=100, 18, IF(F7&lt;=250, 23, IF(F7&lt;=500, 35, IF(F7&lt;=1000, 40, F7*0.04)))),
IF(Basic345678910111213141516171819202122[[#This Row],[نوع الخدمة]]="كاش اوت",
    IF(F7&lt;=100, 15, IF(F7&lt;=250, 20, IF(F7&lt;=500, 30, IF(F7&lt;=1000, 35, F7*0.035)))),
0)))</f>
        <v>0</v>
      </c>
      <c r="H7" s="141">
        <f>IF(I7="مخالفات",50,Basic345678910111213141516171819202122[[#This Row],[قيمة الرسوم / العموله]]+Basic345678910111213141516171819202122[[#This Row],[قيمة الشحنه]])</f>
        <v>0</v>
      </c>
      <c r="I7" s="90"/>
      <c r="J7" s="142" t="str">
        <f t="shared" si="0"/>
        <v>11.5.2026</v>
      </c>
      <c r="L7" s="137" t="s">
        <v>11</v>
      </c>
      <c r="M7" s="165"/>
      <c r="O7" s="146" t="s">
        <v>75</v>
      </c>
      <c r="P7" s="138">
        <f>SUMIF(Basic345678910111213141516171819202122[نوع الخدمة],"مخالفات",Basic345678910111213141516171819202122[الاجمــــــــــالي])</f>
        <v>0</v>
      </c>
      <c r="R7" s="173"/>
      <c r="S7" s="173"/>
    </row>
    <row r="8" spans="1:60" ht="21.6" x14ac:dyDescent="0.65">
      <c r="A8" s="195"/>
      <c r="B8" s="140">
        <v>5</v>
      </c>
      <c r="C8" s="8"/>
      <c r="D8" s="9"/>
      <c r="E8" s="10"/>
      <c r="F8" s="9"/>
      <c r="G8" s="141">
        <f>IF(Basic345678910111213141516171819202122[[#This Row],[نوع الخدمة]]="مخالفات", 50,
IF(Basic345678910111213141516171819202122[[#This Row],[نوع الخدمة]]="كاش ان",
    IF(F8&lt;=100, 18, IF(F8&lt;=250, 23, IF(F8&lt;=500, 35, IF(F8&lt;=1000, 40, F8*0.04)))),
IF(Basic345678910111213141516171819202122[[#This Row],[نوع الخدمة]]="كاش اوت",
    IF(F8&lt;=100, 15, IF(F8&lt;=250, 20, IF(F8&lt;=500, 30, IF(F8&lt;=1000, 35, F8*0.035)))),
0)))</f>
        <v>0</v>
      </c>
      <c r="H8" s="141">
        <f>IF(I8="مخالفات",50,Basic345678910111213141516171819202122[[#This Row],[قيمة الرسوم / العموله]]+Basic345678910111213141516171819202122[[#This Row],[قيمة الشحنه]])</f>
        <v>0</v>
      </c>
      <c r="I8" s="90"/>
      <c r="J8" s="142" t="str">
        <f t="shared" si="0"/>
        <v>11.5.2026</v>
      </c>
      <c r="L8" s="166" t="s">
        <v>79</v>
      </c>
      <c r="M8" s="167">
        <v>0</v>
      </c>
      <c r="O8" s="137" t="s">
        <v>11</v>
      </c>
      <c r="P8" s="138">
        <f>M7</f>
        <v>0</v>
      </c>
      <c r="R8" s="143" t="s">
        <v>72</v>
      </c>
      <c r="S8" s="143" t="s">
        <v>25</v>
      </c>
      <c r="T8" s="143" t="s">
        <v>24</v>
      </c>
      <c r="U8" s="143" t="s">
        <v>73</v>
      </c>
      <c r="V8" s="143" t="s">
        <v>25</v>
      </c>
      <c r="W8" s="143" t="s">
        <v>24</v>
      </c>
      <c r="BH8" s="148" t="s">
        <v>8</v>
      </c>
    </row>
    <row r="9" spans="1:60" ht="18" customHeight="1" x14ac:dyDescent="0.65">
      <c r="A9" s="195"/>
      <c r="B9" s="144">
        <v>6</v>
      </c>
      <c r="C9" s="8"/>
      <c r="D9" s="9"/>
      <c r="E9" s="10"/>
      <c r="F9" s="9"/>
      <c r="G9" s="141">
        <f>IF(Basic345678910111213141516171819202122[[#This Row],[نوع الخدمة]]="مخالفات", 50,
IF(Basic345678910111213141516171819202122[[#This Row],[نوع الخدمة]]="كاش ان",
    IF(F9&lt;=100, 18, IF(F9&lt;=250, 23, IF(F9&lt;=500, 35, IF(F9&lt;=1000, 40, F9*0.04)))),
IF(Basic345678910111213141516171819202122[[#This Row],[نوع الخدمة]]="كاش اوت",
    IF(F9&lt;=100, 15, IF(F9&lt;=250, 20, IF(F9&lt;=500, 30, IF(F9&lt;=1000, 35, F9*0.035)))),
0)))</f>
        <v>0</v>
      </c>
      <c r="H9" s="141">
        <f>IF(I9="مخالفات",50,Basic345678910111213141516171819202122[[#This Row],[قيمة الرسوم / العموله]]+Basic345678910111213141516171819202122[[#This Row],[قيمة الشحنه]])</f>
        <v>0</v>
      </c>
      <c r="I9" s="90"/>
      <c r="J9" s="142" t="str">
        <f t="shared" si="0"/>
        <v>11.5.2026</v>
      </c>
      <c r="L9" s="166" t="s">
        <v>80</v>
      </c>
      <c r="M9" s="167">
        <v>0</v>
      </c>
      <c r="O9" s="137" t="s">
        <v>20</v>
      </c>
      <c r="P9" s="138">
        <f>SUMIF(Basic345678910111213141516171819202122[نوع الخدمة],"كاش ان",Basic345678910111213141516171819202122[قيمة الرسوم / العموله])</f>
        <v>0</v>
      </c>
      <c r="R9" s="149">
        <f>Total!H5/24</f>
        <v>29166.666666666668</v>
      </c>
      <c r="S9" s="149">
        <f>S5</f>
        <v>0</v>
      </c>
      <c r="T9" s="150">
        <f>S9/R9</f>
        <v>0</v>
      </c>
      <c r="U9" s="149">
        <f>Total!K5/24</f>
        <v>2.9166666666666665</v>
      </c>
      <c r="V9" s="149">
        <f>T5</f>
        <v>0</v>
      </c>
      <c r="W9" s="150">
        <f>V9/U9</f>
        <v>0</v>
      </c>
      <c r="BH9" s="148" t="s">
        <v>9</v>
      </c>
    </row>
    <row r="10" spans="1:60" ht="21.6" x14ac:dyDescent="0.65">
      <c r="A10" s="195"/>
      <c r="B10" s="140">
        <v>7</v>
      </c>
      <c r="C10" s="8"/>
      <c r="D10" s="9"/>
      <c r="E10" s="10"/>
      <c r="F10" s="9"/>
      <c r="G10" s="141">
        <f>IF(Basic345678910111213141516171819202122[[#This Row],[نوع الخدمة]]="مخالفات", 50,
IF(Basic345678910111213141516171819202122[[#This Row],[نوع الخدمة]]="كاش ان",
    IF(F10&lt;=100, 18, IF(F10&lt;=250, 23, IF(F10&lt;=500, 35, IF(F10&lt;=1000, 40, F10*0.04)))),
IF(Basic345678910111213141516171819202122[[#This Row],[نوع الخدمة]]="كاش اوت",
    IF(F10&lt;=100, 15, IF(F10&lt;=250, 20, IF(F10&lt;=500, 30, IF(F10&lt;=1000, 35, F10*0.035)))),
0)))</f>
        <v>0</v>
      </c>
      <c r="H10" s="141">
        <f>IF(I10="مخالفات",50,Basic345678910111213141516171819202122[[#This Row],[قيمة الرسوم / العموله]]+Basic345678910111213141516171819202122[[#This Row],[قيمة الشحنه]])</f>
        <v>0</v>
      </c>
      <c r="I10" s="90"/>
      <c r="J10" s="142" t="str">
        <f t="shared" si="0"/>
        <v>11.5.2026</v>
      </c>
      <c r="O10" s="137" t="s">
        <v>16</v>
      </c>
      <c r="P10" s="138">
        <f>SUMIF(Basic345678910111213141516171819202122[نوع الخدمة],"كاش اوت",Basic345678910111213141516171819202122[قيمة الشحنه])</f>
        <v>0</v>
      </c>
      <c r="R10" s="191">
        <f>(W9+T9)/2</f>
        <v>0</v>
      </c>
      <c r="S10" s="191"/>
      <c r="T10" s="191"/>
      <c r="U10" s="191"/>
      <c r="V10" s="191"/>
      <c r="W10" s="191"/>
      <c r="BH10" s="148" t="s">
        <v>10</v>
      </c>
    </row>
    <row r="11" spans="1:60" ht="21.6" x14ac:dyDescent="0.65">
      <c r="A11" s="195"/>
      <c r="B11" s="140">
        <v>8</v>
      </c>
      <c r="C11" s="8"/>
      <c r="D11" s="9"/>
      <c r="E11" s="10"/>
      <c r="F11" s="9"/>
      <c r="G11" s="141">
        <f>IF(Basic345678910111213141516171819202122[[#This Row],[نوع الخدمة]]="مخالفات", 50,
IF(Basic345678910111213141516171819202122[[#This Row],[نوع الخدمة]]="كاش ان",
    IF(F11&lt;=100, 18, IF(F11&lt;=250, 23, IF(F11&lt;=500, 35, IF(F11&lt;=1000, 40, F11*0.04)))),
IF(Basic345678910111213141516171819202122[[#This Row],[نوع الخدمة]]="كاش اوت",
    IF(F11&lt;=100, 15, IF(F11&lt;=250, 20, IF(F11&lt;=500, 30, IF(F11&lt;=1000, 35, F11*0.035)))),
0)))</f>
        <v>0</v>
      </c>
      <c r="H11" s="141">
        <f>IF(I11="مخالفات",50,Basic345678910111213141516171819202122[[#This Row],[قيمة الرسوم / العموله]]+Basic345678910111213141516171819202122[[#This Row],[قيمة الشحنه]])</f>
        <v>0</v>
      </c>
      <c r="I11" s="90"/>
      <c r="J11" s="142" t="str">
        <f t="shared" si="0"/>
        <v>11.5.2026</v>
      </c>
      <c r="L11" s="169" t="s">
        <v>77</v>
      </c>
      <c r="M11" s="168" t="s">
        <v>78</v>
      </c>
      <c r="O11" s="151" t="s">
        <v>21</v>
      </c>
      <c r="P11" s="152">
        <f>(P5+P6+P9+P7+P4)-P10-P8</f>
        <v>0</v>
      </c>
      <c r="T11" s="173"/>
    </row>
    <row r="12" spans="1:60" ht="21.6" x14ac:dyDescent="0.65">
      <c r="A12" s="195"/>
      <c r="B12" s="140">
        <v>9</v>
      </c>
      <c r="C12" s="8"/>
      <c r="D12" s="9"/>
      <c r="E12" s="10"/>
      <c r="F12" s="9"/>
      <c r="G12" s="141">
        <f>IF(Basic345678910111213141516171819202122[[#This Row],[نوع الخدمة]]="مخالفات", 50,
IF(Basic345678910111213141516171819202122[[#This Row],[نوع الخدمة]]="كاش ان",
    IF(F12&lt;=100, 18, IF(F12&lt;=250, 23, IF(F12&lt;=500, 35, IF(F12&lt;=1000, 40, F12*0.04)))),
IF(Basic345678910111213141516171819202122[[#This Row],[نوع الخدمة]]="كاش اوت",
    IF(F12&lt;=100, 15, IF(F12&lt;=250, 20, IF(F12&lt;=500, 30, IF(F12&lt;=1000, 35, F12*0.035)))),
0)))</f>
        <v>0</v>
      </c>
      <c r="H12" s="141">
        <f>IF(I12="مخالفات",50,Basic345678910111213141516171819202122[[#This Row],[قيمة الرسوم / العموله]]+Basic345678910111213141516171819202122[[#This Row],[قيمة الشحنه]])</f>
        <v>0</v>
      </c>
      <c r="I12" s="90"/>
      <c r="J12" s="142" t="str">
        <f t="shared" si="0"/>
        <v>11.5.2026</v>
      </c>
      <c r="L12" s="153">
        <v>1</v>
      </c>
      <c r="M12" s="91"/>
      <c r="O12" s="146" t="s">
        <v>29</v>
      </c>
      <c r="P12" s="138">
        <f>SUMIF(Basic345678910111213141516171819202122[نوع الخدمة],"كاش اوت",Basic345678910111213141516171819202122[الاجمــــــــــالي])</f>
        <v>0</v>
      </c>
    </row>
    <row r="13" spans="1:60" ht="21.6" x14ac:dyDescent="0.65">
      <c r="A13" s="195"/>
      <c r="B13" s="144">
        <v>10</v>
      </c>
      <c r="C13" s="8"/>
      <c r="D13" s="9"/>
      <c r="E13" s="10"/>
      <c r="F13" s="9"/>
      <c r="G13" s="141">
        <f>IF(Basic345678910111213141516171819202122[[#This Row],[نوع الخدمة]]="مخالفات", 50,
IF(Basic345678910111213141516171819202122[[#This Row],[نوع الخدمة]]="كاش ان",
    IF(F13&lt;=100, 18, IF(F13&lt;=250, 23, IF(F13&lt;=500, 35, IF(F13&lt;=1000, 40, F13*0.04)))),
IF(Basic345678910111213141516171819202122[[#This Row],[نوع الخدمة]]="كاش اوت",
    IF(F13&lt;=100, 15, IF(F13&lt;=250, 20, IF(F13&lt;=500, 30, IF(F13&lt;=1000, 35, F13*0.035)))),
0)))</f>
        <v>0</v>
      </c>
      <c r="H13" s="141">
        <f>IF(I13="مخالفات",50,Basic345678910111213141516171819202122[[#This Row],[قيمة الرسوم / العموله]]+Basic345678910111213141516171819202122[[#This Row],[قيمة الشحنه]])</f>
        <v>0</v>
      </c>
      <c r="I13" s="90"/>
      <c r="J13" s="142" t="str">
        <f t="shared" si="0"/>
        <v>11.5.2026</v>
      </c>
      <c r="L13" s="153">
        <v>2</v>
      </c>
      <c r="M13" s="92"/>
    </row>
    <row r="14" spans="1:60" ht="21.6" x14ac:dyDescent="0.65">
      <c r="A14" s="195"/>
      <c r="B14" s="140">
        <v>11</v>
      </c>
      <c r="C14" s="2"/>
      <c r="D14" s="1"/>
      <c r="E14" s="3"/>
      <c r="F14" s="1"/>
      <c r="G14" s="141">
        <f>IF(Basic345678910111213141516171819202122[[#This Row],[نوع الخدمة]]="مخالفات", 50,
IF(Basic345678910111213141516171819202122[[#This Row],[نوع الخدمة]]="كاش ان",
    IF(F14&lt;=100, 18, IF(F14&lt;=250, 23, IF(F14&lt;=500, 35, IF(F14&lt;=1000, 40, F14*0.04)))),
IF(Basic345678910111213141516171819202122[[#This Row],[نوع الخدمة]]="كاش اوت",
    IF(F14&lt;=100, 15, IF(F14&lt;=250, 20, IF(F14&lt;=500, 30, IF(F14&lt;=1000, 35, F14*0.035)))),
0)))</f>
        <v>0</v>
      </c>
      <c r="H14" s="178">
        <f>IF(I14="مخالفات",50,Basic345678910111213141516171819202122[[#This Row],[قيمة الرسوم / العموله]]+Basic345678910111213141516171819202122[[#This Row],[قيمة الشحنه]])</f>
        <v>0</v>
      </c>
      <c r="I14" s="90"/>
      <c r="J14" s="142" t="str">
        <f t="shared" si="0"/>
        <v>11.5.2026</v>
      </c>
      <c r="L14" s="153">
        <v>3</v>
      </c>
      <c r="M14" s="92"/>
    </row>
    <row r="15" spans="1:60" ht="21.6" x14ac:dyDescent="0.65">
      <c r="A15" s="195"/>
      <c r="B15" s="140">
        <v>12</v>
      </c>
      <c r="C15" s="2"/>
      <c r="D15" s="1"/>
      <c r="E15" s="3"/>
      <c r="F15" s="1"/>
      <c r="G15" s="141">
        <f>IF(Basic345678910111213141516171819202122[[#This Row],[نوع الخدمة]]="مخالفات", 50,
IF(Basic345678910111213141516171819202122[[#This Row],[نوع الخدمة]]="كاش ان",
    IF(F15&lt;=100, 18, IF(F15&lt;=250, 23, IF(F15&lt;=500, 35, IF(F15&lt;=1000, 40, F15*0.04)))),
IF(Basic345678910111213141516171819202122[[#This Row],[نوع الخدمة]]="كاش اوت",
    IF(F15&lt;=100, 15, IF(F15&lt;=250, 20, IF(F15&lt;=500, 30, IF(F15&lt;=1000, 35, F15*0.035)))),
0)))</f>
        <v>0</v>
      </c>
      <c r="H15" s="178">
        <f>IF(I15="مخالفات",50,Basic345678910111213141516171819202122[[#This Row],[قيمة الرسوم / العموله]]+Basic345678910111213141516171819202122[[#This Row],[قيمة الشحنه]])</f>
        <v>0</v>
      </c>
      <c r="I15" s="90"/>
      <c r="J15" s="142" t="str">
        <f t="shared" si="0"/>
        <v>11.5.2026</v>
      </c>
      <c r="L15" s="153">
        <v>4</v>
      </c>
      <c r="M15" s="92"/>
      <c r="O15" s="154" t="s">
        <v>10</v>
      </c>
      <c r="P15" s="155">
        <f>COUNTIF(Basic345678910111213141516171819202122[نوع الخدمة],"مخالفات")</f>
        <v>0</v>
      </c>
    </row>
    <row r="16" spans="1:60" ht="21.6" x14ac:dyDescent="0.65">
      <c r="A16" s="195"/>
      <c r="B16" s="140">
        <v>13</v>
      </c>
      <c r="C16" s="2"/>
      <c r="D16" s="1"/>
      <c r="E16" s="3"/>
      <c r="F16" s="1"/>
      <c r="G16" s="141">
        <f>IF(Basic345678910111213141516171819202122[[#This Row],[نوع الخدمة]]="مخالفات", 50,
IF(Basic345678910111213141516171819202122[[#This Row],[نوع الخدمة]]="كاش ان",
    IF(F16&lt;=100, 18, IF(F16&lt;=250, 23, IF(F16&lt;=500, 35, IF(F16&lt;=1000, 40, F16*0.04)))),
IF(Basic345678910111213141516171819202122[[#This Row],[نوع الخدمة]]="كاش اوت",
    IF(F16&lt;=100, 15, IF(F16&lt;=250, 20, IF(F16&lt;=500, 30, IF(F16&lt;=1000, 35, F16*0.035)))),
0)))</f>
        <v>0</v>
      </c>
      <c r="H16" s="178">
        <f>IF(I16="مخالفات",50,Basic345678910111213141516171819202122[[#This Row],[قيمة الرسوم / العموله]]+Basic345678910111213141516171819202122[[#This Row],[قيمة الشحنه]])</f>
        <v>0</v>
      </c>
      <c r="I16" s="90"/>
      <c r="J16" s="142" t="str">
        <f t="shared" si="0"/>
        <v>11.5.2026</v>
      </c>
      <c r="L16" s="153">
        <v>5</v>
      </c>
      <c r="M16" s="92"/>
      <c r="O16" s="154" t="s">
        <v>13</v>
      </c>
      <c r="P16" s="155">
        <f>COUNTIF(Basic345678910111213141516171819202122[نوع الخدمة],"كاش ان")</f>
        <v>0</v>
      </c>
    </row>
    <row r="17" spans="1:21" ht="21.6" x14ac:dyDescent="0.65">
      <c r="A17" s="195"/>
      <c r="B17" s="144">
        <v>14</v>
      </c>
      <c r="C17" s="2"/>
      <c r="D17" s="1"/>
      <c r="E17" s="3"/>
      <c r="F17" s="1"/>
      <c r="G17" s="141">
        <f>IF(Basic345678910111213141516171819202122[[#This Row],[نوع الخدمة]]="مخالفات", 50,
IF(Basic345678910111213141516171819202122[[#This Row],[نوع الخدمة]]="كاش ان",
    IF(F17&lt;=100, 18, IF(F17&lt;=250, 23, IF(F17&lt;=500, 35, IF(F17&lt;=1000, 40, F17*0.04)))),
IF(Basic345678910111213141516171819202122[[#This Row],[نوع الخدمة]]="كاش اوت",
    IF(F17&lt;=100, 15, IF(F17&lt;=250, 20, IF(F17&lt;=500, 30, IF(F17&lt;=1000, 35, F17*0.035)))),
0)))</f>
        <v>0</v>
      </c>
      <c r="H17" s="178">
        <f>IF(I17="مخالفات",50,Basic345678910111213141516171819202122[[#This Row],[قيمة الرسوم / العموله]]+Basic345678910111213141516171819202122[[#This Row],[قيمة الشحنه]])</f>
        <v>0</v>
      </c>
      <c r="I17" s="90"/>
      <c r="J17" s="142" t="str">
        <f t="shared" si="0"/>
        <v>11.5.2026</v>
      </c>
      <c r="L17" s="153">
        <v>6</v>
      </c>
      <c r="M17" s="92"/>
      <c r="O17" s="154" t="s">
        <v>14</v>
      </c>
      <c r="P17" s="155">
        <f>COUNTIF(Basic345678910111213141516171819202122[نوع الخدمة],"كاش اوت")</f>
        <v>0</v>
      </c>
    </row>
    <row r="18" spans="1:21" ht="21.6" x14ac:dyDescent="0.65">
      <c r="A18" s="195"/>
      <c r="B18" s="140">
        <v>15</v>
      </c>
      <c r="C18" s="2"/>
      <c r="D18" s="1"/>
      <c r="E18" s="3"/>
      <c r="F18" s="1"/>
      <c r="G18" s="141">
        <f>IF(Basic345678910111213141516171819202122[[#This Row],[نوع الخدمة]]="مخالفات", 50,
IF(Basic345678910111213141516171819202122[[#This Row],[نوع الخدمة]]="كاش ان",
    IF(F18&lt;=100, 18, IF(F18&lt;=250, 23, IF(F18&lt;=500, 35, IF(F18&lt;=1000, 40, F18*0.04)))),
IF(Basic345678910111213141516171819202122[[#This Row],[نوع الخدمة]]="كاش اوت",
    IF(F18&lt;=100, 15, IF(F18&lt;=250, 20, IF(F18&lt;=500, 30, IF(F18&lt;=1000, 35, F18*0.035)))),
0)))</f>
        <v>0</v>
      </c>
      <c r="H18" s="178">
        <f>IF(I18="مخالفات",50,Basic345678910111213141516171819202122[[#This Row],[قيمة الرسوم / العموله]]+Basic345678910111213141516171819202122[[#This Row],[قيمة الشحنه]])</f>
        <v>0</v>
      </c>
      <c r="I18" s="90"/>
      <c r="J18" s="142" t="str">
        <f t="shared" si="0"/>
        <v>11.5.2026</v>
      </c>
      <c r="L18" s="153">
        <v>7</v>
      </c>
      <c r="M18" s="92"/>
      <c r="O18" s="154" t="s">
        <v>15</v>
      </c>
      <c r="P18" s="155">
        <f>P16+P17</f>
        <v>0</v>
      </c>
    </row>
    <row r="19" spans="1:21" ht="21.6" x14ac:dyDescent="0.65">
      <c r="A19" s="195"/>
      <c r="B19" s="140">
        <v>16</v>
      </c>
      <c r="C19" s="2"/>
      <c r="D19" s="1"/>
      <c r="E19" s="3"/>
      <c r="F19" s="1"/>
      <c r="G19" s="141">
        <f>IF(Basic345678910111213141516171819202122[[#This Row],[نوع الخدمة]]="مخالفات", 50,
IF(Basic345678910111213141516171819202122[[#This Row],[نوع الخدمة]]="كاش ان",
    IF(F19&lt;=100, 18, IF(F19&lt;=250, 23, IF(F19&lt;=500, 35, IF(F19&lt;=1000, 40, F19*0.04)))),
IF(Basic345678910111213141516171819202122[[#This Row],[نوع الخدمة]]="كاش اوت",
    IF(F19&lt;=100, 15, IF(F19&lt;=250, 20, IF(F19&lt;=500, 30, IF(F19&lt;=1000, 35, F19*0.035)))),
0)))</f>
        <v>0</v>
      </c>
      <c r="H19" s="178">
        <f>IF(I19="مخالفات",50,Basic345678910111213141516171819202122[[#This Row],[قيمة الرسوم / العموله]]+Basic345678910111213141516171819202122[[#This Row],[قيمة الشحنه]])</f>
        <v>0</v>
      </c>
      <c r="I19" s="90"/>
      <c r="J19" s="142" t="str">
        <f t="shared" si="0"/>
        <v>11.5.2026</v>
      </c>
      <c r="L19" s="153">
        <v>8</v>
      </c>
      <c r="M19" s="92"/>
    </row>
    <row r="20" spans="1:21" ht="21.6" x14ac:dyDescent="0.65">
      <c r="A20" s="195"/>
      <c r="B20" s="140">
        <v>17</v>
      </c>
      <c r="C20" s="2"/>
      <c r="D20" s="1"/>
      <c r="E20" s="3"/>
      <c r="F20" s="1"/>
      <c r="G20" s="141">
        <f>IF(Basic345678910111213141516171819202122[[#This Row],[نوع الخدمة]]="مخالفات", 50,
IF(Basic345678910111213141516171819202122[[#This Row],[نوع الخدمة]]="كاش ان",
    IF(F20&lt;=100, 18, IF(F20&lt;=250, 23, IF(F20&lt;=500, 35, IF(F20&lt;=1000, 40, F20*0.04)))),
IF(Basic345678910111213141516171819202122[[#This Row],[نوع الخدمة]]="كاش اوت",
    IF(F20&lt;=100, 15, IF(F20&lt;=250, 20, IF(F20&lt;=500, 30, IF(F20&lt;=1000, 35, F20*0.035)))),
0)))</f>
        <v>0</v>
      </c>
      <c r="H20" s="178">
        <f>IF(I20="مخالفات",50,Basic345678910111213141516171819202122[[#This Row],[قيمة الرسوم / العموله]]+Basic345678910111213141516171819202122[[#This Row],[قيمة الشحنه]])</f>
        <v>0</v>
      </c>
      <c r="I20" s="90"/>
      <c r="J20" s="142" t="str">
        <f t="shared" si="0"/>
        <v>11.5.2026</v>
      </c>
      <c r="L20" s="153">
        <v>9</v>
      </c>
      <c r="M20" s="92"/>
      <c r="O20" s="193" t="s">
        <v>30</v>
      </c>
      <c r="P20" s="194"/>
    </row>
    <row r="21" spans="1:21" ht="21.6" x14ac:dyDescent="0.65">
      <c r="A21" s="195"/>
      <c r="B21" s="144">
        <v>18</v>
      </c>
      <c r="C21" s="2"/>
      <c r="D21" s="1"/>
      <c r="E21" s="3"/>
      <c r="F21" s="1"/>
      <c r="G21" s="141">
        <f>IF(Basic345678910111213141516171819202122[[#This Row],[نوع الخدمة]]="مخالفات", 50,
IF(Basic345678910111213141516171819202122[[#This Row],[نوع الخدمة]]="كاش ان",
    IF(F21&lt;=100, 18, IF(F21&lt;=250, 23, IF(F21&lt;=500, 35, IF(F21&lt;=1000, 40, F21*0.04)))),
IF(Basic345678910111213141516171819202122[[#This Row],[نوع الخدمة]]="كاش اوت",
    IF(F21&lt;=100, 15, IF(F21&lt;=250, 20, IF(F21&lt;=500, 30, IF(F21&lt;=1000, 35, F21*0.035)))),
0)))</f>
        <v>0</v>
      </c>
      <c r="H21" s="178">
        <f>IF(I21="مخالفات",50,Basic345678910111213141516171819202122[[#This Row],[قيمة الرسوم / العموله]]+Basic345678910111213141516171819202122[[#This Row],[قيمة الشحنه]])</f>
        <v>0</v>
      </c>
      <c r="I21" s="90"/>
      <c r="J21" s="142" t="str">
        <f t="shared" si="0"/>
        <v>11.5.2026</v>
      </c>
      <c r="L21" s="153">
        <v>10</v>
      </c>
      <c r="M21" s="92"/>
      <c r="O21" s="196" t="s">
        <v>31</v>
      </c>
      <c r="P21" s="197"/>
    </row>
    <row r="22" spans="1:21" ht="21.6" x14ac:dyDescent="0.65">
      <c r="A22" s="195"/>
      <c r="B22" s="140">
        <v>19</v>
      </c>
      <c r="C22" s="2"/>
      <c r="D22" s="1"/>
      <c r="E22" s="3"/>
      <c r="F22" s="1"/>
      <c r="G22" s="141">
        <f>IF(Basic345678910111213141516171819202122[[#This Row],[نوع الخدمة]]="مخالفات", 50,
IF(Basic345678910111213141516171819202122[[#This Row],[نوع الخدمة]]="كاش ان",
    IF(F22&lt;=100, 18, IF(F22&lt;=250, 23, IF(F22&lt;=500, 35, IF(F22&lt;=1000, 40, F22*0.04)))),
IF(Basic345678910111213141516171819202122[[#This Row],[نوع الخدمة]]="كاش اوت",
    IF(F22&lt;=100, 15, IF(F22&lt;=250, 20, IF(F22&lt;=500, 30, IF(F22&lt;=1000, 35, F22*0.035)))),
0)))</f>
        <v>0</v>
      </c>
      <c r="H22" s="178">
        <f>IF(I22="مخالفات",50,Basic345678910111213141516171819202122[[#This Row],[قيمة الرسوم / العموله]]+Basic345678910111213141516171819202122[[#This Row],[قيمة الشحنه]])</f>
        <v>0</v>
      </c>
      <c r="I22" s="90"/>
      <c r="J22" s="142" t="str">
        <f t="shared" si="0"/>
        <v>11.5.2026</v>
      </c>
      <c r="L22" s="153">
        <v>11</v>
      </c>
      <c r="M22" s="92"/>
      <c r="O22" s="147" t="s">
        <v>27</v>
      </c>
      <c r="P22" s="135">
        <f>M8+'10'!P28</f>
        <v>-4</v>
      </c>
    </row>
    <row r="23" spans="1:21" ht="21.6" x14ac:dyDescent="0.65">
      <c r="A23" s="195"/>
      <c r="B23" s="140">
        <v>20</v>
      </c>
      <c r="C23" s="2"/>
      <c r="D23" s="1"/>
      <c r="E23" s="3"/>
      <c r="F23" s="1"/>
      <c r="G23" s="141">
        <f>IF(Basic345678910111213141516171819202122[[#This Row],[نوع الخدمة]]="مخالفات", 50,
IF(Basic345678910111213141516171819202122[[#This Row],[نوع الخدمة]]="كاش ان",
    IF(F23&lt;=100, 18, IF(F23&lt;=250, 23, IF(F23&lt;=500, 35, IF(F23&lt;=1000, 40, F23*0.04)))),
IF(Basic345678910111213141516171819202122[[#This Row],[نوع الخدمة]]="كاش اوت",
    IF(F23&lt;=100, 15, IF(F23&lt;=250, 20, IF(F23&lt;=500, 30, IF(F23&lt;=1000, 35, F23*0.035)))),
0)))</f>
        <v>0</v>
      </c>
      <c r="H23" s="178">
        <f>IF(I23="مخالفات",50,Basic345678910111213141516171819202122[[#This Row],[قيمة الرسوم / العموله]]+Basic345678910111213141516171819202122[[#This Row],[قيمة الشحنه]])</f>
        <v>0</v>
      </c>
      <c r="I23" s="90"/>
      <c r="J23" s="142" t="str">
        <f t="shared" si="0"/>
        <v>11.5.2026</v>
      </c>
      <c r="L23" s="153">
        <v>12</v>
      </c>
      <c r="M23" s="92"/>
      <c r="O23" s="147" t="s">
        <v>28</v>
      </c>
      <c r="P23" s="135">
        <f>M9+'10'!P29</f>
        <v>0</v>
      </c>
      <c r="T23" s="173"/>
      <c r="U23" s="173"/>
    </row>
    <row r="24" spans="1:21" ht="21.6" x14ac:dyDescent="0.65">
      <c r="A24" s="195"/>
      <c r="B24" s="140">
        <v>21</v>
      </c>
      <c r="C24" s="2"/>
      <c r="D24" s="1"/>
      <c r="E24" s="3"/>
      <c r="F24" s="1"/>
      <c r="G24" s="141">
        <f>IF(Basic345678910111213141516171819202122[[#This Row],[نوع الخدمة]]="مخالفات", 50,
IF(Basic345678910111213141516171819202122[[#This Row],[نوع الخدمة]]="كاش ان",
    IF(F24&lt;=100, 18, IF(F24&lt;=250, 23, IF(F24&lt;=500, 35, IF(F24&lt;=1000, 40, F24*0.04)))),
IF(Basic345678910111213141516171819202122[[#This Row],[نوع الخدمة]]="كاش اوت",
    IF(F24&lt;=100, 15, IF(F24&lt;=250, 20, IF(F24&lt;=500, 30, IF(F24&lt;=1000, 35, F24*0.035)))),
0)))</f>
        <v>0</v>
      </c>
      <c r="H24" s="178">
        <f>IF(I24="مخالفات",50,Basic345678910111213141516171819202122[[#This Row],[قيمة الرسوم / العموله]]+Basic345678910111213141516171819202122[[#This Row],[قيمة الشحنه]])</f>
        <v>0</v>
      </c>
      <c r="I24" s="90"/>
      <c r="J24" s="142" t="str">
        <f t="shared" si="0"/>
        <v>11.5.2026</v>
      </c>
      <c r="L24" s="153">
        <v>13</v>
      </c>
      <c r="M24" s="92"/>
      <c r="O24" s="196" t="s">
        <v>32</v>
      </c>
      <c r="P24" s="197"/>
    </row>
    <row r="25" spans="1:21" ht="21.6" x14ac:dyDescent="0.65">
      <c r="A25" s="195"/>
      <c r="B25" s="144">
        <v>22</v>
      </c>
      <c r="C25" s="2"/>
      <c r="D25" s="1"/>
      <c r="E25" s="3"/>
      <c r="F25" s="1"/>
      <c r="G25" s="141">
        <f>IF(Basic345678910111213141516171819202122[[#This Row],[نوع الخدمة]]="مخالفات", 50,
IF(Basic345678910111213141516171819202122[[#This Row],[نوع الخدمة]]="كاش ان",
    IF(F25&lt;=100, 18, IF(F25&lt;=250, 23, IF(F25&lt;=500, 35, IF(F25&lt;=1000, 40, F25*0.04)))),
IF(Basic345678910111213141516171819202122[[#This Row],[نوع الخدمة]]="كاش اوت",
    IF(F25&lt;=100, 15, IF(F25&lt;=250, 20, IF(F25&lt;=500, 30, IF(F25&lt;=1000, 35, F25*0.035)))),
0)))</f>
        <v>0</v>
      </c>
      <c r="H25" s="178">
        <f>IF(I25="مخالفات",50,Basic345678910111213141516171819202122[[#This Row],[قيمة الرسوم / العموله]]+Basic345678910111213141516171819202122[[#This Row],[قيمة الشحنه]])</f>
        <v>0</v>
      </c>
      <c r="I25" s="90"/>
      <c r="J25" s="142" t="str">
        <f t="shared" si="0"/>
        <v>11.5.2026</v>
      </c>
      <c r="L25" s="153">
        <v>14</v>
      </c>
      <c r="M25" s="92"/>
      <c r="O25" s="147" t="s">
        <v>27</v>
      </c>
      <c r="P25" s="135">
        <f>M5</f>
        <v>0</v>
      </c>
    </row>
    <row r="26" spans="1:21" ht="21.6" x14ac:dyDescent="0.65">
      <c r="A26" s="195"/>
      <c r="B26" s="140">
        <v>23</v>
      </c>
      <c r="C26" s="2"/>
      <c r="D26" s="1"/>
      <c r="E26" s="3"/>
      <c r="F26" s="1"/>
      <c r="G26" s="141">
        <f>IF(Basic345678910111213141516171819202122[[#This Row],[نوع الخدمة]]="مخالفات", 50,
IF(Basic345678910111213141516171819202122[[#This Row],[نوع الخدمة]]="كاش ان",
    IF(F26&lt;=100, 18, IF(F26&lt;=250, 23, IF(F26&lt;=500, 35, IF(F26&lt;=1000, 40, F26*0.04)))),
IF(Basic345678910111213141516171819202122[[#This Row],[نوع الخدمة]]="كاش اوت",
    IF(F26&lt;=100, 15, IF(F26&lt;=250, 20, IF(F26&lt;=500, 30, IF(F26&lt;=1000, 35, F26*0.035)))),
0)))</f>
        <v>0</v>
      </c>
      <c r="H26" s="178">
        <f>IF(I26="مخالفات",50,Basic345678910111213141516171819202122[[#This Row],[قيمة الرسوم / العموله]]+Basic345678910111213141516171819202122[[#This Row],[قيمة الشحنه]])</f>
        <v>0</v>
      </c>
      <c r="I26" s="90"/>
      <c r="J26" s="142" t="str">
        <f t="shared" si="0"/>
        <v>11.5.2026</v>
      </c>
      <c r="L26" s="153">
        <v>15</v>
      </c>
      <c r="M26" s="92"/>
      <c r="O26" s="147" t="s">
        <v>28</v>
      </c>
      <c r="P26" s="135">
        <f>M6</f>
        <v>0</v>
      </c>
    </row>
    <row r="27" spans="1:21" ht="21.6" x14ac:dyDescent="0.65">
      <c r="A27" s="195"/>
      <c r="B27" s="140">
        <v>24</v>
      </c>
      <c r="C27" s="2"/>
      <c r="D27" s="1"/>
      <c r="E27" s="3"/>
      <c r="F27" s="1"/>
      <c r="G27" s="141">
        <f>IF(Basic345678910111213141516171819202122[[#This Row],[نوع الخدمة]]="مخالفات", 50,
IF(Basic345678910111213141516171819202122[[#This Row],[نوع الخدمة]]="كاش ان",
    IF(F27&lt;=100, 18, IF(F27&lt;=250, 23, IF(F27&lt;=500, 35, IF(F27&lt;=1000, 40, F27*0.04)))),
IF(Basic345678910111213141516171819202122[[#This Row],[نوع الخدمة]]="كاش اوت",
    IF(F27&lt;=100, 15, IF(F27&lt;=250, 20, IF(F27&lt;=500, 30, IF(F27&lt;=1000, 35, F27*0.035)))),
0)))</f>
        <v>0</v>
      </c>
      <c r="H27" s="178">
        <f>IF(I27="مخالفات",50,Basic345678910111213141516171819202122[[#This Row],[قيمة الرسوم / العموله]]+Basic345678910111213141516171819202122[[#This Row],[قيمة الشحنه]])</f>
        <v>0</v>
      </c>
      <c r="I27" s="90"/>
      <c r="J27" s="142" t="str">
        <f t="shared" si="0"/>
        <v>11.5.2026</v>
      </c>
      <c r="L27" s="153">
        <v>16</v>
      </c>
      <c r="M27" s="92"/>
      <c r="O27" s="196" t="s">
        <v>33</v>
      </c>
      <c r="P27" s="197"/>
    </row>
    <row r="28" spans="1:21" ht="21.6" x14ac:dyDescent="0.65">
      <c r="A28" s="195"/>
      <c r="B28" s="140">
        <v>25</v>
      </c>
      <c r="C28" s="2"/>
      <c r="D28" s="1"/>
      <c r="E28" s="3"/>
      <c r="F28" s="1"/>
      <c r="G28" s="141">
        <f>IF(Basic345678910111213141516171819202122[[#This Row],[نوع الخدمة]]="مخالفات", 50,
IF(Basic345678910111213141516171819202122[[#This Row],[نوع الخدمة]]="كاش ان",
    IF(F28&lt;=100, 18, IF(F28&lt;=250, 23, IF(F28&lt;=500, 35, IF(F28&lt;=1000, 40, F28*0.04)))),
IF(Basic345678910111213141516171819202122[[#This Row],[نوع الخدمة]]="كاش اوت",
    IF(F28&lt;=100, 15, IF(F28&lt;=250, 20, IF(F28&lt;=500, 30, IF(F28&lt;=1000, 35, F28*0.035)))),
0)))</f>
        <v>0</v>
      </c>
      <c r="H28" s="178">
        <f>IF(I28="مخالفات",50,Basic345678910111213141516171819202122[[#This Row],[قيمة الرسوم / العموله]]+Basic345678910111213141516171819202122[[#This Row],[قيمة الشحنه]])</f>
        <v>0</v>
      </c>
      <c r="I28" s="90"/>
      <c r="J28" s="142" t="str">
        <f t="shared" si="0"/>
        <v>11.5.2026</v>
      </c>
      <c r="L28" s="153">
        <v>17</v>
      </c>
      <c r="M28" s="92"/>
      <c r="O28" s="147" t="s">
        <v>27</v>
      </c>
      <c r="P28" s="135">
        <f>P22-P25</f>
        <v>-4</v>
      </c>
    </row>
    <row r="29" spans="1:21" ht="21.6" x14ac:dyDescent="0.65">
      <c r="A29" s="195"/>
      <c r="B29" s="144">
        <v>26</v>
      </c>
      <c r="C29" s="2"/>
      <c r="D29" s="1"/>
      <c r="E29" s="3"/>
      <c r="F29" s="1"/>
      <c r="G29" s="141">
        <f>IF(Basic345678910111213141516171819202122[[#This Row],[نوع الخدمة]]="مخالفات", 50,
IF(Basic345678910111213141516171819202122[[#This Row],[نوع الخدمة]]="كاش ان",
    IF(F29&lt;=100, 18, IF(F29&lt;=250, 23, IF(F29&lt;=500, 35, IF(F29&lt;=1000, 40, F29*0.04)))),
IF(Basic345678910111213141516171819202122[[#This Row],[نوع الخدمة]]="كاش اوت",
    IF(F29&lt;=100, 15, IF(F29&lt;=250, 20, IF(F29&lt;=500, 30, IF(F29&lt;=1000, 35, F29*0.035)))),
0)))</f>
        <v>0</v>
      </c>
      <c r="H29" s="178">
        <f>IF(I29="مخالفات",50,Basic345678910111213141516171819202122[[#This Row],[قيمة الرسوم / العموله]]+Basic345678910111213141516171819202122[[#This Row],[قيمة الشحنه]])</f>
        <v>0</v>
      </c>
      <c r="I29" s="90"/>
      <c r="J29" s="142" t="str">
        <f t="shared" si="0"/>
        <v>11.5.2026</v>
      </c>
      <c r="L29" s="153">
        <v>18</v>
      </c>
      <c r="M29" s="92"/>
      <c r="O29" s="147" t="s">
        <v>28</v>
      </c>
      <c r="P29" s="135">
        <f>P23-P26</f>
        <v>0</v>
      </c>
    </row>
    <row r="30" spans="1:21" ht="21.6" x14ac:dyDescent="0.65">
      <c r="A30" s="195"/>
      <c r="B30" s="140">
        <v>27</v>
      </c>
      <c r="C30" s="2"/>
      <c r="D30" s="1"/>
      <c r="E30" s="3"/>
      <c r="F30" s="1"/>
      <c r="G30" s="141">
        <f>IF(Basic345678910111213141516171819202122[[#This Row],[نوع الخدمة]]="مخالفات", 50,
IF(Basic345678910111213141516171819202122[[#This Row],[نوع الخدمة]]="كاش ان",
    IF(F30&lt;=100, 18, IF(F30&lt;=250, 23, IF(F30&lt;=500, 35, IF(F30&lt;=1000, 40, F30*0.04)))),
IF(Basic345678910111213141516171819202122[[#This Row],[نوع الخدمة]]="كاش اوت",
    IF(F30&lt;=100, 15, IF(F30&lt;=250, 20, IF(F30&lt;=500, 30, IF(F30&lt;=1000, 35, F30*0.035)))),
0)))</f>
        <v>0</v>
      </c>
      <c r="H30" s="178">
        <f>IF(I30="مخالفات",50,Basic345678910111213141516171819202122[[#This Row],[قيمة الرسوم / العموله]]+Basic345678910111213141516171819202122[[#This Row],[قيمة الشحنه]])</f>
        <v>0</v>
      </c>
      <c r="I30" s="90"/>
      <c r="J30" s="142" t="str">
        <f t="shared" si="0"/>
        <v>11.5.2026</v>
      </c>
      <c r="L30" s="153">
        <v>19</v>
      </c>
      <c r="M30" s="92"/>
    </row>
    <row r="31" spans="1:21" ht="21.6" x14ac:dyDescent="0.65">
      <c r="A31" s="195"/>
      <c r="B31" s="140">
        <v>28</v>
      </c>
      <c r="C31" s="2"/>
      <c r="D31" s="1"/>
      <c r="E31" s="3"/>
      <c r="F31" s="1"/>
      <c r="G31" s="141">
        <f>IF(Basic345678910111213141516171819202122[[#This Row],[نوع الخدمة]]="مخالفات", 50,
IF(Basic345678910111213141516171819202122[[#This Row],[نوع الخدمة]]="كاش ان",
    IF(F31&lt;=100, 18, IF(F31&lt;=250, 23, IF(F31&lt;=500, 35, IF(F31&lt;=1000, 40, F31*0.04)))),
IF(Basic345678910111213141516171819202122[[#This Row],[نوع الخدمة]]="كاش اوت",
    IF(F31&lt;=100, 15, IF(F31&lt;=250, 20, IF(F31&lt;=500, 30, IF(F31&lt;=1000, 35, F31*0.035)))),
0)))</f>
        <v>0</v>
      </c>
      <c r="H31" s="178">
        <f>IF(I31="مخالفات",50,Basic345678910111213141516171819202122[[#This Row],[قيمة الرسوم / العموله]]+Basic345678910111213141516171819202122[[#This Row],[قيمة الشحنه]])</f>
        <v>0</v>
      </c>
      <c r="I31" s="90"/>
      <c r="J31" s="142" t="str">
        <f t="shared" si="0"/>
        <v>11.5.2026</v>
      </c>
      <c r="L31" s="153">
        <v>20</v>
      </c>
      <c r="M31" s="92"/>
    </row>
    <row r="32" spans="1:21" ht="21.6" x14ac:dyDescent="0.65">
      <c r="A32" s="195"/>
      <c r="B32" s="140">
        <v>29</v>
      </c>
      <c r="C32" s="2"/>
      <c r="D32" s="1"/>
      <c r="E32" s="3"/>
      <c r="F32" s="1"/>
      <c r="G32" s="141">
        <f>IF(Basic345678910111213141516171819202122[[#This Row],[نوع الخدمة]]="مخالفات", 50,
IF(Basic345678910111213141516171819202122[[#This Row],[نوع الخدمة]]="كاش ان",
    IF(F32&lt;=100, 18, IF(F32&lt;=250, 23, IF(F32&lt;=500, 35, IF(F32&lt;=1000, 40, F32*0.04)))),
IF(Basic345678910111213141516171819202122[[#This Row],[نوع الخدمة]]="كاش اوت",
    IF(F32&lt;=100, 15, IF(F32&lt;=250, 20, IF(F32&lt;=500, 30, IF(F32&lt;=1000, 35, F32*0.035)))),
0)))</f>
        <v>0</v>
      </c>
      <c r="H32" s="178">
        <f>IF(I32="مخالفات",50,Basic345678910111213141516171819202122[[#This Row],[قيمة الرسوم / العموله]]+Basic345678910111213141516171819202122[[#This Row],[قيمة الشحنه]])</f>
        <v>0</v>
      </c>
      <c r="I32" s="90"/>
      <c r="J32" s="142" t="str">
        <f t="shared" si="0"/>
        <v>11.5.2026</v>
      </c>
      <c r="L32" s="153">
        <v>21</v>
      </c>
      <c r="M32" s="92"/>
    </row>
    <row r="33" spans="1:13" ht="21.6" x14ac:dyDescent="0.65">
      <c r="A33" s="195"/>
      <c r="B33" s="144">
        <v>30</v>
      </c>
      <c r="C33" s="2"/>
      <c r="D33" s="1"/>
      <c r="E33" s="3"/>
      <c r="F33" s="1"/>
      <c r="G33" s="141">
        <f>IF(Basic345678910111213141516171819202122[[#This Row],[نوع الخدمة]]="مخالفات", 50,
IF(Basic345678910111213141516171819202122[[#This Row],[نوع الخدمة]]="كاش ان",
    IF(F33&lt;=100, 18, IF(F33&lt;=250, 23, IF(F33&lt;=500, 35, IF(F33&lt;=1000, 40, F33*0.04)))),
IF(Basic345678910111213141516171819202122[[#This Row],[نوع الخدمة]]="كاش اوت",
    IF(F33&lt;=100, 15, IF(F33&lt;=250, 20, IF(F33&lt;=500, 30, IF(F33&lt;=1000, 35, F33*0.035)))),
0)))</f>
        <v>0</v>
      </c>
      <c r="H33" s="178">
        <f>IF(I33="مخالفات",50,Basic345678910111213141516171819202122[[#This Row],[قيمة الرسوم / العموله]]+Basic345678910111213141516171819202122[[#This Row],[قيمة الشحنه]])</f>
        <v>0</v>
      </c>
      <c r="I33" s="90"/>
      <c r="J33" s="142" t="str">
        <f t="shared" si="0"/>
        <v>11.5.2026</v>
      </c>
      <c r="L33" s="153">
        <v>22</v>
      </c>
      <c r="M33" s="92"/>
    </row>
    <row r="34" spans="1:13" ht="21.6" x14ac:dyDescent="0.65">
      <c r="A34" s="195"/>
      <c r="B34" s="140">
        <v>31</v>
      </c>
      <c r="C34" s="2"/>
      <c r="D34" s="1"/>
      <c r="E34" s="3"/>
      <c r="F34" s="1"/>
      <c r="G34" s="141">
        <f>IF(Basic345678910111213141516171819202122[[#This Row],[نوع الخدمة]]="مخالفات", 50,
IF(Basic345678910111213141516171819202122[[#This Row],[نوع الخدمة]]="كاش ان",
    IF(F34&lt;=100, 18, IF(F34&lt;=250, 23, IF(F34&lt;=500, 35, IF(F34&lt;=1000, 40, F34*0.04)))),
IF(Basic345678910111213141516171819202122[[#This Row],[نوع الخدمة]]="كاش اوت",
    IF(F34&lt;=100, 15, IF(F34&lt;=250, 20, IF(F34&lt;=500, 30, IF(F34&lt;=1000, 35, F34*0.035)))),
0)))</f>
        <v>0</v>
      </c>
      <c r="H34" s="178">
        <f>IF(I34="مخالفات",50,Basic345678910111213141516171819202122[[#This Row],[قيمة الرسوم / العموله]]+Basic345678910111213141516171819202122[[#This Row],[قيمة الشحنه]])</f>
        <v>0</v>
      </c>
      <c r="I34" s="90"/>
      <c r="J34" s="142" t="str">
        <f t="shared" si="0"/>
        <v>11.5.2026</v>
      </c>
      <c r="L34" s="153">
        <v>23</v>
      </c>
      <c r="M34" s="92"/>
    </row>
    <row r="35" spans="1:13" ht="21.6" x14ac:dyDescent="0.65">
      <c r="A35" s="195"/>
      <c r="B35" s="140">
        <v>32</v>
      </c>
      <c r="C35" s="2"/>
      <c r="D35" s="1"/>
      <c r="E35" s="3"/>
      <c r="F35" s="1"/>
      <c r="G35" s="141">
        <f>IF(Basic345678910111213141516171819202122[[#This Row],[نوع الخدمة]]="مخالفات", 50,
IF(Basic345678910111213141516171819202122[[#This Row],[نوع الخدمة]]="كاش ان",
    IF(F35&lt;=100, 18, IF(F35&lt;=250, 23, IF(F35&lt;=500, 35, IF(F35&lt;=1000, 40, F35*0.04)))),
IF(Basic345678910111213141516171819202122[[#This Row],[نوع الخدمة]]="كاش اوت",
    IF(F35&lt;=100, 15, IF(F35&lt;=250, 20, IF(F35&lt;=500, 30, IF(F35&lt;=1000, 35, F35*0.035)))),
0)))</f>
        <v>0</v>
      </c>
      <c r="H35" s="178">
        <f>IF(I35="مخالفات",50,Basic345678910111213141516171819202122[[#This Row],[قيمة الرسوم / العموله]]+Basic345678910111213141516171819202122[[#This Row],[قيمة الشحنه]])</f>
        <v>0</v>
      </c>
      <c r="I35" s="90"/>
      <c r="J35" s="142" t="str">
        <f t="shared" si="0"/>
        <v>11.5.2026</v>
      </c>
      <c r="L35" s="153">
        <v>24</v>
      </c>
      <c r="M35" s="92"/>
    </row>
    <row r="36" spans="1:13" ht="21.6" x14ac:dyDescent="0.65">
      <c r="A36" s="195"/>
      <c r="B36" s="140">
        <v>33</v>
      </c>
      <c r="C36" s="2"/>
      <c r="D36" s="1"/>
      <c r="E36" s="3"/>
      <c r="F36" s="1"/>
      <c r="G36" s="141">
        <f>IF(Basic345678910111213141516171819202122[[#This Row],[نوع الخدمة]]="مخالفات", 50,
IF(Basic345678910111213141516171819202122[[#This Row],[نوع الخدمة]]="كاش ان",
    IF(F36&lt;=100, 18, IF(F36&lt;=250, 23, IF(F36&lt;=500, 35, IF(F36&lt;=1000, 40, F36*0.04)))),
IF(Basic345678910111213141516171819202122[[#This Row],[نوع الخدمة]]="كاش اوت",
    IF(F36&lt;=100, 15, IF(F36&lt;=250, 20, IF(F36&lt;=500, 30, IF(F36&lt;=1000, 35, F36*0.035)))),
0)))</f>
        <v>0</v>
      </c>
      <c r="H36" s="178">
        <f>IF(I36="مخالفات",50,Basic345678910111213141516171819202122[[#This Row],[قيمة الرسوم / العموله]]+Basic345678910111213141516171819202122[[#This Row],[قيمة الشحنه]])</f>
        <v>0</v>
      </c>
      <c r="I36" s="90"/>
      <c r="J36" s="142" t="str">
        <f t="shared" si="0"/>
        <v>11.5.2026</v>
      </c>
      <c r="L36" s="153">
        <v>25</v>
      </c>
      <c r="M36" s="92"/>
    </row>
    <row r="37" spans="1:13" ht="21.6" x14ac:dyDescent="0.65">
      <c r="A37" s="195"/>
      <c r="B37" s="144">
        <v>34</v>
      </c>
      <c r="C37" s="2"/>
      <c r="D37" s="1"/>
      <c r="E37" s="3"/>
      <c r="F37" s="1"/>
      <c r="G37" s="141">
        <f>IF(Basic345678910111213141516171819202122[[#This Row],[نوع الخدمة]]="مخالفات", 50,
IF(Basic345678910111213141516171819202122[[#This Row],[نوع الخدمة]]="كاش ان",
    IF(F37&lt;=100, 18, IF(F37&lt;=250, 23, IF(F37&lt;=500, 35, IF(F37&lt;=1000, 40, F37*0.04)))),
IF(Basic345678910111213141516171819202122[[#This Row],[نوع الخدمة]]="كاش اوت",
    IF(F37&lt;=100, 15, IF(F37&lt;=250, 20, IF(F37&lt;=500, 30, IF(F37&lt;=1000, 35, F37*0.035)))),
0)))</f>
        <v>0</v>
      </c>
      <c r="H37" s="178">
        <f>IF(I37="مخالفات",50,Basic345678910111213141516171819202122[[#This Row],[قيمة الرسوم / العموله]]+Basic345678910111213141516171819202122[[#This Row],[قيمة الشحنه]])</f>
        <v>0</v>
      </c>
      <c r="I37" s="90"/>
      <c r="J37" s="142" t="str">
        <f t="shared" si="0"/>
        <v>11.5.2026</v>
      </c>
      <c r="L37" s="153">
        <v>26</v>
      </c>
      <c r="M37" s="92"/>
    </row>
    <row r="38" spans="1:13" ht="21.6" x14ac:dyDescent="0.65">
      <c r="A38" s="195"/>
      <c r="B38" s="140">
        <v>35</v>
      </c>
      <c r="C38" s="2"/>
      <c r="D38" s="1"/>
      <c r="E38" s="3"/>
      <c r="F38" s="1"/>
      <c r="G38" s="141">
        <f>IF(Basic345678910111213141516171819202122[[#This Row],[نوع الخدمة]]="مخالفات", 50,
IF(Basic345678910111213141516171819202122[[#This Row],[نوع الخدمة]]="كاش ان",
    IF(F38&lt;=100, 18, IF(F38&lt;=250, 23, IF(F38&lt;=500, 35, IF(F38&lt;=1000, 40, F38*0.04)))),
IF(Basic345678910111213141516171819202122[[#This Row],[نوع الخدمة]]="كاش اوت",
    IF(F38&lt;=100, 15, IF(F38&lt;=250, 20, IF(F38&lt;=500, 30, IF(F38&lt;=1000, 35, F38*0.035)))),
0)))</f>
        <v>0</v>
      </c>
      <c r="H38" s="178">
        <f>IF(I38="مخالفات",50,Basic345678910111213141516171819202122[[#This Row],[قيمة الرسوم / العموله]]+Basic345678910111213141516171819202122[[#This Row],[قيمة الشحنه]])</f>
        <v>0</v>
      </c>
      <c r="I38" s="90"/>
      <c r="J38" s="142" t="str">
        <f t="shared" si="0"/>
        <v>11.5.2026</v>
      </c>
      <c r="L38" s="153">
        <v>27</v>
      </c>
      <c r="M38" s="92"/>
    </row>
    <row r="39" spans="1:13" ht="21.6" x14ac:dyDescent="0.65">
      <c r="A39" s="195"/>
      <c r="B39" s="140">
        <v>36</v>
      </c>
      <c r="C39" s="2"/>
      <c r="D39" s="1"/>
      <c r="E39" s="3"/>
      <c r="F39" s="1"/>
      <c r="G39" s="141">
        <f>IF(Basic345678910111213141516171819202122[[#This Row],[نوع الخدمة]]="مخالفات", 50,
IF(Basic345678910111213141516171819202122[[#This Row],[نوع الخدمة]]="كاش ان",
    IF(F39&lt;=100, 18, IF(F39&lt;=250, 23, IF(F39&lt;=500, 35, IF(F39&lt;=1000, 40, F39*0.04)))),
IF(Basic345678910111213141516171819202122[[#This Row],[نوع الخدمة]]="كاش اوت",
    IF(F39&lt;=100, 15, IF(F39&lt;=250, 20, IF(F39&lt;=500, 30, IF(F39&lt;=1000, 35, F39*0.035)))),
0)))</f>
        <v>0</v>
      </c>
      <c r="H39" s="178">
        <f>IF(I39="مخالفات",50,Basic345678910111213141516171819202122[[#This Row],[قيمة الرسوم / العموله]]+Basic345678910111213141516171819202122[[#This Row],[قيمة الشحنه]])</f>
        <v>0</v>
      </c>
      <c r="I39" s="90"/>
      <c r="J39" s="142" t="str">
        <f t="shared" si="0"/>
        <v>11.5.2026</v>
      </c>
      <c r="L39" s="153">
        <v>28</v>
      </c>
      <c r="M39" s="92"/>
    </row>
    <row r="40" spans="1:13" ht="21.6" x14ac:dyDescent="0.65">
      <c r="A40" s="195"/>
      <c r="B40" s="140">
        <v>37</v>
      </c>
      <c r="C40" s="2"/>
      <c r="D40" s="1"/>
      <c r="E40" s="3"/>
      <c r="F40" s="1"/>
      <c r="G40" s="141">
        <f>IF(Basic345678910111213141516171819202122[[#This Row],[نوع الخدمة]]="مخالفات", 50,
IF(Basic345678910111213141516171819202122[[#This Row],[نوع الخدمة]]="كاش ان",
    IF(F40&lt;=100, 18, IF(F40&lt;=250, 23, IF(F40&lt;=500, 35, IF(F40&lt;=1000, 40, F40*0.04)))),
IF(Basic345678910111213141516171819202122[[#This Row],[نوع الخدمة]]="كاش اوت",
    IF(F40&lt;=100, 15, IF(F40&lt;=250, 20, IF(F40&lt;=500, 30, IF(F40&lt;=1000, 35, F40*0.035)))),
0)))</f>
        <v>0</v>
      </c>
      <c r="H40" s="178">
        <f>IF(I40="مخالفات",50,Basic345678910111213141516171819202122[[#This Row],[قيمة الرسوم / العموله]]+Basic345678910111213141516171819202122[[#This Row],[قيمة الشحنه]])</f>
        <v>0</v>
      </c>
      <c r="I40" s="90"/>
      <c r="J40" s="142" t="str">
        <f t="shared" si="0"/>
        <v>11.5.2026</v>
      </c>
      <c r="L40" s="153">
        <v>29</v>
      </c>
      <c r="M40" s="92"/>
    </row>
    <row r="41" spans="1:13" ht="21.6" x14ac:dyDescent="0.65">
      <c r="A41" s="195"/>
      <c r="B41" s="144">
        <v>38</v>
      </c>
      <c r="C41" s="2"/>
      <c r="D41" s="1"/>
      <c r="E41" s="3"/>
      <c r="F41" s="1"/>
      <c r="G41" s="141">
        <f>IF(Basic345678910111213141516171819202122[[#This Row],[نوع الخدمة]]="مخالفات", 50,
IF(Basic345678910111213141516171819202122[[#This Row],[نوع الخدمة]]="كاش ان",
    IF(F41&lt;=100, 18, IF(F41&lt;=250, 23, IF(F41&lt;=500, 35, IF(F41&lt;=1000, 40, F41*0.04)))),
IF(Basic345678910111213141516171819202122[[#This Row],[نوع الخدمة]]="كاش اوت",
    IF(F41&lt;=100, 15, IF(F41&lt;=250, 20, IF(F41&lt;=500, 30, IF(F41&lt;=1000, 35, F41*0.035)))),
0)))</f>
        <v>0</v>
      </c>
      <c r="H41" s="178">
        <f>IF(I41="مخالفات",50,Basic345678910111213141516171819202122[[#This Row],[قيمة الرسوم / العموله]]+Basic345678910111213141516171819202122[[#This Row],[قيمة الشحنه]])</f>
        <v>0</v>
      </c>
      <c r="I41" s="90"/>
      <c r="J41" s="142" t="str">
        <f t="shared" si="0"/>
        <v>11.5.2026</v>
      </c>
      <c r="L41" s="153">
        <v>30</v>
      </c>
      <c r="M41" s="92"/>
    </row>
    <row r="42" spans="1:13" ht="21.6" x14ac:dyDescent="0.65">
      <c r="A42" s="195"/>
      <c r="B42" s="140">
        <v>39</v>
      </c>
      <c r="C42" s="2"/>
      <c r="D42" s="1"/>
      <c r="E42" s="3"/>
      <c r="F42" s="1"/>
      <c r="G42" s="141">
        <f>IF(Basic345678910111213141516171819202122[[#This Row],[نوع الخدمة]]="مخالفات", 50,
IF(Basic345678910111213141516171819202122[[#This Row],[نوع الخدمة]]="كاش ان",
    IF(F42&lt;=100, 18, IF(F42&lt;=250, 23, IF(F42&lt;=500, 35, IF(F42&lt;=1000, 40, F42*0.04)))),
IF(Basic345678910111213141516171819202122[[#This Row],[نوع الخدمة]]="كاش اوت",
    IF(F42&lt;=100, 15, IF(F42&lt;=250, 20, IF(F42&lt;=500, 30, IF(F42&lt;=1000, 35, F42*0.035)))),
0)))</f>
        <v>0</v>
      </c>
      <c r="H42" s="178">
        <f>IF(I42="مخالفات",50,Basic345678910111213141516171819202122[[#This Row],[قيمة الرسوم / العموله]]+Basic345678910111213141516171819202122[[#This Row],[قيمة الشحنه]])</f>
        <v>0</v>
      </c>
      <c r="I42" s="90"/>
      <c r="J42" s="142" t="str">
        <f t="shared" si="0"/>
        <v>11.5.2026</v>
      </c>
      <c r="L42" s="153">
        <v>31</v>
      </c>
      <c r="M42" s="92"/>
    </row>
    <row r="43" spans="1:13" ht="21.6" x14ac:dyDescent="0.65">
      <c r="A43" s="195"/>
      <c r="B43" s="140">
        <v>40</v>
      </c>
      <c r="C43" s="2"/>
      <c r="D43" s="1"/>
      <c r="E43" s="3"/>
      <c r="F43" s="1"/>
      <c r="G43" s="141">
        <f>IF(Basic345678910111213141516171819202122[[#This Row],[نوع الخدمة]]="مخالفات", 50,
IF(Basic345678910111213141516171819202122[[#This Row],[نوع الخدمة]]="كاش ان",
    IF(F43&lt;=100, 18, IF(F43&lt;=250, 23, IF(F43&lt;=500, 35, IF(F43&lt;=1000, 40, F43*0.04)))),
IF(Basic345678910111213141516171819202122[[#This Row],[نوع الخدمة]]="كاش اوت",
    IF(F43&lt;=100, 15, IF(F43&lt;=250, 20, IF(F43&lt;=500, 30, IF(F43&lt;=1000, 35, F43*0.035)))),
0)))</f>
        <v>0</v>
      </c>
      <c r="H43" s="178">
        <f>IF(I43="مخالفات",50,Basic345678910111213141516171819202122[[#This Row],[قيمة الرسوم / العموله]]+Basic345678910111213141516171819202122[[#This Row],[قيمة الشحنه]])</f>
        <v>0</v>
      </c>
      <c r="I43" s="90"/>
      <c r="J43" s="142" t="str">
        <f t="shared" si="0"/>
        <v>11.5.2026</v>
      </c>
      <c r="L43" s="153">
        <v>32</v>
      </c>
      <c r="M43" s="92"/>
    </row>
    <row r="44" spans="1:13" ht="21.6" x14ac:dyDescent="0.65">
      <c r="A44" s="195"/>
      <c r="B44" s="140">
        <v>41</v>
      </c>
      <c r="C44" s="2"/>
      <c r="D44" s="1"/>
      <c r="E44" s="3"/>
      <c r="F44" s="1"/>
      <c r="G44" s="141">
        <f>IF(Basic345678910111213141516171819202122[[#This Row],[نوع الخدمة]]="مخالفات", 50,
IF(Basic345678910111213141516171819202122[[#This Row],[نوع الخدمة]]="كاش ان",
    IF(F44&lt;=100, 18, IF(F44&lt;=250, 23, IF(F44&lt;=500, 35, IF(F44&lt;=1000, 40, F44*0.04)))),
IF(Basic345678910111213141516171819202122[[#This Row],[نوع الخدمة]]="كاش اوت",
    IF(F44&lt;=100, 15, IF(F44&lt;=250, 20, IF(F44&lt;=500, 30, IF(F44&lt;=1000, 35, F44*0.035)))),
0)))</f>
        <v>0</v>
      </c>
      <c r="H44" s="178">
        <f>IF(I44="مخالفات",50,Basic345678910111213141516171819202122[[#This Row],[قيمة الرسوم / العموله]]+Basic345678910111213141516171819202122[[#This Row],[قيمة الشحنه]])</f>
        <v>0</v>
      </c>
      <c r="I44" s="90"/>
      <c r="J44" s="142" t="str">
        <f t="shared" si="0"/>
        <v>11.5.2026</v>
      </c>
      <c r="L44" s="153">
        <v>33</v>
      </c>
      <c r="M44" s="92"/>
    </row>
    <row r="45" spans="1:13" ht="21.6" x14ac:dyDescent="0.65">
      <c r="A45" s="195"/>
      <c r="B45" s="144">
        <v>42</v>
      </c>
      <c r="C45" s="2"/>
      <c r="D45" s="1"/>
      <c r="E45" s="3"/>
      <c r="F45" s="1"/>
      <c r="G45" s="141">
        <f>IF(Basic345678910111213141516171819202122[[#This Row],[نوع الخدمة]]="مخالفات", 50,
IF(Basic345678910111213141516171819202122[[#This Row],[نوع الخدمة]]="كاش ان",
    IF(F45&lt;=100, 18, IF(F45&lt;=250, 23, IF(F45&lt;=500, 35, IF(F45&lt;=1000, 40, F45*0.04)))),
IF(Basic345678910111213141516171819202122[[#This Row],[نوع الخدمة]]="كاش اوت",
    IF(F45&lt;=100, 15, IF(F45&lt;=250, 20, IF(F45&lt;=500, 30, IF(F45&lt;=1000, 35, F45*0.035)))),
0)))</f>
        <v>0</v>
      </c>
      <c r="H45" s="178">
        <f>IF(I45="مخالفات",50,Basic345678910111213141516171819202122[[#This Row],[قيمة الرسوم / العموله]]+Basic345678910111213141516171819202122[[#This Row],[قيمة الشحنه]])</f>
        <v>0</v>
      </c>
      <c r="I45" s="90"/>
      <c r="J45" s="142" t="str">
        <f t="shared" si="0"/>
        <v>11.5.2026</v>
      </c>
      <c r="L45" s="153">
        <v>34</v>
      </c>
      <c r="M45" s="92"/>
    </row>
    <row r="46" spans="1:13" ht="21.6" x14ac:dyDescent="0.65">
      <c r="A46" s="195"/>
      <c r="B46" s="140">
        <v>43</v>
      </c>
      <c r="C46" s="2"/>
      <c r="D46" s="1"/>
      <c r="E46" s="3"/>
      <c r="F46" s="1"/>
      <c r="G46" s="141">
        <f>IF(Basic345678910111213141516171819202122[[#This Row],[نوع الخدمة]]="مخالفات", 50,
IF(Basic345678910111213141516171819202122[[#This Row],[نوع الخدمة]]="كاش ان",
    IF(F46&lt;=100, 18, IF(F46&lt;=250, 23, IF(F46&lt;=500, 35, IF(F46&lt;=1000, 40, F46*0.04)))),
IF(Basic345678910111213141516171819202122[[#This Row],[نوع الخدمة]]="كاش اوت",
    IF(F46&lt;=100, 15, IF(F46&lt;=250, 20, IF(F46&lt;=500, 30, IF(F46&lt;=1000, 35, F46*0.035)))),
0)))</f>
        <v>0</v>
      </c>
      <c r="H46" s="178">
        <f>IF(I46="مخالفات",50,Basic345678910111213141516171819202122[[#This Row],[قيمة الرسوم / العموله]]+Basic345678910111213141516171819202122[[#This Row],[قيمة الشحنه]])</f>
        <v>0</v>
      </c>
      <c r="I46" s="90"/>
      <c r="J46" s="142" t="str">
        <f t="shared" si="0"/>
        <v>11.5.2026</v>
      </c>
      <c r="L46" s="153">
        <v>35</v>
      </c>
      <c r="M46" s="92"/>
    </row>
    <row r="47" spans="1:13" ht="21.6" x14ac:dyDescent="0.65">
      <c r="A47" s="195"/>
      <c r="B47" s="140">
        <v>44</v>
      </c>
      <c r="C47" s="2"/>
      <c r="D47" s="1"/>
      <c r="E47" s="3"/>
      <c r="F47" s="1"/>
      <c r="G47" s="141">
        <f>IF(Basic345678910111213141516171819202122[[#This Row],[نوع الخدمة]]="مخالفات", 50,
IF(Basic345678910111213141516171819202122[[#This Row],[نوع الخدمة]]="كاش ان",
    IF(F47&lt;=100, 18, IF(F47&lt;=250, 23, IF(F47&lt;=500, 35, IF(F47&lt;=1000, 40, F47*0.04)))),
IF(Basic345678910111213141516171819202122[[#This Row],[نوع الخدمة]]="كاش اوت",
    IF(F47&lt;=100, 15, IF(F47&lt;=250, 20, IF(F47&lt;=500, 30, IF(F47&lt;=1000, 35, F47*0.035)))),
0)))</f>
        <v>0</v>
      </c>
      <c r="H47" s="178">
        <f>IF(I47="مخالفات",50,Basic345678910111213141516171819202122[[#This Row],[قيمة الرسوم / العموله]]+Basic345678910111213141516171819202122[[#This Row],[قيمة الشحنه]])</f>
        <v>0</v>
      </c>
      <c r="I47" s="90"/>
      <c r="J47" s="142" t="str">
        <f t="shared" si="0"/>
        <v>11.5.2026</v>
      </c>
      <c r="L47" s="153">
        <v>36</v>
      </c>
      <c r="M47" s="92"/>
    </row>
    <row r="48" spans="1:13" ht="21.6" x14ac:dyDescent="0.65">
      <c r="A48" s="195"/>
      <c r="B48" s="140">
        <v>45</v>
      </c>
      <c r="C48" s="2"/>
      <c r="D48" s="1"/>
      <c r="E48" s="3"/>
      <c r="F48" s="1"/>
      <c r="G48" s="141">
        <f>IF(Basic345678910111213141516171819202122[[#This Row],[نوع الخدمة]]="مخالفات", 50,
IF(Basic345678910111213141516171819202122[[#This Row],[نوع الخدمة]]="كاش ان",
    IF(F48&lt;=100, 18, IF(F48&lt;=250, 23, IF(F48&lt;=500, 35, IF(F48&lt;=1000, 40, F48*0.04)))),
IF(Basic345678910111213141516171819202122[[#This Row],[نوع الخدمة]]="كاش اوت",
    IF(F48&lt;=100, 15, IF(F48&lt;=250, 20, IF(F48&lt;=500, 30, IF(F48&lt;=1000, 35, F48*0.035)))),
0)))</f>
        <v>0</v>
      </c>
      <c r="H48" s="178">
        <f>IF(I48="مخالفات",50,Basic345678910111213141516171819202122[[#This Row],[قيمة الرسوم / العموله]]+Basic345678910111213141516171819202122[[#This Row],[قيمة الشحنه]])</f>
        <v>0</v>
      </c>
      <c r="I48" s="90"/>
      <c r="J48" s="142" t="str">
        <f t="shared" si="0"/>
        <v>11.5.2026</v>
      </c>
      <c r="L48" s="153">
        <v>37</v>
      </c>
      <c r="M48" s="92"/>
    </row>
    <row r="49" spans="1:13" ht="21.6" x14ac:dyDescent="0.65">
      <c r="A49" s="195"/>
      <c r="B49" s="144">
        <v>46</v>
      </c>
      <c r="C49" s="2"/>
      <c r="D49" s="1"/>
      <c r="E49" s="3"/>
      <c r="F49" s="1"/>
      <c r="G49" s="141">
        <f>IF(Basic345678910111213141516171819202122[[#This Row],[نوع الخدمة]]="مخالفات", 50,
IF(Basic345678910111213141516171819202122[[#This Row],[نوع الخدمة]]="كاش ان",
    IF(F49&lt;=100, 18, IF(F49&lt;=250, 23, IF(F49&lt;=500, 35, IF(F49&lt;=1000, 40, F49*0.04)))),
IF(Basic345678910111213141516171819202122[[#This Row],[نوع الخدمة]]="كاش اوت",
    IF(F49&lt;=100, 15, IF(F49&lt;=250, 20, IF(F49&lt;=500, 30, IF(F49&lt;=1000, 35, F49*0.035)))),
0)))</f>
        <v>0</v>
      </c>
      <c r="H49" s="178">
        <f>IF(I49="مخالفات",50,Basic345678910111213141516171819202122[[#This Row],[قيمة الرسوم / العموله]]+Basic345678910111213141516171819202122[[#This Row],[قيمة الشحنه]])</f>
        <v>0</v>
      </c>
      <c r="I49" s="90"/>
      <c r="J49" s="142" t="str">
        <f t="shared" si="0"/>
        <v>11.5.2026</v>
      </c>
      <c r="L49" s="153">
        <v>38</v>
      </c>
      <c r="M49" s="92"/>
    </row>
    <row r="50" spans="1:13" ht="21.6" x14ac:dyDescent="0.65">
      <c r="A50" s="195"/>
      <c r="B50" s="140">
        <v>47</v>
      </c>
      <c r="C50" s="2"/>
      <c r="D50" s="1"/>
      <c r="E50" s="3"/>
      <c r="F50" s="1"/>
      <c r="G50" s="141">
        <f>IF(Basic345678910111213141516171819202122[[#This Row],[نوع الخدمة]]="مخالفات", 50,
IF(Basic345678910111213141516171819202122[[#This Row],[نوع الخدمة]]="كاش ان",
    IF(F50&lt;=100, 18, IF(F50&lt;=250, 23, IF(F50&lt;=500, 35, IF(F50&lt;=1000, 40, F50*0.04)))),
IF(Basic345678910111213141516171819202122[[#This Row],[نوع الخدمة]]="كاش اوت",
    IF(F50&lt;=100, 15, IF(F50&lt;=250, 20, IF(F50&lt;=500, 30, IF(F50&lt;=1000, 35, F50*0.035)))),
0)))</f>
        <v>0</v>
      </c>
      <c r="H50" s="178">
        <f>IF(I50="مخالفات",50,Basic345678910111213141516171819202122[[#This Row],[قيمة الرسوم / العموله]]+Basic345678910111213141516171819202122[[#This Row],[قيمة الشحنه]])</f>
        <v>0</v>
      </c>
      <c r="I50" s="90"/>
      <c r="J50" s="142" t="str">
        <f t="shared" si="0"/>
        <v>11.5.2026</v>
      </c>
      <c r="L50" s="153">
        <v>39</v>
      </c>
      <c r="M50" s="92"/>
    </row>
    <row r="51" spans="1:13" ht="21.6" x14ac:dyDescent="0.65">
      <c r="A51" s="195"/>
      <c r="B51" s="140">
        <v>48</v>
      </c>
      <c r="C51" s="2"/>
      <c r="D51" s="1"/>
      <c r="E51" s="3"/>
      <c r="F51" s="1"/>
      <c r="G51" s="141">
        <f>IF(Basic345678910111213141516171819202122[[#This Row],[نوع الخدمة]]="مخالفات", 50,
IF(Basic345678910111213141516171819202122[[#This Row],[نوع الخدمة]]="كاش ان",
    IF(F51&lt;=100, 18, IF(F51&lt;=250, 23, IF(F51&lt;=500, 35, IF(F51&lt;=1000, 40, F51*0.04)))),
IF(Basic345678910111213141516171819202122[[#This Row],[نوع الخدمة]]="كاش اوت",
    IF(F51&lt;=100, 15, IF(F51&lt;=250, 20, IF(F51&lt;=500, 30, IF(F51&lt;=1000, 35, F51*0.035)))),
0)))</f>
        <v>0</v>
      </c>
      <c r="H51" s="178">
        <f>IF(I51="مخالفات",50,Basic345678910111213141516171819202122[[#This Row],[قيمة الرسوم / العموله]]+Basic345678910111213141516171819202122[[#This Row],[قيمة الشحنه]])</f>
        <v>0</v>
      </c>
      <c r="I51" s="90"/>
      <c r="J51" s="142" t="str">
        <f t="shared" si="0"/>
        <v>11.5.2026</v>
      </c>
      <c r="L51" s="153">
        <v>40</v>
      </c>
      <c r="M51" s="92"/>
    </row>
    <row r="52" spans="1:13" ht="21.6" x14ac:dyDescent="0.65">
      <c r="A52" s="195"/>
      <c r="B52" s="140">
        <v>49</v>
      </c>
      <c r="C52" s="2"/>
      <c r="D52" s="1"/>
      <c r="E52" s="3"/>
      <c r="F52" s="1"/>
      <c r="G52" s="141">
        <f>IF(Basic345678910111213141516171819202122[[#This Row],[نوع الخدمة]]="مخالفات", 50,
IF(Basic345678910111213141516171819202122[[#This Row],[نوع الخدمة]]="كاش ان",
    IF(F52&lt;=100, 18, IF(F52&lt;=250, 23, IF(F52&lt;=500, 35, IF(F52&lt;=1000, 40, F52*0.04)))),
IF(Basic345678910111213141516171819202122[[#This Row],[نوع الخدمة]]="كاش اوت",
    IF(F52&lt;=100, 15, IF(F52&lt;=250, 20, IF(F52&lt;=500, 30, IF(F52&lt;=1000, 35, F52*0.035)))),
0)))</f>
        <v>0</v>
      </c>
      <c r="H52" s="178">
        <f>IF(I52="مخالفات",50,Basic345678910111213141516171819202122[[#This Row],[قيمة الرسوم / العموله]]+Basic345678910111213141516171819202122[[#This Row],[قيمة الشحنه]])</f>
        <v>0</v>
      </c>
      <c r="I52" s="90"/>
      <c r="J52" s="142" t="str">
        <f t="shared" si="0"/>
        <v>11.5.2026</v>
      </c>
      <c r="L52" s="153">
        <v>41</v>
      </c>
      <c r="M52" s="92"/>
    </row>
    <row r="53" spans="1:13" ht="21.6" x14ac:dyDescent="0.65">
      <c r="A53" s="195"/>
      <c r="B53" s="144">
        <v>50</v>
      </c>
      <c r="C53" s="2"/>
      <c r="D53" s="1"/>
      <c r="E53" s="3"/>
      <c r="F53" s="1"/>
      <c r="G53" s="141">
        <f>IF(Basic345678910111213141516171819202122[[#This Row],[نوع الخدمة]]="مخالفات", 50,
IF(Basic345678910111213141516171819202122[[#This Row],[نوع الخدمة]]="كاش ان",
    IF(F53&lt;=100, 18, IF(F53&lt;=250, 23, IF(F53&lt;=500, 35, IF(F53&lt;=1000, 40, F53*0.04)))),
IF(Basic345678910111213141516171819202122[[#This Row],[نوع الخدمة]]="كاش اوت",
    IF(F53&lt;=100, 15, IF(F53&lt;=250, 20, IF(F53&lt;=500, 30, IF(F53&lt;=1000, 35, F53*0.035)))),
0)))</f>
        <v>0</v>
      </c>
      <c r="H53" s="178">
        <f>IF(I53="مخالفات",50,Basic345678910111213141516171819202122[[#This Row],[قيمة الرسوم / العموله]]+Basic345678910111213141516171819202122[[#This Row],[قيمة الشحنه]])</f>
        <v>0</v>
      </c>
      <c r="I53" s="90"/>
      <c r="J53" s="142" t="str">
        <f t="shared" si="0"/>
        <v>11.5.2026</v>
      </c>
      <c r="L53" s="153">
        <v>42</v>
      </c>
      <c r="M53" s="92"/>
    </row>
    <row r="54" spans="1:13" ht="21.6" x14ac:dyDescent="0.65">
      <c r="A54" s="195"/>
      <c r="B54" s="140">
        <v>51</v>
      </c>
      <c r="C54" s="2"/>
      <c r="D54" s="1"/>
      <c r="E54" s="3"/>
      <c r="F54" s="1"/>
      <c r="G54" s="141">
        <f>IF(Basic345678910111213141516171819202122[[#This Row],[نوع الخدمة]]="مخالفات", 50,
IF(Basic345678910111213141516171819202122[[#This Row],[نوع الخدمة]]="كاش ان",
    IF(F54&lt;=100, 18, IF(F54&lt;=250, 23, IF(F54&lt;=500, 35, IF(F54&lt;=1000, 40, F54*0.04)))),
IF(Basic345678910111213141516171819202122[[#This Row],[نوع الخدمة]]="كاش اوت",
    IF(F54&lt;=100, 15, IF(F54&lt;=250, 20, IF(F54&lt;=500, 30, IF(F54&lt;=1000, 35, F54*0.035)))),
0)))</f>
        <v>0</v>
      </c>
      <c r="H54" s="178">
        <f>IF(I54="مخالفات",50,Basic345678910111213141516171819202122[[#This Row],[قيمة الرسوم / العموله]]+Basic345678910111213141516171819202122[[#This Row],[قيمة الشحنه]])</f>
        <v>0</v>
      </c>
      <c r="I54" s="90"/>
      <c r="J54" s="142" t="str">
        <f t="shared" si="0"/>
        <v>11.5.2026</v>
      </c>
      <c r="L54" s="153">
        <v>43</v>
      </c>
      <c r="M54" s="92"/>
    </row>
    <row r="55" spans="1:13" ht="21.6" x14ac:dyDescent="0.65">
      <c r="A55" s="195"/>
      <c r="B55" s="140">
        <v>52</v>
      </c>
      <c r="C55" s="2"/>
      <c r="D55" s="1"/>
      <c r="E55" s="3"/>
      <c r="F55" s="1"/>
      <c r="G55" s="141">
        <f>IF(Basic345678910111213141516171819202122[[#This Row],[نوع الخدمة]]="مخالفات", 50,
IF(Basic345678910111213141516171819202122[[#This Row],[نوع الخدمة]]="كاش ان",
    IF(F55&lt;=100, 18, IF(F55&lt;=250, 23, IF(F55&lt;=500, 35, IF(F55&lt;=1000, 40, F55*0.04)))),
IF(Basic345678910111213141516171819202122[[#This Row],[نوع الخدمة]]="كاش اوت",
    IF(F55&lt;=100, 15, IF(F55&lt;=250, 20, IF(F55&lt;=500, 30, IF(F55&lt;=1000, 35, F55*0.035)))),
0)))</f>
        <v>0</v>
      </c>
      <c r="H55" s="178">
        <f>IF(I55="مخالفات",50,Basic345678910111213141516171819202122[[#This Row],[قيمة الرسوم / العموله]]+Basic345678910111213141516171819202122[[#This Row],[قيمة الشحنه]])</f>
        <v>0</v>
      </c>
      <c r="I55" s="90"/>
      <c r="J55" s="142" t="str">
        <f t="shared" si="0"/>
        <v>11.5.2026</v>
      </c>
      <c r="L55" s="153">
        <v>44</v>
      </c>
      <c r="M55" s="92"/>
    </row>
    <row r="56" spans="1:13" ht="21.6" x14ac:dyDescent="0.65">
      <c r="A56" s="195"/>
      <c r="B56" s="140">
        <v>53</v>
      </c>
      <c r="C56" s="2"/>
      <c r="D56" s="1"/>
      <c r="E56" s="3"/>
      <c r="F56" s="1"/>
      <c r="G56" s="141">
        <f>IF(Basic345678910111213141516171819202122[[#This Row],[نوع الخدمة]]="مخالفات", 50,
IF(Basic345678910111213141516171819202122[[#This Row],[نوع الخدمة]]="كاش ان",
    IF(F56&lt;=100, 18, IF(F56&lt;=250, 23, IF(F56&lt;=500, 35, IF(F56&lt;=1000, 40, F56*0.04)))),
IF(Basic345678910111213141516171819202122[[#This Row],[نوع الخدمة]]="كاش اوت",
    IF(F56&lt;=100, 15, IF(F56&lt;=250, 20, IF(F56&lt;=500, 30, IF(F56&lt;=1000, 35, F56*0.035)))),
0)))</f>
        <v>0</v>
      </c>
      <c r="H56" s="178">
        <f>IF(I56="مخالفات",50,Basic345678910111213141516171819202122[[#This Row],[قيمة الرسوم / العموله]]+Basic345678910111213141516171819202122[[#This Row],[قيمة الشحنه]])</f>
        <v>0</v>
      </c>
      <c r="I56" s="90"/>
      <c r="J56" s="142" t="str">
        <f t="shared" si="0"/>
        <v>11.5.2026</v>
      </c>
      <c r="L56" s="153">
        <v>45</v>
      </c>
      <c r="M56" s="92"/>
    </row>
    <row r="57" spans="1:13" ht="21.6" x14ac:dyDescent="0.65">
      <c r="A57" s="195"/>
      <c r="B57" s="144">
        <v>54</v>
      </c>
      <c r="C57" s="2"/>
      <c r="D57" s="1"/>
      <c r="E57" s="3"/>
      <c r="F57" s="1"/>
      <c r="G57" s="141">
        <f>IF(Basic345678910111213141516171819202122[[#This Row],[نوع الخدمة]]="مخالفات", 50,
IF(Basic345678910111213141516171819202122[[#This Row],[نوع الخدمة]]="كاش ان",
    IF(F57&lt;=100, 18, IF(F57&lt;=250, 23, IF(F57&lt;=500, 35, IF(F57&lt;=1000, 40, F57*0.04)))),
IF(Basic345678910111213141516171819202122[[#This Row],[نوع الخدمة]]="كاش اوت",
    IF(F57&lt;=100, 15, IF(F57&lt;=250, 20, IF(F57&lt;=500, 30, IF(F57&lt;=1000, 35, F57*0.035)))),
0)))</f>
        <v>0</v>
      </c>
      <c r="H57" s="178">
        <f>IF(I57="مخالفات",50,Basic345678910111213141516171819202122[[#This Row],[قيمة الرسوم / العموله]]+Basic345678910111213141516171819202122[[#This Row],[قيمة الشحنه]])</f>
        <v>0</v>
      </c>
      <c r="I57" s="90"/>
      <c r="J57" s="142" t="str">
        <f t="shared" si="0"/>
        <v>11.5.2026</v>
      </c>
      <c r="L57" s="153">
        <v>46</v>
      </c>
      <c r="M57" s="92"/>
    </row>
    <row r="58" spans="1:13" ht="21.6" x14ac:dyDescent="0.65">
      <c r="A58" s="195"/>
      <c r="B58" s="140">
        <v>55</v>
      </c>
      <c r="C58" s="2"/>
      <c r="D58" s="1"/>
      <c r="E58" s="3"/>
      <c r="F58" s="1"/>
      <c r="G58" s="141">
        <f>IF(Basic345678910111213141516171819202122[[#This Row],[نوع الخدمة]]="مخالفات", 50,
IF(Basic345678910111213141516171819202122[[#This Row],[نوع الخدمة]]="كاش ان",
    IF(F58&lt;=100, 18, IF(F58&lt;=250, 23, IF(F58&lt;=500, 35, IF(F58&lt;=1000, 40, F58*0.04)))),
IF(Basic345678910111213141516171819202122[[#This Row],[نوع الخدمة]]="كاش اوت",
    IF(F58&lt;=100, 15, IF(F58&lt;=250, 20, IF(F58&lt;=500, 30, IF(F58&lt;=1000, 35, F58*0.035)))),
0)))</f>
        <v>0</v>
      </c>
      <c r="H58" s="178">
        <f>IF(I58="مخالفات",50,Basic345678910111213141516171819202122[[#This Row],[قيمة الرسوم / العموله]]+Basic345678910111213141516171819202122[[#This Row],[قيمة الشحنه]])</f>
        <v>0</v>
      </c>
      <c r="I58" s="90"/>
      <c r="J58" s="142" t="str">
        <f t="shared" si="0"/>
        <v>11.5.2026</v>
      </c>
      <c r="L58" s="153">
        <v>47</v>
      </c>
      <c r="M58" s="92"/>
    </row>
    <row r="59" spans="1:13" ht="21.6" x14ac:dyDescent="0.65">
      <c r="A59" s="195"/>
      <c r="B59" s="140">
        <v>56</v>
      </c>
      <c r="C59" s="2"/>
      <c r="D59" s="1"/>
      <c r="E59" s="3"/>
      <c r="F59" s="1"/>
      <c r="G59" s="141">
        <f>IF(Basic345678910111213141516171819202122[[#This Row],[نوع الخدمة]]="مخالفات", 50,
IF(Basic345678910111213141516171819202122[[#This Row],[نوع الخدمة]]="كاش ان",
    IF(F59&lt;=100, 18, IF(F59&lt;=250, 23, IF(F59&lt;=500, 35, IF(F59&lt;=1000, 40, F59*0.04)))),
IF(Basic345678910111213141516171819202122[[#This Row],[نوع الخدمة]]="كاش اوت",
    IF(F59&lt;=100, 15, IF(F59&lt;=250, 20, IF(F59&lt;=500, 30, IF(F59&lt;=1000, 35, F59*0.035)))),
0)))</f>
        <v>0</v>
      </c>
      <c r="H59" s="178">
        <f>IF(I59="مخالفات",50,Basic345678910111213141516171819202122[[#This Row],[قيمة الرسوم / العموله]]+Basic345678910111213141516171819202122[[#This Row],[قيمة الشحنه]])</f>
        <v>0</v>
      </c>
      <c r="I59" s="90"/>
      <c r="J59" s="142" t="str">
        <f t="shared" si="0"/>
        <v>11.5.2026</v>
      </c>
      <c r="L59" s="153">
        <v>48</v>
      </c>
      <c r="M59" s="92"/>
    </row>
    <row r="60" spans="1:13" ht="21.6" x14ac:dyDescent="0.65">
      <c r="A60" s="195"/>
      <c r="B60" s="140">
        <v>57</v>
      </c>
      <c r="C60" s="2"/>
      <c r="D60" s="1"/>
      <c r="E60" s="3"/>
      <c r="F60" s="1"/>
      <c r="G60" s="141">
        <f>IF(Basic345678910111213141516171819202122[[#This Row],[نوع الخدمة]]="مخالفات", 50,
IF(Basic345678910111213141516171819202122[[#This Row],[نوع الخدمة]]="كاش ان",
    IF(F60&lt;=100, 18, IF(F60&lt;=250, 23, IF(F60&lt;=500, 35, IF(F60&lt;=1000, 40, F60*0.04)))),
IF(Basic345678910111213141516171819202122[[#This Row],[نوع الخدمة]]="كاش اوت",
    IF(F60&lt;=100, 15, IF(F60&lt;=250, 20, IF(F60&lt;=500, 30, IF(F60&lt;=1000, 35, F60*0.035)))),
0)))</f>
        <v>0</v>
      </c>
      <c r="H60" s="178">
        <f>IF(I60="مخالفات",50,Basic345678910111213141516171819202122[[#This Row],[قيمة الرسوم / العموله]]+Basic345678910111213141516171819202122[[#This Row],[قيمة الشحنه]])</f>
        <v>0</v>
      </c>
      <c r="I60" s="90"/>
      <c r="J60" s="142" t="str">
        <f t="shared" si="0"/>
        <v>11.5.2026</v>
      </c>
      <c r="L60" s="153">
        <v>49</v>
      </c>
      <c r="M60" s="92"/>
    </row>
    <row r="61" spans="1:13" ht="21.6" x14ac:dyDescent="0.65">
      <c r="A61" s="195"/>
      <c r="B61" s="144">
        <v>58</v>
      </c>
      <c r="C61" s="2"/>
      <c r="D61" s="1"/>
      <c r="E61" s="3"/>
      <c r="F61" s="1"/>
      <c r="G61" s="141">
        <f>IF(Basic345678910111213141516171819202122[[#This Row],[نوع الخدمة]]="مخالفات", 50,
IF(Basic345678910111213141516171819202122[[#This Row],[نوع الخدمة]]="كاش ان",
    IF(F61&lt;=100, 18, IF(F61&lt;=250, 23, IF(F61&lt;=500, 35, IF(F61&lt;=1000, 40, F61*0.04)))),
IF(Basic345678910111213141516171819202122[[#This Row],[نوع الخدمة]]="كاش اوت",
    IF(F61&lt;=100, 15, IF(F61&lt;=250, 20, IF(F61&lt;=500, 30, IF(F61&lt;=1000, 35, F61*0.035)))),
0)))</f>
        <v>0</v>
      </c>
      <c r="H61" s="178">
        <f>IF(I61="مخالفات",50,Basic345678910111213141516171819202122[[#This Row],[قيمة الرسوم / العموله]]+Basic345678910111213141516171819202122[[#This Row],[قيمة الشحنه]])</f>
        <v>0</v>
      </c>
      <c r="I61" s="90"/>
      <c r="J61" s="142" t="str">
        <f t="shared" si="0"/>
        <v>11.5.2026</v>
      </c>
      <c r="L61" s="153">
        <v>50</v>
      </c>
      <c r="M61" s="92"/>
    </row>
    <row r="62" spans="1:13" ht="21.6" x14ac:dyDescent="0.65">
      <c r="A62" s="195"/>
      <c r="B62" s="140">
        <v>59</v>
      </c>
      <c r="C62" s="2"/>
      <c r="D62" s="1"/>
      <c r="E62" s="3"/>
      <c r="F62" s="1"/>
      <c r="G62" s="141">
        <f>IF(Basic345678910111213141516171819202122[[#This Row],[نوع الخدمة]]="مخالفات", 50,
IF(Basic345678910111213141516171819202122[[#This Row],[نوع الخدمة]]="كاش ان",
    IF(F62&lt;=100, 18, IF(F62&lt;=250, 23, IF(F62&lt;=500, 35, IF(F62&lt;=1000, 40, F62*0.04)))),
IF(Basic345678910111213141516171819202122[[#This Row],[نوع الخدمة]]="كاش اوت",
    IF(F62&lt;=100, 15, IF(F62&lt;=250, 20, IF(F62&lt;=500, 30, IF(F62&lt;=1000, 35, F62*0.035)))),
0)))</f>
        <v>0</v>
      </c>
      <c r="H62" s="178">
        <f>IF(I62="مخالفات",50,Basic345678910111213141516171819202122[[#This Row],[قيمة الرسوم / العموله]]+Basic345678910111213141516171819202122[[#This Row],[قيمة الشحنه]])</f>
        <v>0</v>
      </c>
      <c r="I62" s="90"/>
      <c r="J62" s="142" t="str">
        <f t="shared" si="0"/>
        <v>11.5.2026</v>
      </c>
      <c r="L62" s="153">
        <v>51</v>
      </c>
      <c r="M62" s="92"/>
    </row>
    <row r="63" spans="1:13" ht="21.6" x14ac:dyDescent="0.65">
      <c r="A63" s="195"/>
      <c r="B63" s="140">
        <v>60</v>
      </c>
      <c r="C63" s="2"/>
      <c r="D63" s="1"/>
      <c r="E63" s="3"/>
      <c r="F63" s="1"/>
      <c r="G63" s="141">
        <f>IF(Basic345678910111213141516171819202122[[#This Row],[نوع الخدمة]]="مخالفات", 50,
IF(Basic345678910111213141516171819202122[[#This Row],[نوع الخدمة]]="كاش ان",
    IF(F63&lt;=100, 18, IF(F63&lt;=250, 23, IF(F63&lt;=500, 35, IF(F63&lt;=1000, 40, F63*0.04)))),
IF(Basic345678910111213141516171819202122[[#This Row],[نوع الخدمة]]="كاش اوت",
    IF(F63&lt;=100, 15, IF(F63&lt;=250, 20, IF(F63&lt;=500, 30, IF(F63&lt;=1000, 35, F63*0.035)))),
0)))</f>
        <v>0</v>
      </c>
      <c r="H63" s="178">
        <f>IF(I63="مخالفات",50,Basic345678910111213141516171819202122[[#This Row],[قيمة الرسوم / العموله]]+Basic345678910111213141516171819202122[[#This Row],[قيمة الشحنه]])</f>
        <v>0</v>
      </c>
      <c r="I63" s="90"/>
      <c r="J63" s="142" t="str">
        <f t="shared" si="0"/>
        <v>11.5.2026</v>
      </c>
      <c r="L63" s="153">
        <v>52</v>
      </c>
      <c r="M63" s="92"/>
    </row>
    <row r="64" spans="1:13" ht="21.6" x14ac:dyDescent="0.65">
      <c r="A64" s="195"/>
      <c r="B64" s="140">
        <v>61</v>
      </c>
      <c r="C64" s="2"/>
      <c r="D64" s="1"/>
      <c r="E64" s="3"/>
      <c r="F64" s="1"/>
      <c r="G64" s="141">
        <f>IF(Basic345678910111213141516171819202122[[#This Row],[نوع الخدمة]]="مخالفات", 50,
IF(Basic345678910111213141516171819202122[[#This Row],[نوع الخدمة]]="كاش ان",
    IF(F64&lt;=100, 18, IF(F64&lt;=250, 23, IF(F64&lt;=500, 35, IF(F64&lt;=1000, 40, F64*0.04)))),
IF(Basic345678910111213141516171819202122[[#This Row],[نوع الخدمة]]="كاش اوت",
    IF(F64&lt;=100, 15, IF(F64&lt;=250, 20, IF(F64&lt;=500, 30, IF(F64&lt;=1000, 35, F64*0.035)))),
0)))</f>
        <v>0</v>
      </c>
      <c r="H64" s="178">
        <f>IF(I64="مخالفات",50,Basic345678910111213141516171819202122[[#This Row],[قيمة الرسوم / العموله]]+Basic345678910111213141516171819202122[[#This Row],[قيمة الشحنه]])</f>
        <v>0</v>
      </c>
      <c r="I64" s="90"/>
      <c r="J64" s="142" t="str">
        <f t="shared" si="0"/>
        <v>11.5.2026</v>
      </c>
      <c r="L64" s="153">
        <v>53</v>
      </c>
      <c r="M64" s="92"/>
    </row>
    <row r="65" spans="1:13" ht="21.6" x14ac:dyDescent="0.65">
      <c r="A65" s="195"/>
      <c r="B65" s="144">
        <v>62</v>
      </c>
      <c r="C65" s="2"/>
      <c r="D65" s="1"/>
      <c r="E65" s="3"/>
      <c r="F65" s="1"/>
      <c r="G65" s="141">
        <f>IF(Basic345678910111213141516171819202122[[#This Row],[نوع الخدمة]]="مخالفات", 50,
IF(Basic345678910111213141516171819202122[[#This Row],[نوع الخدمة]]="كاش ان",
    IF(F65&lt;=100, 18, IF(F65&lt;=250, 23, IF(F65&lt;=500, 35, IF(F65&lt;=1000, 40, F65*0.04)))),
IF(Basic345678910111213141516171819202122[[#This Row],[نوع الخدمة]]="كاش اوت",
    IF(F65&lt;=100, 15, IF(F65&lt;=250, 20, IF(F65&lt;=500, 30, IF(F65&lt;=1000, 35, F65*0.035)))),
0)))</f>
        <v>0</v>
      </c>
      <c r="H65" s="178">
        <f>IF(I65="مخالفات",50,Basic345678910111213141516171819202122[[#This Row],[قيمة الرسوم / العموله]]+Basic345678910111213141516171819202122[[#This Row],[قيمة الشحنه]])</f>
        <v>0</v>
      </c>
      <c r="I65" s="90"/>
      <c r="J65" s="142" t="str">
        <f t="shared" si="0"/>
        <v>11.5.2026</v>
      </c>
      <c r="L65" s="153">
        <v>54</v>
      </c>
      <c r="M65" s="92"/>
    </row>
    <row r="66" spans="1:13" ht="21.6" x14ac:dyDescent="0.65">
      <c r="A66" s="195"/>
      <c r="B66" s="140">
        <v>63</v>
      </c>
      <c r="C66" s="2"/>
      <c r="D66" s="1"/>
      <c r="E66" s="3"/>
      <c r="F66" s="1"/>
      <c r="G66" s="141">
        <f>IF(Basic345678910111213141516171819202122[[#This Row],[نوع الخدمة]]="مخالفات", 50,
IF(Basic345678910111213141516171819202122[[#This Row],[نوع الخدمة]]="كاش ان",
    IF(F66&lt;=100, 18, IF(F66&lt;=250, 23, IF(F66&lt;=500, 35, IF(F66&lt;=1000, 40, F66*0.04)))),
IF(Basic345678910111213141516171819202122[[#This Row],[نوع الخدمة]]="كاش اوت",
    IF(F66&lt;=100, 15, IF(F66&lt;=250, 20, IF(F66&lt;=500, 30, IF(F66&lt;=1000, 35, F66*0.035)))),
0)))</f>
        <v>0</v>
      </c>
      <c r="H66" s="178">
        <f>IF(I66="مخالفات",50,Basic345678910111213141516171819202122[[#This Row],[قيمة الرسوم / العموله]]+Basic345678910111213141516171819202122[[#This Row],[قيمة الشحنه]])</f>
        <v>0</v>
      </c>
      <c r="I66" s="90"/>
      <c r="J66" s="142" t="str">
        <f t="shared" si="0"/>
        <v>11.5.2026</v>
      </c>
      <c r="L66" s="153">
        <v>55</v>
      </c>
      <c r="M66" s="92"/>
    </row>
    <row r="67" spans="1:13" ht="21.6" x14ac:dyDescent="0.65">
      <c r="A67" s="195"/>
      <c r="B67" s="140">
        <v>64</v>
      </c>
      <c r="C67" s="2"/>
      <c r="D67" s="1"/>
      <c r="E67" s="3"/>
      <c r="F67" s="1"/>
      <c r="G67" s="141">
        <f>IF(Basic345678910111213141516171819202122[[#This Row],[نوع الخدمة]]="مخالفات", 50,
IF(Basic345678910111213141516171819202122[[#This Row],[نوع الخدمة]]="كاش ان",
    IF(F67&lt;=100, 18, IF(F67&lt;=250, 23, IF(F67&lt;=500, 35, IF(F67&lt;=1000, 40, F67*0.04)))),
IF(Basic345678910111213141516171819202122[[#This Row],[نوع الخدمة]]="كاش اوت",
    IF(F67&lt;=100, 15, IF(F67&lt;=250, 20, IF(F67&lt;=500, 30, IF(F67&lt;=1000, 35, F67*0.035)))),
0)))</f>
        <v>0</v>
      </c>
      <c r="H67" s="178">
        <f>IF(I67="مخالفات",50,Basic345678910111213141516171819202122[[#This Row],[قيمة الرسوم / العموله]]+Basic345678910111213141516171819202122[[#This Row],[قيمة الشحنه]])</f>
        <v>0</v>
      </c>
      <c r="I67" s="90"/>
      <c r="J67" s="142" t="str">
        <f t="shared" si="0"/>
        <v>11.5.2026</v>
      </c>
      <c r="L67" s="153">
        <v>56</v>
      </c>
      <c r="M67" s="92"/>
    </row>
    <row r="68" spans="1:13" ht="21.6" x14ac:dyDescent="0.65">
      <c r="A68" s="195"/>
      <c r="B68" s="140">
        <v>65</v>
      </c>
      <c r="C68" s="2"/>
      <c r="D68" s="1"/>
      <c r="E68" s="3"/>
      <c r="F68" s="1"/>
      <c r="G68" s="141">
        <f>IF(Basic345678910111213141516171819202122[[#This Row],[نوع الخدمة]]="مخالفات", 50,
IF(Basic345678910111213141516171819202122[[#This Row],[نوع الخدمة]]="كاش ان",
    IF(F68&lt;=100, 18, IF(F68&lt;=250, 23, IF(F68&lt;=500, 35, IF(F68&lt;=1000, 40, F68*0.04)))),
IF(Basic345678910111213141516171819202122[[#This Row],[نوع الخدمة]]="كاش اوت",
    IF(F68&lt;=100, 15, IF(F68&lt;=250, 20, IF(F68&lt;=500, 30, IF(F68&lt;=1000, 35, F68*0.035)))),
0)))</f>
        <v>0</v>
      </c>
      <c r="H68" s="178">
        <f>IF(I68="مخالفات",50,Basic345678910111213141516171819202122[[#This Row],[قيمة الرسوم / العموله]]+Basic345678910111213141516171819202122[[#This Row],[قيمة الشحنه]])</f>
        <v>0</v>
      </c>
      <c r="I68" s="90"/>
      <c r="J68" s="142" t="str">
        <f t="shared" ref="J68:J131" si="1">M$3</f>
        <v>11.5.2026</v>
      </c>
      <c r="L68" s="153">
        <v>57</v>
      </c>
      <c r="M68" s="92"/>
    </row>
    <row r="69" spans="1:13" ht="21.6" x14ac:dyDescent="0.65">
      <c r="A69" s="195"/>
      <c r="B69" s="144">
        <v>66</v>
      </c>
      <c r="C69" s="2"/>
      <c r="D69" s="1"/>
      <c r="E69" s="3"/>
      <c r="F69" s="1"/>
      <c r="G69" s="141">
        <f>IF(Basic345678910111213141516171819202122[[#This Row],[نوع الخدمة]]="مخالفات", 50,
IF(Basic345678910111213141516171819202122[[#This Row],[نوع الخدمة]]="كاش ان",
    IF(F69&lt;=100, 18, IF(F69&lt;=250, 23, IF(F69&lt;=500, 35, IF(F69&lt;=1000, 40, F69*0.04)))),
IF(Basic345678910111213141516171819202122[[#This Row],[نوع الخدمة]]="كاش اوت",
    IF(F69&lt;=100, 15, IF(F69&lt;=250, 20, IF(F69&lt;=500, 30, IF(F69&lt;=1000, 35, F69*0.035)))),
0)))</f>
        <v>0</v>
      </c>
      <c r="H69" s="178">
        <f>IF(I69="مخالفات",50,Basic345678910111213141516171819202122[[#This Row],[قيمة الرسوم / العموله]]+Basic345678910111213141516171819202122[[#This Row],[قيمة الشحنه]])</f>
        <v>0</v>
      </c>
      <c r="I69" s="90"/>
      <c r="J69" s="142" t="str">
        <f t="shared" si="1"/>
        <v>11.5.2026</v>
      </c>
      <c r="L69" s="153">
        <v>58</v>
      </c>
      <c r="M69" s="92"/>
    </row>
    <row r="70" spans="1:13" ht="21.6" x14ac:dyDescent="0.65">
      <c r="A70" s="195"/>
      <c r="B70" s="140">
        <v>67</v>
      </c>
      <c r="C70" s="2"/>
      <c r="D70" s="1"/>
      <c r="E70" s="3"/>
      <c r="F70" s="1"/>
      <c r="G70" s="141">
        <f>IF(Basic345678910111213141516171819202122[[#This Row],[نوع الخدمة]]="مخالفات", 50,
IF(Basic345678910111213141516171819202122[[#This Row],[نوع الخدمة]]="كاش ان",
    IF(F70&lt;=100, 18, IF(F70&lt;=250, 23, IF(F70&lt;=500, 35, IF(F70&lt;=1000, 40, F70*0.04)))),
IF(Basic345678910111213141516171819202122[[#This Row],[نوع الخدمة]]="كاش اوت",
    IF(F70&lt;=100, 15, IF(F70&lt;=250, 20, IF(F70&lt;=500, 30, IF(F70&lt;=1000, 35, F70*0.035)))),
0)))</f>
        <v>0</v>
      </c>
      <c r="H70" s="178">
        <f>IF(I70="مخالفات",50,Basic345678910111213141516171819202122[[#This Row],[قيمة الرسوم / العموله]]+Basic345678910111213141516171819202122[[#This Row],[قيمة الشحنه]])</f>
        <v>0</v>
      </c>
      <c r="I70" s="90"/>
      <c r="J70" s="142" t="str">
        <f t="shared" si="1"/>
        <v>11.5.2026</v>
      </c>
      <c r="L70" s="153">
        <v>59</v>
      </c>
      <c r="M70" s="92"/>
    </row>
    <row r="71" spans="1:13" ht="21.6" x14ac:dyDescent="0.65">
      <c r="A71" s="195"/>
      <c r="B71" s="140">
        <v>68</v>
      </c>
      <c r="C71" s="2"/>
      <c r="D71" s="1"/>
      <c r="E71" s="3"/>
      <c r="F71" s="1"/>
      <c r="G71" s="141">
        <f>IF(Basic345678910111213141516171819202122[[#This Row],[نوع الخدمة]]="مخالفات", 50,
IF(Basic345678910111213141516171819202122[[#This Row],[نوع الخدمة]]="كاش ان",
    IF(F71&lt;=100, 18, IF(F71&lt;=250, 23, IF(F71&lt;=500, 35, IF(F71&lt;=1000, 40, F71*0.04)))),
IF(Basic345678910111213141516171819202122[[#This Row],[نوع الخدمة]]="كاش اوت",
    IF(F71&lt;=100, 15, IF(F71&lt;=250, 20, IF(F71&lt;=500, 30, IF(F71&lt;=1000, 35, F71*0.035)))),
0)))</f>
        <v>0</v>
      </c>
      <c r="H71" s="178">
        <f>IF(I71="مخالفات",50,Basic345678910111213141516171819202122[[#This Row],[قيمة الرسوم / العموله]]+Basic345678910111213141516171819202122[[#This Row],[قيمة الشحنه]])</f>
        <v>0</v>
      </c>
      <c r="I71" s="90"/>
      <c r="J71" s="142" t="str">
        <f t="shared" si="1"/>
        <v>11.5.2026</v>
      </c>
      <c r="L71" s="153">
        <v>60</v>
      </c>
      <c r="M71" s="92"/>
    </row>
    <row r="72" spans="1:13" ht="21.6" x14ac:dyDescent="0.65">
      <c r="A72" s="195"/>
      <c r="B72" s="140">
        <v>69</v>
      </c>
      <c r="C72" s="2"/>
      <c r="D72" s="1"/>
      <c r="E72" s="3"/>
      <c r="F72" s="1"/>
      <c r="G72" s="141">
        <f>IF(Basic345678910111213141516171819202122[[#This Row],[نوع الخدمة]]="مخالفات", 50,
IF(Basic345678910111213141516171819202122[[#This Row],[نوع الخدمة]]="كاش ان",
    IF(F72&lt;=100, 18, IF(F72&lt;=250, 23, IF(F72&lt;=500, 35, IF(F72&lt;=1000, 40, F72*0.04)))),
IF(Basic345678910111213141516171819202122[[#This Row],[نوع الخدمة]]="كاش اوت",
    IF(F72&lt;=100, 15, IF(F72&lt;=250, 20, IF(F72&lt;=500, 30, IF(F72&lt;=1000, 35, F72*0.035)))),
0)))</f>
        <v>0</v>
      </c>
      <c r="H72" s="178">
        <f>IF(I72="مخالفات",50,Basic345678910111213141516171819202122[[#This Row],[قيمة الرسوم / العموله]]+Basic345678910111213141516171819202122[[#This Row],[قيمة الشحنه]])</f>
        <v>0</v>
      </c>
      <c r="I72" s="90"/>
      <c r="J72" s="142" t="str">
        <f t="shared" si="1"/>
        <v>11.5.2026</v>
      </c>
      <c r="L72" s="153">
        <v>61</v>
      </c>
      <c r="M72" s="92"/>
    </row>
    <row r="73" spans="1:13" ht="21.6" x14ac:dyDescent="0.65">
      <c r="A73" s="195"/>
      <c r="B73" s="144">
        <v>70</v>
      </c>
      <c r="C73" s="2"/>
      <c r="D73" s="1"/>
      <c r="E73" s="3"/>
      <c r="F73" s="1"/>
      <c r="G73" s="141">
        <f>IF(Basic345678910111213141516171819202122[[#This Row],[نوع الخدمة]]="مخالفات", 50,
IF(Basic345678910111213141516171819202122[[#This Row],[نوع الخدمة]]="كاش ان",
    IF(F73&lt;=100, 18, IF(F73&lt;=250, 23, IF(F73&lt;=500, 35, IF(F73&lt;=1000, 40, F73*0.04)))),
IF(Basic345678910111213141516171819202122[[#This Row],[نوع الخدمة]]="كاش اوت",
    IF(F73&lt;=100, 15, IF(F73&lt;=250, 20, IF(F73&lt;=500, 30, IF(F73&lt;=1000, 35, F73*0.035)))),
0)))</f>
        <v>0</v>
      </c>
      <c r="H73" s="178">
        <f>IF(I73="مخالفات",50,Basic345678910111213141516171819202122[[#This Row],[قيمة الرسوم / العموله]]+Basic345678910111213141516171819202122[[#This Row],[قيمة الشحنه]])</f>
        <v>0</v>
      </c>
      <c r="I73" s="90"/>
      <c r="J73" s="142" t="str">
        <f t="shared" si="1"/>
        <v>11.5.2026</v>
      </c>
      <c r="L73" s="153">
        <v>62</v>
      </c>
      <c r="M73" s="92"/>
    </row>
    <row r="74" spans="1:13" ht="21.6" x14ac:dyDescent="0.65">
      <c r="A74" s="195"/>
      <c r="B74" s="140">
        <v>71</v>
      </c>
      <c r="C74" s="2"/>
      <c r="D74" s="1"/>
      <c r="E74" s="3"/>
      <c r="F74" s="1"/>
      <c r="G74" s="141">
        <f>IF(Basic345678910111213141516171819202122[[#This Row],[نوع الخدمة]]="مخالفات", 50,
IF(Basic345678910111213141516171819202122[[#This Row],[نوع الخدمة]]="كاش ان",
    IF(F74&lt;=100, 18, IF(F74&lt;=250, 23, IF(F74&lt;=500, 35, IF(F74&lt;=1000, 40, F74*0.04)))),
IF(Basic345678910111213141516171819202122[[#This Row],[نوع الخدمة]]="كاش اوت",
    IF(F74&lt;=100, 15, IF(F74&lt;=250, 20, IF(F74&lt;=500, 30, IF(F74&lt;=1000, 35, F74*0.035)))),
0)))</f>
        <v>0</v>
      </c>
      <c r="H74" s="178">
        <f>IF(I74="مخالفات",50,Basic345678910111213141516171819202122[[#This Row],[قيمة الرسوم / العموله]]+Basic345678910111213141516171819202122[[#This Row],[قيمة الشحنه]])</f>
        <v>0</v>
      </c>
      <c r="I74" s="90"/>
      <c r="J74" s="142" t="str">
        <f t="shared" si="1"/>
        <v>11.5.2026</v>
      </c>
      <c r="L74" s="153">
        <v>63</v>
      </c>
      <c r="M74" s="92"/>
    </row>
    <row r="75" spans="1:13" ht="21.6" x14ac:dyDescent="0.65">
      <c r="A75" s="195"/>
      <c r="B75" s="140">
        <v>72</v>
      </c>
      <c r="C75" s="2"/>
      <c r="D75" s="1"/>
      <c r="E75" s="3"/>
      <c r="F75" s="1"/>
      <c r="G75" s="141">
        <f>IF(Basic345678910111213141516171819202122[[#This Row],[نوع الخدمة]]="مخالفات", 50,
IF(Basic345678910111213141516171819202122[[#This Row],[نوع الخدمة]]="كاش ان",
    IF(F75&lt;=100, 18, IF(F75&lt;=250, 23, IF(F75&lt;=500, 35, IF(F75&lt;=1000, 40, F75*0.04)))),
IF(Basic345678910111213141516171819202122[[#This Row],[نوع الخدمة]]="كاش اوت",
    IF(F75&lt;=100, 15, IF(F75&lt;=250, 20, IF(F75&lt;=500, 30, IF(F75&lt;=1000, 35, F75*0.035)))),
0)))</f>
        <v>0</v>
      </c>
      <c r="H75" s="178">
        <f>IF(I75="مخالفات",50,Basic345678910111213141516171819202122[[#This Row],[قيمة الرسوم / العموله]]+Basic345678910111213141516171819202122[[#This Row],[قيمة الشحنه]])</f>
        <v>0</v>
      </c>
      <c r="I75" s="90"/>
      <c r="J75" s="142" t="str">
        <f t="shared" si="1"/>
        <v>11.5.2026</v>
      </c>
      <c r="L75" s="153">
        <v>64</v>
      </c>
      <c r="M75" s="92"/>
    </row>
    <row r="76" spans="1:13" ht="21.6" x14ac:dyDescent="0.65">
      <c r="A76" s="195"/>
      <c r="B76" s="140">
        <v>73</v>
      </c>
      <c r="C76" s="2"/>
      <c r="D76" s="1"/>
      <c r="E76" s="3"/>
      <c r="F76" s="1"/>
      <c r="G76" s="141">
        <f>IF(Basic345678910111213141516171819202122[[#This Row],[نوع الخدمة]]="مخالفات", 50,
IF(Basic345678910111213141516171819202122[[#This Row],[نوع الخدمة]]="كاش ان",
    IF(F76&lt;=100, 18, IF(F76&lt;=250, 23, IF(F76&lt;=500, 35, IF(F76&lt;=1000, 40, F76*0.04)))),
IF(Basic345678910111213141516171819202122[[#This Row],[نوع الخدمة]]="كاش اوت",
    IF(F76&lt;=100, 15, IF(F76&lt;=250, 20, IF(F76&lt;=500, 30, IF(F76&lt;=1000, 35, F76*0.035)))),
0)))</f>
        <v>0</v>
      </c>
      <c r="H76" s="178">
        <f>IF(I76="مخالفات",50,Basic345678910111213141516171819202122[[#This Row],[قيمة الرسوم / العموله]]+Basic345678910111213141516171819202122[[#This Row],[قيمة الشحنه]])</f>
        <v>0</v>
      </c>
      <c r="I76" s="90"/>
      <c r="J76" s="142" t="str">
        <f t="shared" si="1"/>
        <v>11.5.2026</v>
      </c>
      <c r="L76" s="153">
        <v>65</v>
      </c>
      <c r="M76" s="92"/>
    </row>
    <row r="77" spans="1:13" ht="21.6" x14ac:dyDescent="0.65">
      <c r="A77" s="195"/>
      <c r="B77" s="144">
        <v>74</v>
      </c>
      <c r="C77" s="2"/>
      <c r="D77" s="1"/>
      <c r="E77" s="3"/>
      <c r="F77" s="1"/>
      <c r="G77" s="141">
        <f>IF(Basic345678910111213141516171819202122[[#This Row],[نوع الخدمة]]="مخالفات", 50,
IF(Basic345678910111213141516171819202122[[#This Row],[نوع الخدمة]]="كاش ان",
    IF(F77&lt;=100, 18, IF(F77&lt;=250, 23, IF(F77&lt;=500, 35, IF(F77&lt;=1000, 40, F77*0.04)))),
IF(Basic345678910111213141516171819202122[[#This Row],[نوع الخدمة]]="كاش اوت",
    IF(F77&lt;=100, 15, IF(F77&lt;=250, 20, IF(F77&lt;=500, 30, IF(F77&lt;=1000, 35, F77*0.035)))),
0)))</f>
        <v>0</v>
      </c>
      <c r="H77" s="178">
        <f>IF(I77="مخالفات",50,Basic345678910111213141516171819202122[[#This Row],[قيمة الرسوم / العموله]]+Basic345678910111213141516171819202122[[#This Row],[قيمة الشحنه]])</f>
        <v>0</v>
      </c>
      <c r="I77" s="90"/>
      <c r="J77" s="142" t="str">
        <f t="shared" si="1"/>
        <v>11.5.2026</v>
      </c>
      <c r="L77" s="153">
        <v>66</v>
      </c>
      <c r="M77" s="92"/>
    </row>
    <row r="78" spans="1:13" ht="21.6" x14ac:dyDescent="0.65">
      <c r="A78" s="195"/>
      <c r="B78" s="140">
        <v>75</v>
      </c>
      <c r="C78" s="2"/>
      <c r="D78" s="1"/>
      <c r="E78" s="3"/>
      <c r="F78" s="1"/>
      <c r="G78" s="141">
        <f>IF(Basic345678910111213141516171819202122[[#This Row],[نوع الخدمة]]="مخالفات", 50,
IF(Basic345678910111213141516171819202122[[#This Row],[نوع الخدمة]]="كاش ان",
    IF(F78&lt;=100, 18, IF(F78&lt;=250, 23, IF(F78&lt;=500, 35, IF(F78&lt;=1000, 40, F78*0.04)))),
IF(Basic345678910111213141516171819202122[[#This Row],[نوع الخدمة]]="كاش اوت",
    IF(F78&lt;=100, 15, IF(F78&lt;=250, 20, IF(F78&lt;=500, 30, IF(F78&lt;=1000, 35, F78*0.035)))),
0)))</f>
        <v>0</v>
      </c>
      <c r="H78" s="178">
        <f>IF(I78="مخالفات",50,Basic345678910111213141516171819202122[[#This Row],[قيمة الرسوم / العموله]]+Basic345678910111213141516171819202122[[#This Row],[قيمة الشحنه]])</f>
        <v>0</v>
      </c>
      <c r="I78" s="90"/>
      <c r="J78" s="142" t="str">
        <f t="shared" si="1"/>
        <v>11.5.2026</v>
      </c>
      <c r="L78" s="153">
        <v>67</v>
      </c>
      <c r="M78" s="92"/>
    </row>
    <row r="79" spans="1:13" ht="21.6" x14ac:dyDescent="0.65">
      <c r="A79" s="195"/>
      <c r="B79" s="140">
        <v>76</v>
      </c>
      <c r="C79" s="2"/>
      <c r="D79" s="1"/>
      <c r="E79" s="3"/>
      <c r="F79" s="1"/>
      <c r="G79" s="141">
        <f>IF(Basic345678910111213141516171819202122[[#This Row],[نوع الخدمة]]="مخالفات", 50,
IF(Basic345678910111213141516171819202122[[#This Row],[نوع الخدمة]]="كاش ان",
    IF(F79&lt;=100, 18, IF(F79&lt;=250, 23, IF(F79&lt;=500, 35, IF(F79&lt;=1000, 40, F79*0.04)))),
IF(Basic345678910111213141516171819202122[[#This Row],[نوع الخدمة]]="كاش اوت",
    IF(F79&lt;=100, 15, IF(F79&lt;=250, 20, IF(F79&lt;=500, 30, IF(F79&lt;=1000, 35, F79*0.035)))),
0)))</f>
        <v>0</v>
      </c>
      <c r="H79" s="178">
        <f>IF(I79="مخالفات",50,Basic345678910111213141516171819202122[[#This Row],[قيمة الرسوم / العموله]]+Basic345678910111213141516171819202122[[#This Row],[قيمة الشحنه]])</f>
        <v>0</v>
      </c>
      <c r="I79" s="90"/>
      <c r="J79" s="142" t="str">
        <f t="shared" si="1"/>
        <v>11.5.2026</v>
      </c>
      <c r="L79" s="153">
        <v>68</v>
      </c>
      <c r="M79" s="92"/>
    </row>
    <row r="80" spans="1:13" ht="21.6" x14ac:dyDescent="0.65">
      <c r="A80" s="195"/>
      <c r="B80" s="140">
        <v>77</v>
      </c>
      <c r="C80" s="2"/>
      <c r="D80" s="1"/>
      <c r="E80" s="3"/>
      <c r="F80" s="1"/>
      <c r="G80" s="141">
        <f>IF(Basic345678910111213141516171819202122[[#This Row],[نوع الخدمة]]="مخالفات", 50,
IF(Basic345678910111213141516171819202122[[#This Row],[نوع الخدمة]]="كاش ان",
    IF(F80&lt;=100, 18, IF(F80&lt;=250, 23, IF(F80&lt;=500, 35, IF(F80&lt;=1000, 40, F80*0.04)))),
IF(Basic345678910111213141516171819202122[[#This Row],[نوع الخدمة]]="كاش اوت",
    IF(F80&lt;=100, 15, IF(F80&lt;=250, 20, IF(F80&lt;=500, 30, IF(F80&lt;=1000, 35, F80*0.035)))),
0)))</f>
        <v>0</v>
      </c>
      <c r="H80" s="178">
        <f>IF(I80="مخالفات",50,Basic345678910111213141516171819202122[[#This Row],[قيمة الرسوم / العموله]]+Basic345678910111213141516171819202122[[#This Row],[قيمة الشحنه]])</f>
        <v>0</v>
      </c>
      <c r="I80" s="90"/>
      <c r="J80" s="142" t="str">
        <f t="shared" si="1"/>
        <v>11.5.2026</v>
      </c>
      <c r="L80" s="153">
        <v>69</v>
      </c>
      <c r="M80" s="92"/>
    </row>
    <row r="81" spans="1:13" ht="21.6" x14ac:dyDescent="0.65">
      <c r="A81" s="195"/>
      <c r="B81" s="144">
        <v>78</v>
      </c>
      <c r="C81" s="2"/>
      <c r="D81" s="1"/>
      <c r="E81" s="3"/>
      <c r="F81" s="1"/>
      <c r="G81" s="141">
        <f>IF(Basic345678910111213141516171819202122[[#This Row],[نوع الخدمة]]="مخالفات", 50,
IF(Basic345678910111213141516171819202122[[#This Row],[نوع الخدمة]]="كاش ان",
    IF(F81&lt;=100, 18, IF(F81&lt;=250, 23, IF(F81&lt;=500, 35, IF(F81&lt;=1000, 40, F81*0.04)))),
IF(Basic345678910111213141516171819202122[[#This Row],[نوع الخدمة]]="كاش اوت",
    IF(F81&lt;=100, 15, IF(F81&lt;=250, 20, IF(F81&lt;=500, 30, IF(F81&lt;=1000, 35, F81*0.035)))),
0)))</f>
        <v>0</v>
      </c>
      <c r="H81" s="178">
        <f>IF(I81="مخالفات",50,Basic345678910111213141516171819202122[[#This Row],[قيمة الرسوم / العموله]]+Basic345678910111213141516171819202122[[#This Row],[قيمة الشحنه]])</f>
        <v>0</v>
      </c>
      <c r="I81" s="90"/>
      <c r="J81" s="142" t="str">
        <f t="shared" si="1"/>
        <v>11.5.2026</v>
      </c>
      <c r="L81" s="153">
        <v>70</v>
      </c>
      <c r="M81" s="92"/>
    </row>
    <row r="82" spans="1:13" ht="21.6" x14ac:dyDescent="0.65">
      <c r="A82" s="195"/>
      <c r="B82" s="140">
        <v>79</v>
      </c>
      <c r="C82" s="2"/>
      <c r="D82" s="1"/>
      <c r="E82" s="3"/>
      <c r="F82" s="1"/>
      <c r="G82" s="141">
        <f>IF(Basic345678910111213141516171819202122[[#This Row],[نوع الخدمة]]="مخالفات", 50,
IF(Basic345678910111213141516171819202122[[#This Row],[نوع الخدمة]]="كاش ان",
    IF(F82&lt;=100, 18, IF(F82&lt;=250, 23, IF(F82&lt;=500, 35, IF(F82&lt;=1000, 40, F82*0.04)))),
IF(Basic345678910111213141516171819202122[[#This Row],[نوع الخدمة]]="كاش اوت",
    IF(F82&lt;=100, 15, IF(F82&lt;=250, 20, IF(F82&lt;=500, 30, IF(F82&lt;=1000, 35, F82*0.035)))),
0)))</f>
        <v>0</v>
      </c>
      <c r="H82" s="178">
        <f>IF(I82="مخالفات",50,Basic345678910111213141516171819202122[[#This Row],[قيمة الرسوم / العموله]]+Basic345678910111213141516171819202122[[#This Row],[قيمة الشحنه]])</f>
        <v>0</v>
      </c>
      <c r="I82" s="90"/>
      <c r="J82" s="142" t="str">
        <f t="shared" si="1"/>
        <v>11.5.2026</v>
      </c>
      <c r="L82" s="153">
        <v>71</v>
      </c>
      <c r="M82" s="92"/>
    </row>
    <row r="83" spans="1:13" ht="21.6" x14ac:dyDescent="0.65">
      <c r="A83" s="195"/>
      <c r="B83" s="140">
        <v>80</v>
      </c>
      <c r="C83" s="2"/>
      <c r="D83" s="1"/>
      <c r="E83" s="3"/>
      <c r="F83" s="1"/>
      <c r="G83" s="141">
        <f>IF(Basic345678910111213141516171819202122[[#This Row],[نوع الخدمة]]="مخالفات", 50,
IF(Basic345678910111213141516171819202122[[#This Row],[نوع الخدمة]]="كاش ان",
    IF(F83&lt;=100, 18, IF(F83&lt;=250, 23, IF(F83&lt;=500, 35, IF(F83&lt;=1000, 40, F83*0.04)))),
IF(Basic345678910111213141516171819202122[[#This Row],[نوع الخدمة]]="كاش اوت",
    IF(F83&lt;=100, 15, IF(F83&lt;=250, 20, IF(F83&lt;=500, 30, IF(F83&lt;=1000, 35, F83*0.035)))),
0)))</f>
        <v>0</v>
      </c>
      <c r="H83" s="178">
        <f>IF(I83="مخالفات",50,Basic345678910111213141516171819202122[[#This Row],[قيمة الرسوم / العموله]]+Basic345678910111213141516171819202122[[#This Row],[قيمة الشحنه]])</f>
        <v>0</v>
      </c>
      <c r="I83" s="90"/>
      <c r="J83" s="142" t="str">
        <f t="shared" si="1"/>
        <v>11.5.2026</v>
      </c>
      <c r="L83" s="153">
        <v>72</v>
      </c>
      <c r="M83" s="92"/>
    </row>
    <row r="84" spans="1:13" ht="21.6" x14ac:dyDescent="0.65">
      <c r="A84" s="195"/>
      <c r="B84" s="140">
        <v>81</v>
      </c>
      <c r="C84" s="2"/>
      <c r="D84" s="1"/>
      <c r="E84" s="3"/>
      <c r="F84" s="1"/>
      <c r="G84" s="141">
        <f>IF(Basic345678910111213141516171819202122[[#This Row],[نوع الخدمة]]="مخالفات", 50,
IF(Basic345678910111213141516171819202122[[#This Row],[نوع الخدمة]]="كاش ان",
    IF(F84&lt;=100, 18, IF(F84&lt;=250, 23, IF(F84&lt;=500, 35, IF(F84&lt;=1000, 40, F84*0.04)))),
IF(Basic345678910111213141516171819202122[[#This Row],[نوع الخدمة]]="كاش اوت",
    IF(F84&lt;=100, 15, IF(F84&lt;=250, 20, IF(F84&lt;=500, 30, IF(F84&lt;=1000, 35, F84*0.035)))),
0)))</f>
        <v>0</v>
      </c>
      <c r="H84" s="178">
        <f>IF(I84="مخالفات",50,Basic345678910111213141516171819202122[[#This Row],[قيمة الرسوم / العموله]]+Basic345678910111213141516171819202122[[#This Row],[قيمة الشحنه]])</f>
        <v>0</v>
      </c>
      <c r="I84" s="90"/>
      <c r="J84" s="142" t="str">
        <f t="shared" si="1"/>
        <v>11.5.2026</v>
      </c>
      <c r="L84" s="153">
        <v>73</v>
      </c>
      <c r="M84" s="92"/>
    </row>
    <row r="85" spans="1:13" ht="21.6" x14ac:dyDescent="0.65">
      <c r="A85" s="195"/>
      <c r="B85" s="144">
        <v>82</v>
      </c>
      <c r="C85" s="2"/>
      <c r="D85" s="1"/>
      <c r="E85" s="3"/>
      <c r="F85" s="1"/>
      <c r="G85" s="141">
        <f>IF(Basic345678910111213141516171819202122[[#This Row],[نوع الخدمة]]="مخالفات", 50,
IF(Basic345678910111213141516171819202122[[#This Row],[نوع الخدمة]]="كاش ان",
    IF(F85&lt;=100, 18, IF(F85&lt;=250, 23, IF(F85&lt;=500, 35, IF(F85&lt;=1000, 40, F85*0.04)))),
IF(Basic345678910111213141516171819202122[[#This Row],[نوع الخدمة]]="كاش اوت",
    IF(F85&lt;=100, 15, IF(F85&lt;=250, 20, IF(F85&lt;=500, 30, IF(F85&lt;=1000, 35, F85*0.035)))),
0)))</f>
        <v>0</v>
      </c>
      <c r="H85" s="178">
        <f>IF(I85="مخالفات",50,Basic345678910111213141516171819202122[[#This Row],[قيمة الرسوم / العموله]]+Basic345678910111213141516171819202122[[#This Row],[قيمة الشحنه]])</f>
        <v>0</v>
      </c>
      <c r="I85" s="90"/>
      <c r="J85" s="142" t="str">
        <f t="shared" si="1"/>
        <v>11.5.2026</v>
      </c>
      <c r="L85" s="153">
        <v>74</v>
      </c>
      <c r="M85" s="92"/>
    </row>
    <row r="86" spans="1:13" ht="21.6" x14ac:dyDescent="0.65">
      <c r="A86" s="195"/>
      <c r="B86" s="140">
        <v>83</v>
      </c>
      <c r="C86" s="2"/>
      <c r="D86" s="1"/>
      <c r="E86" s="3"/>
      <c r="F86" s="1"/>
      <c r="G86" s="141">
        <f>IF(Basic345678910111213141516171819202122[[#This Row],[نوع الخدمة]]="مخالفات", 50,
IF(Basic345678910111213141516171819202122[[#This Row],[نوع الخدمة]]="كاش ان",
    IF(F86&lt;=100, 18, IF(F86&lt;=250, 23, IF(F86&lt;=500, 35, IF(F86&lt;=1000, 40, F86*0.04)))),
IF(Basic345678910111213141516171819202122[[#This Row],[نوع الخدمة]]="كاش اوت",
    IF(F86&lt;=100, 15, IF(F86&lt;=250, 20, IF(F86&lt;=500, 30, IF(F86&lt;=1000, 35, F86*0.035)))),
0)))</f>
        <v>0</v>
      </c>
      <c r="H86" s="178">
        <f>IF(I86="مخالفات",50,Basic345678910111213141516171819202122[[#This Row],[قيمة الرسوم / العموله]]+Basic345678910111213141516171819202122[[#This Row],[قيمة الشحنه]])</f>
        <v>0</v>
      </c>
      <c r="I86" s="90"/>
      <c r="J86" s="142" t="str">
        <f t="shared" si="1"/>
        <v>11.5.2026</v>
      </c>
      <c r="L86" s="153">
        <v>75</v>
      </c>
      <c r="M86" s="92"/>
    </row>
    <row r="87" spans="1:13" ht="21.6" x14ac:dyDescent="0.65">
      <c r="A87" s="195"/>
      <c r="B87" s="140">
        <v>84</v>
      </c>
      <c r="C87" s="2"/>
      <c r="D87" s="1"/>
      <c r="E87" s="3"/>
      <c r="F87" s="1"/>
      <c r="G87" s="141">
        <f>IF(Basic345678910111213141516171819202122[[#This Row],[نوع الخدمة]]="مخالفات", 50,
IF(Basic345678910111213141516171819202122[[#This Row],[نوع الخدمة]]="كاش ان",
    IF(F87&lt;=100, 18, IF(F87&lt;=250, 23, IF(F87&lt;=500, 35, IF(F87&lt;=1000, 40, F87*0.04)))),
IF(Basic345678910111213141516171819202122[[#This Row],[نوع الخدمة]]="كاش اوت",
    IF(F87&lt;=100, 15, IF(F87&lt;=250, 20, IF(F87&lt;=500, 30, IF(F87&lt;=1000, 35, F87*0.035)))),
0)))</f>
        <v>0</v>
      </c>
      <c r="H87" s="178">
        <f>IF(I87="مخالفات",50,Basic345678910111213141516171819202122[[#This Row],[قيمة الرسوم / العموله]]+Basic345678910111213141516171819202122[[#This Row],[قيمة الشحنه]])</f>
        <v>0</v>
      </c>
      <c r="I87" s="90"/>
      <c r="J87" s="142" t="str">
        <f t="shared" si="1"/>
        <v>11.5.2026</v>
      </c>
      <c r="L87" s="153">
        <v>76</v>
      </c>
      <c r="M87" s="92"/>
    </row>
    <row r="88" spans="1:13" ht="21.6" x14ac:dyDescent="0.65">
      <c r="A88" s="195"/>
      <c r="B88" s="140">
        <v>85</v>
      </c>
      <c r="C88" s="2"/>
      <c r="D88" s="1"/>
      <c r="E88" s="3"/>
      <c r="F88" s="1"/>
      <c r="G88" s="141">
        <f>IF(Basic345678910111213141516171819202122[[#This Row],[نوع الخدمة]]="مخالفات", 50,
IF(Basic345678910111213141516171819202122[[#This Row],[نوع الخدمة]]="كاش ان",
    IF(F88&lt;=100, 18, IF(F88&lt;=250, 23, IF(F88&lt;=500, 35, IF(F88&lt;=1000, 40, F88*0.04)))),
IF(Basic345678910111213141516171819202122[[#This Row],[نوع الخدمة]]="كاش اوت",
    IF(F88&lt;=100, 15, IF(F88&lt;=250, 20, IF(F88&lt;=500, 30, IF(F88&lt;=1000, 35, F88*0.035)))),
0)))</f>
        <v>0</v>
      </c>
      <c r="H88" s="178">
        <f>IF(I88="مخالفات",50,Basic345678910111213141516171819202122[[#This Row],[قيمة الرسوم / العموله]]+Basic345678910111213141516171819202122[[#This Row],[قيمة الشحنه]])</f>
        <v>0</v>
      </c>
      <c r="I88" s="90"/>
      <c r="J88" s="142" t="str">
        <f t="shared" si="1"/>
        <v>11.5.2026</v>
      </c>
      <c r="L88" s="153">
        <v>77</v>
      </c>
      <c r="M88" s="92"/>
    </row>
    <row r="89" spans="1:13" ht="21.6" x14ac:dyDescent="0.65">
      <c r="A89" s="195"/>
      <c r="B89" s="144">
        <v>86</v>
      </c>
      <c r="C89" s="2"/>
      <c r="D89" s="1"/>
      <c r="E89" s="3"/>
      <c r="F89" s="1"/>
      <c r="G89" s="141">
        <f>IF(Basic345678910111213141516171819202122[[#This Row],[نوع الخدمة]]="مخالفات", 50,
IF(Basic345678910111213141516171819202122[[#This Row],[نوع الخدمة]]="كاش ان",
    IF(F89&lt;=100, 18, IF(F89&lt;=250, 23, IF(F89&lt;=500, 35, IF(F89&lt;=1000, 40, F89*0.04)))),
IF(Basic345678910111213141516171819202122[[#This Row],[نوع الخدمة]]="كاش اوت",
    IF(F89&lt;=100, 15, IF(F89&lt;=250, 20, IF(F89&lt;=500, 30, IF(F89&lt;=1000, 35, F89*0.035)))),
0)))</f>
        <v>0</v>
      </c>
      <c r="H89" s="178">
        <f>IF(I89="مخالفات",50,Basic345678910111213141516171819202122[[#This Row],[قيمة الرسوم / العموله]]+Basic345678910111213141516171819202122[[#This Row],[قيمة الشحنه]])</f>
        <v>0</v>
      </c>
      <c r="I89" s="90"/>
      <c r="J89" s="142" t="str">
        <f t="shared" si="1"/>
        <v>11.5.2026</v>
      </c>
      <c r="L89" s="153">
        <v>78</v>
      </c>
      <c r="M89" s="92"/>
    </row>
    <row r="90" spans="1:13" ht="21.6" x14ac:dyDescent="0.65">
      <c r="A90" s="195"/>
      <c r="B90" s="140">
        <v>87</v>
      </c>
      <c r="C90" s="2"/>
      <c r="D90" s="1"/>
      <c r="E90" s="3"/>
      <c r="F90" s="1"/>
      <c r="G90" s="141">
        <f>IF(Basic345678910111213141516171819202122[[#This Row],[نوع الخدمة]]="مخالفات", 50,
IF(Basic345678910111213141516171819202122[[#This Row],[نوع الخدمة]]="كاش ان",
    IF(F90&lt;=100, 18, IF(F90&lt;=250, 23, IF(F90&lt;=500, 35, IF(F90&lt;=1000, 40, F90*0.04)))),
IF(Basic345678910111213141516171819202122[[#This Row],[نوع الخدمة]]="كاش اوت",
    IF(F90&lt;=100, 15, IF(F90&lt;=250, 20, IF(F90&lt;=500, 30, IF(F90&lt;=1000, 35, F90*0.035)))),
0)))</f>
        <v>0</v>
      </c>
      <c r="H90" s="178">
        <f>IF(I90="مخالفات",50,Basic345678910111213141516171819202122[[#This Row],[قيمة الرسوم / العموله]]+Basic345678910111213141516171819202122[[#This Row],[قيمة الشحنه]])</f>
        <v>0</v>
      </c>
      <c r="I90" s="90"/>
      <c r="J90" s="142" t="str">
        <f t="shared" si="1"/>
        <v>11.5.2026</v>
      </c>
      <c r="L90" s="153">
        <v>79</v>
      </c>
      <c r="M90" s="92"/>
    </row>
    <row r="91" spans="1:13" ht="21.6" x14ac:dyDescent="0.65">
      <c r="A91" s="195"/>
      <c r="B91" s="140">
        <v>88</v>
      </c>
      <c r="C91" s="2"/>
      <c r="D91" s="1"/>
      <c r="E91" s="3"/>
      <c r="F91" s="1"/>
      <c r="G91" s="141">
        <f>IF(Basic345678910111213141516171819202122[[#This Row],[نوع الخدمة]]="مخالفات", 50,
IF(Basic345678910111213141516171819202122[[#This Row],[نوع الخدمة]]="كاش ان",
    IF(F91&lt;=100, 18, IF(F91&lt;=250, 23, IF(F91&lt;=500, 35, IF(F91&lt;=1000, 40, F91*0.04)))),
IF(Basic345678910111213141516171819202122[[#This Row],[نوع الخدمة]]="كاش اوت",
    IF(F91&lt;=100, 15, IF(F91&lt;=250, 20, IF(F91&lt;=500, 30, IF(F91&lt;=1000, 35, F91*0.035)))),
0)))</f>
        <v>0</v>
      </c>
      <c r="H91" s="178">
        <f>IF(I91="مخالفات",50,Basic345678910111213141516171819202122[[#This Row],[قيمة الرسوم / العموله]]+Basic345678910111213141516171819202122[[#This Row],[قيمة الشحنه]])</f>
        <v>0</v>
      </c>
      <c r="I91" s="90"/>
      <c r="J91" s="142" t="str">
        <f t="shared" si="1"/>
        <v>11.5.2026</v>
      </c>
      <c r="L91" s="153">
        <v>80</v>
      </c>
      <c r="M91" s="92"/>
    </row>
    <row r="92" spans="1:13" ht="21.6" x14ac:dyDescent="0.65">
      <c r="A92" s="195"/>
      <c r="B92" s="140">
        <v>89</v>
      </c>
      <c r="C92" s="2"/>
      <c r="D92" s="1"/>
      <c r="E92" s="3"/>
      <c r="F92" s="1"/>
      <c r="G92" s="141">
        <f>IF(Basic345678910111213141516171819202122[[#This Row],[نوع الخدمة]]="مخالفات", 50,
IF(Basic345678910111213141516171819202122[[#This Row],[نوع الخدمة]]="كاش ان",
    IF(F92&lt;=100, 18, IF(F92&lt;=250, 23, IF(F92&lt;=500, 35, IF(F92&lt;=1000, 40, F92*0.04)))),
IF(Basic345678910111213141516171819202122[[#This Row],[نوع الخدمة]]="كاش اوت",
    IF(F92&lt;=100, 15, IF(F92&lt;=250, 20, IF(F92&lt;=500, 30, IF(F92&lt;=1000, 35, F92*0.035)))),
0)))</f>
        <v>0</v>
      </c>
      <c r="H92" s="178">
        <f>IF(I92="مخالفات",50,Basic345678910111213141516171819202122[[#This Row],[قيمة الرسوم / العموله]]+Basic345678910111213141516171819202122[[#This Row],[قيمة الشحنه]])</f>
        <v>0</v>
      </c>
      <c r="I92" s="90"/>
      <c r="J92" s="142" t="str">
        <f t="shared" si="1"/>
        <v>11.5.2026</v>
      </c>
      <c r="L92" s="153">
        <v>81</v>
      </c>
      <c r="M92" s="92"/>
    </row>
    <row r="93" spans="1:13" ht="21.6" x14ac:dyDescent="0.65">
      <c r="A93" s="195"/>
      <c r="B93" s="144">
        <v>90</v>
      </c>
      <c r="C93" s="2"/>
      <c r="D93" s="1"/>
      <c r="E93" s="3"/>
      <c r="F93" s="1"/>
      <c r="G93" s="141">
        <f>IF(Basic345678910111213141516171819202122[[#This Row],[نوع الخدمة]]="مخالفات", 50,
IF(Basic345678910111213141516171819202122[[#This Row],[نوع الخدمة]]="كاش ان",
    IF(F93&lt;=100, 18, IF(F93&lt;=250, 23, IF(F93&lt;=500, 35, IF(F93&lt;=1000, 40, F93*0.04)))),
IF(Basic345678910111213141516171819202122[[#This Row],[نوع الخدمة]]="كاش اوت",
    IF(F93&lt;=100, 15, IF(F93&lt;=250, 20, IF(F93&lt;=500, 30, IF(F93&lt;=1000, 35, F93*0.035)))),
0)))</f>
        <v>0</v>
      </c>
      <c r="H93" s="178">
        <f>IF(I93="مخالفات",50,Basic345678910111213141516171819202122[[#This Row],[قيمة الرسوم / العموله]]+Basic345678910111213141516171819202122[[#This Row],[قيمة الشحنه]])</f>
        <v>0</v>
      </c>
      <c r="I93" s="90"/>
      <c r="J93" s="142" t="str">
        <f t="shared" si="1"/>
        <v>11.5.2026</v>
      </c>
      <c r="L93" s="153">
        <v>82</v>
      </c>
      <c r="M93" s="92"/>
    </row>
    <row r="94" spans="1:13" ht="21.6" x14ac:dyDescent="0.65">
      <c r="A94" s="195"/>
      <c r="B94" s="140">
        <v>91</v>
      </c>
      <c r="C94" s="2"/>
      <c r="D94" s="1"/>
      <c r="E94" s="3"/>
      <c r="F94" s="1"/>
      <c r="G94" s="141">
        <f>IF(Basic345678910111213141516171819202122[[#This Row],[نوع الخدمة]]="مخالفات", 50,
IF(Basic345678910111213141516171819202122[[#This Row],[نوع الخدمة]]="كاش ان",
    IF(F94&lt;=100, 18, IF(F94&lt;=250, 23, IF(F94&lt;=500, 35, IF(F94&lt;=1000, 40, F94*0.04)))),
IF(Basic345678910111213141516171819202122[[#This Row],[نوع الخدمة]]="كاش اوت",
    IF(F94&lt;=100, 15, IF(F94&lt;=250, 20, IF(F94&lt;=500, 30, IF(F94&lt;=1000, 35, F94*0.035)))),
0)))</f>
        <v>0</v>
      </c>
      <c r="H94" s="178">
        <f>IF(I94="مخالفات",50,Basic345678910111213141516171819202122[[#This Row],[قيمة الرسوم / العموله]]+Basic345678910111213141516171819202122[[#This Row],[قيمة الشحنه]])</f>
        <v>0</v>
      </c>
      <c r="I94" s="90"/>
      <c r="J94" s="142" t="str">
        <f t="shared" si="1"/>
        <v>11.5.2026</v>
      </c>
      <c r="L94" s="153">
        <v>83</v>
      </c>
      <c r="M94" s="92"/>
    </row>
    <row r="95" spans="1:13" ht="21.6" x14ac:dyDescent="0.65">
      <c r="A95" s="195"/>
      <c r="B95" s="140">
        <v>92</v>
      </c>
      <c r="C95" s="2"/>
      <c r="D95" s="1"/>
      <c r="E95" s="3"/>
      <c r="F95" s="1"/>
      <c r="G95" s="141">
        <f>IF(Basic345678910111213141516171819202122[[#This Row],[نوع الخدمة]]="مخالفات", 50,
IF(Basic345678910111213141516171819202122[[#This Row],[نوع الخدمة]]="كاش ان",
    IF(F95&lt;=100, 18, IF(F95&lt;=250, 23, IF(F95&lt;=500, 35, IF(F95&lt;=1000, 40, F95*0.04)))),
IF(Basic345678910111213141516171819202122[[#This Row],[نوع الخدمة]]="كاش اوت",
    IF(F95&lt;=100, 15, IF(F95&lt;=250, 20, IF(F95&lt;=500, 30, IF(F95&lt;=1000, 35, F95*0.035)))),
0)))</f>
        <v>0</v>
      </c>
      <c r="H95" s="178">
        <f>IF(I95="مخالفات",50,Basic345678910111213141516171819202122[[#This Row],[قيمة الرسوم / العموله]]+Basic345678910111213141516171819202122[[#This Row],[قيمة الشحنه]])</f>
        <v>0</v>
      </c>
      <c r="I95" s="90"/>
      <c r="J95" s="142" t="str">
        <f t="shared" si="1"/>
        <v>11.5.2026</v>
      </c>
      <c r="L95" s="153">
        <v>84</v>
      </c>
      <c r="M95" s="92"/>
    </row>
    <row r="96" spans="1:13" ht="21.6" x14ac:dyDescent="0.65">
      <c r="A96" s="195"/>
      <c r="B96" s="140">
        <v>93</v>
      </c>
      <c r="C96" s="2"/>
      <c r="D96" s="1"/>
      <c r="E96" s="3"/>
      <c r="F96" s="1"/>
      <c r="G96" s="141">
        <f>IF(Basic345678910111213141516171819202122[[#This Row],[نوع الخدمة]]="مخالفات", 50,
IF(Basic345678910111213141516171819202122[[#This Row],[نوع الخدمة]]="كاش ان",
    IF(F96&lt;=100, 18, IF(F96&lt;=250, 23, IF(F96&lt;=500, 35, IF(F96&lt;=1000, 40, F96*0.04)))),
IF(Basic345678910111213141516171819202122[[#This Row],[نوع الخدمة]]="كاش اوت",
    IF(F96&lt;=100, 15, IF(F96&lt;=250, 20, IF(F96&lt;=500, 30, IF(F96&lt;=1000, 35, F96*0.035)))),
0)))</f>
        <v>0</v>
      </c>
      <c r="H96" s="178">
        <f>IF(I96="مخالفات",50,Basic345678910111213141516171819202122[[#This Row],[قيمة الرسوم / العموله]]+Basic345678910111213141516171819202122[[#This Row],[قيمة الشحنه]])</f>
        <v>0</v>
      </c>
      <c r="I96" s="90"/>
      <c r="J96" s="142" t="str">
        <f t="shared" si="1"/>
        <v>11.5.2026</v>
      </c>
      <c r="L96" s="153">
        <v>85</v>
      </c>
      <c r="M96" s="92"/>
    </row>
    <row r="97" spans="1:13" ht="21.6" x14ac:dyDescent="0.65">
      <c r="A97" s="195"/>
      <c r="B97" s="144">
        <v>94</v>
      </c>
      <c r="C97" s="2"/>
      <c r="D97" s="1"/>
      <c r="E97" s="3"/>
      <c r="F97" s="1"/>
      <c r="G97" s="141">
        <f>IF(Basic345678910111213141516171819202122[[#This Row],[نوع الخدمة]]="مخالفات", 50,
IF(Basic345678910111213141516171819202122[[#This Row],[نوع الخدمة]]="كاش ان",
    IF(F97&lt;=100, 18, IF(F97&lt;=250, 23, IF(F97&lt;=500, 35, IF(F97&lt;=1000, 40, F97*0.04)))),
IF(Basic345678910111213141516171819202122[[#This Row],[نوع الخدمة]]="كاش اوت",
    IF(F97&lt;=100, 15, IF(F97&lt;=250, 20, IF(F97&lt;=500, 30, IF(F97&lt;=1000, 35, F97*0.035)))),
0)))</f>
        <v>0</v>
      </c>
      <c r="H97" s="178">
        <f>IF(I97="مخالفات",50,Basic345678910111213141516171819202122[[#This Row],[قيمة الرسوم / العموله]]+Basic345678910111213141516171819202122[[#This Row],[قيمة الشحنه]])</f>
        <v>0</v>
      </c>
      <c r="I97" s="90"/>
      <c r="J97" s="142" t="str">
        <f t="shared" si="1"/>
        <v>11.5.2026</v>
      </c>
      <c r="L97" s="153">
        <v>86</v>
      </c>
      <c r="M97" s="92"/>
    </row>
    <row r="98" spans="1:13" ht="21.6" x14ac:dyDescent="0.65">
      <c r="A98" s="195"/>
      <c r="B98" s="140">
        <v>95</v>
      </c>
      <c r="C98" s="2"/>
      <c r="D98" s="1"/>
      <c r="E98" s="3"/>
      <c r="F98" s="1"/>
      <c r="G98" s="141">
        <f>IF(Basic345678910111213141516171819202122[[#This Row],[نوع الخدمة]]="مخالفات", 50,
IF(Basic345678910111213141516171819202122[[#This Row],[نوع الخدمة]]="كاش ان",
    IF(F98&lt;=100, 18, IF(F98&lt;=250, 23, IF(F98&lt;=500, 35, IF(F98&lt;=1000, 40, F98*0.04)))),
IF(Basic345678910111213141516171819202122[[#This Row],[نوع الخدمة]]="كاش اوت",
    IF(F98&lt;=100, 15, IF(F98&lt;=250, 20, IF(F98&lt;=500, 30, IF(F98&lt;=1000, 35, F98*0.035)))),
0)))</f>
        <v>0</v>
      </c>
      <c r="H98" s="178">
        <f>IF(I98="مخالفات",50,Basic345678910111213141516171819202122[[#This Row],[قيمة الرسوم / العموله]]+Basic345678910111213141516171819202122[[#This Row],[قيمة الشحنه]])</f>
        <v>0</v>
      </c>
      <c r="I98" s="90"/>
      <c r="J98" s="142" t="str">
        <f t="shared" si="1"/>
        <v>11.5.2026</v>
      </c>
      <c r="L98" s="153">
        <v>87</v>
      </c>
      <c r="M98" s="92"/>
    </row>
    <row r="99" spans="1:13" ht="21.6" x14ac:dyDescent="0.65">
      <c r="A99" s="195"/>
      <c r="B99" s="140">
        <v>96</v>
      </c>
      <c r="C99" s="2"/>
      <c r="D99" s="1"/>
      <c r="E99" s="3"/>
      <c r="F99" s="1"/>
      <c r="G99" s="141">
        <f>IF(Basic345678910111213141516171819202122[[#This Row],[نوع الخدمة]]="مخالفات", 50,
IF(Basic345678910111213141516171819202122[[#This Row],[نوع الخدمة]]="كاش ان",
    IF(F99&lt;=100, 18, IF(F99&lt;=250, 23, IF(F99&lt;=500, 35, IF(F99&lt;=1000, 40, F99*0.04)))),
IF(Basic345678910111213141516171819202122[[#This Row],[نوع الخدمة]]="كاش اوت",
    IF(F99&lt;=100, 15, IF(F99&lt;=250, 20, IF(F99&lt;=500, 30, IF(F99&lt;=1000, 35, F99*0.035)))),
0)))</f>
        <v>0</v>
      </c>
      <c r="H99" s="178">
        <f>IF(I99="مخالفات",50,Basic345678910111213141516171819202122[[#This Row],[قيمة الرسوم / العموله]]+Basic345678910111213141516171819202122[[#This Row],[قيمة الشحنه]])</f>
        <v>0</v>
      </c>
      <c r="I99" s="90"/>
      <c r="J99" s="142" t="str">
        <f t="shared" si="1"/>
        <v>11.5.2026</v>
      </c>
      <c r="L99" s="153">
        <v>88</v>
      </c>
      <c r="M99" s="92"/>
    </row>
    <row r="100" spans="1:13" ht="21.6" x14ac:dyDescent="0.65">
      <c r="A100" s="195"/>
      <c r="B100" s="140">
        <v>97</v>
      </c>
      <c r="C100" s="2"/>
      <c r="D100" s="1"/>
      <c r="E100" s="3"/>
      <c r="F100" s="1"/>
      <c r="G100" s="141">
        <f>IF(Basic345678910111213141516171819202122[[#This Row],[نوع الخدمة]]="مخالفات", 50,
IF(Basic345678910111213141516171819202122[[#This Row],[نوع الخدمة]]="كاش ان",
    IF(F100&lt;=100, 18, IF(F100&lt;=250, 23, IF(F100&lt;=500, 35, IF(F100&lt;=1000, 40, F100*0.04)))),
IF(Basic345678910111213141516171819202122[[#This Row],[نوع الخدمة]]="كاش اوت",
    IF(F100&lt;=100, 15, IF(F100&lt;=250, 20, IF(F100&lt;=500, 30, IF(F100&lt;=1000, 35, F100*0.035)))),
0)))</f>
        <v>0</v>
      </c>
      <c r="H100" s="178">
        <f>IF(I100="مخالفات",50,Basic345678910111213141516171819202122[[#This Row],[قيمة الرسوم / العموله]]+Basic345678910111213141516171819202122[[#This Row],[قيمة الشحنه]])</f>
        <v>0</v>
      </c>
      <c r="I100" s="90"/>
      <c r="J100" s="142" t="str">
        <f t="shared" si="1"/>
        <v>11.5.2026</v>
      </c>
      <c r="L100" s="153">
        <v>89</v>
      </c>
      <c r="M100" s="92"/>
    </row>
    <row r="101" spans="1:13" ht="21.6" x14ac:dyDescent="0.65">
      <c r="A101" s="195"/>
      <c r="B101" s="144">
        <v>98</v>
      </c>
      <c r="C101" s="2"/>
      <c r="D101" s="1"/>
      <c r="E101" s="3"/>
      <c r="F101" s="1"/>
      <c r="G101" s="141">
        <f>IF(Basic345678910111213141516171819202122[[#This Row],[نوع الخدمة]]="مخالفات", 50,
IF(Basic345678910111213141516171819202122[[#This Row],[نوع الخدمة]]="كاش ان",
    IF(F101&lt;=100, 18, IF(F101&lt;=250, 23, IF(F101&lt;=500, 35, IF(F101&lt;=1000, 40, F101*0.04)))),
IF(Basic345678910111213141516171819202122[[#This Row],[نوع الخدمة]]="كاش اوت",
    IF(F101&lt;=100, 15, IF(F101&lt;=250, 20, IF(F101&lt;=500, 30, IF(F101&lt;=1000, 35, F101*0.035)))),
0)))</f>
        <v>0</v>
      </c>
      <c r="H101" s="178">
        <f>IF(I101="مخالفات",50,Basic345678910111213141516171819202122[[#This Row],[قيمة الرسوم / العموله]]+Basic345678910111213141516171819202122[[#This Row],[قيمة الشحنه]])</f>
        <v>0</v>
      </c>
      <c r="I101" s="90"/>
      <c r="J101" s="142" t="str">
        <f t="shared" si="1"/>
        <v>11.5.2026</v>
      </c>
      <c r="L101" s="153">
        <v>90</v>
      </c>
      <c r="M101" s="92"/>
    </row>
    <row r="102" spans="1:13" ht="21.6" x14ac:dyDescent="0.65">
      <c r="A102" s="195"/>
      <c r="B102" s="140">
        <v>99</v>
      </c>
      <c r="C102" s="2"/>
      <c r="D102" s="1"/>
      <c r="E102" s="3"/>
      <c r="F102" s="1"/>
      <c r="G102" s="141">
        <f>IF(Basic345678910111213141516171819202122[[#This Row],[نوع الخدمة]]="مخالفات", 50,
IF(Basic345678910111213141516171819202122[[#This Row],[نوع الخدمة]]="كاش ان",
    IF(F102&lt;=100, 18, IF(F102&lt;=250, 23, IF(F102&lt;=500, 35, IF(F102&lt;=1000, 40, F102*0.04)))),
IF(Basic345678910111213141516171819202122[[#This Row],[نوع الخدمة]]="كاش اوت",
    IF(F102&lt;=100, 15, IF(F102&lt;=250, 20, IF(F102&lt;=500, 30, IF(F102&lt;=1000, 35, F102*0.035)))),
0)))</f>
        <v>0</v>
      </c>
      <c r="H102" s="178">
        <f>IF(I102="مخالفات",50,Basic345678910111213141516171819202122[[#This Row],[قيمة الرسوم / العموله]]+Basic345678910111213141516171819202122[[#This Row],[قيمة الشحنه]])</f>
        <v>0</v>
      </c>
      <c r="I102" s="90"/>
      <c r="J102" s="142" t="str">
        <f t="shared" si="1"/>
        <v>11.5.2026</v>
      </c>
      <c r="L102" s="153">
        <v>91</v>
      </c>
      <c r="M102" s="92"/>
    </row>
    <row r="103" spans="1:13" ht="21.6" x14ac:dyDescent="0.65">
      <c r="A103" s="195"/>
      <c r="B103" s="140">
        <v>100</v>
      </c>
      <c r="C103" s="2"/>
      <c r="D103" s="1"/>
      <c r="E103" s="3"/>
      <c r="F103" s="1"/>
      <c r="G103" s="141">
        <f>IF(Basic345678910111213141516171819202122[[#This Row],[نوع الخدمة]]="مخالفات", 50,
IF(Basic345678910111213141516171819202122[[#This Row],[نوع الخدمة]]="كاش ان",
    IF(F103&lt;=100, 18, IF(F103&lt;=250, 23, IF(F103&lt;=500, 35, IF(F103&lt;=1000, 40, F103*0.04)))),
IF(Basic345678910111213141516171819202122[[#This Row],[نوع الخدمة]]="كاش اوت",
    IF(F103&lt;=100, 15, IF(F103&lt;=250, 20, IF(F103&lt;=500, 30, IF(F103&lt;=1000, 35, F103*0.035)))),
0)))</f>
        <v>0</v>
      </c>
      <c r="H103" s="178">
        <f>IF(I103="مخالفات",50,Basic345678910111213141516171819202122[[#This Row],[قيمة الرسوم / العموله]]+Basic345678910111213141516171819202122[[#This Row],[قيمة الشحنه]])</f>
        <v>0</v>
      </c>
      <c r="I103" s="90"/>
      <c r="J103" s="142" t="str">
        <f t="shared" si="1"/>
        <v>11.5.2026</v>
      </c>
      <c r="L103" s="153">
        <v>92</v>
      </c>
      <c r="M103" s="92"/>
    </row>
    <row r="104" spans="1:13" ht="21.6" x14ac:dyDescent="0.65">
      <c r="A104" s="195"/>
      <c r="B104" s="140">
        <v>101</v>
      </c>
      <c r="C104" s="2"/>
      <c r="D104" s="1"/>
      <c r="E104" s="3"/>
      <c r="F104" s="1"/>
      <c r="G104" s="141">
        <f>IF(Basic345678910111213141516171819202122[[#This Row],[نوع الخدمة]]="مخالفات", 50,
IF(Basic345678910111213141516171819202122[[#This Row],[نوع الخدمة]]="كاش ان",
    IF(F104&lt;=100, 18, IF(F104&lt;=250, 23, IF(F104&lt;=500, 35, IF(F104&lt;=1000, 40, F104*0.04)))),
IF(Basic345678910111213141516171819202122[[#This Row],[نوع الخدمة]]="كاش اوت",
    IF(F104&lt;=100, 15, IF(F104&lt;=250, 20, IF(F104&lt;=500, 30, IF(F104&lt;=1000, 35, F104*0.035)))),
0)))</f>
        <v>0</v>
      </c>
      <c r="H104" s="178">
        <f>IF(I104="مخالفات",50,Basic345678910111213141516171819202122[[#This Row],[قيمة الرسوم / العموله]]+Basic345678910111213141516171819202122[[#This Row],[قيمة الشحنه]])</f>
        <v>0</v>
      </c>
      <c r="I104" s="90"/>
      <c r="J104" s="142" t="str">
        <f t="shared" si="1"/>
        <v>11.5.2026</v>
      </c>
      <c r="L104" s="153">
        <v>93</v>
      </c>
      <c r="M104" s="92"/>
    </row>
    <row r="105" spans="1:13" ht="21.6" x14ac:dyDescent="0.65">
      <c r="A105" s="195"/>
      <c r="B105" s="144">
        <v>102</v>
      </c>
      <c r="C105" s="2"/>
      <c r="D105" s="1"/>
      <c r="E105" s="3"/>
      <c r="F105" s="1"/>
      <c r="G105" s="141">
        <f>IF(Basic345678910111213141516171819202122[[#This Row],[نوع الخدمة]]="مخالفات", 50,
IF(Basic345678910111213141516171819202122[[#This Row],[نوع الخدمة]]="كاش ان",
    IF(F105&lt;=100, 18, IF(F105&lt;=250, 23, IF(F105&lt;=500, 35, IF(F105&lt;=1000, 40, F105*0.04)))),
IF(Basic345678910111213141516171819202122[[#This Row],[نوع الخدمة]]="كاش اوت",
    IF(F105&lt;=100, 15, IF(F105&lt;=250, 20, IF(F105&lt;=500, 30, IF(F105&lt;=1000, 35, F105*0.035)))),
0)))</f>
        <v>0</v>
      </c>
      <c r="H105" s="178">
        <f>IF(I105="مخالفات",50,Basic345678910111213141516171819202122[[#This Row],[قيمة الرسوم / العموله]]+Basic345678910111213141516171819202122[[#This Row],[قيمة الشحنه]])</f>
        <v>0</v>
      </c>
      <c r="I105" s="90"/>
      <c r="J105" s="142" t="str">
        <f t="shared" si="1"/>
        <v>11.5.2026</v>
      </c>
      <c r="L105" s="153">
        <v>94</v>
      </c>
      <c r="M105" s="92"/>
    </row>
    <row r="106" spans="1:13" ht="21.6" x14ac:dyDescent="0.65">
      <c r="A106" s="195"/>
      <c r="B106" s="140">
        <v>103</v>
      </c>
      <c r="C106" s="2"/>
      <c r="D106" s="1"/>
      <c r="E106" s="3"/>
      <c r="F106" s="1"/>
      <c r="G106" s="141">
        <f>IF(Basic345678910111213141516171819202122[[#This Row],[نوع الخدمة]]="مخالفات", 50,
IF(Basic345678910111213141516171819202122[[#This Row],[نوع الخدمة]]="كاش ان",
    IF(F106&lt;=100, 18, IF(F106&lt;=250, 23, IF(F106&lt;=500, 35, IF(F106&lt;=1000, 40, F106*0.04)))),
IF(Basic345678910111213141516171819202122[[#This Row],[نوع الخدمة]]="كاش اوت",
    IF(F106&lt;=100, 15, IF(F106&lt;=250, 20, IF(F106&lt;=500, 30, IF(F106&lt;=1000, 35, F106*0.035)))),
0)))</f>
        <v>0</v>
      </c>
      <c r="H106" s="178">
        <f>IF(I106="مخالفات",50,Basic345678910111213141516171819202122[[#This Row],[قيمة الرسوم / العموله]]+Basic345678910111213141516171819202122[[#This Row],[قيمة الشحنه]])</f>
        <v>0</v>
      </c>
      <c r="I106" s="90"/>
      <c r="J106" s="142" t="str">
        <f t="shared" si="1"/>
        <v>11.5.2026</v>
      </c>
      <c r="L106" s="153">
        <v>95</v>
      </c>
      <c r="M106" s="92"/>
    </row>
    <row r="107" spans="1:13" ht="21.6" x14ac:dyDescent="0.65">
      <c r="A107" s="195"/>
      <c r="B107" s="140">
        <v>104</v>
      </c>
      <c r="C107" s="2"/>
      <c r="D107" s="1"/>
      <c r="E107" s="3"/>
      <c r="F107" s="1"/>
      <c r="G107" s="141">
        <f>IF(Basic345678910111213141516171819202122[[#This Row],[نوع الخدمة]]="مخالفات", 50,
IF(Basic345678910111213141516171819202122[[#This Row],[نوع الخدمة]]="كاش ان",
    IF(F107&lt;=100, 18, IF(F107&lt;=250, 23, IF(F107&lt;=500, 35, IF(F107&lt;=1000, 40, F107*0.04)))),
IF(Basic345678910111213141516171819202122[[#This Row],[نوع الخدمة]]="كاش اوت",
    IF(F107&lt;=100, 15, IF(F107&lt;=250, 20, IF(F107&lt;=500, 30, IF(F107&lt;=1000, 35, F107*0.035)))),
0)))</f>
        <v>0</v>
      </c>
      <c r="H107" s="178">
        <f>IF(I107="مخالفات",50,Basic345678910111213141516171819202122[[#This Row],[قيمة الرسوم / العموله]]+Basic345678910111213141516171819202122[[#This Row],[قيمة الشحنه]])</f>
        <v>0</v>
      </c>
      <c r="I107" s="90"/>
      <c r="J107" s="142" t="str">
        <f t="shared" si="1"/>
        <v>11.5.2026</v>
      </c>
      <c r="L107" s="153">
        <v>96</v>
      </c>
      <c r="M107" s="92"/>
    </row>
    <row r="108" spans="1:13" ht="21.6" x14ac:dyDescent="0.65">
      <c r="A108" s="195"/>
      <c r="B108" s="140">
        <v>105</v>
      </c>
      <c r="C108" s="2"/>
      <c r="D108" s="1"/>
      <c r="E108" s="3"/>
      <c r="F108" s="1"/>
      <c r="G108" s="141">
        <f>IF(Basic345678910111213141516171819202122[[#This Row],[نوع الخدمة]]="مخالفات", 50,
IF(Basic345678910111213141516171819202122[[#This Row],[نوع الخدمة]]="كاش ان",
    IF(F108&lt;=100, 18, IF(F108&lt;=250, 23, IF(F108&lt;=500, 35, IF(F108&lt;=1000, 40, F108*0.04)))),
IF(Basic345678910111213141516171819202122[[#This Row],[نوع الخدمة]]="كاش اوت",
    IF(F108&lt;=100, 15, IF(F108&lt;=250, 20, IF(F108&lt;=500, 30, IF(F108&lt;=1000, 35, F108*0.035)))),
0)))</f>
        <v>0</v>
      </c>
      <c r="H108" s="178">
        <f>IF(I108="مخالفات",50,Basic345678910111213141516171819202122[[#This Row],[قيمة الرسوم / العموله]]+Basic345678910111213141516171819202122[[#This Row],[قيمة الشحنه]])</f>
        <v>0</v>
      </c>
      <c r="I108" s="90"/>
      <c r="J108" s="142" t="str">
        <f t="shared" si="1"/>
        <v>11.5.2026</v>
      </c>
      <c r="L108" s="153">
        <v>97</v>
      </c>
      <c r="M108" s="92"/>
    </row>
    <row r="109" spans="1:13" ht="21.6" x14ac:dyDescent="0.65">
      <c r="A109" s="195"/>
      <c r="B109" s="144">
        <v>106</v>
      </c>
      <c r="C109" s="2"/>
      <c r="D109" s="1"/>
      <c r="E109" s="3"/>
      <c r="F109" s="1"/>
      <c r="G109" s="141">
        <f>IF(Basic345678910111213141516171819202122[[#This Row],[نوع الخدمة]]="مخالفات", 50,
IF(Basic345678910111213141516171819202122[[#This Row],[نوع الخدمة]]="كاش ان",
    IF(F109&lt;=100, 18, IF(F109&lt;=250, 23, IF(F109&lt;=500, 35, IF(F109&lt;=1000, 40, F109*0.04)))),
IF(Basic345678910111213141516171819202122[[#This Row],[نوع الخدمة]]="كاش اوت",
    IF(F109&lt;=100, 15, IF(F109&lt;=250, 20, IF(F109&lt;=500, 30, IF(F109&lt;=1000, 35, F109*0.035)))),
0)))</f>
        <v>0</v>
      </c>
      <c r="H109" s="178">
        <f>IF(I109="مخالفات",50,Basic345678910111213141516171819202122[[#This Row],[قيمة الرسوم / العموله]]+Basic345678910111213141516171819202122[[#This Row],[قيمة الشحنه]])</f>
        <v>0</v>
      </c>
      <c r="I109" s="90"/>
      <c r="J109" s="142" t="str">
        <f t="shared" si="1"/>
        <v>11.5.2026</v>
      </c>
      <c r="L109" s="153">
        <v>98</v>
      </c>
      <c r="M109" s="92"/>
    </row>
    <row r="110" spans="1:13" ht="21.6" x14ac:dyDescent="0.65">
      <c r="A110" s="195"/>
      <c r="B110" s="140">
        <v>107</v>
      </c>
      <c r="C110" s="2"/>
      <c r="D110" s="1"/>
      <c r="E110" s="3"/>
      <c r="F110" s="1"/>
      <c r="G110" s="141">
        <f>IF(Basic345678910111213141516171819202122[[#This Row],[نوع الخدمة]]="مخالفات", 50,
IF(Basic345678910111213141516171819202122[[#This Row],[نوع الخدمة]]="كاش ان",
    IF(F110&lt;=100, 18, IF(F110&lt;=250, 23, IF(F110&lt;=500, 35, IF(F110&lt;=1000, 40, F110*0.04)))),
IF(Basic345678910111213141516171819202122[[#This Row],[نوع الخدمة]]="كاش اوت",
    IF(F110&lt;=100, 15, IF(F110&lt;=250, 20, IF(F110&lt;=500, 30, IF(F110&lt;=1000, 35, F110*0.035)))),
0)))</f>
        <v>0</v>
      </c>
      <c r="H110" s="178">
        <f>IF(I110="مخالفات",50,Basic345678910111213141516171819202122[[#This Row],[قيمة الرسوم / العموله]]+Basic345678910111213141516171819202122[[#This Row],[قيمة الشحنه]])</f>
        <v>0</v>
      </c>
      <c r="I110" s="90"/>
      <c r="J110" s="142" t="str">
        <f t="shared" si="1"/>
        <v>11.5.2026</v>
      </c>
      <c r="L110" s="153">
        <v>99</v>
      </c>
      <c r="M110" s="92"/>
    </row>
    <row r="111" spans="1:13" ht="21.6" x14ac:dyDescent="0.65">
      <c r="A111" s="195"/>
      <c r="B111" s="140">
        <v>108</v>
      </c>
      <c r="C111" s="2"/>
      <c r="D111" s="1"/>
      <c r="E111" s="3"/>
      <c r="F111" s="1"/>
      <c r="G111" s="141">
        <f>IF(Basic345678910111213141516171819202122[[#This Row],[نوع الخدمة]]="مخالفات", 50,
IF(Basic345678910111213141516171819202122[[#This Row],[نوع الخدمة]]="كاش ان",
    IF(F111&lt;=100, 18, IF(F111&lt;=250, 23, IF(F111&lt;=500, 35, IF(F111&lt;=1000, 40, F111*0.04)))),
IF(Basic345678910111213141516171819202122[[#This Row],[نوع الخدمة]]="كاش اوت",
    IF(F111&lt;=100, 15, IF(F111&lt;=250, 20, IF(F111&lt;=500, 30, IF(F111&lt;=1000, 35, F111*0.035)))),
0)))</f>
        <v>0</v>
      </c>
      <c r="H111" s="178">
        <f>IF(I111="مخالفات",50,Basic345678910111213141516171819202122[[#This Row],[قيمة الرسوم / العموله]]+Basic345678910111213141516171819202122[[#This Row],[قيمة الشحنه]])</f>
        <v>0</v>
      </c>
      <c r="I111" s="90"/>
      <c r="J111" s="142" t="str">
        <f t="shared" si="1"/>
        <v>11.5.2026</v>
      </c>
      <c r="L111" s="153">
        <v>100</v>
      </c>
      <c r="M111" s="92"/>
    </row>
    <row r="112" spans="1:13" ht="21.6" x14ac:dyDescent="0.65">
      <c r="A112" s="195"/>
      <c r="B112" s="140">
        <v>109</v>
      </c>
      <c r="C112" s="2"/>
      <c r="D112" s="1"/>
      <c r="E112" s="3"/>
      <c r="F112" s="1"/>
      <c r="G112" s="141">
        <f>IF(Basic345678910111213141516171819202122[[#This Row],[نوع الخدمة]]="مخالفات", 50,
IF(Basic345678910111213141516171819202122[[#This Row],[نوع الخدمة]]="كاش ان",
    IF(F112&lt;=100, 18, IF(F112&lt;=250, 23, IF(F112&lt;=500, 35, IF(F112&lt;=1000, 40, F112*0.04)))),
IF(Basic345678910111213141516171819202122[[#This Row],[نوع الخدمة]]="كاش اوت",
    IF(F112&lt;=100, 15, IF(F112&lt;=250, 20, IF(F112&lt;=500, 30, IF(F112&lt;=1000, 35, F112*0.035)))),
0)))</f>
        <v>0</v>
      </c>
      <c r="H112" s="178">
        <f>IF(I112="مخالفات",50,Basic345678910111213141516171819202122[[#This Row],[قيمة الرسوم / العموله]]+Basic345678910111213141516171819202122[[#This Row],[قيمة الشحنه]])</f>
        <v>0</v>
      </c>
      <c r="I112" s="90"/>
      <c r="J112" s="142" t="str">
        <f t="shared" si="1"/>
        <v>11.5.2026</v>
      </c>
      <c r="L112" s="153">
        <v>101</v>
      </c>
      <c r="M112" s="92"/>
    </row>
    <row r="113" spans="1:13" ht="21.6" x14ac:dyDescent="0.65">
      <c r="A113" s="195"/>
      <c r="B113" s="144">
        <v>110</v>
      </c>
      <c r="C113" s="2"/>
      <c r="D113" s="1"/>
      <c r="E113" s="3"/>
      <c r="F113" s="1"/>
      <c r="G113" s="141">
        <f>IF(Basic345678910111213141516171819202122[[#This Row],[نوع الخدمة]]="مخالفات", 50,
IF(Basic345678910111213141516171819202122[[#This Row],[نوع الخدمة]]="كاش ان",
    IF(F113&lt;=100, 18, IF(F113&lt;=250, 23, IF(F113&lt;=500, 35, IF(F113&lt;=1000, 40, F113*0.04)))),
IF(Basic345678910111213141516171819202122[[#This Row],[نوع الخدمة]]="كاش اوت",
    IF(F113&lt;=100, 15, IF(F113&lt;=250, 20, IF(F113&lt;=500, 30, IF(F113&lt;=1000, 35, F113*0.035)))),
0)))</f>
        <v>0</v>
      </c>
      <c r="H113" s="178">
        <f>IF(I113="مخالفات",50,Basic345678910111213141516171819202122[[#This Row],[قيمة الرسوم / العموله]]+Basic345678910111213141516171819202122[[#This Row],[قيمة الشحنه]])</f>
        <v>0</v>
      </c>
      <c r="I113" s="90"/>
      <c r="J113" s="142" t="str">
        <f t="shared" si="1"/>
        <v>11.5.2026</v>
      </c>
      <c r="L113" s="153">
        <v>102</v>
      </c>
      <c r="M113" s="92"/>
    </row>
    <row r="114" spans="1:13" ht="21.6" x14ac:dyDescent="0.65">
      <c r="A114" s="195"/>
      <c r="B114" s="140">
        <v>111</v>
      </c>
      <c r="C114" s="2"/>
      <c r="D114" s="1"/>
      <c r="E114" s="3"/>
      <c r="F114" s="1"/>
      <c r="G114" s="141">
        <f>IF(Basic345678910111213141516171819202122[[#This Row],[نوع الخدمة]]="مخالفات", 50,
IF(Basic345678910111213141516171819202122[[#This Row],[نوع الخدمة]]="كاش ان",
    IF(F114&lt;=100, 18, IF(F114&lt;=250, 23, IF(F114&lt;=500, 35, IF(F114&lt;=1000, 40, F114*0.04)))),
IF(Basic345678910111213141516171819202122[[#This Row],[نوع الخدمة]]="كاش اوت",
    IF(F114&lt;=100, 15, IF(F114&lt;=250, 20, IF(F114&lt;=500, 30, IF(F114&lt;=1000, 35, F114*0.035)))),
0)))</f>
        <v>0</v>
      </c>
      <c r="H114" s="178">
        <f>IF(I114="مخالفات",50,Basic345678910111213141516171819202122[[#This Row],[قيمة الرسوم / العموله]]+Basic345678910111213141516171819202122[[#This Row],[قيمة الشحنه]])</f>
        <v>0</v>
      </c>
      <c r="I114" s="90"/>
      <c r="J114" s="142" t="str">
        <f t="shared" si="1"/>
        <v>11.5.2026</v>
      </c>
      <c r="L114" s="153">
        <v>103</v>
      </c>
      <c r="M114" s="92"/>
    </row>
    <row r="115" spans="1:13" ht="21.6" x14ac:dyDescent="0.65">
      <c r="A115" s="195"/>
      <c r="B115" s="140">
        <v>112</v>
      </c>
      <c r="C115" s="2"/>
      <c r="D115" s="1"/>
      <c r="E115" s="3"/>
      <c r="F115" s="1"/>
      <c r="G115" s="141">
        <f>IF(Basic345678910111213141516171819202122[[#This Row],[نوع الخدمة]]="مخالفات", 50,
IF(Basic345678910111213141516171819202122[[#This Row],[نوع الخدمة]]="كاش ان",
    IF(F115&lt;=100, 18, IF(F115&lt;=250, 23, IF(F115&lt;=500, 35, IF(F115&lt;=1000, 40, F115*0.04)))),
IF(Basic345678910111213141516171819202122[[#This Row],[نوع الخدمة]]="كاش اوت",
    IF(F115&lt;=100, 15, IF(F115&lt;=250, 20, IF(F115&lt;=500, 30, IF(F115&lt;=1000, 35, F115*0.035)))),
0)))</f>
        <v>0</v>
      </c>
      <c r="H115" s="178">
        <f>IF(I115="مخالفات",50,Basic345678910111213141516171819202122[[#This Row],[قيمة الرسوم / العموله]]+Basic345678910111213141516171819202122[[#This Row],[قيمة الشحنه]])</f>
        <v>0</v>
      </c>
      <c r="I115" s="90"/>
      <c r="J115" s="142" t="str">
        <f t="shared" si="1"/>
        <v>11.5.2026</v>
      </c>
      <c r="L115" s="153">
        <v>104</v>
      </c>
      <c r="M115" s="92"/>
    </row>
    <row r="116" spans="1:13" ht="21.6" x14ac:dyDescent="0.65">
      <c r="A116" s="195"/>
      <c r="B116" s="140">
        <v>113</v>
      </c>
      <c r="C116" s="2"/>
      <c r="D116" s="1"/>
      <c r="E116" s="3"/>
      <c r="F116" s="1"/>
      <c r="G116" s="141">
        <f>IF(Basic345678910111213141516171819202122[[#This Row],[نوع الخدمة]]="مخالفات", 50,
IF(Basic345678910111213141516171819202122[[#This Row],[نوع الخدمة]]="كاش ان",
    IF(F116&lt;=100, 18, IF(F116&lt;=250, 23, IF(F116&lt;=500, 35, IF(F116&lt;=1000, 40, F116*0.04)))),
IF(Basic345678910111213141516171819202122[[#This Row],[نوع الخدمة]]="كاش اوت",
    IF(F116&lt;=100, 15, IF(F116&lt;=250, 20, IF(F116&lt;=500, 30, IF(F116&lt;=1000, 35, F116*0.035)))),
0)))</f>
        <v>0</v>
      </c>
      <c r="H116" s="178">
        <f>IF(I116="مخالفات",50,Basic345678910111213141516171819202122[[#This Row],[قيمة الرسوم / العموله]]+Basic345678910111213141516171819202122[[#This Row],[قيمة الشحنه]])</f>
        <v>0</v>
      </c>
      <c r="I116" s="90"/>
      <c r="J116" s="142" t="str">
        <f t="shared" si="1"/>
        <v>11.5.2026</v>
      </c>
      <c r="L116" s="153">
        <v>105</v>
      </c>
      <c r="M116" s="92"/>
    </row>
    <row r="117" spans="1:13" ht="21.6" x14ac:dyDescent="0.65">
      <c r="A117" s="195"/>
      <c r="B117" s="144">
        <v>114</v>
      </c>
      <c r="C117" s="2"/>
      <c r="D117" s="1"/>
      <c r="E117" s="3"/>
      <c r="F117" s="1"/>
      <c r="G117" s="141">
        <f>IF(Basic345678910111213141516171819202122[[#This Row],[نوع الخدمة]]="مخالفات", 50,
IF(Basic345678910111213141516171819202122[[#This Row],[نوع الخدمة]]="كاش ان",
    IF(F117&lt;=100, 18, IF(F117&lt;=250, 23, IF(F117&lt;=500, 35, IF(F117&lt;=1000, 40, F117*0.04)))),
IF(Basic345678910111213141516171819202122[[#This Row],[نوع الخدمة]]="كاش اوت",
    IF(F117&lt;=100, 15, IF(F117&lt;=250, 20, IF(F117&lt;=500, 30, IF(F117&lt;=1000, 35, F117*0.035)))),
0)))</f>
        <v>0</v>
      </c>
      <c r="H117" s="178">
        <f>IF(I117="مخالفات",50,Basic345678910111213141516171819202122[[#This Row],[قيمة الرسوم / العموله]]+Basic345678910111213141516171819202122[[#This Row],[قيمة الشحنه]])</f>
        <v>0</v>
      </c>
      <c r="I117" s="90"/>
      <c r="J117" s="142" t="str">
        <f t="shared" si="1"/>
        <v>11.5.2026</v>
      </c>
      <c r="L117" s="153">
        <v>106</v>
      </c>
      <c r="M117" s="92"/>
    </row>
    <row r="118" spans="1:13" ht="21.6" x14ac:dyDescent="0.65">
      <c r="A118" s="195"/>
      <c r="B118" s="140">
        <v>115</v>
      </c>
      <c r="C118" s="2"/>
      <c r="D118" s="1"/>
      <c r="E118" s="3"/>
      <c r="F118" s="1"/>
      <c r="G118" s="141">
        <f>IF(Basic345678910111213141516171819202122[[#This Row],[نوع الخدمة]]="مخالفات", 50,
IF(Basic345678910111213141516171819202122[[#This Row],[نوع الخدمة]]="كاش ان",
    IF(F118&lt;=100, 18, IF(F118&lt;=250, 23, IF(F118&lt;=500, 35, IF(F118&lt;=1000, 40, F118*0.04)))),
IF(Basic345678910111213141516171819202122[[#This Row],[نوع الخدمة]]="كاش اوت",
    IF(F118&lt;=100, 15, IF(F118&lt;=250, 20, IF(F118&lt;=500, 30, IF(F118&lt;=1000, 35, F118*0.035)))),
0)))</f>
        <v>0</v>
      </c>
      <c r="H118" s="178">
        <f>IF(I118="مخالفات",50,Basic345678910111213141516171819202122[[#This Row],[قيمة الرسوم / العموله]]+Basic345678910111213141516171819202122[[#This Row],[قيمة الشحنه]])</f>
        <v>0</v>
      </c>
      <c r="I118" s="90"/>
      <c r="J118" s="142" t="str">
        <f t="shared" si="1"/>
        <v>11.5.2026</v>
      </c>
      <c r="L118" s="153">
        <v>107</v>
      </c>
      <c r="M118" s="92"/>
    </row>
    <row r="119" spans="1:13" ht="21.6" x14ac:dyDescent="0.65">
      <c r="A119" s="195"/>
      <c r="B119" s="140">
        <v>116</v>
      </c>
      <c r="C119" s="2"/>
      <c r="D119" s="1"/>
      <c r="E119" s="3"/>
      <c r="F119" s="1"/>
      <c r="G119" s="141">
        <f>IF(Basic345678910111213141516171819202122[[#This Row],[نوع الخدمة]]="مخالفات", 50,
IF(Basic345678910111213141516171819202122[[#This Row],[نوع الخدمة]]="كاش ان",
    IF(F119&lt;=100, 18, IF(F119&lt;=250, 23, IF(F119&lt;=500, 35, IF(F119&lt;=1000, 40, F119*0.04)))),
IF(Basic345678910111213141516171819202122[[#This Row],[نوع الخدمة]]="كاش اوت",
    IF(F119&lt;=100, 15, IF(F119&lt;=250, 20, IF(F119&lt;=500, 30, IF(F119&lt;=1000, 35, F119*0.035)))),
0)))</f>
        <v>0</v>
      </c>
      <c r="H119" s="178">
        <f>IF(I119="مخالفات",50,Basic345678910111213141516171819202122[[#This Row],[قيمة الرسوم / العموله]]+Basic345678910111213141516171819202122[[#This Row],[قيمة الشحنه]])</f>
        <v>0</v>
      </c>
      <c r="I119" s="90"/>
      <c r="J119" s="142" t="str">
        <f t="shared" si="1"/>
        <v>11.5.2026</v>
      </c>
      <c r="L119" s="153">
        <v>108</v>
      </c>
      <c r="M119" s="92"/>
    </row>
    <row r="120" spans="1:13" ht="21.6" x14ac:dyDescent="0.65">
      <c r="A120" s="195"/>
      <c r="B120" s="140">
        <v>117</v>
      </c>
      <c r="C120" s="2"/>
      <c r="D120" s="1"/>
      <c r="E120" s="3"/>
      <c r="F120" s="1"/>
      <c r="G120" s="141">
        <f>IF(Basic345678910111213141516171819202122[[#This Row],[نوع الخدمة]]="مخالفات", 50,
IF(Basic345678910111213141516171819202122[[#This Row],[نوع الخدمة]]="كاش ان",
    IF(F120&lt;=100, 18, IF(F120&lt;=250, 23, IF(F120&lt;=500, 35, IF(F120&lt;=1000, 40, F120*0.04)))),
IF(Basic345678910111213141516171819202122[[#This Row],[نوع الخدمة]]="كاش اوت",
    IF(F120&lt;=100, 15, IF(F120&lt;=250, 20, IF(F120&lt;=500, 30, IF(F120&lt;=1000, 35, F120*0.035)))),
0)))</f>
        <v>0</v>
      </c>
      <c r="H120" s="178">
        <f>IF(I120="مخالفات",50,Basic345678910111213141516171819202122[[#This Row],[قيمة الرسوم / العموله]]+Basic345678910111213141516171819202122[[#This Row],[قيمة الشحنه]])</f>
        <v>0</v>
      </c>
      <c r="I120" s="90"/>
      <c r="J120" s="142" t="str">
        <f t="shared" si="1"/>
        <v>11.5.2026</v>
      </c>
      <c r="L120" s="153">
        <v>109</v>
      </c>
      <c r="M120" s="92"/>
    </row>
    <row r="121" spans="1:13" ht="21.6" x14ac:dyDescent="0.65">
      <c r="A121" s="195"/>
      <c r="B121" s="144">
        <v>118</v>
      </c>
      <c r="C121" s="2"/>
      <c r="D121" s="1"/>
      <c r="E121" s="3"/>
      <c r="F121" s="1"/>
      <c r="G121" s="141">
        <f>IF(Basic345678910111213141516171819202122[[#This Row],[نوع الخدمة]]="مخالفات", 50,
IF(Basic345678910111213141516171819202122[[#This Row],[نوع الخدمة]]="كاش ان",
    IF(F121&lt;=100, 18, IF(F121&lt;=250, 23, IF(F121&lt;=500, 35, IF(F121&lt;=1000, 40, F121*0.04)))),
IF(Basic345678910111213141516171819202122[[#This Row],[نوع الخدمة]]="كاش اوت",
    IF(F121&lt;=100, 15, IF(F121&lt;=250, 20, IF(F121&lt;=500, 30, IF(F121&lt;=1000, 35, F121*0.035)))),
0)))</f>
        <v>0</v>
      </c>
      <c r="H121" s="178">
        <f>IF(I121="مخالفات",50,Basic345678910111213141516171819202122[[#This Row],[قيمة الرسوم / العموله]]+Basic345678910111213141516171819202122[[#This Row],[قيمة الشحنه]])</f>
        <v>0</v>
      </c>
      <c r="I121" s="90"/>
      <c r="J121" s="142" t="str">
        <f t="shared" si="1"/>
        <v>11.5.2026</v>
      </c>
      <c r="L121" s="153">
        <v>110</v>
      </c>
      <c r="M121" s="92"/>
    </row>
    <row r="122" spans="1:13" ht="21.6" x14ac:dyDescent="0.65">
      <c r="A122" s="195"/>
      <c r="B122" s="140">
        <v>119</v>
      </c>
      <c r="C122" s="2"/>
      <c r="D122" s="1"/>
      <c r="E122" s="3"/>
      <c r="F122" s="1"/>
      <c r="G122" s="141">
        <f>IF(Basic345678910111213141516171819202122[[#This Row],[نوع الخدمة]]="مخالفات", 50,
IF(Basic345678910111213141516171819202122[[#This Row],[نوع الخدمة]]="كاش ان",
    IF(F122&lt;=100, 18, IF(F122&lt;=250, 23, IF(F122&lt;=500, 35, IF(F122&lt;=1000, 40, F122*0.04)))),
IF(Basic345678910111213141516171819202122[[#This Row],[نوع الخدمة]]="كاش اوت",
    IF(F122&lt;=100, 15, IF(F122&lt;=250, 20, IF(F122&lt;=500, 30, IF(F122&lt;=1000, 35, F122*0.035)))),
0)))</f>
        <v>0</v>
      </c>
      <c r="H122" s="178">
        <f>IF(I122="مخالفات",50,Basic345678910111213141516171819202122[[#This Row],[قيمة الرسوم / العموله]]+Basic345678910111213141516171819202122[[#This Row],[قيمة الشحنه]])</f>
        <v>0</v>
      </c>
      <c r="I122" s="90"/>
      <c r="J122" s="142" t="str">
        <f t="shared" si="1"/>
        <v>11.5.2026</v>
      </c>
      <c r="L122" s="153">
        <v>111</v>
      </c>
      <c r="M122" s="92"/>
    </row>
    <row r="123" spans="1:13" ht="21.6" x14ac:dyDescent="0.65">
      <c r="A123" s="195"/>
      <c r="B123" s="140">
        <v>120</v>
      </c>
      <c r="C123" s="2"/>
      <c r="D123" s="1"/>
      <c r="E123" s="3"/>
      <c r="F123" s="1"/>
      <c r="G123" s="141">
        <f>IF(Basic345678910111213141516171819202122[[#This Row],[نوع الخدمة]]="مخالفات", 50,
IF(Basic345678910111213141516171819202122[[#This Row],[نوع الخدمة]]="كاش ان",
    IF(F123&lt;=100, 18, IF(F123&lt;=250, 23, IF(F123&lt;=500, 35, IF(F123&lt;=1000, 40, F123*0.04)))),
IF(Basic345678910111213141516171819202122[[#This Row],[نوع الخدمة]]="كاش اوت",
    IF(F123&lt;=100, 15, IF(F123&lt;=250, 20, IF(F123&lt;=500, 30, IF(F123&lt;=1000, 35, F123*0.035)))),
0)))</f>
        <v>0</v>
      </c>
      <c r="H123" s="178">
        <f>IF(I123="مخالفات",50,Basic345678910111213141516171819202122[[#This Row],[قيمة الرسوم / العموله]]+Basic345678910111213141516171819202122[[#This Row],[قيمة الشحنه]])</f>
        <v>0</v>
      </c>
      <c r="I123" s="90"/>
      <c r="J123" s="142" t="str">
        <f t="shared" si="1"/>
        <v>11.5.2026</v>
      </c>
      <c r="L123" s="153">
        <v>112</v>
      </c>
      <c r="M123" s="92"/>
    </row>
    <row r="124" spans="1:13" ht="21.6" x14ac:dyDescent="0.65">
      <c r="A124" s="195"/>
      <c r="B124" s="140">
        <v>121</v>
      </c>
      <c r="C124" s="2"/>
      <c r="D124" s="1"/>
      <c r="E124" s="3"/>
      <c r="F124" s="1"/>
      <c r="G124" s="141">
        <f>IF(Basic345678910111213141516171819202122[[#This Row],[نوع الخدمة]]="مخالفات", 50,
IF(Basic345678910111213141516171819202122[[#This Row],[نوع الخدمة]]="كاش ان",
    IF(F124&lt;=100, 18, IF(F124&lt;=250, 23, IF(F124&lt;=500, 35, IF(F124&lt;=1000, 40, F124*0.04)))),
IF(Basic345678910111213141516171819202122[[#This Row],[نوع الخدمة]]="كاش اوت",
    IF(F124&lt;=100, 15, IF(F124&lt;=250, 20, IF(F124&lt;=500, 30, IF(F124&lt;=1000, 35, F124*0.035)))),
0)))</f>
        <v>0</v>
      </c>
      <c r="H124" s="178">
        <f>IF(I124="مخالفات",50,Basic345678910111213141516171819202122[[#This Row],[قيمة الرسوم / العموله]]+Basic345678910111213141516171819202122[[#This Row],[قيمة الشحنه]])</f>
        <v>0</v>
      </c>
      <c r="I124" s="90"/>
      <c r="J124" s="142" t="str">
        <f t="shared" si="1"/>
        <v>11.5.2026</v>
      </c>
      <c r="L124" s="153">
        <v>113</v>
      </c>
      <c r="M124" s="92"/>
    </row>
    <row r="125" spans="1:13" ht="21.6" x14ac:dyDescent="0.65">
      <c r="A125" s="195"/>
      <c r="B125" s="144">
        <v>122</v>
      </c>
      <c r="C125" s="2"/>
      <c r="D125" s="1"/>
      <c r="E125" s="3"/>
      <c r="F125" s="1"/>
      <c r="G125" s="141">
        <f>IF(Basic345678910111213141516171819202122[[#This Row],[نوع الخدمة]]="مخالفات", 50,
IF(Basic345678910111213141516171819202122[[#This Row],[نوع الخدمة]]="كاش ان",
    IF(F125&lt;=100, 18, IF(F125&lt;=250, 23, IF(F125&lt;=500, 35, IF(F125&lt;=1000, 40, F125*0.04)))),
IF(Basic345678910111213141516171819202122[[#This Row],[نوع الخدمة]]="كاش اوت",
    IF(F125&lt;=100, 15, IF(F125&lt;=250, 20, IF(F125&lt;=500, 30, IF(F125&lt;=1000, 35, F125*0.035)))),
0)))</f>
        <v>0</v>
      </c>
      <c r="H125" s="178">
        <f>IF(I125="مخالفات",50,Basic345678910111213141516171819202122[[#This Row],[قيمة الرسوم / العموله]]+Basic345678910111213141516171819202122[[#This Row],[قيمة الشحنه]])</f>
        <v>0</v>
      </c>
      <c r="I125" s="90"/>
      <c r="J125" s="142" t="str">
        <f t="shared" si="1"/>
        <v>11.5.2026</v>
      </c>
      <c r="L125" s="153">
        <v>114</v>
      </c>
      <c r="M125" s="92"/>
    </row>
    <row r="126" spans="1:13" ht="21.6" x14ac:dyDescent="0.65">
      <c r="A126" s="195"/>
      <c r="B126" s="140">
        <v>123</v>
      </c>
      <c r="C126" s="2"/>
      <c r="D126" s="1"/>
      <c r="E126" s="3"/>
      <c r="F126" s="1"/>
      <c r="G126" s="141">
        <f>IF(Basic345678910111213141516171819202122[[#This Row],[نوع الخدمة]]="مخالفات", 50,
IF(Basic345678910111213141516171819202122[[#This Row],[نوع الخدمة]]="كاش ان",
    IF(F126&lt;=100, 18, IF(F126&lt;=250, 23, IF(F126&lt;=500, 35, IF(F126&lt;=1000, 40, F126*0.04)))),
IF(Basic345678910111213141516171819202122[[#This Row],[نوع الخدمة]]="كاش اوت",
    IF(F126&lt;=100, 15, IF(F126&lt;=250, 20, IF(F126&lt;=500, 30, IF(F126&lt;=1000, 35, F126*0.035)))),
0)))</f>
        <v>0</v>
      </c>
      <c r="H126" s="178">
        <f>IF(I126="مخالفات",50,Basic345678910111213141516171819202122[[#This Row],[قيمة الرسوم / العموله]]+Basic345678910111213141516171819202122[[#This Row],[قيمة الشحنه]])</f>
        <v>0</v>
      </c>
      <c r="I126" s="90"/>
      <c r="J126" s="142" t="str">
        <f t="shared" si="1"/>
        <v>11.5.2026</v>
      </c>
      <c r="L126" s="153">
        <v>115</v>
      </c>
      <c r="M126" s="92"/>
    </row>
    <row r="127" spans="1:13" ht="21.6" x14ac:dyDescent="0.65">
      <c r="A127" s="195"/>
      <c r="B127" s="140">
        <v>124</v>
      </c>
      <c r="C127" s="2"/>
      <c r="D127" s="1"/>
      <c r="E127" s="3"/>
      <c r="F127" s="1"/>
      <c r="G127" s="141">
        <f>IF(Basic345678910111213141516171819202122[[#This Row],[نوع الخدمة]]="مخالفات", 50,
IF(Basic345678910111213141516171819202122[[#This Row],[نوع الخدمة]]="كاش ان",
    IF(F127&lt;=100, 18, IF(F127&lt;=250, 23, IF(F127&lt;=500, 35, IF(F127&lt;=1000, 40, F127*0.04)))),
IF(Basic345678910111213141516171819202122[[#This Row],[نوع الخدمة]]="كاش اوت",
    IF(F127&lt;=100, 15, IF(F127&lt;=250, 20, IF(F127&lt;=500, 30, IF(F127&lt;=1000, 35, F127*0.035)))),
0)))</f>
        <v>0</v>
      </c>
      <c r="H127" s="178">
        <f>IF(I127="مخالفات",50,Basic345678910111213141516171819202122[[#This Row],[قيمة الرسوم / العموله]]+Basic345678910111213141516171819202122[[#This Row],[قيمة الشحنه]])</f>
        <v>0</v>
      </c>
      <c r="I127" s="90"/>
      <c r="J127" s="142" t="str">
        <f t="shared" si="1"/>
        <v>11.5.2026</v>
      </c>
      <c r="L127" s="153">
        <v>116</v>
      </c>
      <c r="M127" s="92"/>
    </row>
    <row r="128" spans="1:13" ht="21.6" x14ac:dyDescent="0.65">
      <c r="A128" s="195"/>
      <c r="B128" s="140">
        <v>125</v>
      </c>
      <c r="C128" s="2"/>
      <c r="D128" s="1"/>
      <c r="E128" s="3"/>
      <c r="F128" s="1"/>
      <c r="G128" s="141">
        <f>IF(Basic345678910111213141516171819202122[[#This Row],[نوع الخدمة]]="مخالفات", 50,
IF(Basic345678910111213141516171819202122[[#This Row],[نوع الخدمة]]="كاش ان",
    IF(F128&lt;=100, 18, IF(F128&lt;=250, 23, IF(F128&lt;=500, 35, IF(F128&lt;=1000, 40, F128*0.04)))),
IF(Basic345678910111213141516171819202122[[#This Row],[نوع الخدمة]]="كاش اوت",
    IF(F128&lt;=100, 15, IF(F128&lt;=250, 20, IF(F128&lt;=500, 30, IF(F128&lt;=1000, 35, F128*0.035)))),
0)))</f>
        <v>0</v>
      </c>
      <c r="H128" s="178">
        <f>IF(I128="مخالفات",50,Basic345678910111213141516171819202122[[#This Row],[قيمة الرسوم / العموله]]+Basic345678910111213141516171819202122[[#This Row],[قيمة الشحنه]])</f>
        <v>0</v>
      </c>
      <c r="I128" s="90"/>
      <c r="J128" s="142" t="str">
        <f t="shared" si="1"/>
        <v>11.5.2026</v>
      </c>
      <c r="L128" s="153">
        <v>117</v>
      </c>
      <c r="M128" s="92"/>
    </row>
    <row r="129" spans="1:13" ht="21.6" x14ac:dyDescent="0.65">
      <c r="A129" s="195"/>
      <c r="B129" s="144">
        <v>126</v>
      </c>
      <c r="C129" s="2"/>
      <c r="D129" s="1"/>
      <c r="E129" s="3"/>
      <c r="F129" s="1"/>
      <c r="G129" s="141">
        <f>IF(Basic345678910111213141516171819202122[[#This Row],[نوع الخدمة]]="مخالفات", 50,
IF(Basic345678910111213141516171819202122[[#This Row],[نوع الخدمة]]="كاش ان",
    IF(F129&lt;=100, 18, IF(F129&lt;=250, 23, IF(F129&lt;=500, 35, IF(F129&lt;=1000, 40, F129*0.04)))),
IF(Basic345678910111213141516171819202122[[#This Row],[نوع الخدمة]]="كاش اوت",
    IF(F129&lt;=100, 15, IF(F129&lt;=250, 20, IF(F129&lt;=500, 30, IF(F129&lt;=1000, 35, F129*0.035)))),
0)))</f>
        <v>0</v>
      </c>
      <c r="H129" s="178">
        <f>IF(I129="مخالفات",50,Basic345678910111213141516171819202122[[#This Row],[قيمة الرسوم / العموله]]+Basic345678910111213141516171819202122[[#This Row],[قيمة الشحنه]])</f>
        <v>0</v>
      </c>
      <c r="I129" s="90"/>
      <c r="J129" s="142" t="str">
        <f t="shared" si="1"/>
        <v>11.5.2026</v>
      </c>
      <c r="L129" s="153">
        <v>118</v>
      </c>
      <c r="M129" s="92"/>
    </row>
    <row r="130" spans="1:13" ht="21.6" x14ac:dyDescent="0.65">
      <c r="A130" s="195"/>
      <c r="B130" s="140">
        <v>127</v>
      </c>
      <c r="C130" s="2"/>
      <c r="D130" s="1"/>
      <c r="E130" s="3"/>
      <c r="F130" s="1"/>
      <c r="G130" s="141">
        <f>IF(Basic345678910111213141516171819202122[[#This Row],[نوع الخدمة]]="مخالفات", 50,
IF(Basic345678910111213141516171819202122[[#This Row],[نوع الخدمة]]="كاش ان",
    IF(F130&lt;=100, 18, IF(F130&lt;=250, 23, IF(F130&lt;=500, 35, IF(F130&lt;=1000, 40, F130*0.04)))),
IF(Basic345678910111213141516171819202122[[#This Row],[نوع الخدمة]]="كاش اوت",
    IF(F130&lt;=100, 15, IF(F130&lt;=250, 20, IF(F130&lt;=500, 30, IF(F130&lt;=1000, 35, F130*0.035)))),
0)))</f>
        <v>0</v>
      </c>
      <c r="H130" s="178">
        <f>IF(I130="مخالفات",50,Basic345678910111213141516171819202122[[#This Row],[قيمة الرسوم / العموله]]+Basic345678910111213141516171819202122[[#This Row],[قيمة الشحنه]])</f>
        <v>0</v>
      </c>
      <c r="I130" s="90"/>
      <c r="J130" s="142" t="str">
        <f t="shared" si="1"/>
        <v>11.5.2026</v>
      </c>
      <c r="L130" s="153">
        <v>119</v>
      </c>
      <c r="M130" s="92"/>
    </row>
    <row r="131" spans="1:13" ht="21.6" x14ac:dyDescent="0.65">
      <c r="A131" s="195"/>
      <c r="B131" s="140">
        <v>128</v>
      </c>
      <c r="C131" s="2"/>
      <c r="D131" s="1"/>
      <c r="E131" s="3"/>
      <c r="F131" s="1"/>
      <c r="G131" s="141">
        <f>IF(Basic345678910111213141516171819202122[[#This Row],[نوع الخدمة]]="مخالفات", 50,
IF(Basic345678910111213141516171819202122[[#This Row],[نوع الخدمة]]="كاش ان",
    IF(F131&lt;=100, 18, IF(F131&lt;=250, 23, IF(F131&lt;=500, 35, IF(F131&lt;=1000, 40, F131*0.04)))),
IF(Basic345678910111213141516171819202122[[#This Row],[نوع الخدمة]]="كاش اوت",
    IF(F131&lt;=100, 15, IF(F131&lt;=250, 20, IF(F131&lt;=500, 30, IF(F131&lt;=1000, 35, F131*0.035)))),
0)))</f>
        <v>0</v>
      </c>
      <c r="H131" s="178">
        <f>IF(I131="مخالفات",50,Basic345678910111213141516171819202122[[#This Row],[قيمة الرسوم / العموله]]+Basic345678910111213141516171819202122[[#This Row],[قيمة الشحنه]])</f>
        <v>0</v>
      </c>
      <c r="I131" s="90"/>
      <c r="J131" s="142" t="str">
        <f t="shared" si="1"/>
        <v>11.5.2026</v>
      </c>
      <c r="L131" s="153">
        <v>120</v>
      </c>
      <c r="M131" s="92"/>
    </row>
    <row r="132" spans="1:13" ht="21.6" x14ac:dyDescent="0.65">
      <c r="A132" s="195"/>
      <c r="B132" s="140">
        <v>129</v>
      </c>
      <c r="C132" s="2"/>
      <c r="D132" s="1"/>
      <c r="E132" s="3"/>
      <c r="F132" s="1"/>
      <c r="G132" s="141">
        <f>IF(Basic345678910111213141516171819202122[[#This Row],[نوع الخدمة]]="مخالفات", 50,
IF(Basic345678910111213141516171819202122[[#This Row],[نوع الخدمة]]="كاش ان",
    IF(F132&lt;=100, 18, IF(F132&lt;=250, 23, IF(F132&lt;=500, 35, IF(F132&lt;=1000, 40, F132*0.04)))),
IF(Basic345678910111213141516171819202122[[#This Row],[نوع الخدمة]]="كاش اوت",
    IF(F132&lt;=100, 15, IF(F132&lt;=250, 20, IF(F132&lt;=500, 30, IF(F132&lt;=1000, 35, F132*0.035)))),
0)))</f>
        <v>0</v>
      </c>
      <c r="H132" s="178">
        <f>IF(I132="مخالفات",50,Basic345678910111213141516171819202122[[#This Row],[قيمة الرسوم / العموله]]+Basic345678910111213141516171819202122[[#This Row],[قيمة الشحنه]])</f>
        <v>0</v>
      </c>
      <c r="I132" s="90"/>
      <c r="J132" s="142" t="str">
        <f t="shared" ref="J132:J195" si="2">M$3</f>
        <v>11.5.2026</v>
      </c>
      <c r="L132" s="153">
        <v>121</v>
      </c>
      <c r="M132" s="92"/>
    </row>
    <row r="133" spans="1:13" ht="21.6" x14ac:dyDescent="0.65">
      <c r="A133" s="195"/>
      <c r="B133" s="144">
        <v>130</v>
      </c>
      <c r="C133" s="2"/>
      <c r="D133" s="1"/>
      <c r="E133" s="3"/>
      <c r="F133" s="1"/>
      <c r="G133" s="141">
        <f>IF(Basic345678910111213141516171819202122[[#This Row],[نوع الخدمة]]="مخالفات", 50,
IF(Basic345678910111213141516171819202122[[#This Row],[نوع الخدمة]]="كاش ان",
    IF(F133&lt;=100, 18, IF(F133&lt;=250, 23, IF(F133&lt;=500, 35, IF(F133&lt;=1000, 40, F133*0.04)))),
IF(Basic345678910111213141516171819202122[[#This Row],[نوع الخدمة]]="كاش اوت",
    IF(F133&lt;=100, 15, IF(F133&lt;=250, 20, IF(F133&lt;=500, 30, IF(F133&lt;=1000, 35, F133*0.035)))),
0)))</f>
        <v>0</v>
      </c>
      <c r="H133" s="178">
        <f>IF(I133="مخالفات",50,Basic345678910111213141516171819202122[[#This Row],[قيمة الرسوم / العموله]]+Basic345678910111213141516171819202122[[#This Row],[قيمة الشحنه]])</f>
        <v>0</v>
      </c>
      <c r="I133" s="90"/>
      <c r="J133" s="142" t="str">
        <f t="shared" si="2"/>
        <v>11.5.2026</v>
      </c>
      <c r="L133" s="153">
        <v>122</v>
      </c>
      <c r="M133" s="92"/>
    </row>
    <row r="134" spans="1:13" ht="21.6" x14ac:dyDescent="0.65">
      <c r="A134" s="195"/>
      <c r="B134" s="140">
        <v>131</v>
      </c>
      <c r="C134" s="2"/>
      <c r="D134" s="1"/>
      <c r="E134" s="3"/>
      <c r="F134" s="1"/>
      <c r="G134" s="141">
        <f>IF(Basic345678910111213141516171819202122[[#This Row],[نوع الخدمة]]="مخالفات", 50,
IF(Basic345678910111213141516171819202122[[#This Row],[نوع الخدمة]]="كاش ان",
    IF(F134&lt;=100, 18, IF(F134&lt;=250, 23, IF(F134&lt;=500, 35, IF(F134&lt;=1000, 40, F134*0.04)))),
IF(Basic345678910111213141516171819202122[[#This Row],[نوع الخدمة]]="كاش اوت",
    IF(F134&lt;=100, 15, IF(F134&lt;=250, 20, IF(F134&lt;=500, 30, IF(F134&lt;=1000, 35, F134*0.035)))),
0)))</f>
        <v>0</v>
      </c>
      <c r="H134" s="178">
        <f>IF(I134="مخالفات",50,Basic345678910111213141516171819202122[[#This Row],[قيمة الرسوم / العموله]]+Basic345678910111213141516171819202122[[#This Row],[قيمة الشحنه]])</f>
        <v>0</v>
      </c>
      <c r="I134" s="90"/>
      <c r="J134" s="142" t="str">
        <f t="shared" si="2"/>
        <v>11.5.2026</v>
      </c>
      <c r="L134" s="153">
        <v>123</v>
      </c>
      <c r="M134" s="92"/>
    </row>
    <row r="135" spans="1:13" ht="21.6" x14ac:dyDescent="0.65">
      <c r="A135" s="195"/>
      <c r="B135" s="140">
        <v>132</v>
      </c>
      <c r="C135" s="2"/>
      <c r="D135" s="1"/>
      <c r="E135" s="3"/>
      <c r="F135" s="1"/>
      <c r="G135" s="141">
        <f>IF(Basic345678910111213141516171819202122[[#This Row],[نوع الخدمة]]="مخالفات", 50,
IF(Basic345678910111213141516171819202122[[#This Row],[نوع الخدمة]]="كاش ان",
    IF(F135&lt;=100, 18, IF(F135&lt;=250, 23, IF(F135&lt;=500, 35, IF(F135&lt;=1000, 40, F135*0.04)))),
IF(Basic345678910111213141516171819202122[[#This Row],[نوع الخدمة]]="كاش اوت",
    IF(F135&lt;=100, 15, IF(F135&lt;=250, 20, IF(F135&lt;=500, 30, IF(F135&lt;=1000, 35, F135*0.035)))),
0)))</f>
        <v>0</v>
      </c>
      <c r="H135" s="178">
        <f>IF(I135="مخالفات",50,Basic345678910111213141516171819202122[[#This Row],[قيمة الرسوم / العموله]]+Basic345678910111213141516171819202122[[#This Row],[قيمة الشحنه]])</f>
        <v>0</v>
      </c>
      <c r="I135" s="90"/>
      <c r="J135" s="142" t="str">
        <f t="shared" si="2"/>
        <v>11.5.2026</v>
      </c>
      <c r="L135" s="153">
        <v>124</v>
      </c>
      <c r="M135" s="92"/>
    </row>
    <row r="136" spans="1:13" ht="21.6" x14ac:dyDescent="0.65">
      <c r="A136" s="195"/>
      <c r="B136" s="140">
        <v>133</v>
      </c>
      <c r="C136" s="2"/>
      <c r="D136" s="1"/>
      <c r="E136" s="3"/>
      <c r="F136" s="1"/>
      <c r="G136" s="141">
        <f>IF(Basic345678910111213141516171819202122[[#This Row],[نوع الخدمة]]="مخالفات", 50,
IF(Basic345678910111213141516171819202122[[#This Row],[نوع الخدمة]]="كاش ان",
    IF(F136&lt;=100, 18, IF(F136&lt;=250, 23, IF(F136&lt;=500, 35, IF(F136&lt;=1000, 40, F136*0.04)))),
IF(Basic345678910111213141516171819202122[[#This Row],[نوع الخدمة]]="كاش اوت",
    IF(F136&lt;=100, 15, IF(F136&lt;=250, 20, IF(F136&lt;=500, 30, IF(F136&lt;=1000, 35, F136*0.035)))),
0)))</f>
        <v>0</v>
      </c>
      <c r="H136" s="178">
        <f>IF(I136="مخالفات",50,Basic345678910111213141516171819202122[[#This Row],[قيمة الرسوم / العموله]]+Basic345678910111213141516171819202122[[#This Row],[قيمة الشحنه]])</f>
        <v>0</v>
      </c>
      <c r="I136" s="90"/>
      <c r="J136" s="142" t="str">
        <f t="shared" si="2"/>
        <v>11.5.2026</v>
      </c>
      <c r="L136" s="153">
        <v>125</v>
      </c>
      <c r="M136" s="92"/>
    </row>
    <row r="137" spans="1:13" ht="21.6" x14ac:dyDescent="0.65">
      <c r="A137" s="195"/>
      <c r="B137" s="144">
        <v>134</v>
      </c>
      <c r="C137" s="2"/>
      <c r="D137" s="1"/>
      <c r="E137" s="3"/>
      <c r="F137" s="1"/>
      <c r="G137" s="141">
        <f>IF(Basic345678910111213141516171819202122[[#This Row],[نوع الخدمة]]="مخالفات", 50,
IF(Basic345678910111213141516171819202122[[#This Row],[نوع الخدمة]]="كاش ان",
    IF(F137&lt;=100, 18, IF(F137&lt;=250, 23, IF(F137&lt;=500, 35, IF(F137&lt;=1000, 40, F137*0.04)))),
IF(Basic345678910111213141516171819202122[[#This Row],[نوع الخدمة]]="كاش اوت",
    IF(F137&lt;=100, 15, IF(F137&lt;=250, 20, IF(F137&lt;=500, 30, IF(F137&lt;=1000, 35, F137*0.035)))),
0)))</f>
        <v>0</v>
      </c>
      <c r="H137" s="178">
        <f>IF(I137="مخالفات",50,Basic345678910111213141516171819202122[[#This Row],[قيمة الرسوم / العموله]]+Basic345678910111213141516171819202122[[#This Row],[قيمة الشحنه]])</f>
        <v>0</v>
      </c>
      <c r="I137" s="90"/>
      <c r="J137" s="142" t="str">
        <f t="shared" si="2"/>
        <v>11.5.2026</v>
      </c>
      <c r="L137" s="153">
        <v>126</v>
      </c>
      <c r="M137" s="92"/>
    </row>
    <row r="138" spans="1:13" ht="21.6" x14ac:dyDescent="0.65">
      <c r="A138" s="195"/>
      <c r="B138" s="140">
        <v>135</v>
      </c>
      <c r="C138" s="2"/>
      <c r="D138" s="1"/>
      <c r="E138" s="3"/>
      <c r="F138" s="1"/>
      <c r="G138" s="141">
        <f>IF(Basic345678910111213141516171819202122[[#This Row],[نوع الخدمة]]="مخالفات", 50,
IF(Basic345678910111213141516171819202122[[#This Row],[نوع الخدمة]]="كاش ان",
    IF(F138&lt;=100, 18, IF(F138&lt;=250, 23, IF(F138&lt;=500, 35, IF(F138&lt;=1000, 40, F138*0.04)))),
IF(Basic345678910111213141516171819202122[[#This Row],[نوع الخدمة]]="كاش اوت",
    IF(F138&lt;=100, 15, IF(F138&lt;=250, 20, IF(F138&lt;=500, 30, IF(F138&lt;=1000, 35, F138*0.035)))),
0)))</f>
        <v>0</v>
      </c>
      <c r="H138" s="178">
        <f>IF(I138="مخالفات",50,Basic345678910111213141516171819202122[[#This Row],[قيمة الرسوم / العموله]]+Basic345678910111213141516171819202122[[#This Row],[قيمة الشحنه]])</f>
        <v>0</v>
      </c>
      <c r="I138" s="90"/>
      <c r="J138" s="142" t="str">
        <f t="shared" si="2"/>
        <v>11.5.2026</v>
      </c>
      <c r="L138" s="153">
        <v>127</v>
      </c>
      <c r="M138" s="92"/>
    </row>
    <row r="139" spans="1:13" ht="21.6" x14ac:dyDescent="0.65">
      <c r="A139" s="195"/>
      <c r="B139" s="140">
        <v>136</v>
      </c>
      <c r="C139" s="2"/>
      <c r="D139" s="1"/>
      <c r="E139" s="3"/>
      <c r="F139" s="1"/>
      <c r="G139" s="141">
        <f>IF(Basic345678910111213141516171819202122[[#This Row],[نوع الخدمة]]="مخالفات", 50,
IF(Basic345678910111213141516171819202122[[#This Row],[نوع الخدمة]]="كاش ان",
    IF(F139&lt;=100, 18, IF(F139&lt;=250, 23, IF(F139&lt;=500, 35, IF(F139&lt;=1000, 40, F139*0.04)))),
IF(Basic345678910111213141516171819202122[[#This Row],[نوع الخدمة]]="كاش اوت",
    IF(F139&lt;=100, 15, IF(F139&lt;=250, 20, IF(F139&lt;=500, 30, IF(F139&lt;=1000, 35, F139*0.035)))),
0)))</f>
        <v>0</v>
      </c>
      <c r="H139" s="178">
        <f>IF(I139="مخالفات",50,Basic345678910111213141516171819202122[[#This Row],[قيمة الرسوم / العموله]]+Basic345678910111213141516171819202122[[#This Row],[قيمة الشحنه]])</f>
        <v>0</v>
      </c>
      <c r="I139" s="90"/>
      <c r="J139" s="142" t="str">
        <f t="shared" si="2"/>
        <v>11.5.2026</v>
      </c>
      <c r="L139" s="153">
        <v>128</v>
      </c>
      <c r="M139" s="92"/>
    </row>
    <row r="140" spans="1:13" ht="21.6" x14ac:dyDescent="0.65">
      <c r="A140" s="195"/>
      <c r="B140" s="140">
        <v>137</v>
      </c>
      <c r="C140" s="2"/>
      <c r="D140" s="1"/>
      <c r="E140" s="3"/>
      <c r="F140" s="1"/>
      <c r="G140" s="141">
        <f>IF(Basic345678910111213141516171819202122[[#This Row],[نوع الخدمة]]="مخالفات", 50,
IF(Basic345678910111213141516171819202122[[#This Row],[نوع الخدمة]]="كاش ان",
    IF(F140&lt;=100, 18, IF(F140&lt;=250, 23, IF(F140&lt;=500, 35, IF(F140&lt;=1000, 40, F140*0.04)))),
IF(Basic345678910111213141516171819202122[[#This Row],[نوع الخدمة]]="كاش اوت",
    IF(F140&lt;=100, 15, IF(F140&lt;=250, 20, IF(F140&lt;=500, 30, IF(F140&lt;=1000, 35, F140*0.035)))),
0)))</f>
        <v>0</v>
      </c>
      <c r="H140" s="178">
        <f>IF(I140="مخالفات",50,Basic345678910111213141516171819202122[[#This Row],[قيمة الرسوم / العموله]]+Basic345678910111213141516171819202122[[#This Row],[قيمة الشحنه]])</f>
        <v>0</v>
      </c>
      <c r="I140" s="90"/>
      <c r="J140" s="142" t="str">
        <f t="shared" si="2"/>
        <v>11.5.2026</v>
      </c>
      <c r="L140" s="153">
        <v>129</v>
      </c>
      <c r="M140" s="92"/>
    </row>
    <row r="141" spans="1:13" ht="21.6" x14ac:dyDescent="0.65">
      <c r="A141" s="195"/>
      <c r="B141" s="144">
        <v>138</v>
      </c>
      <c r="C141" s="2"/>
      <c r="D141" s="1"/>
      <c r="E141" s="3"/>
      <c r="F141" s="1"/>
      <c r="G141" s="141">
        <f>IF(Basic345678910111213141516171819202122[[#This Row],[نوع الخدمة]]="مخالفات", 50,
IF(Basic345678910111213141516171819202122[[#This Row],[نوع الخدمة]]="كاش ان",
    IF(F141&lt;=100, 18, IF(F141&lt;=250, 23, IF(F141&lt;=500, 35, IF(F141&lt;=1000, 40, F141*0.04)))),
IF(Basic345678910111213141516171819202122[[#This Row],[نوع الخدمة]]="كاش اوت",
    IF(F141&lt;=100, 15, IF(F141&lt;=250, 20, IF(F141&lt;=500, 30, IF(F141&lt;=1000, 35, F141*0.035)))),
0)))</f>
        <v>0</v>
      </c>
      <c r="H141" s="178">
        <f>IF(I141="مخالفات",50,Basic345678910111213141516171819202122[[#This Row],[قيمة الرسوم / العموله]]+Basic345678910111213141516171819202122[[#This Row],[قيمة الشحنه]])</f>
        <v>0</v>
      </c>
      <c r="I141" s="90"/>
      <c r="J141" s="142" t="str">
        <f t="shared" si="2"/>
        <v>11.5.2026</v>
      </c>
      <c r="L141" s="153">
        <v>130</v>
      </c>
      <c r="M141" s="92"/>
    </row>
    <row r="142" spans="1:13" ht="21.6" x14ac:dyDescent="0.65">
      <c r="A142" s="195"/>
      <c r="B142" s="140">
        <v>139</v>
      </c>
      <c r="C142" s="2"/>
      <c r="D142" s="1"/>
      <c r="E142" s="3"/>
      <c r="F142" s="1"/>
      <c r="G142" s="141">
        <f>IF(Basic345678910111213141516171819202122[[#This Row],[نوع الخدمة]]="مخالفات", 50,
IF(Basic345678910111213141516171819202122[[#This Row],[نوع الخدمة]]="كاش ان",
    IF(F142&lt;=100, 18, IF(F142&lt;=250, 23, IF(F142&lt;=500, 35, IF(F142&lt;=1000, 40, F142*0.04)))),
IF(Basic345678910111213141516171819202122[[#This Row],[نوع الخدمة]]="كاش اوت",
    IF(F142&lt;=100, 15, IF(F142&lt;=250, 20, IF(F142&lt;=500, 30, IF(F142&lt;=1000, 35, F142*0.035)))),
0)))</f>
        <v>0</v>
      </c>
      <c r="H142" s="178">
        <f>IF(I142="مخالفات",50,Basic345678910111213141516171819202122[[#This Row],[قيمة الرسوم / العموله]]+Basic345678910111213141516171819202122[[#This Row],[قيمة الشحنه]])</f>
        <v>0</v>
      </c>
      <c r="I142" s="90"/>
      <c r="J142" s="142" t="str">
        <f t="shared" si="2"/>
        <v>11.5.2026</v>
      </c>
      <c r="L142" s="153">
        <v>131</v>
      </c>
      <c r="M142" s="92"/>
    </row>
    <row r="143" spans="1:13" ht="21.6" x14ac:dyDescent="0.65">
      <c r="A143" s="195"/>
      <c r="B143" s="140">
        <v>140</v>
      </c>
      <c r="C143" s="2"/>
      <c r="D143" s="1"/>
      <c r="E143" s="3"/>
      <c r="F143" s="1"/>
      <c r="G143" s="141">
        <f>IF(Basic345678910111213141516171819202122[[#This Row],[نوع الخدمة]]="مخالفات", 50,
IF(Basic345678910111213141516171819202122[[#This Row],[نوع الخدمة]]="كاش ان",
    IF(F143&lt;=100, 18, IF(F143&lt;=250, 23, IF(F143&lt;=500, 35, IF(F143&lt;=1000, 40, F143*0.04)))),
IF(Basic345678910111213141516171819202122[[#This Row],[نوع الخدمة]]="كاش اوت",
    IF(F143&lt;=100, 15, IF(F143&lt;=250, 20, IF(F143&lt;=500, 30, IF(F143&lt;=1000, 35, F143*0.035)))),
0)))</f>
        <v>0</v>
      </c>
      <c r="H143" s="178">
        <f>IF(I143="مخالفات",50,Basic345678910111213141516171819202122[[#This Row],[قيمة الرسوم / العموله]]+Basic345678910111213141516171819202122[[#This Row],[قيمة الشحنه]])</f>
        <v>0</v>
      </c>
      <c r="I143" s="90"/>
      <c r="J143" s="142" t="str">
        <f t="shared" si="2"/>
        <v>11.5.2026</v>
      </c>
      <c r="L143" s="153">
        <v>132</v>
      </c>
      <c r="M143" s="92"/>
    </row>
    <row r="144" spans="1:13" ht="21.6" x14ac:dyDescent="0.65">
      <c r="A144" s="195"/>
      <c r="B144" s="140">
        <v>141</v>
      </c>
      <c r="C144" s="2"/>
      <c r="D144" s="1"/>
      <c r="E144" s="3"/>
      <c r="F144" s="1"/>
      <c r="G144" s="141">
        <f>IF(Basic345678910111213141516171819202122[[#This Row],[نوع الخدمة]]="مخالفات", 50,
IF(Basic345678910111213141516171819202122[[#This Row],[نوع الخدمة]]="كاش ان",
    IF(F144&lt;=100, 18, IF(F144&lt;=250, 23, IF(F144&lt;=500, 35, IF(F144&lt;=1000, 40, F144*0.04)))),
IF(Basic345678910111213141516171819202122[[#This Row],[نوع الخدمة]]="كاش اوت",
    IF(F144&lt;=100, 15, IF(F144&lt;=250, 20, IF(F144&lt;=500, 30, IF(F144&lt;=1000, 35, F144*0.035)))),
0)))</f>
        <v>0</v>
      </c>
      <c r="H144" s="178">
        <f>IF(I144="مخالفات",50,Basic345678910111213141516171819202122[[#This Row],[قيمة الرسوم / العموله]]+Basic345678910111213141516171819202122[[#This Row],[قيمة الشحنه]])</f>
        <v>0</v>
      </c>
      <c r="I144" s="90"/>
      <c r="J144" s="142" t="str">
        <f t="shared" si="2"/>
        <v>11.5.2026</v>
      </c>
      <c r="L144" s="153">
        <v>133</v>
      </c>
      <c r="M144" s="92"/>
    </row>
    <row r="145" spans="1:13" ht="21.6" x14ac:dyDescent="0.65">
      <c r="A145" s="195"/>
      <c r="B145" s="144">
        <v>142</v>
      </c>
      <c r="C145" s="2"/>
      <c r="D145" s="1"/>
      <c r="E145" s="3"/>
      <c r="F145" s="1"/>
      <c r="G145" s="141">
        <f>IF(Basic345678910111213141516171819202122[[#This Row],[نوع الخدمة]]="مخالفات", 50,
IF(Basic345678910111213141516171819202122[[#This Row],[نوع الخدمة]]="كاش ان",
    IF(F145&lt;=100, 18, IF(F145&lt;=250, 23, IF(F145&lt;=500, 35, IF(F145&lt;=1000, 40, F145*0.04)))),
IF(Basic345678910111213141516171819202122[[#This Row],[نوع الخدمة]]="كاش اوت",
    IF(F145&lt;=100, 15, IF(F145&lt;=250, 20, IF(F145&lt;=500, 30, IF(F145&lt;=1000, 35, F145*0.035)))),
0)))</f>
        <v>0</v>
      </c>
      <c r="H145" s="178">
        <f>IF(I145="مخالفات",50,Basic345678910111213141516171819202122[[#This Row],[قيمة الرسوم / العموله]]+Basic345678910111213141516171819202122[[#This Row],[قيمة الشحنه]])</f>
        <v>0</v>
      </c>
      <c r="I145" s="90"/>
      <c r="J145" s="142" t="str">
        <f t="shared" si="2"/>
        <v>11.5.2026</v>
      </c>
      <c r="L145" s="153">
        <v>134</v>
      </c>
      <c r="M145" s="92"/>
    </row>
    <row r="146" spans="1:13" ht="21.6" x14ac:dyDescent="0.65">
      <c r="A146" s="195"/>
      <c r="B146" s="140">
        <v>143</v>
      </c>
      <c r="C146" s="2"/>
      <c r="D146" s="1"/>
      <c r="E146" s="3"/>
      <c r="F146" s="1"/>
      <c r="G146" s="141">
        <f>IF(Basic345678910111213141516171819202122[[#This Row],[نوع الخدمة]]="مخالفات", 50,
IF(Basic345678910111213141516171819202122[[#This Row],[نوع الخدمة]]="كاش ان",
    IF(F146&lt;=100, 18, IF(F146&lt;=250, 23, IF(F146&lt;=500, 35, IF(F146&lt;=1000, 40, F146*0.04)))),
IF(Basic345678910111213141516171819202122[[#This Row],[نوع الخدمة]]="كاش اوت",
    IF(F146&lt;=100, 15, IF(F146&lt;=250, 20, IF(F146&lt;=500, 30, IF(F146&lt;=1000, 35, F146*0.035)))),
0)))</f>
        <v>0</v>
      </c>
      <c r="H146" s="178">
        <f>IF(I146="مخالفات",50,Basic345678910111213141516171819202122[[#This Row],[قيمة الرسوم / العموله]]+Basic345678910111213141516171819202122[[#This Row],[قيمة الشحنه]])</f>
        <v>0</v>
      </c>
      <c r="I146" s="90"/>
      <c r="J146" s="142" t="str">
        <f t="shared" si="2"/>
        <v>11.5.2026</v>
      </c>
      <c r="L146" s="153">
        <v>135</v>
      </c>
      <c r="M146" s="92"/>
    </row>
    <row r="147" spans="1:13" ht="21.6" x14ac:dyDescent="0.65">
      <c r="A147" s="195"/>
      <c r="B147" s="140">
        <v>144</v>
      </c>
      <c r="C147" s="2"/>
      <c r="D147" s="1"/>
      <c r="E147" s="3"/>
      <c r="F147" s="1"/>
      <c r="G147" s="141">
        <f>IF(Basic345678910111213141516171819202122[[#This Row],[نوع الخدمة]]="مخالفات", 50,
IF(Basic345678910111213141516171819202122[[#This Row],[نوع الخدمة]]="كاش ان",
    IF(F147&lt;=100, 18, IF(F147&lt;=250, 23, IF(F147&lt;=500, 35, IF(F147&lt;=1000, 40, F147*0.04)))),
IF(Basic345678910111213141516171819202122[[#This Row],[نوع الخدمة]]="كاش اوت",
    IF(F147&lt;=100, 15, IF(F147&lt;=250, 20, IF(F147&lt;=500, 30, IF(F147&lt;=1000, 35, F147*0.035)))),
0)))</f>
        <v>0</v>
      </c>
      <c r="H147" s="178">
        <f>IF(I147="مخالفات",50,Basic345678910111213141516171819202122[[#This Row],[قيمة الرسوم / العموله]]+Basic345678910111213141516171819202122[[#This Row],[قيمة الشحنه]])</f>
        <v>0</v>
      </c>
      <c r="I147" s="90"/>
      <c r="J147" s="142" t="str">
        <f t="shared" si="2"/>
        <v>11.5.2026</v>
      </c>
      <c r="L147" s="153">
        <v>136</v>
      </c>
      <c r="M147" s="92"/>
    </row>
    <row r="148" spans="1:13" ht="21.6" x14ac:dyDescent="0.65">
      <c r="A148" s="195"/>
      <c r="B148" s="140">
        <v>145</v>
      </c>
      <c r="C148" s="2"/>
      <c r="D148" s="1"/>
      <c r="E148" s="3"/>
      <c r="F148" s="1"/>
      <c r="G148" s="141">
        <f>IF(Basic345678910111213141516171819202122[[#This Row],[نوع الخدمة]]="مخالفات", 50,
IF(Basic345678910111213141516171819202122[[#This Row],[نوع الخدمة]]="كاش ان",
    IF(F148&lt;=100, 18, IF(F148&lt;=250, 23, IF(F148&lt;=500, 35, IF(F148&lt;=1000, 40, F148*0.04)))),
IF(Basic345678910111213141516171819202122[[#This Row],[نوع الخدمة]]="كاش اوت",
    IF(F148&lt;=100, 15, IF(F148&lt;=250, 20, IF(F148&lt;=500, 30, IF(F148&lt;=1000, 35, F148*0.035)))),
0)))</f>
        <v>0</v>
      </c>
      <c r="H148" s="178">
        <f>IF(I148="مخالفات",50,Basic345678910111213141516171819202122[[#This Row],[قيمة الرسوم / العموله]]+Basic345678910111213141516171819202122[[#This Row],[قيمة الشحنه]])</f>
        <v>0</v>
      </c>
      <c r="I148" s="90"/>
      <c r="J148" s="142" t="str">
        <f t="shared" si="2"/>
        <v>11.5.2026</v>
      </c>
      <c r="L148" s="153">
        <v>137</v>
      </c>
      <c r="M148" s="92"/>
    </row>
    <row r="149" spans="1:13" ht="21.6" x14ac:dyDescent="0.65">
      <c r="A149" s="195"/>
      <c r="B149" s="144">
        <v>146</v>
      </c>
      <c r="C149" s="2"/>
      <c r="D149" s="1"/>
      <c r="E149" s="3"/>
      <c r="F149" s="1"/>
      <c r="G149" s="141">
        <f>IF(Basic345678910111213141516171819202122[[#This Row],[نوع الخدمة]]="مخالفات", 50,
IF(Basic345678910111213141516171819202122[[#This Row],[نوع الخدمة]]="كاش ان",
    IF(F149&lt;=100, 18, IF(F149&lt;=250, 23, IF(F149&lt;=500, 35, IF(F149&lt;=1000, 40, F149*0.04)))),
IF(Basic345678910111213141516171819202122[[#This Row],[نوع الخدمة]]="كاش اوت",
    IF(F149&lt;=100, 15, IF(F149&lt;=250, 20, IF(F149&lt;=500, 30, IF(F149&lt;=1000, 35, F149*0.035)))),
0)))</f>
        <v>0</v>
      </c>
      <c r="H149" s="178">
        <f>IF(I149="مخالفات",50,Basic345678910111213141516171819202122[[#This Row],[قيمة الرسوم / العموله]]+Basic345678910111213141516171819202122[[#This Row],[قيمة الشحنه]])</f>
        <v>0</v>
      </c>
      <c r="I149" s="90"/>
      <c r="J149" s="142" t="str">
        <f t="shared" si="2"/>
        <v>11.5.2026</v>
      </c>
      <c r="L149" s="153">
        <v>138</v>
      </c>
      <c r="M149" s="92"/>
    </row>
    <row r="150" spans="1:13" ht="21.6" x14ac:dyDescent="0.65">
      <c r="A150" s="195"/>
      <c r="B150" s="140">
        <v>147</v>
      </c>
      <c r="C150" s="2"/>
      <c r="D150" s="1"/>
      <c r="E150" s="3"/>
      <c r="F150" s="1"/>
      <c r="G150" s="141">
        <f>IF(Basic345678910111213141516171819202122[[#This Row],[نوع الخدمة]]="مخالفات", 50,
IF(Basic345678910111213141516171819202122[[#This Row],[نوع الخدمة]]="كاش ان",
    IF(F150&lt;=100, 18, IF(F150&lt;=250, 23, IF(F150&lt;=500, 35, IF(F150&lt;=1000, 40, F150*0.04)))),
IF(Basic345678910111213141516171819202122[[#This Row],[نوع الخدمة]]="كاش اوت",
    IF(F150&lt;=100, 15, IF(F150&lt;=250, 20, IF(F150&lt;=500, 30, IF(F150&lt;=1000, 35, F150*0.035)))),
0)))</f>
        <v>0</v>
      </c>
      <c r="H150" s="178">
        <f>IF(I150="مخالفات",50,Basic345678910111213141516171819202122[[#This Row],[قيمة الرسوم / العموله]]+Basic345678910111213141516171819202122[[#This Row],[قيمة الشحنه]])</f>
        <v>0</v>
      </c>
      <c r="I150" s="90"/>
      <c r="J150" s="142" t="str">
        <f t="shared" si="2"/>
        <v>11.5.2026</v>
      </c>
      <c r="L150" s="153">
        <v>139</v>
      </c>
      <c r="M150" s="92"/>
    </row>
    <row r="151" spans="1:13" ht="21.6" x14ac:dyDescent="0.65">
      <c r="A151" s="195"/>
      <c r="B151" s="140">
        <v>148</v>
      </c>
      <c r="C151" s="2"/>
      <c r="D151" s="1"/>
      <c r="E151" s="3"/>
      <c r="F151" s="1"/>
      <c r="G151" s="141">
        <f>IF(Basic345678910111213141516171819202122[[#This Row],[نوع الخدمة]]="مخالفات", 50,
IF(Basic345678910111213141516171819202122[[#This Row],[نوع الخدمة]]="كاش ان",
    IF(F151&lt;=100, 18, IF(F151&lt;=250, 23, IF(F151&lt;=500, 35, IF(F151&lt;=1000, 40, F151*0.04)))),
IF(Basic345678910111213141516171819202122[[#This Row],[نوع الخدمة]]="كاش اوت",
    IF(F151&lt;=100, 15, IF(F151&lt;=250, 20, IF(F151&lt;=500, 30, IF(F151&lt;=1000, 35, F151*0.035)))),
0)))</f>
        <v>0</v>
      </c>
      <c r="H151" s="178">
        <f>IF(I151="مخالفات",50,Basic345678910111213141516171819202122[[#This Row],[قيمة الرسوم / العموله]]+Basic345678910111213141516171819202122[[#This Row],[قيمة الشحنه]])</f>
        <v>0</v>
      </c>
      <c r="I151" s="90"/>
      <c r="J151" s="142" t="str">
        <f t="shared" si="2"/>
        <v>11.5.2026</v>
      </c>
      <c r="L151" s="153">
        <v>140</v>
      </c>
      <c r="M151" s="92"/>
    </row>
    <row r="152" spans="1:13" ht="21.6" x14ac:dyDescent="0.65">
      <c r="A152" s="195"/>
      <c r="B152" s="140">
        <v>149</v>
      </c>
      <c r="C152" s="2"/>
      <c r="D152" s="1"/>
      <c r="E152" s="3"/>
      <c r="F152" s="1"/>
      <c r="G152" s="141">
        <f>IF(Basic345678910111213141516171819202122[[#This Row],[نوع الخدمة]]="مخالفات", 50,
IF(Basic345678910111213141516171819202122[[#This Row],[نوع الخدمة]]="كاش ان",
    IF(F152&lt;=100, 18, IF(F152&lt;=250, 23, IF(F152&lt;=500, 35, IF(F152&lt;=1000, 40, F152*0.04)))),
IF(Basic345678910111213141516171819202122[[#This Row],[نوع الخدمة]]="كاش اوت",
    IF(F152&lt;=100, 15, IF(F152&lt;=250, 20, IF(F152&lt;=500, 30, IF(F152&lt;=1000, 35, F152*0.035)))),
0)))</f>
        <v>0</v>
      </c>
      <c r="H152" s="178">
        <f>IF(I152="مخالفات",50,Basic345678910111213141516171819202122[[#This Row],[قيمة الرسوم / العموله]]+Basic345678910111213141516171819202122[[#This Row],[قيمة الشحنه]])</f>
        <v>0</v>
      </c>
      <c r="I152" s="90"/>
      <c r="J152" s="142" t="str">
        <f t="shared" si="2"/>
        <v>11.5.2026</v>
      </c>
      <c r="L152" s="153">
        <v>141</v>
      </c>
      <c r="M152" s="92"/>
    </row>
    <row r="153" spans="1:13" ht="21.6" x14ac:dyDescent="0.65">
      <c r="A153" s="195"/>
      <c r="B153" s="144">
        <v>150</v>
      </c>
      <c r="C153" s="2"/>
      <c r="D153" s="1"/>
      <c r="E153" s="3"/>
      <c r="F153" s="1"/>
      <c r="G153" s="141">
        <f>IF(Basic345678910111213141516171819202122[[#This Row],[نوع الخدمة]]="مخالفات", 50,
IF(Basic345678910111213141516171819202122[[#This Row],[نوع الخدمة]]="كاش ان",
    IF(F153&lt;=100, 18, IF(F153&lt;=250, 23, IF(F153&lt;=500, 35, IF(F153&lt;=1000, 40, F153*0.04)))),
IF(Basic345678910111213141516171819202122[[#This Row],[نوع الخدمة]]="كاش اوت",
    IF(F153&lt;=100, 15, IF(F153&lt;=250, 20, IF(F153&lt;=500, 30, IF(F153&lt;=1000, 35, F153*0.035)))),
0)))</f>
        <v>0</v>
      </c>
      <c r="H153" s="178">
        <f>IF(I153="مخالفات",50,Basic345678910111213141516171819202122[[#This Row],[قيمة الرسوم / العموله]]+Basic345678910111213141516171819202122[[#This Row],[قيمة الشحنه]])</f>
        <v>0</v>
      </c>
      <c r="I153" s="90"/>
      <c r="J153" s="142" t="str">
        <f t="shared" si="2"/>
        <v>11.5.2026</v>
      </c>
      <c r="L153" s="153">
        <v>142</v>
      </c>
      <c r="M153" s="92"/>
    </row>
    <row r="154" spans="1:13" ht="21.6" x14ac:dyDescent="0.65">
      <c r="A154" s="195"/>
      <c r="B154" s="140">
        <v>151</v>
      </c>
      <c r="C154" s="2"/>
      <c r="D154" s="1"/>
      <c r="E154" s="3"/>
      <c r="F154" s="1"/>
      <c r="G154" s="141">
        <f>IF(Basic345678910111213141516171819202122[[#This Row],[نوع الخدمة]]="مخالفات", 50,
IF(Basic345678910111213141516171819202122[[#This Row],[نوع الخدمة]]="كاش ان",
    IF(F154&lt;=100, 18, IF(F154&lt;=250, 23, IF(F154&lt;=500, 35, IF(F154&lt;=1000, 40, F154*0.04)))),
IF(Basic345678910111213141516171819202122[[#This Row],[نوع الخدمة]]="كاش اوت",
    IF(F154&lt;=100, 15, IF(F154&lt;=250, 20, IF(F154&lt;=500, 30, IF(F154&lt;=1000, 35, F154*0.035)))),
0)))</f>
        <v>0</v>
      </c>
      <c r="H154" s="178">
        <f>IF(I154="مخالفات",50,Basic345678910111213141516171819202122[[#This Row],[قيمة الرسوم / العموله]]+Basic345678910111213141516171819202122[[#This Row],[قيمة الشحنه]])</f>
        <v>0</v>
      </c>
      <c r="I154" s="90"/>
      <c r="J154" s="142" t="str">
        <f t="shared" si="2"/>
        <v>11.5.2026</v>
      </c>
      <c r="L154" s="153">
        <v>143</v>
      </c>
      <c r="M154" s="92"/>
    </row>
    <row r="155" spans="1:13" ht="21.6" x14ac:dyDescent="0.65">
      <c r="A155" s="195"/>
      <c r="B155" s="140">
        <v>152</v>
      </c>
      <c r="C155" s="2"/>
      <c r="D155" s="1"/>
      <c r="E155" s="3"/>
      <c r="F155" s="1"/>
      <c r="G155" s="141">
        <f>IF(Basic345678910111213141516171819202122[[#This Row],[نوع الخدمة]]="مخالفات", 50,
IF(Basic345678910111213141516171819202122[[#This Row],[نوع الخدمة]]="كاش ان",
    IF(F155&lt;=100, 18, IF(F155&lt;=250, 23, IF(F155&lt;=500, 35, IF(F155&lt;=1000, 40, F155*0.04)))),
IF(Basic345678910111213141516171819202122[[#This Row],[نوع الخدمة]]="كاش اوت",
    IF(F155&lt;=100, 15, IF(F155&lt;=250, 20, IF(F155&lt;=500, 30, IF(F155&lt;=1000, 35, F155*0.035)))),
0)))</f>
        <v>0</v>
      </c>
      <c r="H155" s="178">
        <f>IF(I155="مخالفات",50,Basic345678910111213141516171819202122[[#This Row],[قيمة الرسوم / العموله]]+Basic345678910111213141516171819202122[[#This Row],[قيمة الشحنه]])</f>
        <v>0</v>
      </c>
      <c r="I155" s="90"/>
      <c r="J155" s="142" t="str">
        <f t="shared" si="2"/>
        <v>11.5.2026</v>
      </c>
      <c r="L155" s="153">
        <v>144</v>
      </c>
      <c r="M155" s="92"/>
    </row>
    <row r="156" spans="1:13" ht="21.6" x14ac:dyDescent="0.65">
      <c r="A156" s="195"/>
      <c r="B156" s="140">
        <v>153</v>
      </c>
      <c r="C156" s="2"/>
      <c r="D156" s="1"/>
      <c r="E156" s="3"/>
      <c r="F156" s="1"/>
      <c r="G156" s="141">
        <f>IF(Basic345678910111213141516171819202122[[#This Row],[نوع الخدمة]]="مخالفات", 50,
IF(Basic345678910111213141516171819202122[[#This Row],[نوع الخدمة]]="كاش ان",
    IF(F156&lt;=100, 18, IF(F156&lt;=250, 23, IF(F156&lt;=500, 35, IF(F156&lt;=1000, 40, F156*0.04)))),
IF(Basic345678910111213141516171819202122[[#This Row],[نوع الخدمة]]="كاش اوت",
    IF(F156&lt;=100, 15, IF(F156&lt;=250, 20, IF(F156&lt;=500, 30, IF(F156&lt;=1000, 35, F156*0.035)))),
0)))</f>
        <v>0</v>
      </c>
      <c r="H156" s="178">
        <f>IF(I156="مخالفات",50,Basic345678910111213141516171819202122[[#This Row],[قيمة الرسوم / العموله]]+Basic345678910111213141516171819202122[[#This Row],[قيمة الشحنه]])</f>
        <v>0</v>
      </c>
      <c r="I156" s="90"/>
      <c r="J156" s="142" t="str">
        <f t="shared" si="2"/>
        <v>11.5.2026</v>
      </c>
      <c r="L156" s="153">
        <v>145</v>
      </c>
      <c r="M156" s="92"/>
    </row>
    <row r="157" spans="1:13" ht="21.6" x14ac:dyDescent="0.65">
      <c r="A157" s="195"/>
      <c r="B157" s="144">
        <v>154</v>
      </c>
      <c r="C157" s="2"/>
      <c r="D157" s="1"/>
      <c r="E157" s="3"/>
      <c r="F157" s="1"/>
      <c r="G157" s="141">
        <f>IF(Basic345678910111213141516171819202122[[#This Row],[نوع الخدمة]]="مخالفات", 50,
IF(Basic345678910111213141516171819202122[[#This Row],[نوع الخدمة]]="كاش ان",
    IF(F157&lt;=100, 18, IF(F157&lt;=250, 23, IF(F157&lt;=500, 35, IF(F157&lt;=1000, 40, F157*0.04)))),
IF(Basic345678910111213141516171819202122[[#This Row],[نوع الخدمة]]="كاش اوت",
    IF(F157&lt;=100, 15, IF(F157&lt;=250, 20, IF(F157&lt;=500, 30, IF(F157&lt;=1000, 35, F157*0.035)))),
0)))</f>
        <v>0</v>
      </c>
      <c r="H157" s="178">
        <f>IF(I157="مخالفات",50,Basic345678910111213141516171819202122[[#This Row],[قيمة الرسوم / العموله]]+Basic345678910111213141516171819202122[[#This Row],[قيمة الشحنه]])</f>
        <v>0</v>
      </c>
      <c r="I157" s="90"/>
      <c r="J157" s="142" t="str">
        <f t="shared" si="2"/>
        <v>11.5.2026</v>
      </c>
      <c r="L157" s="153">
        <v>146</v>
      </c>
      <c r="M157" s="92"/>
    </row>
    <row r="158" spans="1:13" ht="21.6" x14ac:dyDescent="0.65">
      <c r="A158" s="195"/>
      <c r="B158" s="140">
        <v>155</v>
      </c>
      <c r="C158" s="2"/>
      <c r="D158" s="1"/>
      <c r="E158" s="3"/>
      <c r="F158" s="1"/>
      <c r="G158" s="141">
        <f>IF(Basic345678910111213141516171819202122[[#This Row],[نوع الخدمة]]="مخالفات", 50,
IF(Basic345678910111213141516171819202122[[#This Row],[نوع الخدمة]]="كاش ان",
    IF(F158&lt;=100, 18, IF(F158&lt;=250, 23, IF(F158&lt;=500, 35, IF(F158&lt;=1000, 40, F158*0.04)))),
IF(Basic345678910111213141516171819202122[[#This Row],[نوع الخدمة]]="كاش اوت",
    IF(F158&lt;=100, 15, IF(F158&lt;=250, 20, IF(F158&lt;=500, 30, IF(F158&lt;=1000, 35, F158*0.035)))),
0)))</f>
        <v>0</v>
      </c>
      <c r="H158" s="178">
        <f>IF(I158="مخالفات",50,Basic345678910111213141516171819202122[[#This Row],[قيمة الرسوم / العموله]]+Basic345678910111213141516171819202122[[#This Row],[قيمة الشحنه]])</f>
        <v>0</v>
      </c>
      <c r="I158" s="90"/>
      <c r="J158" s="142" t="str">
        <f t="shared" si="2"/>
        <v>11.5.2026</v>
      </c>
      <c r="L158" s="153">
        <v>147</v>
      </c>
      <c r="M158" s="92"/>
    </row>
    <row r="159" spans="1:13" ht="21.6" x14ac:dyDescent="0.65">
      <c r="A159" s="195"/>
      <c r="B159" s="140">
        <v>156</v>
      </c>
      <c r="C159" s="2"/>
      <c r="D159" s="1"/>
      <c r="E159" s="3"/>
      <c r="F159" s="1"/>
      <c r="G159" s="141">
        <f>IF(Basic345678910111213141516171819202122[[#This Row],[نوع الخدمة]]="مخالفات", 50,
IF(Basic345678910111213141516171819202122[[#This Row],[نوع الخدمة]]="كاش ان",
    IF(F159&lt;=100, 18, IF(F159&lt;=250, 23, IF(F159&lt;=500, 35, IF(F159&lt;=1000, 40, F159*0.04)))),
IF(Basic345678910111213141516171819202122[[#This Row],[نوع الخدمة]]="كاش اوت",
    IF(F159&lt;=100, 15, IF(F159&lt;=250, 20, IF(F159&lt;=500, 30, IF(F159&lt;=1000, 35, F159*0.035)))),
0)))</f>
        <v>0</v>
      </c>
      <c r="H159" s="178">
        <f>IF(I159="مخالفات",50,Basic345678910111213141516171819202122[[#This Row],[قيمة الرسوم / العموله]]+Basic345678910111213141516171819202122[[#This Row],[قيمة الشحنه]])</f>
        <v>0</v>
      </c>
      <c r="I159" s="90"/>
      <c r="J159" s="142" t="str">
        <f t="shared" si="2"/>
        <v>11.5.2026</v>
      </c>
      <c r="L159" s="153">
        <v>148</v>
      </c>
      <c r="M159" s="92"/>
    </row>
    <row r="160" spans="1:13" ht="21.6" x14ac:dyDescent="0.65">
      <c r="A160" s="195"/>
      <c r="B160" s="140">
        <v>157</v>
      </c>
      <c r="C160" s="2"/>
      <c r="D160" s="1"/>
      <c r="E160" s="3"/>
      <c r="F160" s="1"/>
      <c r="G160" s="141">
        <f>IF(Basic345678910111213141516171819202122[[#This Row],[نوع الخدمة]]="مخالفات", 50,
IF(Basic345678910111213141516171819202122[[#This Row],[نوع الخدمة]]="كاش ان",
    IF(F160&lt;=100, 18, IF(F160&lt;=250, 23, IF(F160&lt;=500, 35, IF(F160&lt;=1000, 40, F160*0.04)))),
IF(Basic345678910111213141516171819202122[[#This Row],[نوع الخدمة]]="كاش اوت",
    IF(F160&lt;=100, 15, IF(F160&lt;=250, 20, IF(F160&lt;=500, 30, IF(F160&lt;=1000, 35, F160*0.035)))),
0)))</f>
        <v>0</v>
      </c>
      <c r="H160" s="178">
        <f>IF(I160="مخالفات",50,Basic345678910111213141516171819202122[[#This Row],[قيمة الرسوم / العموله]]+Basic345678910111213141516171819202122[[#This Row],[قيمة الشحنه]])</f>
        <v>0</v>
      </c>
      <c r="I160" s="90"/>
      <c r="J160" s="142" t="str">
        <f t="shared" si="2"/>
        <v>11.5.2026</v>
      </c>
      <c r="L160" s="153">
        <v>149</v>
      </c>
      <c r="M160" s="92"/>
    </row>
    <row r="161" spans="1:13" ht="21.6" x14ac:dyDescent="0.65">
      <c r="A161" s="195"/>
      <c r="B161" s="144">
        <v>158</v>
      </c>
      <c r="C161" s="2"/>
      <c r="D161" s="1"/>
      <c r="E161" s="3"/>
      <c r="F161" s="1"/>
      <c r="G161" s="141">
        <f>IF(Basic345678910111213141516171819202122[[#This Row],[نوع الخدمة]]="مخالفات", 50,
IF(Basic345678910111213141516171819202122[[#This Row],[نوع الخدمة]]="كاش ان",
    IF(F161&lt;=100, 18, IF(F161&lt;=250, 23, IF(F161&lt;=500, 35, IF(F161&lt;=1000, 40, F161*0.04)))),
IF(Basic345678910111213141516171819202122[[#This Row],[نوع الخدمة]]="كاش اوت",
    IF(F161&lt;=100, 15, IF(F161&lt;=250, 20, IF(F161&lt;=500, 30, IF(F161&lt;=1000, 35, F161*0.035)))),
0)))</f>
        <v>0</v>
      </c>
      <c r="H161" s="178">
        <f>IF(I161="مخالفات",50,Basic345678910111213141516171819202122[[#This Row],[قيمة الرسوم / العموله]]+Basic345678910111213141516171819202122[[#This Row],[قيمة الشحنه]])</f>
        <v>0</v>
      </c>
      <c r="I161" s="90"/>
      <c r="J161" s="142" t="str">
        <f t="shared" si="2"/>
        <v>11.5.2026</v>
      </c>
      <c r="L161" s="153">
        <v>150</v>
      </c>
      <c r="M161" s="92"/>
    </row>
    <row r="162" spans="1:13" ht="21.6" x14ac:dyDescent="0.65">
      <c r="A162" s="195"/>
      <c r="B162" s="140">
        <v>159</v>
      </c>
      <c r="C162" s="2"/>
      <c r="D162" s="1"/>
      <c r="E162" s="3"/>
      <c r="F162" s="1"/>
      <c r="G162" s="141">
        <f>IF(Basic345678910111213141516171819202122[[#This Row],[نوع الخدمة]]="مخالفات", 50,
IF(Basic345678910111213141516171819202122[[#This Row],[نوع الخدمة]]="كاش ان",
    IF(F162&lt;=100, 18, IF(F162&lt;=250, 23, IF(F162&lt;=500, 35, IF(F162&lt;=1000, 40, F162*0.04)))),
IF(Basic345678910111213141516171819202122[[#This Row],[نوع الخدمة]]="كاش اوت",
    IF(F162&lt;=100, 15, IF(F162&lt;=250, 20, IF(F162&lt;=500, 30, IF(F162&lt;=1000, 35, F162*0.035)))),
0)))</f>
        <v>0</v>
      </c>
      <c r="H162" s="178">
        <f>IF(I162="مخالفات",50,Basic345678910111213141516171819202122[[#This Row],[قيمة الرسوم / العموله]]+Basic345678910111213141516171819202122[[#This Row],[قيمة الشحنه]])</f>
        <v>0</v>
      </c>
      <c r="I162" s="90"/>
      <c r="J162" s="142" t="str">
        <f t="shared" si="2"/>
        <v>11.5.2026</v>
      </c>
      <c r="L162" s="153">
        <v>151</v>
      </c>
      <c r="M162" s="92"/>
    </row>
    <row r="163" spans="1:13" ht="21.6" x14ac:dyDescent="0.65">
      <c r="A163" s="195"/>
      <c r="B163" s="140">
        <v>160</v>
      </c>
      <c r="C163" s="2"/>
      <c r="D163" s="1"/>
      <c r="E163" s="3"/>
      <c r="F163" s="1"/>
      <c r="G163" s="141">
        <f>IF(Basic345678910111213141516171819202122[[#This Row],[نوع الخدمة]]="مخالفات", 50,
IF(Basic345678910111213141516171819202122[[#This Row],[نوع الخدمة]]="كاش ان",
    IF(F163&lt;=100, 18, IF(F163&lt;=250, 23, IF(F163&lt;=500, 35, IF(F163&lt;=1000, 40, F163*0.04)))),
IF(Basic345678910111213141516171819202122[[#This Row],[نوع الخدمة]]="كاش اوت",
    IF(F163&lt;=100, 15, IF(F163&lt;=250, 20, IF(F163&lt;=500, 30, IF(F163&lt;=1000, 35, F163*0.035)))),
0)))</f>
        <v>0</v>
      </c>
      <c r="H163" s="178">
        <f>IF(I163="مخالفات",50,Basic345678910111213141516171819202122[[#This Row],[قيمة الرسوم / العموله]]+Basic345678910111213141516171819202122[[#This Row],[قيمة الشحنه]])</f>
        <v>0</v>
      </c>
      <c r="I163" s="90"/>
      <c r="J163" s="142" t="str">
        <f t="shared" si="2"/>
        <v>11.5.2026</v>
      </c>
      <c r="L163" s="153">
        <v>152</v>
      </c>
      <c r="M163" s="92"/>
    </row>
    <row r="164" spans="1:13" ht="21.6" x14ac:dyDescent="0.65">
      <c r="A164" s="195"/>
      <c r="B164" s="140">
        <v>161</v>
      </c>
      <c r="C164" s="2"/>
      <c r="D164" s="1"/>
      <c r="E164" s="3"/>
      <c r="F164" s="1"/>
      <c r="G164" s="141">
        <f>IF(Basic345678910111213141516171819202122[[#This Row],[نوع الخدمة]]="مخالفات", 50,
IF(Basic345678910111213141516171819202122[[#This Row],[نوع الخدمة]]="كاش ان",
    IF(F164&lt;=100, 18, IF(F164&lt;=250, 23, IF(F164&lt;=500, 35, IF(F164&lt;=1000, 40, F164*0.04)))),
IF(Basic345678910111213141516171819202122[[#This Row],[نوع الخدمة]]="كاش اوت",
    IF(F164&lt;=100, 15, IF(F164&lt;=250, 20, IF(F164&lt;=500, 30, IF(F164&lt;=1000, 35, F164*0.035)))),
0)))</f>
        <v>0</v>
      </c>
      <c r="H164" s="178">
        <f>IF(I164="مخالفات",50,Basic345678910111213141516171819202122[[#This Row],[قيمة الرسوم / العموله]]+Basic345678910111213141516171819202122[[#This Row],[قيمة الشحنه]])</f>
        <v>0</v>
      </c>
      <c r="I164" s="90"/>
      <c r="J164" s="142" t="str">
        <f t="shared" si="2"/>
        <v>11.5.2026</v>
      </c>
      <c r="L164" s="153">
        <v>153</v>
      </c>
      <c r="M164" s="92"/>
    </row>
    <row r="165" spans="1:13" ht="21.6" x14ac:dyDescent="0.65">
      <c r="A165" s="195"/>
      <c r="B165" s="144">
        <v>162</v>
      </c>
      <c r="C165" s="2"/>
      <c r="D165" s="1"/>
      <c r="E165" s="3"/>
      <c r="F165" s="1"/>
      <c r="G165" s="141">
        <f>IF(Basic345678910111213141516171819202122[[#This Row],[نوع الخدمة]]="مخالفات", 50,
IF(Basic345678910111213141516171819202122[[#This Row],[نوع الخدمة]]="كاش ان",
    IF(F165&lt;=100, 18, IF(F165&lt;=250, 23, IF(F165&lt;=500, 35, IF(F165&lt;=1000, 40, F165*0.04)))),
IF(Basic345678910111213141516171819202122[[#This Row],[نوع الخدمة]]="كاش اوت",
    IF(F165&lt;=100, 15, IF(F165&lt;=250, 20, IF(F165&lt;=500, 30, IF(F165&lt;=1000, 35, F165*0.035)))),
0)))</f>
        <v>0</v>
      </c>
      <c r="H165" s="178">
        <f>IF(I165="مخالفات",50,Basic345678910111213141516171819202122[[#This Row],[قيمة الرسوم / العموله]]+Basic345678910111213141516171819202122[[#This Row],[قيمة الشحنه]])</f>
        <v>0</v>
      </c>
      <c r="I165" s="90"/>
      <c r="J165" s="142" t="str">
        <f t="shared" si="2"/>
        <v>11.5.2026</v>
      </c>
      <c r="L165" s="153">
        <v>154</v>
      </c>
      <c r="M165" s="92"/>
    </row>
    <row r="166" spans="1:13" ht="21.6" x14ac:dyDescent="0.65">
      <c r="A166" s="195"/>
      <c r="B166" s="140">
        <v>163</v>
      </c>
      <c r="C166" s="2"/>
      <c r="D166" s="1"/>
      <c r="E166" s="3"/>
      <c r="F166" s="1"/>
      <c r="G166" s="141">
        <f>IF(Basic345678910111213141516171819202122[[#This Row],[نوع الخدمة]]="مخالفات", 50,
IF(Basic345678910111213141516171819202122[[#This Row],[نوع الخدمة]]="كاش ان",
    IF(F166&lt;=100, 18, IF(F166&lt;=250, 23, IF(F166&lt;=500, 35, IF(F166&lt;=1000, 40, F166*0.04)))),
IF(Basic345678910111213141516171819202122[[#This Row],[نوع الخدمة]]="كاش اوت",
    IF(F166&lt;=100, 15, IF(F166&lt;=250, 20, IF(F166&lt;=500, 30, IF(F166&lt;=1000, 35, F166*0.035)))),
0)))</f>
        <v>0</v>
      </c>
      <c r="H166" s="178">
        <f>IF(I166="مخالفات",50,Basic345678910111213141516171819202122[[#This Row],[قيمة الرسوم / العموله]]+Basic345678910111213141516171819202122[[#This Row],[قيمة الشحنه]])</f>
        <v>0</v>
      </c>
      <c r="I166" s="90"/>
      <c r="J166" s="142" t="str">
        <f t="shared" si="2"/>
        <v>11.5.2026</v>
      </c>
      <c r="L166" s="153">
        <v>155</v>
      </c>
      <c r="M166" s="92"/>
    </row>
    <row r="167" spans="1:13" ht="21.6" x14ac:dyDescent="0.65">
      <c r="A167" s="195"/>
      <c r="B167" s="140">
        <v>164</v>
      </c>
      <c r="C167" s="2"/>
      <c r="D167" s="1"/>
      <c r="E167" s="3"/>
      <c r="F167" s="1"/>
      <c r="G167" s="141">
        <f>IF(Basic345678910111213141516171819202122[[#This Row],[نوع الخدمة]]="مخالفات", 50,
IF(Basic345678910111213141516171819202122[[#This Row],[نوع الخدمة]]="كاش ان",
    IF(F167&lt;=100, 18, IF(F167&lt;=250, 23, IF(F167&lt;=500, 35, IF(F167&lt;=1000, 40, F167*0.04)))),
IF(Basic345678910111213141516171819202122[[#This Row],[نوع الخدمة]]="كاش اوت",
    IF(F167&lt;=100, 15, IF(F167&lt;=250, 20, IF(F167&lt;=500, 30, IF(F167&lt;=1000, 35, F167*0.035)))),
0)))</f>
        <v>0</v>
      </c>
      <c r="H167" s="178">
        <f>IF(I167="مخالفات",50,Basic345678910111213141516171819202122[[#This Row],[قيمة الرسوم / العموله]]+Basic345678910111213141516171819202122[[#This Row],[قيمة الشحنه]])</f>
        <v>0</v>
      </c>
      <c r="I167" s="90"/>
      <c r="J167" s="142" t="str">
        <f t="shared" si="2"/>
        <v>11.5.2026</v>
      </c>
      <c r="L167" s="153">
        <v>156</v>
      </c>
      <c r="M167" s="92"/>
    </row>
    <row r="168" spans="1:13" ht="21.6" x14ac:dyDescent="0.65">
      <c r="A168" s="195"/>
      <c r="B168" s="140">
        <v>165</v>
      </c>
      <c r="C168" s="2"/>
      <c r="D168" s="1"/>
      <c r="E168" s="3"/>
      <c r="F168" s="1"/>
      <c r="G168" s="141">
        <f>IF(Basic345678910111213141516171819202122[[#This Row],[نوع الخدمة]]="مخالفات", 50,
IF(Basic345678910111213141516171819202122[[#This Row],[نوع الخدمة]]="كاش ان",
    IF(F168&lt;=100, 18, IF(F168&lt;=250, 23, IF(F168&lt;=500, 35, IF(F168&lt;=1000, 40, F168*0.04)))),
IF(Basic345678910111213141516171819202122[[#This Row],[نوع الخدمة]]="كاش اوت",
    IF(F168&lt;=100, 15, IF(F168&lt;=250, 20, IF(F168&lt;=500, 30, IF(F168&lt;=1000, 35, F168*0.035)))),
0)))</f>
        <v>0</v>
      </c>
      <c r="H168" s="178">
        <f>IF(I168="مخالفات",50,Basic345678910111213141516171819202122[[#This Row],[قيمة الرسوم / العموله]]+Basic345678910111213141516171819202122[[#This Row],[قيمة الشحنه]])</f>
        <v>0</v>
      </c>
      <c r="I168" s="90"/>
      <c r="J168" s="142" t="str">
        <f t="shared" si="2"/>
        <v>11.5.2026</v>
      </c>
      <c r="L168" s="153">
        <v>157</v>
      </c>
      <c r="M168" s="92"/>
    </row>
    <row r="169" spans="1:13" ht="21.6" x14ac:dyDescent="0.65">
      <c r="A169" s="195"/>
      <c r="B169" s="144">
        <v>166</v>
      </c>
      <c r="C169" s="2"/>
      <c r="D169" s="1"/>
      <c r="E169" s="3"/>
      <c r="F169" s="1"/>
      <c r="G169" s="141">
        <f>IF(Basic345678910111213141516171819202122[[#This Row],[نوع الخدمة]]="مخالفات", 50,
IF(Basic345678910111213141516171819202122[[#This Row],[نوع الخدمة]]="كاش ان",
    IF(F169&lt;=100, 18, IF(F169&lt;=250, 23, IF(F169&lt;=500, 35, IF(F169&lt;=1000, 40, F169*0.04)))),
IF(Basic345678910111213141516171819202122[[#This Row],[نوع الخدمة]]="كاش اوت",
    IF(F169&lt;=100, 15, IF(F169&lt;=250, 20, IF(F169&lt;=500, 30, IF(F169&lt;=1000, 35, F169*0.035)))),
0)))</f>
        <v>0</v>
      </c>
      <c r="H169" s="178">
        <f>IF(I169="مخالفات",50,Basic345678910111213141516171819202122[[#This Row],[قيمة الرسوم / العموله]]+Basic345678910111213141516171819202122[[#This Row],[قيمة الشحنه]])</f>
        <v>0</v>
      </c>
      <c r="I169" s="90"/>
      <c r="J169" s="142" t="str">
        <f t="shared" si="2"/>
        <v>11.5.2026</v>
      </c>
      <c r="L169" s="153">
        <v>158</v>
      </c>
      <c r="M169" s="92"/>
    </row>
    <row r="170" spans="1:13" ht="21.6" x14ac:dyDescent="0.65">
      <c r="A170" s="195"/>
      <c r="B170" s="140">
        <v>167</v>
      </c>
      <c r="C170" s="2"/>
      <c r="D170" s="1"/>
      <c r="E170" s="3"/>
      <c r="F170" s="1"/>
      <c r="G170" s="141">
        <f>IF(Basic345678910111213141516171819202122[[#This Row],[نوع الخدمة]]="مخالفات", 50,
IF(Basic345678910111213141516171819202122[[#This Row],[نوع الخدمة]]="كاش ان",
    IF(F170&lt;=100, 18, IF(F170&lt;=250, 23, IF(F170&lt;=500, 35, IF(F170&lt;=1000, 40, F170*0.04)))),
IF(Basic345678910111213141516171819202122[[#This Row],[نوع الخدمة]]="كاش اوت",
    IF(F170&lt;=100, 15, IF(F170&lt;=250, 20, IF(F170&lt;=500, 30, IF(F170&lt;=1000, 35, F170*0.035)))),
0)))</f>
        <v>0</v>
      </c>
      <c r="H170" s="178">
        <f>IF(I170="مخالفات",50,Basic345678910111213141516171819202122[[#This Row],[قيمة الرسوم / العموله]]+Basic345678910111213141516171819202122[[#This Row],[قيمة الشحنه]])</f>
        <v>0</v>
      </c>
      <c r="I170" s="90"/>
      <c r="J170" s="142" t="str">
        <f t="shared" si="2"/>
        <v>11.5.2026</v>
      </c>
      <c r="L170" s="153">
        <v>159</v>
      </c>
      <c r="M170" s="92"/>
    </row>
    <row r="171" spans="1:13" ht="21.6" x14ac:dyDescent="0.65">
      <c r="A171" s="195"/>
      <c r="B171" s="140">
        <v>168</v>
      </c>
      <c r="C171" s="2"/>
      <c r="D171" s="1"/>
      <c r="E171" s="3"/>
      <c r="F171" s="1"/>
      <c r="G171" s="141">
        <f>IF(Basic345678910111213141516171819202122[[#This Row],[نوع الخدمة]]="مخالفات", 50,
IF(Basic345678910111213141516171819202122[[#This Row],[نوع الخدمة]]="كاش ان",
    IF(F171&lt;=100, 18, IF(F171&lt;=250, 23, IF(F171&lt;=500, 35, IF(F171&lt;=1000, 40, F171*0.04)))),
IF(Basic345678910111213141516171819202122[[#This Row],[نوع الخدمة]]="كاش اوت",
    IF(F171&lt;=100, 15, IF(F171&lt;=250, 20, IF(F171&lt;=500, 30, IF(F171&lt;=1000, 35, F171*0.035)))),
0)))</f>
        <v>0</v>
      </c>
      <c r="H171" s="178">
        <f>IF(I171="مخالفات",50,Basic345678910111213141516171819202122[[#This Row],[قيمة الرسوم / العموله]]+Basic345678910111213141516171819202122[[#This Row],[قيمة الشحنه]])</f>
        <v>0</v>
      </c>
      <c r="I171" s="90"/>
      <c r="J171" s="142" t="str">
        <f t="shared" si="2"/>
        <v>11.5.2026</v>
      </c>
      <c r="L171" s="153">
        <v>160</v>
      </c>
      <c r="M171" s="92"/>
    </row>
    <row r="172" spans="1:13" ht="21.6" x14ac:dyDescent="0.65">
      <c r="A172" s="195"/>
      <c r="B172" s="140">
        <v>169</v>
      </c>
      <c r="C172" s="2"/>
      <c r="D172" s="1"/>
      <c r="E172" s="3"/>
      <c r="F172" s="1"/>
      <c r="G172" s="141">
        <f>IF(Basic345678910111213141516171819202122[[#This Row],[نوع الخدمة]]="مخالفات", 50,
IF(Basic345678910111213141516171819202122[[#This Row],[نوع الخدمة]]="كاش ان",
    IF(F172&lt;=100, 18, IF(F172&lt;=250, 23, IF(F172&lt;=500, 35, IF(F172&lt;=1000, 40, F172*0.04)))),
IF(Basic345678910111213141516171819202122[[#This Row],[نوع الخدمة]]="كاش اوت",
    IF(F172&lt;=100, 15, IF(F172&lt;=250, 20, IF(F172&lt;=500, 30, IF(F172&lt;=1000, 35, F172*0.035)))),
0)))</f>
        <v>0</v>
      </c>
      <c r="H172" s="178">
        <f>IF(I172="مخالفات",50,Basic345678910111213141516171819202122[[#This Row],[قيمة الرسوم / العموله]]+Basic345678910111213141516171819202122[[#This Row],[قيمة الشحنه]])</f>
        <v>0</v>
      </c>
      <c r="I172" s="90"/>
      <c r="J172" s="142" t="str">
        <f t="shared" si="2"/>
        <v>11.5.2026</v>
      </c>
      <c r="L172" s="153">
        <v>161</v>
      </c>
      <c r="M172" s="92"/>
    </row>
    <row r="173" spans="1:13" ht="21.6" x14ac:dyDescent="0.65">
      <c r="A173" s="195"/>
      <c r="B173" s="144">
        <v>170</v>
      </c>
      <c r="C173" s="2"/>
      <c r="D173" s="1"/>
      <c r="E173" s="3"/>
      <c r="F173" s="1"/>
      <c r="G173" s="141">
        <f>IF(Basic345678910111213141516171819202122[[#This Row],[نوع الخدمة]]="مخالفات", 50,
IF(Basic345678910111213141516171819202122[[#This Row],[نوع الخدمة]]="كاش ان",
    IF(F173&lt;=100, 18, IF(F173&lt;=250, 23, IF(F173&lt;=500, 35, IF(F173&lt;=1000, 40, F173*0.04)))),
IF(Basic345678910111213141516171819202122[[#This Row],[نوع الخدمة]]="كاش اوت",
    IF(F173&lt;=100, 15, IF(F173&lt;=250, 20, IF(F173&lt;=500, 30, IF(F173&lt;=1000, 35, F173*0.035)))),
0)))</f>
        <v>0</v>
      </c>
      <c r="H173" s="178">
        <f>IF(I173="مخالفات",50,Basic345678910111213141516171819202122[[#This Row],[قيمة الرسوم / العموله]]+Basic345678910111213141516171819202122[[#This Row],[قيمة الشحنه]])</f>
        <v>0</v>
      </c>
      <c r="I173" s="90"/>
      <c r="J173" s="142" t="str">
        <f t="shared" si="2"/>
        <v>11.5.2026</v>
      </c>
      <c r="L173" s="153">
        <v>162</v>
      </c>
      <c r="M173" s="92"/>
    </row>
    <row r="174" spans="1:13" ht="21.6" x14ac:dyDescent="0.65">
      <c r="A174" s="195"/>
      <c r="B174" s="140">
        <v>171</v>
      </c>
      <c r="C174" s="2"/>
      <c r="D174" s="1"/>
      <c r="E174" s="3"/>
      <c r="F174" s="1"/>
      <c r="G174" s="141">
        <f>IF(Basic345678910111213141516171819202122[[#This Row],[نوع الخدمة]]="مخالفات", 50,
IF(Basic345678910111213141516171819202122[[#This Row],[نوع الخدمة]]="كاش ان",
    IF(F174&lt;=100, 18, IF(F174&lt;=250, 23, IF(F174&lt;=500, 35, IF(F174&lt;=1000, 40, F174*0.04)))),
IF(Basic345678910111213141516171819202122[[#This Row],[نوع الخدمة]]="كاش اوت",
    IF(F174&lt;=100, 15, IF(F174&lt;=250, 20, IF(F174&lt;=500, 30, IF(F174&lt;=1000, 35, F174*0.035)))),
0)))</f>
        <v>0</v>
      </c>
      <c r="H174" s="178">
        <f>IF(I174="مخالفات",50,Basic345678910111213141516171819202122[[#This Row],[قيمة الرسوم / العموله]]+Basic345678910111213141516171819202122[[#This Row],[قيمة الشحنه]])</f>
        <v>0</v>
      </c>
      <c r="I174" s="90"/>
      <c r="J174" s="142" t="str">
        <f t="shared" si="2"/>
        <v>11.5.2026</v>
      </c>
      <c r="L174" s="153">
        <v>163</v>
      </c>
      <c r="M174" s="92"/>
    </row>
    <row r="175" spans="1:13" ht="21.6" x14ac:dyDescent="0.65">
      <c r="A175" s="195"/>
      <c r="B175" s="140">
        <v>172</v>
      </c>
      <c r="C175" s="2"/>
      <c r="D175" s="1"/>
      <c r="E175" s="3"/>
      <c r="F175" s="1"/>
      <c r="G175" s="141">
        <f>IF(Basic345678910111213141516171819202122[[#This Row],[نوع الخدمة]]="مخالفات", 50,
IF(Basic345678910111213141516171819202122[[#This Row],[نوع الخدمة]]="كاش ان",
    IF(F175&lt;=100, 18, IF(F175&lt;=250, 23, IF(F175&lt;=500, 35, IF(F175&lt;=1000, 40, F175*0.04)))),
IF(Basic345678910111213141516171819202122[[#This Row],[نوع الخدمة]]="كاش اوت",
    IF(F175&lt;=100, 15, IF(F175&lt;=250, 20, IF(F175&lt;=500, 30, IF(F175&lt;=1000, 35, F175*0.035)))),
0)))</f>
        <v>0</v>
      </c>
      <c r="H175" s="178">
        <f>IF(I175="مخالفات",50,Basic345678910111213141516171819202122[[#This Row],[قيمة الرسوم / العموله]]+Basic345678910111213141516171819202122[[#This Row],[قيمة الشحنه]])</f>
        <v>0</v>
      </c>
      <c r="I175" s="90"/>
      <c r="J175" s="142" t="str">
        <f t="shared" si="2"/>
        <v>11.5.2026</v>
      </c>
      <c r="L175" s="153">
        <v>164</v>
      </c>
      <c r="M175" s="92"/>
    </row>
    <row r="176" spans="1:13" ht="21.6" x14ac:dyDescent="0.65">
      <c r="A176" s="195"/>
      <c r="B176" s="140">
        <v>173</v>
      </c>
      <c r="C176" s="2"/>
      <c r="D176" s="1"/>
      <c r="E176" s="3"/>
      <c r="F176" s="1"/>
      <c r="G176" s="141">
        <f>IF(Basic345678910111213141516171819202122[[#This Row],[نوع الخدمة]]="مخالفات", 50,
IF(Basic345678910111213141516171819202122[[#This Row],[نوع الخدمة]]="كاش ان",
    IF(F176&lt;=100, 18, IF(F176&lt;=250, 23, IF(F176&lt;=500, 35, IF(F176&lt;=1000, 40, F176*0.04)))),
IF(Basic345678910111213141516171819202122[[#This Row],[نوع الخدمة]]="كاش اوت",
    IF(F176&lt;=100, 15, IF(F176&lt;=250, 20, IF(F176&lt;=500, 30, IF(F176&lt;=1000, 35, F176*0.035)))),
0)))</f>
        <v>0</v>
      </c>
      <c r="H176" s="178">
        <f>IF(I176="مخالفات",50,Basic345678910111213141516171819202122[[#This Row],[قيمة الرسوم / العموله]]+Basic345678910111213141516171819202122[[#This Row],[قيمة الشحنه]])</f>
        <v>0</v>
      </c>
      <c r="I176" s="90"/>
      <c r="J176" s="142" t="str">
        <f t="shared" si="2"/>
        <v>11.5.2026</v>
      </c>
      <c r="L176" s="153">
        <v>165</v>
      </c>
      <c r="M176" s="92"/>
    </row>
    <row r="177" spans="1:13" ht="21.6" x14ac:dyDescent="0.65">
      <c r="A177" s="195"/>
      <c r="B177" s="144">
        <v>174</v>
      </c>
      <c r="C177" s="2"/>
      <c r="D177" s="1"/>
      <c r="E177" s="3"/>
      <c r="F177" s="1"/>
      <c r="G177" s="141">
        <f>IF(Basic345678910111213141516171819202122[[#This Row],[نوع الخدمة]]="مخالفات", 50,
IF(Basic345678910111213141516171819202122[[#This Row],[نوع الخدمة]]="كاش ان",
    IF(F177&lt;=100, 18, IF(F177&lt;=250, 23, IF(F177&lt;=500, 35, IF(F177&lt;=1000, 40, F177*0.04)))),
IF(Basic345678910111213141516171819202122[[#This Row],[نوع الخدمة]]="كاش اوت",
    IF(F177&lt;=100, 15, IF(F177&lt;=250, 20, IF(F177&lt;=500, 30, IF(F177&lt;=1000, 35, F177*0.035)))),
0)))</f>
        <v>0</v>
      </c>
      <c r="H177" s="178">
        <f>IF(I177="مخالفات",50,Basic345678910111213141516171819202122[[#This Row],[قيمة الرسوم / العموله]]+Basic345678910111213141516171819202122[[#This Row],[قيمة الشحنه]])</f>
        <v>0</v>
      </c>
      <c r="I177" s="90"/>
      <c r="J177" s="142" t="str">
        <f t="shared" si="2"/>
        <v>11.5.2026</v>
      </c>
      <c r="L177" s="153">
        <v>166</v>
      </c>
      <c r="M177" s="92"/>
    </row>
    <row r="178" spans="1:13" ht="21.6" x14ac:dyDescent="0.65">
      <c r="A178" s="195"/>
      <c r="B178" s="140">
        <v>175</v>
      </c>
      <c r="C178" s="2"/>
      <c r="D178" s="1"/>
      <c r="E178" s="3"/>
      <c r="F178" s="1"/>
      <c r="G178" s="141">
        <f>IF(Basic345678910111213141516171819202122[[#This Row],[نوع الخدمة]]="مخالفات", 50,
IF(Basic345678910111213141516171819202122[[#This Row],[نوع الخدمة]]="كاش ان",
    IF(F178&lt;=100, 18, IF(F178&lt;=250, 23, IF(F178&lt;=500, 35, IF(F178&lt;=1000, 40, F178*0.04)))),
IF(Basic345678910111213141516171819202122[[#This Row],[نوع الخدمة]]="كاش اوت",
    IF(F178&lt;=100, 15, IF(F178&lt;=250, 20, IF(F178&lt;=500, 30, IF(F178&lt;=1000, 35, F178*0.035)))),
0)))</f>
        <v>0</v>
      </c>
      <c r="H178" s="178">
        <f>IF(I178="مخالفات",50,Basic345678910111213141516171819202122[[#This Row],[قيمة الرسوم / العموله]]+Basic345678910111213141516171819202122[[#This Row],[قيمة الشحنه]])</f>
        <v>0</v>
      </c>
      <c r="I178" s="90"/>
      <c r="J178" s="142" t="str">
        <f t="shared" si="2"/>
        <v>11.5.2026</v>
      </c>
      <c r="L178" s="153">
        <v>167</v>
      </c>
      <c r="M178" s="92"/>
    </row>
    <row r="179" spans="1:13" ht="21.6" x14ac:dyDescent="0.65">
      <c r="A179" s="195"/>
      <c r="B179" s="140">
        <v>176</v>
      </c>
      <c r="C179" s="2"/>
      <c r="D179" s="1"/>
      <c r="E179" s="3"/>
      <c r="F179" s="1"/>
      <c r="G179" s="141">
        <f>IF(Basic345678910111213141516171819202122[[#This Row],[نوع الخدمة]]="مخالفات", 50,
IF(Basic345678910111213141516171819202122[[#This Row],[نوع الخدمة]]="كاش ان",
    IF(F179&lt;=100, 18, IF(F179&lt;=250, 23, IF(F179&lt;=500, 35, IF(F179&lt;=1000, 40, F179*0.04)))),
IF(Basic345678910111213141516171819202122[[#This Row],[نوع الخدمة]]="كاش اوت",
    IF(F179&lt;=100, 15, IF(F179&lt;=250, 20, IF(F179&lt;=500, 30, IF(F179&lt;=1000, 35, F179*0.035)))),
0)))</f>
        <v>0</v>
      </c>
      <c r="H179" s="178">
        <f>IF(I179="مخالفات",50,Basic345678910111213141516171819202122[[#This Row],[قيمة الرسوم / العموله]]+Basic345678910111213141516171819202122[[#This Row],[قيمة الشحنه]])</f>
        <v>0</v>
      </c>
      <c r="I179" s="90"/>
      <c r="J179" s="142" t="str">
        <f t="shared" si="2"/>
        <v>11.5.2026</v>
      </c>
      <c r="L179" s="153">
        <v>168</v>
      </c>
      <c r="M179" s="92"/>
    </row>
    <row r="180" spans="1:13" ht="21.6" x14ac:dyDescent="0.65">
      <c r="A180" s="195"/>
      <c r="B180" s="140">
        <v>177</v>
      </c>
      <c r="C180" s="2"/>
      <c r="D180" s="1"/>
      <c r="E180" s="3"/>
      <c r="F180" s="1"/>
      <c r="G180" s="141">
        <f>IF(Basic345678910111213141516171819202122[[#This Row],[نوع الخدمة]]="مخالفات", 50,
IF(Basic345678910111213141516171819202122[[#This Row],[نوع الخدمة]]="كاش ان",
    IF(F180&lt;=100, 18, IF(F180&lt;=250, 23, IF(F180&lt;=500, 35, IF(F180&lt;=1000, 40, F180*0.04)))),
IF(Basic345678910111213141516171819202122[[#This Row],[نوع الخدمة]]="كاش اوت",
    IF(F180&lt;=100, 15, IF(F180&lt;=250, 20, IF(F180&lt;=500, 30, IF(F180&lt;=1000, 35, F180*0.035)))),
0)))</f>
        <v>0</v>
      </c>
      <c r="H180" s="178">
        <f>IF(I180="مخالفات",50,Basic345678910111213141516171819202122[[#This Row],[قيمة الرسوم / العموله]]+Basic345678910111213141516171819202122[[#This Row],[قيمة الشحنه]])</f>
        <v>0</v>
      </c>
      <c r="I180" s="90"/>
      <c r="J180" s="142" t="str">
        <f t="shared" si="2"/>
        <v>11.5.2026</v>
      </c>
      <c r="L180" s="153">
        <v>169</v>
      </c>
      <c r="M180" s="92"/>
    </row>
    <row r="181" spans="1:13" ht="21.6" x14ac:dyDescent="0.65">
      <c r="A181" s="195"/>
      <c r="B181" s="144">
        <v>178</v>
      </c>
      <c r="C181" s="2"/>
      <c r="D181" s="1"/>
      <c r="E181" s="3"/>
      <c r="F181" s="1"/>
      <c r="G181" s="141">
        <f>IF(Basic345678910111213141516171819202122[[#This Row],[نوع الخدمة]]="مخالفات", 50,
IF(Basic345678910111213141516171819202122[[#This Row],[نوع الخدمة]]="كاش ان",
    IF(F181&lt;=100, 18, IF(F181&lt;=250, 23, IF(F181&lt;=500, 35, IF(F181&lt;=1000, 40, F181*0.04)))),
IF(Basic345678910111213141516171819202122[[#This Row],[نوع الخدمة]]="كاش اوت",
    IF(F181&lt;=100, 15, IF(F181&lt;=250, 20, IF(F181&lt;=500, 30, IF(F181&lt;=1000, 35, F181*0.035)))),
0)))</f>
        <v>0</v>
      </c>
      <c r="H181" s="178">
        <f>IF(I181="مخالفات",50,Basic345678910111213141516171819202122[[#This Row],[قيمة الرسوم / العموله]]+Basic345678910111213141516171819202122[[#This Row],[قيمة الشحنه]])</f>
        <v>0</v>
      </c>
      <c r="I181" s="90"/>
      <c r="J181" s="142" t="str">
        <f t="shared" si="2"/>
        <v>11.5.2026</v>
      </c>
      <c r="L181" s="153">
        <v>170</v>
      </c>
      <c r="M181" s="92"/>
    </row>
    <row r="182" spans="1:13" ht="21.6" x14ac:dyDescent="0.65">
      <c r="A182" s="195"/>
      <c r="B182" s="140">
        <v>179</v>
      </c>
      <c r="C182" s="2"/>
      <c r="D182" s="1"/>
      <c r="E182" s="3"/>
      <c r="F182" s="1"/>
      <c r="G182" s="141">
        <f>IF(Basic345678910111213141516171819202122[[#This Row],[نوع الخدمة]]="مخالفات", 50,
IF(Basic345678910111213141516171819202122[[#This Row],[نوع الخدمة]]="كاش ان",
    IF(F182&lt;=100, 18, IF(F182&lt;=250, 23, IF(F182&lt;=500, 35, IF(F182&lt;=1000, 40, F182*0.04)))),
IF(Basic345678910111213141516171819202122[[#This Row],[نوع الخدمة]]="كاش اوت",
    IF(F182&lt;=100, 15, IF(F182&lt;=250, 20, IF(F182&lt;=500, 30, IF(F182&lt;=1000, 35, F182*0.035)))),
0)))</f>
        <v>0</v>
      </c>
      <c r="H182" s="178">
        <f>IF(I182="مخالفات",50,Basic345678910111213141516171819202122[[#This Row],[قيمة الرسوم / العموله]]+Basic345678910111213141516171819202122[[#This Row],[قيمة الشحنه]])</f>
        <v>0</v>
      </c>
      <c r="I182" s="90"/>
      <c r="J182" s="142" t="str">
        <f t="shared" si="2"/>
        <v>11.5.2026</v>
      </c>
      <c r="L182" s="153">
        <v>171</v>
      </c>
      <c r="M182" s="92"/>
    </row>
    <row r="183" spans="1:13" ht="21.6" x14ac:dyDescent="0.65">
      <c r="A183" s="195"/>
      <c r="B183" s="140">
        <v>180</v>
      </c>
      <c r="C183" s="2"/>
      <c r="D183" s="1"/>
      <c r="E183" s="3"/>
      <c r="F183" s="1"/>
      <c r="G183" s="141">
        <f>IF(Basic345678910111213141516171819202122[[#This Row],[نوع الخدمة]]="مخالفات", 50,
IF(Basic345678910111213141516171819202122[[#This Row],[نوع الخدمة]]="كاش ان",
    IF(F183&lt;=100, 18, IF(F183&lt;=250, 23, IF(F183&lt;=500, 35, IF(F183&lt;=1000, 40, F183*0.04)))),
IF(Basic345678910111213141516171819202122[[#This Row],[نوع الخدمة]]="كاش اوت",
    IF(F183&lt;=100, 15, IF(F183&lt;=250, 20, IF(F183&lt;=500, 30, IF(F183&lt;=1000, 35, F183*0.035)))),
0)))</f>
        <v>0</v>
      </c>
      <c r="H183" s="178">
        <f>IF(I183="مخالفات",50,Basic345678910111213141516171819202122[[#This Row],[قيمة الرسوم / العموله]]+Basic345678910111213141516171819202122[[#This Row],[قيمة الشحنه]])</f>
        <v>0</v>
      </c>
      <c r="I183" s="90"/>
      <c r="J183" s="142" t="str">
        <f t="shared" si="2"/>
        <v>11.5.2026</v>
      </c>
      <c r="L183" s="153">
        <v>172</v>
      </c>
      <c r="M183" s="92"/>
    </row>
    <row r="184" spans="1:13" ht="21.6" x14ac:dyDescent="0.65">
      <c r="A184" s="195"/>
      <c r="B184" s="140">
        <v>181</v>
      </c>
      <c r="C184" s="2"/>
      <c r="D184" s="1"/>
      <c r="E184" s="3"/>
      <c r="F184" s="1"/>
      <c r="G184" s="141">
        <f>IF(Basic345678910111213141516171819202122[[#This Row],[نوع الخدمة]]="مخالفات", 50,
IF(Basic345678910111213141516171819202122[[#This Row],[نوع الخدمة]]="كاش ان",
    IF(F184&lt;=100, 18, IF(F184&lt;=250, 23, IF(F184&lt;=500, 35, IF(F184&lt;=1000, 40, F184*0.04)))),
IF(Basic345678910111213141516171819202122[[#This Row],[نوع الخدمة]]="كاش اوت",
    IF(F184&lt;=100, 15, IF(F184&lt;=250, 20, IF(F184&lt;=500, 30, IF(F184&lt;=1000, 35, F184*0.035)))),
0)))</f>
        <v>0</v>
      </c>
      <c r="H184" s="178">
        <f>IF(I184="مخالفات",50,Basic345678910111213141516171819202122[[#This Row],[قيمة الرسوم / العموله]]+Basic345678910111213141516171819202122[[#This Row],[قيمة الشحنه]])</f>
        <v>0</v>
      </c>
      <c r="I184" s="90"/>
      <c r="J184" s="142" t="str">
        <f t="shared" si="2"/>
        <v>11.5.2026</v>
      </c>
      <c r="L184" s="153">
        <v>173</v>
      </c>
      <c r="M184" s="92"/>
    </row>
    <row r="185" spans="1:13" ht="21.6" x14ac:dyDescent="0.65">
      <c r="A185" s="195"/>
      <c r="B185" s="144">
        <v>182</v>
      </c>
      <c r="C185" s="2"/>
      <c r="D185" s="1"/>
      <c r="E185" s="3"/>
      <c r="F185" s="1"/>
      <c r="G185" s="141">
        <f>IF(Basic345678910111213141516171819202122[[#This Row],[نوع الخدمة]]="مخالفات", 50,
IF(Basic345678910111213141516171819202122[[#This Row],[نوع الخدمة]]="كاش ان",
    IF(F185&lt;=100, 18, IF(F185&lt;=250, 23, IF(F185&lt;=500, 35, IF(F185&lt;=1000, 40, F185*0.04)))),
IF(Basic345678910111213141516171819202122[[#This Row],[نوع الخدمة]]="كاش اوت",
    IF(F185&lt;=100, 15, IF(F185&lt;=250, 20, IF(F185&lt;=500, 30, IF(F185&lt;=1000, 35, F185*0.035)))),
0)))</f>
        <v>0</v>
      </c>
      <c r="H185" s="178">
        <f>IF(I185="مخالفات",50,Basic345678910111213141516171819202122[[#This Row],[قيمة الرسوم / العموله]]+Basic345678910111213141516171819202122[[#This Row],[قيمة الشحنه]])</f>
        <v>0</v>
      </c>
      <c r="I185" s="90"/>
      <c r="J185" s="142" t="str">
        <f t="shared" si="2"/>
        <v>11.5.2026</v>
      </c>
      <c r="L185" s="153">
        <v>174</v>
      </c>
      <c r="M185" s="92"/>
    </row>
    <row r="186" spans="1:13" ht="21.6" x14ac:dyDescent="0.65">
      <c r="A186" s="195"/>
      <c r="B186" s="140">
        <v>183</v>
      </c>
      <c r="C186" s="2"/>
      <c r="D186" s="1"/>
      <c r="E186" s="3"/>
      <c r="F186" s="1"/>
      <c r="G186" s="141">
        <f>IF(Basic345678910111213141516171819202122[[#This Row],[نوع الخدمة]]="مخالفات", 50,
IF(Basic345678910111213141516171819202122[[#This Row],[نوع الخدمة]]="كاش ان",
    IF(F186&lt;=100, 18, IF(F186&lt;=250, 23, IF(F186&lt;=500, 35, IF(F186&lt;=1000, 40, F186*0.04)))),
IF(Basic345678910111213141516171819202122[[#This Row],[نوع الخدمة]]="كاش اوت",
    IF(F186&lt;=100, 15, IF(F186&lt;=250, 20, IF(F186&lt;=500, 30, IF(F186&lt;=1000, 35, F186*0.035)))),
0)))</f>
        <v>0</v>
      </c>
      <c r="H186" s="178">
        <f>IF(I186="مخالفات",50,Basic345678910111213141516171819202122[[#This Row],[قيمة الرسوم / العموله]]+Basic345678910111213141516171819202122[[#This Row],[قيمة الشحنه]])</f>
        <v>0</v>
      </c>
      <c r="I186" s="90"/>
      <c r="J186" s="142" t="str">
        <f t="shared" si="2"/>
        <v>11.5.2026</v>
      </c>
      <c r="L186" s="153">
        <v>175</v>
      </c>
      <c r="M186" s="92"/>
    </row>
    <row r="187" spans="1:13" ht="21.6" x14ac:dyDescent="0.65">
      <c r="A187" s="195"/>
      <c r="B187" s="140">
        <v>184</v>
      </c>
      <c r="C187" s="2"/>
      <c r="D187" s="1"/>
      <c r="E187" s="3"/>
      <c r="F187" s="1"/>
      <c r="G187" s="141">
        <f>IF(Basic345678910111213141516171819202122[[#This Row],[نوع الخدمة]]="مخالفات", 50,
IF(Basic345678910111213141516171819202122[[#This Row],[نوع الخدمة]]="كاش ان",
    IF(F187&lt;=100, 18, IF(F187&lt;=250, 23, IF(F187&lt;=500, 35, IF(F187&lt;=1000, 40, F187*0.04)))),
IF(Basic345678910111213141516171819202122[[#This Row],[نوع الخدمة]]="كاش اوت",
    IF(F187&lt;=100, 15, IF(F187&lt;=250, 20, IF(F187&lt;=500, 30, IF(F187&lt;=1000, 35, F187*0.035)))),
0)))</f>
        <v>0</v>
      </c>
      <c r="H187" s="178">
        <f>IF(I187="مخالفات",50,Basic345678910111213141516171819202122[[#This Row],[قيمة الرسوم / العموله]]+Basic345678910111213141516171819202122[[#This Row],[قيمة الشحنه]])</f>
        <v>0</v>
      </c>
      <c r="I187" s="90"/>
      <c r="J187" s="142" t="str">
        <f t="shared" si="2"/>
        <v>11.5.2026</v>
      </c>
      <c r="L187" s="153">
        <v>176</v>
      </c>
      <c r="M187" s="92"/>
    </row>
    <row r="188" spans="1:13" ht="21.6" x14ac:dyDescent="0.65">
      <c r="A188" s="195"/>
      <c r="B188" s="140">
        <v>185</v>
      </c>
      <c r="C188" s="2"/>
      <c r="D188" s="1"/>
      <c r="E188" s="3"/>
      <c r="F188" s="1"/>
      <c r="G188" s="141">
        <f>IF(Basic345678910111213141516171819202122[[#This Row],[نوع الخدمة]]="مخالفات", 50,
IF(Basic345678910111213141516171819202122[[#This Row],[نوع الخدمة]]="كاش ان",
    IF(F188&lt;=100, 18, IF(F188&lt;=250, 23, IF(F188&lt;=500, 35, IF(F188&lt;=1000, 40, F188*0.04)))),
IF(Basic345678910111213141516171819202122[[#This Row],[نوع الخدمة]]="كاش اوت",
    IF(F188&lt;=100, 15, IF(F188&lt;=250, 20, IF(F188&lt;=500, 30, IF(F188&lt;=1000, 35, F188*0.035)))),
0)))</f>
        <v>0</v>
      </c>
      <c r="H188" s="178">
        <f>IF(I188="مخالفات",50,Basic345678910111213141516171819202122[[#This Row],[قيمة الرسوم / العموله]]+Basic345678910111213141516171819202122[[#This Row],[قيمة الشحنه]])</f>
        <v>0</v>
      </c>
      <c r="I188" s="90"/>
      <c r="J188" s="142" t="str">
        <f t="shared" si="2"/>
        <v>11.5.2026</v>
      </c>
      <c r="L188" s="153">
        <v>177</v>
      </c>
      <c r="M188" s="92"/>
    </row>
    <row r="189" spans="1:13" ht="21.6" x14ac:dyDescent="0.65">
      <c r="A189" s="195"/>
      <c r="B189" s="144">
        <v>186</v>
      </c>
      <c r="C189" s="2"/>
      <c r="D189" s="1"/>
      <c r="E189" s="3"/>
      <c r="F189" s="1"/>
      <c r="G189" s="141">
        <f>IF(Basic345678910111213141516171819202122[[#This Row],[نوع الخدمة]]="مخالفات", 50,
IF(Basic345678910111213141516171819202122[[#This Row],[نوع الخدمة]]="كاش ان",
    IF(F189&lt;=100, 18, IF(F189&lt;=250, 23, IF(F189&lt;=500, 35, IF(F189&lt;=1000, 40, F189*0.04)))),
IF(Basic345678910111213141516171819202122[[#This Row],[نوع الخدمة]]="كاش اوت",
    IF(F189&lt;=100, 15, IF(F189&lt;=250, 20, IF(F189&lt;=500, 30, IF(F189&lt;=1000, 35, F189*0.035)))),
0)))</f>
        <v>0</v>
      </c>
      <c r="H189" s="178">
        <f>IF(I189="مخالفات",50,Basic345678910111213141516171819202122[[#This Row],[قيمة الرسوم / العموله]]+Basic345678910111213141516171819202122[[#This Row],[قيمة الشحنه]])</f>
        <v>0</v>
      </c>
      <c r="I189" s="90"/>
      <c r="J189" s="142" t="str">
        <f t="shared" si="2"/>
        <v>11.5.2026</v>
      </c>
      <c r="L189" s="153">
        <v>178</v>
      </c>
      <c r="M189" s="92"/>
    </row>
    <row r="190" spans="1:13" ht="21.6" x14ac:dyDescent="0.65">
      <c r="A190" s="195"/>
      <c r="B190" s="140">
        <v>187</v>
      </c>
      <c r="C190" s="2"/>
      <c r="D190" s="1"/>
      <c r="E190" s="3"/>
      <c r="F190" s="1"/>
      <c r="G190" s="141">
        <f>IF(Basic345678910111213141516171819202122[[#This Row],[نوع الخدمة]]="مخالفات", 50,
IF(Basic345678910111213141516171819202122[[#This Row],[نوع الخدمة]]="كاش ان",
    IF(F190&lt;=100, 18, IF(F190&lt;=250, 23, IF(F190&lt;=500, 35, IF(F190&lt;=1000, 40, F190*0.04)))),
IF(Basic345678910111213141516171819202122[[#This Row],[نوع الخدمة]]="كاش اوت",
    IF(F190&lt;=100, 15, IF(F190&lt;=250, 20, IF(F190&lt;=500, 30, IF(F190&lt;=1000, 35, F190*0.035)))),
0)))</f>
        <v>0</v>
      </c>
      <c r="H190" s="178">
        <f>IF(I190="مخالفات",50,Basic345678910111213141516171819202122[[#This Row],[قيمة الرسوم / العموله]]+Basic345678910111213141516171819202122[[#This Row],[قيمة الشحنه]])</f>
        <v>0</v>
      </c>
      <c r="I190" s="90"/>
      <c r="J190" s="142" t="str">
        <f t="shared" si="2"/>
        <v>11.5.2026</v>
      </c>
      <c r="L190" s="153">
        <v>179</v>
      </c>
      <c r="M190" s="92"/>
    </row>
    <row r="191" spans="1:13" ht="21.6" x14ac:dyDescent="0.65">
      <c r="A191" s="195"/>
      <c r="B191" s="140">
        <v>188</v>
      </c>
      <c r="C191" s="2"/>
      <c r="D191" s="1"/>
      <c r="E191" s="3"/>
      <c r="F191" s="1"/>
      <c r="G191" s="141">
        <f>IF(Basic345678910111213141516171819202122[[#This Row],[نوع الخدمة]]="مخالفات", 50,
IF(Basic345678910111213141516171819202122[[#This Row],[نوع الخدمة]]="كاش ان",
    IF(F191&lt;=100, 18, IF(F191&lt;=250, 23, IF(F191&lt;=500, 35, IF(F191&lt;=1000, 40, F191*0.04)))),
IF(Basic345678910111213141516171819202122[[#This Row],[نوع الخدمة]]="كاش اوت",
    IF(F191&lt;=100, 15, IF(F191&lt;=250, 20, IF(F191&lt;=500, 30, IF(F191&lt;=1000, 35, F191*0.035)))),
0)))</f>
        <v>0</v>
      </c>
      <c r="H191" s="178">
        <f>IF(I191="مخالفات",50,Basic345678910111213141516171819202122[[#This Row],[قيمة الرسوم / العموله]]+Basic345678910111213141516171819202122[[#This Row],[قيمة الشحنه]])</f>
        <v>0</v>
      </c>
      <c r="I191" s="90"/>
      <c r="J191" s="142" t="str">
        <f t="shared" si="2"/>
        <v>11.5.2026</v>
      </c>
      <c r="L191" s="153">
        <v>180</v>
      </c>
      <c r="M191" s="92"/>
    </row>
    <row r="192" spans="1:13" ht="21.6" x14ac:dyDescent="0.65">
      <c r="A192" s="195"/>
      <c r="B192" s="140">
        <v>189</v>
      </c>
      <c r="C192" s="2"/>
      <c r="D192" s="1"/>
      <c r="E192" s="3"/>
      <c r="F192" s="1"/>
      <c r="G192" s="141">
        <f>IF(Basic345678910111213141516171819202122[[#This Row],[نوع الخدمة]]="مخالفات", 50,
IF(Basic345678910111213141516171819202122[[#This Row],[نوع الخدمة]]="كاش ان",
    IF(F192&lt;=100, 18, IF(F192&lt;=250, 23, IF(F192&lt;=500, 35, IF(F192&lt;=1000, 40, F192*0.04)))),
IF(Basic345678910111213141516171819202122[[#This Row],[نوع الخدمة]]="كاش اوت",
    IF(F192&lt;=100, 15, IF(F192&lt;=250, 20, IF(F192&lt;=500, 30, IF(F192&lt;=1000, 35, F192*0.035)))),
0)))</f>
        <v>0</v>
      </c>
      <c r="H192" s="178">
        <f>IF(I192="مخالفات",50,Basic345678910111213141516171819202122[[#This Row],[قيمة الرسوم / العموله]]+Basic345678910111213141516171819202122[[#This Row],[قيمة الشحنه]])</f>
        <v>0</v>
      </c>
      <c r="I192" s="90"/>
      <c r="J192" s="142" t="str">
        <f t="shared" si="2"/>
        <v>11.5.2026</v>
      </c>
      <c r="L192" s="153">
        <v>181</v>
      </c>
      <c r="M192" s="92"/>
    </row>
    <row r="193" spans="1:13" ht="21.6" x14ac:dyDescent="0.65">
      <c r="A193" s="195"/>
      <c r="B193" s="144">
        <v>190</v>
      </c>
      <c r="C193" s="2"/>
      <c r="D193" s="1"/>
      <c r="E193" s="3"/>
      <c r="F193" s="1"/>
      <c r="G193" s="141">
        <f>IF(Basic345678910111213141516171819202122[[#This Row],[نوع الخدمة]]="مخالفات", 50,
IF(Basic345678910111213141516171819202122[[#This Row],[نوع الخدمة]]="كاش ان",
    IF(F193&lt;=100, 18, IF(F193&lt;=250, 23, IF(F193&lt;=500, 35, IF(F193&lt;=1000, 40, F193*0.04)))),
IF(Basic345678910111213141516171819202122[[#This Row],[نوع الخدمة]]="كاش اوت",
    IF(F193&lt;=100, 15, IF(F193&lt;=250, 20, IF(F193&lt;=500, 30, IF(F193&lt;=1000, 35, F193*0.035)))),
0)))</f>
        <v>0</v>
      </c>
      <c r="H193" s="178">
        <f>IF(I193="مخالفات",50,Basic345678910111213141516171819202122[[#This Row],[قيمة الرسوم / العموله]]+Basic345678910111213141516171819202122[[#This Row],[قيمة الشحنه]])</f>
        <v>0</v>
      </c>
      <c r="I193" s="90"/>
      <c r="J193" s="142" t="str">
        <f t="shared" si="2"/>
        <v>11.5.2026</v>
      </c>
      <c r="L193" s="153">
        <v>182</v>
      </c>
      <c r="M193" s="92"/>
    </row>
    <row r="194" spans="1:13" ht="21.6" x14ac:dyDescent="0.65">
      <c r="A194" s="195"/>
      <c r="B194" s="140">
        <v>191</v>
      </c>
      <c r="C194" s="2"/>
      <c r="D194" s="1"/>
      <c r="E194" s="3"/>
      <c r="F194" s="1"/>
      <c r="G194" s="141">
        <f>IF(Basic345678910111213141516171819202122[[#This Row],[نوع الخدمة]]="مخالفات", 50,
IF(Basic345678910111213141516171819202122[[#This Row],[نوع الخدمة]]="كاش ان",
    IF(F194&lt;=100, 18, IF(F194&lt;=250, 23, IF(F194&lt;=500, 35, IF(F194&lt;=1000, 40, F194*0.04)))),
IF(Basic345678910111213141516171819202122[[#This Row],[نوع الخدمة]]="كاش اوت",
    IF(F194&lt;=100, 15, IF(F194&lt;=250, 20, IF(F194&lt;=500, 30, IF(F194&lt;=1000, 35, F194*0.035)))),
0)))</f>
        <v>0</v>
      </c>
      <c r="H194" s="178">
        <f>IF(I194="مخالفات",50,Basic345678910111213141516171819202122[[#This Row],[قيمة الرسوم / العموله]]+Basic345678910111213141516171819202122[[#This Row],[قيمة الشحنه]])</f>
        <v>0</v>
      </c>
      <c r="I194" s="90"/>
      <c r="J194" s="142" t="str">
        <f t="shared" si="2"/>
        <v>11.5.2026</v>
      </c>
      <c r="L194" s="153">
        <v>183</v>
      </c>
      <c r="M194" s="92"/>
    </row>
    <row r="195" spans="1:13" ht="21.6" x14ac:dyDescent="0.65">
      <c r="A195" s="195"/>
      <c r="B195" s="140">
        <v>192</v>
      </c>
      <c r="C195" s="2"/>
      <c r="D195" s="1"/>
      <c r="E195" s="3"/>
      <c r="F195" s="1"/>
      <c r="G195" s="141">
        <f>IF(Basic345678910111213141516171819202122[[#This Row],[نوع الخدمة]]="مخالفات", 50,
IF(Basic345678910111213141516171819202122[[#This Row],[نوع الخدمة]]="كاش ان",
    IF(F195&lt;=100, 18, IF(F195&lt;=250, 23, IF(F195&lt;=500, 35, IF(F195&lt;=1000, 40, F195*0.04)))),
IF(Basic345678910111213141516171819202122[[#This Row],[نوع الخدمة]]="كاش اوت",
    IF(F195&lt;=100, 15, IF(F195&lt;=250, 20, IF(F195&lt;=500, 30, IF(F195&lt;=1000, 35, F195*0.035)))),
0)))</f>
        <v>0</v>
      </c>
      <c r="H195" s="178">
        <f>IF(I195="مخالفات",50,Basic345678910111213141516171819202122[[#This Row],[قيمة الرسوم / العموله]]+Basic345678910111213141516171819202122[[#This Row],[قيمة الشحنه]])</f>
        <v>0</v>
      </c>
      <c r="I195" s="90"/>
      <c r="J195" s="142" t="str">
        <f t="shared" si="2"/>
        <v>11.5.2026</v>
      </c>
      <c r="L195" s="153">
        <v>184</v>
      </c>
      <c r="M195" s="92"/>
    </row>
    <row r="196" spans="1:13" ht="21.6" x14ac:dyDescent="0.65">
      <c r="A196" s="195"/>
      <c r="B196" s="140">
        <v>193</v>
      </c>
      <c r="C196" s="2"/>
      <c r="D196" s="1"/>
      <c r="E196" s="3"/>
      <c r="F196" s="1"/>
      <c r="G196" s="141">
        <f>IF(Basic345678910111213141516171819202122[[#This Row],[نوع الخدمة]]="مخالفات", 50,
IF(Basic345678910111213141516171819202122[[#This Row],[نوع الخدمة]]="كاش ان",
    IF(F196&lt;=100, 18, IF(F196&lt;=250, 23, IF(F196&lt;=500, 35, IF(F196&lt;=1000, 40, F196*0.04)))),
IF(Basic345678910111213141516171819202122[[#This Row],[نوع الخدمة]]="كاش اوت",
    IF(F196&lt;=100, 15, IF(F196&lt;=250, 20, IF(F196&lt;=500, 30, IF(F196&lt;=1000, 35, F196*0.035)))),
0)))</f>
        <v>0</v>
      </c>
      <c r="H196" s="178">
        <f>IF(I196="مخالفات",50,Basic345678910111213141516171819202122[[#This Row],[قيمة الرسوم / العموله]]+Basic345678910111213141516171819202122[[#This Row],[قيمة الشحنه]])</f>
        <v>0</v>
      </c>
      <c r="I196" s="90"/>
      <c r="J196" s="142" t="str">
        <f t="shared" ref="J196:J226" si="3">M$3</f>
        <v>11.5.2026</v>
      </c>
      <c r="L196" s="153">
        <v>185</v>
      </c>
      <c r="M196" s="92"/>
    </row>
    <row r="197" spans="1:13" ht="21.6" x14ac:dyDescent="0.65">
      <c r="A197" s="195"/>
      <c r="B197" s="144">
        <v>194</v>
      </c>
      <c r="C197" s="2"/>
      <c r="D197" s="1"/>
      <c r="E197" s="3"/>
      <c r="F197" s="1"/>
      <c r="G197" s="141">
        <f>IF(Basic345678910111213141516171819202122[[#This Row],[نوع الخدمة]]="مخالفات", 50,
IF(Basic345678910111213141516171819202122[[#This Row],[نوع الخدمة]]="كاش ان",
    IF(F197&lt;=100, 18, IF(F197&lt;=250, 23, IF(F197&lt;=500, 35, IF(F197&lt;=1000, 40, F197*0.04)))),
IF(Basic345678910111213141516171819202122[[#This Row],[نوع الخدمة]]="كاش اوت",
    IF(F197&lt;=100, 15, IF(F197&lt;=250, 20, IF(F197&lt;=500, 30, IF(F197&lt;=1000, 35, F197*0.035)))),
0)))</f>
        <v>0</v>
      </c>
      <c r="H197" s="178">
        <f>IF(I197="مخالفات",50,Basic345678910111213141516171819202122[[#This Row],[قيمة الرسوم / العموله]]+Basic345678910111213141516171819202122[[#This Row],[قيمة الشحنه]])</f>
        <v>0</v>
      </c>
      <c r="I197" s="90"/>
      <c r="J197" s="142" t="str">
        <f t="shared" si="3"/>
        <v>11.5.2026</v>
      </c>
      <c r="L197" s="153">
        <v>186</v>
      </c>
      <c r="M197" s="92"/>
    </row>
    <row r="198" spans="1:13" ht="21.6" x14ac:dyDescent="0.65">
      <c r="A198" s="195"/>
      <c r="B198" s="140">
        <v>195</v>
      </c>
      <c r="C198" s="2"/>
      <c r="D198" s="1"/>
      <c r="E198" s="3"/>
      <c r="F198" s="1"/>
      <c r="G198" s="141">
        <f>IF(Basic345678910111213141516171819202122[[#This Row],[نوع الخدمة]]="مخالفات", 50,
IF(Basic345678910111213141516171819202122[[#This Row],[نوع الخدمة]]="كاش ان",
    IF(F198&lt;=100, 18, IF(F198&lt;=250, 23, IF(F198&lt;=500, 35, IF(F198&lt;=1000, 40, F198*0.04)))),
IF(Basic345678910111213141516171819202122[[#This Row],[نوع الخدمة]]="كاش اوت",
    IF(F198&lt;=100, 15, IF(F198&lt;=250, 20, IF(F198&lt;=500, 30, IF(F198&lt;=1000, 35, F198*0.035)))),
0)))</f>
        <v>0</v>
      </c>
      <c r="H198" s="178">
        <f>IF(I198="مخالفات",50,Basic345678910111213141516171819202122[[#This Row],[قيمة الرسوم / العموله]]+Basic345678910111213141516171819202122[[#This Row],[قيمة الشحنه]])</f>
        <v>0</v>
      </c>
      <c r="I198" s="90"/>
      <c r="J198" s="142" t="str">
        <f t="shared" si="3"/>
        <v>11.5.2026</v>
      </c>
      <c r="L198" s="153">
        <v>187</v>
      </c>
      <c r="M198" s="92"/>
    </row>
    <row r="199" spans="1:13" ht="21.6" x14ac:dyDescent="0.65">
      <c r="A199" s="195"/>
      <c r="B199" s="140">
        <v>196</v>
      </c>
      <c r="C199" s="2"/>
      <c r="D199" s="1"/>
      <c r="E199" s="3"/>
      <c r="F199" s="1"/>
      <c r="G199" s="141">
        <f>IF(Basic345678910111213141516171819202122[[#This Row],[نوع الخدمة]]="مخالفات", 50,
IF(Basic345678910111213141516171819202122[[#This Row],[نوع الخدمة]]="كاش ان",
    IF(F199&lt;=100, 18, IF(F199&lt;=250, 23, IF(F199&lt;=500, 35, IF(F199&lt;=1000, 40, F199*0.04)))),
IF(Basic345678910111213141516171819202122[[#This Row],[نوع الخدمة]]="كاش اوت",
    IF(F199&lt;=100, 15, IF(F199&lt;=250, 20, IF(F199&lt;=500, 30, IF(F199&lt;=1000, 35, F199*0.035)))),
0)))</f>
        <v>0</v>
      </c>
      <c r="H199" s="178">
        <f>IF(I199="مخالفات",50,Basic345678910111213141516171819202122[[#This Row],[قيمة الرسوم / العموله]]+Basic345678910111213141516171819202122[[#This Row],[قيمة الشحنه]])</f>
        <v>0</v>
      </c>
      <c r="I199" s="90"/>
      <c r="J199" s="142" t="str">
        <f t="shared" si="3"/>
        <v>11.5.2026</v>
      </c>
      <c r="L199" s="153">
        <v>188</v>
      </c>
      <c r="M199" s="92"/>
    </row>
    <row r="200" spans="1:13" ht="21.6" x14ac:dyDescent="0.65">
      <c r="A200" s="195"/>
      <c r="B200" s="140">
        <v>197</v>
      </c>
      <c r="C200" s="2"/>
      <c r="D200" s="1"/>
      <c r="E200" s="3"/>
      <c r="F200" s="1"/>
      <c r="G200" s="141">
        <f>IF(Basic345678910111213141516171819202122[[#This Row],[نوع الخدمة]]="مخالفات", 50,
IF(Basic345678910111213141516171819202122[[#This Row],[نوع الخدمة]]="كاش ان",
    IF(F200&lt;=100, 18, IF(F200&lt;=250, 23, IF(F200&lt;=500, 35, IF(F200&lt;=1000, 40, F200*0.04)))),
IF(Basic345678910111213141516171819202122[[#This Row],[نوع الخدمة]]="كاش اوت",
    IF(F200&lt;=100, 15, IF(F200&lt;=250, 20, IF(F200&lt;=500, 30, IF(F200&lt;=1000, 35, F200*0.035)))),
0)))</f>
        <v>0</v>
      </c>
      <c r="H200" s="178">
        <f>IF(I200="مخالفات",50,Basic345678910111213141516171819202122[[#This Row],[قيمة الرسوم / العموله]]+Basic345678910111213141516171819202122[[#This Row],[قيمة الشحنه]])</f>
        <v>0</v>
      </c>
      <c r="I200" s="90"/>
      <c r="J200" s="142" t="str">
        <f t="shared" si="3"/>
        <v>11.5.2026</v>
      </c>
      <c r="L200" s="153">
        <v>189</v>
      </c>
      <c r="M200" s="92"/>
    </row>
    <row r="201" spans="1:13" ht="21.6" x14ac:dyDescent="0.65">
      <c r="A201" s="195"/>
      <c r="B201" s="144">
        <v>198</v>
      </c>
      <c r="C201" s="2"/>
      <c r="D201" s="1"/>
      <c r="E201" s="3"/>
      <c r="F201" s="1"/>
      <c r="G201" s="141">
        <f>IF(Basic345678910111213141516171819202122[[#This Row],[نوع الخدمة]]="مخالفات", 50,
IF(Basic345678910111213141516171819202122[[#This Row],[نوع الخدمة]]="كاش ان",
    IF(F201&lt;=100, 18, IF(F201&lt;=250, 23, IF(F201&lt;=500, 35, IF(F201&lt;=1000, 40, F201*0.04)))),
IF(Basic345678910111213141516171819202122[[#This Row],[نوع الخدمة]]="كاش اوت",
    IF(F201&lt;=100, 15, IF(F201&lt;=250, 20, IF(F201&lt;=500, 30, IF(F201&lt;=1000, 35, F201*0.035)))),
0)))</f>
        <v>0</v>
      </c>
      <c r="H201" s="178">
        <f>IF(I201="مخالفات",50,Basic345678910111213141516171819202122[[#This Row],[قيمة الرسوم / العموله]]+Basic345678910111213141516171819202122[[#This Row],[قيمة الشحنه]])</f>
        <v>0</v>
      </c>
      <c r="I201" s="90"/>
      <c r="J201" s="142" t="str">
        <f t="shared" si="3"/>
        <v>11.5.2026</v>
      </c>
      <c r="L201" s="153">
        <v>190</v>
      </c>
      <c r="M201" s="92"/>
    </row>
    <row r="202" spans="1:13" ht="21.6" x14ac:dyDescent="0.65">
      <c r="A202" s="195"/>
      <c r="B202" s="140">
        <v>199</v>
      </c>
      <c r="C202" s="2"/>
      <c r="D202" s="1"/>
      <c r="E202" s="3"/>
      <c r="F202" s="1"/>
      <c r="G202" s="141">
        <f>IF(Basic345678910111213141516171819202122[[#This Row],[نوع الخدمة]]="مخالفات", 50,
IF(Basic345678910111213141516171819202122[[#This Row],[نوع الخدمة]]="كاش ان",
    IF(F202&lt;=100, 18, IF(F202&lt;=250, 23, IF(F202&lt;=500, 35, IF(F202&lt;=1000, 40, F202*0.04)))),
IF(Basic345678910111213141516171819202122[[#This Row],[نوع الخدمة]]="كاش اوت",
    IF(F202&lt;=100, 15, IF(F202&lt;=250, 20, IF(F202&lt;=500, 30, IF(F202&lt;=1000, 35, F202*0.035)))),
0)))</f>
        <v>0</v>
      </c>
      <c r="H202" s="178">
        <f>IF(I202="مخالفات",50,Basic345678910111213141516171819202122[[#This Row],[قيمة الرسوم / العموله]]+Basic345678910111213141516171819202122[[#This Row],[قيمة الشحنه]])</f>
        <v>0</v>
      </c>
      <c r="I202" s="90"/>
      <c r="J202" s="142" t="str">
        <f t="shared" si="3"/>
        <v>11.5.2026</v>
      </c>
      <c r="L202" s="153">
        <v>191</v>
      </c>
      <c r="M202" s="92"/>
    </row>
    <row r="203" spans="1:13" ht="21.6" x14ac:dyDescent="0.65">
      <c r="A203" s="195"/>
      <c r="B203" s="140">
        <v>200</v>
      </c>
      <c r="C203" s="2"/>
      <c r="D203" s="1"/>
      <c r="E203" s="3"/>
      <c r="F203" s="1"/>
      <c r="G203" s="141">
        <f>IF(Basic345678910111213141516171819202122[[#This Row],[نوع الخدمة]]="مخالفات", 50,
IF(Basic345678910111213141516171819202122[[#This Row],[نوع الخدمة]]="كاش ان",
    IF(F203&lt;=100, 18, IF(F203&lt;=250, 23, IF(F203&lt;=500, 35, IF(F203&lt;=1000, 40, F203*0.04)))),
IF(Basic345678910111213141516171819202122[[#This Row],[نوع الخدمة]]="كاش اوت",
    IF(F203&lt;=100, 15, IF(F203&lt;=250, 20, IF(F203&lt;=500, 30, IF(F203&lt;=1000, 35, F203*0.035)))),
0)))</f>
        <v>0</v>
      </c>
      <c r="H203" s="178">
        <f>IF(I203="مخالفات",50,Basic345678910111213141516171819202122[[#This Row],[قيمة الرسوم / العموله]]+Basic345678910111213141516171819202122[[#This Row],[قيمة الشحنه]])</f>
        <v>0</v>
      </c>
      <c r="I203" s="90"/>
      <c r="J203" s="142" t="str">
        <f t="shared" si="3"/>
        <v>11.5.2026</v>
      </c>
      <c r="L203" s="153">
        <v>192</v>
      </c>
      <c r="M203" s="92"/>
    </row>
    <row r="204" spans="1:13" ht="21.6" x14ac:dyDescent="0.65">
      <c r="A204" s="195"/>
      <c r="B204" s="140">
        <v>201</v>
      </c>
      <c r="C204" s="2"/>
      <c r="D204" s="1"/>
      <c r="E204" s="3"/>
      <c r="F204" s="1"/>
      <c r="G204" s="141">
        <f>IF(Basic345678910111213141516171819202122[[#This Row],[نوع الخدمة]]="مخالفات", 50,
IF(Basic345678910111213141516171819202122[[#This Row],[نوع الخدمة]]="كاش ان",
    IF(F204&lt;=100, 18, IF(F204&lt;=250, 23, IF(F204&lt;=500, 35, IF(F204&lt;=1000, 40, F204*0.04)))),
IF(Basic345678910111213141516171819202122[[#This Row],[نوع الخدمة]]="كاش اوت",
    IF(F204&lt;=100, 15, IF(F204&lt;=250, 20, IF(F204&lt;=500, 30, IF(F204&lt;=1000, 35, F204*0.035)))),
0)))</f>
        <v>0</v>
      </c>
      <c r="H204" s="178">
        <f>IF(I204="مخالفات",50,Basic345678910111213141516171819202122[[#This Row],[قيمة الرسوم / العموله]]+Basic345678910111213141516171819202122[[#This Row],[قيمة الشحنه]])</f>
        <v>0</v>
      </c>
      <c r="I204" s="90"/>
      <c r="J204" s="142" t="str">
        <f t="shared" si="3"/>
        <v>11.5.2026</v>
      </c>
      <c r="L204" s="153">
        <v>193</v>
      </c>
      <c r="M204" s="92"/>
    </row>
    <row r="205" spans="1:13" ht="21.6" x14ac:dyDescent="0.65">
      <c r="A205" s="195"/>
      <c r="B205" s="144">
        <v>202</v>
      </c>
      <c r="C205" s="2"/>
      <c r="D205" s="1"/>
      <c r="E205" s="3"/>
      <c r="F205" s="1"/>
      <c r="G205" s="141">
        <f>IF(Basic345678910111213141516171819202122[[#This Row],[نوع الخدمة]]="مخالفات", 50,
IF(Basic345678910111213141516171819202122[[#This Row],[نوع الخدمة]]="كاش ان",
    IF(F205&lt;=100, 18, IF(F205&lt;=250, 23, IF(F205&lt;=500, 35, IF(F205&lt;=1000, 40, F205*0.04)))),
IF(Basic345678910111213141516171819202122[[#This Row],[نوع الخدمة]]="كاش اوت",
    IF(F205&lt;=100, 15, IF(F205&lt;=250, 20, IF(F205&lt;=500, 30, IF(F205&lt;=1000, 35, F205*0.035)))),
0)))</f>
        <v>0</v>
      </c>
      <c r="H205" s="178">
        <f>IF(I205="مخالفات",50,Basic345678910111213141516171819202122[[#This Row],[قيمة الرسوم / العموله]]+Basic345678910111213141516171819202122[[#This Row],[قيمة الشحنه]])</f>
        <v>0</v>
      </c>
      <c r="I205" s="90"/>
      <c r="J205" s="142" t="str">
        <f t="shared" si="3"/>
        <v>11.5.2026</v>
      </c>
      <c r="L205" s="153">
        <v>194</v>
      </c>
      <c r="M205" s="92"/>
    </row>
    <row r="206" spans="1:13" ht="21.6" x14ac:dyDescent="0.65">
      <c r="A206" s="195"/>
      <c r="B206" s="140">
        <v>203</v>
      </c>
      <c r="C206" s="2"/>
      <c r="D206" s="1"/>
      <c r="E206" s="3"/>
      <c r="F206" s="1"/>
      <c r="G206" s="141">
        <f>IF(Basic345678910111213141516171819202122[[#This Row],[نوع الخدمة]]="مخالفات", 50,
IF(Basic345678910111213141516171819202122[[#This Row],[نوع الخدمة]]="كاش ان",
    IF(F206&lt;=100, 18, IF(F206&lt;=250, 23, IF(F206&lt;=500, 35, IF(F206&lt;=1000, 40, F206*0.04)))),
IF(Basic345678910111213141516171819202122[[#This Row],[نوع الخدمة]]="كاش اوت",
    IF(F206&lt;=100, 15, IF(F206&lt;=250, 20, IF(F206&lt;=500, 30, IF(F206&lt;=1000, 35, F206*0.035)))),
0)))</f>
        <v>0</v>
      </c>
      <c r="H206" s="178">
        <f>IF(I206="مخالفات",50,Basic345678910111213141516171819202122[[#This Row],[قيمة الرسوم / العموله]]+Basic345678910111213141516171819202122[[#This Row],[قيمة الشحنه]])</f>
        <v>0</v>
      </c>
      <c r="I206" s="90"/>
      <c r="J206" s="142" t="str">
        <f t="shared" si="3"/>
        <v>11.5.2026</v>
      </c>
      <c r="L206" s="153">
        <v>195</v>
      </c>
      <c r="M206" s="92"/>
    </row>
    <row r="207" spans="1:13" ht="21.6" x14ac:dyDescent="0.65">
      <c r="A207" s="195"/>
      <c r="B207" s="140">
        <v>204</v>
      </c>
      <c r="C207" s="2"/>
      <c r="D207" s="1"/>
      <c r="E207" s="3"/>
      <c r="F207" s="1"/>
      <c r="G207" s="141">
        <f>IF(Basic345678910111213141516171819202122[[#This Row],[نوع الخدمة]]="مخالفات", 50,
IF(Basic345678910111213141516171819202122[[#This Row],[نوع الخدمة]]="كاش ان",
    IF(F207&lt;=100, 18, IF(F207&lt;=250, 23, IF(F207&lt;=500, 35, IF(F207&lt;=1000, 40, F207*0.04)))),
IF(Basic345678910111213141516171819202122[[#This Row],[نوع الخدمة]]="كاش اوت",
    IF(F207&lt;=100, 15, IF(F207&lt;=250, 20, IF(F207&lt;=500, 30, IF(F207&lt;=1000, 35, F207*0.035)))),
0)))</f>
        <v>0</v>
      </c>
      <c r="H207" s="178">
        <f>IF(I207="مخالفات",50,Basic345678910111213141516171819202122[[#This Row],[قيمة الرسوم / العموله]]+Basic345678910111213141516171819202122[[#This Row],[قيمة الشحنه]])</f>
        <v>0</v>
      </c>
      <c r="I207" s="90"/>
      <c r="J207" s="142" t="str">
        <f t="shared" si="3"/>
        <v>11.5.2026</v>
      </c>
      <c r="L207" s="153">
        <v>196</v>
      </c>
      <c r="M207" s="92"/>
    </row>
    <row r="208" spans="1:13" ht="21.6" x14ac:dyDescent="0.65">
      <c r="A208" s="195"/>
      <c r="B208" s="140">
        <v>205</v>
      </c>
      <c r="C208" s="2"/>
      <c r="D208" s="1"/>
      <c r="E208" s="3"/>
      <c r="F208" s="1"/>
      <c r="G208" s="141">
        <f>IF(Basic345678910111213141516171819202122[[#This Row],[نوع الخدمة]]="مخالفات", 50,
IF(Basic345678910111213141516171819202122[[#This Row],[نوع الخدمة]]="كاش ان",
    IF(F208&lt;=100, 18, IF(F208&lt;=250, 23, IF(F208&lt;=500, 35, IF(F208&lt;=1000, 40, F208*0.04)))),
IF(Basic345678910111213141516171819202122[[#This Row],[نوع الخدمة]]="كاش اوت",
    IF(F208&lt;=100, 15, IF(F208&lt;=250, 20, IF(F208&lt;=500, 30, IF(F208&lt;=1000, 35, F208*0.035)))),
0)))</f>
        <v>0</v>
      </c>
      <c r="H208" s="178">
        <f>IF(I208="مخالفات",50,Basic345678910111213141516171819202122[[#This Row],[قيمة الرسوم / العموله]]+Basic345678910111213141516171819202122[[#This Row],[قيمة الشحنه]])</f>
        <v>0</v>
      </c>
      <c r="I208" s="90"/>
      <c r="J208" s="142" t="str">
        <f t="shared" si="3"/>
        <v>11.5.2026</v>
      </c>
      <c r="L208" s="153">
        <v>197</v>
      </c>
      <c r="M208" s="92"/>
    </row>
    <row r="209" spans="1:13" ht="21.6" x14ac:dyDescent="0.65">
      <c r="A209" s="195"/>
      <c r="B209" s="144">
        <v>206</v>
      </c>
      <c r="C209" s="2"/>
      <c r="D209" s="1"/>
      <c r="E209" s="3"/>
      <c r="F209" s="1"/>
      <c r="G209" s="141">
        <f>IF(Basic345678910111213141516171819202122[[#This Row],[نوع الخدمة]]="مخالفات", 50,
IF(Basic345678910111213141516171819202122[[#This Row],[نوع الخدمة]]="كاش ان",
    IF(F209&lt;=100, 18, IF(F209&lt;=250, 23, IF(F209&lt;=500, 35, IF(F209&lt;=1000, 40, F209*0.04)))),
IF(Basic345678910111213141516171819202122[[#This Row],[نوع الخدمة]]="كاش اوت",
    IF(F209&lt;=100, 15, IF(F209&lt;=250, 20, IF(F209&lt;=500, 30, IF(F209&lt;=1000, 35, F209*0.035)))),
0)))</f>
        <v>0</v>
      </c>
      <c r="H209" s="178">
        <f>IF(I209="مخالفات",50,Basic345678910111213141516171819202122[[#This Row],[قيمة الرسوم / العموله]]+Basic345678910111213141516171819202122[[#This Row],[قيمة الشحنه]])</f>
        <v>0</v>
      </c>
      <c r="I209" s="90"/>
      <c r="J209" s="142" t="str">
        <f t="shared" si="3"/>
        <v>11.5.2026</v>
      </c>
      <c r="L209" s="153">
        <v>198</v>
      </c>
      <c r="M209" s="92"/>
    </row>
    <row r="210" spans="1:13" ht="21.6" x14ac:dyDescent="0.65">
      <c r="A210" s="195"/>
      <c r="B210" s="140">
        <v>207</v>
      </c>
      <c r="C210" s="2"/>
      <c r="D210" s="1"/>
      <c r="E210" s="3"/>
      <c r="F210" s="1"/>
      <c r="G210" s="141">
        <f>IF(Basic345678910111213141516171819202122[[#This Row],[نوع الخدمة]]="مخالفات", 50,
IF(Basic345678910111213141516171819202122[[#This Row],[نوع الخدمة]]="كاش ان",
    IF(F210&lt;=100, 18, IF(F210&lt;=250, 23, IF(F210&lt;=500, 35, IF(F210&lt;=1000, 40, F210*0.04)))),
IF(Basic345678910111213141516171819202122[[#This Row],[نوع الخدمة]]="كاش اوت",
    IF(F210&lt;=100, 15, IF(F210&lt;=250, 20, IF(F210&lt;=500, 30, IF(F210&lt;=1000, 35, F210*0.035)))),
0)))</f>
        <v>0</v>
      </c>
      <c r="H210" s="178">
        <f>IF(I210="مخالفات",50,Basic345678910111213141516171819202122[[#This Row],[قيمة الرسوم / العموله]]+Basic345678910111213141516171819202122[[#This Row],[قيمة الشحنه]])</f>
        <v>0</v>
      </c>
      <c r="I210" s="90"/>
      <c r="J210" s="142" t="str">
        <f t="shared" si="3"/>
        <v>11.5.2026</v>
      </c>
      <c r="L210" s="153">
        <v>199</v>
      </c>
      <c r="M210" s="92"/>
    </row>
    <row r="211" spans="1:13" ht="21.6" x14ac:dyDescent="0.65">
      <c r="A211" s="195"/>
      <c r="B211" s="140">
        <v>208</v>
      </c>
      <c r="C211" s="2"/>
      <c r="D211" s="1"/>
      <c r="E211" s="3"/>
      <c r="F211" s="1"/>
      <c r="G211" s="141">
        <f>IF(Basic345678910111213141516171819202122[[#This Row],[نوع الخدمة]]="مخالفات", 50,
IF(Basic345678910111213141516171819202122[[#This Row],[نوع الخدمة]]="كاش ان",
    IF(F211&lt;=100, 18, IF(F211&lt;=250, 23, IF(F211&lt;=500, 35, IF(F211&lt;=1000, 40, F211*0.04)))),
IF(Basic345678910111213141516171819202122[[#This Row],[نوع الخدمة]]="كاش اوت",
    IF(F211&lt;=100, 15, IF(F211&lt;=250, 20, IF(F211&lt;=500, 30, IF(F211&lt;=1000, 35, F211*0.035)))),
0)))</f>
        <v>0</v>
      </c>
      <c r="H211" s="178">
        <f>IF(I211="مخالفات",50,Basic345678910111213141516171819202122[[#This Row],[قيمة الرسوم / العموله]]+Basic345678910111213141516171819202122[[#This Row],[قيمة الشحنه]])</f>
        <v>0</v>
      </c>
      <c r="I211" s="90"/>
      <c r="J211" s="142" t="str">
        <f t="shared" si="3"/>
        <v>11.5.2026</v>
      </c>
      <c r="L211" s="153">
        <v>200</v>
      </c>
      <c r="M211" s="92"/>
    </row>
    <row r="212" spans="1:13" ht="21.6" x14ac:dyDescent="0.65">
      <c r="A212" s="195"/>
      <c r="B212" s="140">
        <v>209</v>
      </c>
      <c r="C212" s="2"/>
      <c r="D212" s="1"/>
      <c r="E212" s="3"/>
      <c r="F212" s="1"/>
      <c r="G212" s="141">
        <f>IF(Basic345678910111213141516171819202122[[#This Row],[نوع الخدمة]]="مخالفات", 50,
IF(Basic345678910111213141516171819202122[[#This Row],[نوع الخدمة]]="كاش ان",
    IF(F212&lt;=100, 18, IF(F212&lt;=250, 23, IF(F212&lt;=500, 35, IF(F212&lt;=1000, 40, F212*0.04)))),
IF(Basic345678910111213141516171819202122[[#This Row],[نوع الخدمة]]="كاش اوت",
    IF(F212&lt;=100, 15, IF(F212&lt;=250, 20, IF(F212&lt;=500, 30, IF(F212&lt;=1000, 35, F212*0.035)))),
0)))</f>
        <v>0</v>
      </c>
      <c r="H212" s="178">
        <f>IF(I212="مخالفات",50,Basic345678910111213141516171819202122[[#This Row],[قيمة الرسوم / العموله]]+Basic345678910111213141516171819202122[[#This Row],[قيمة الشحنه]])</f>
        <v>0</v>
      </c>
      <c r="I212" s="90"/>
      <c r="J212" s="142" t="str">
        <f t="shared" si="3"/>
        <v>11.5.2026</v>
      </c>
      <c r="L212" s="153">
        <v>201</v>
      </c>
      <c r="M212" s="92"/>
    </row>
    <row r="213" spans="1:13" ht="21.6" x14ac:dyDescent="0.65">
      <c r="A213" s="195"/>
      <c r="B213" s="144">
        <v>210</v>
      </c>
      <c r="C213" s="2"/>
      <c r="D213" s="1"/>
      <c r="E213" s="3"/>
      <c r="F213" s="1"/>
      <c r="G213" s="141">
        <f>IF(Basic345678910111213141516171819202122[[#This Row],[نوع الخدمة]]="مخالفات", 50,
IF(Basic345678910111213141516171819202122[[#This Row],[نوع الخدمة]]="كاش ان",
    IF(F213&lt;=100, 18, IF(F213&lt;=250, 23, IF(F213&lt;=500, 35, IF(F213&lt;=1000, 40, F213*0.04)))),
IF(Basic345678910111213141516171819202122[[#This Row],[نوع الخدمة]]="كاش اوت",
    IF(F213&lt;=100, 15, IF(F213&lt;=250, 20, IF(F213&lt;=500, 30, IF(F213&lt;=1000, 35, F213*0.035)))),
0)))</f>
        <v>0</v>
      </c>
      <c r="H213" s="178">
        <f>IF(I213="مخالفات",50,Basic345678910111213141516171819202122[[#This Row],[قيمة الرسوم / العموله]]+Basic345678910111213141516171819202122[[#This Row],[قيمة الشحنه]])</f>
        <v>0</v>
      </c>
      <c r="I213" s="90"/>
      <c r="J213" s="142" t="str">
        <f t="shared" si="3"/>
        <v>11.5.2026</v>
      </c>
      <c r="L213" s="153">
        <v>202</v>
      </c>
      <c r="M213" s="92"/>
    </row>
    <row r="214" spans="1:13" ht="21.6" x14ac:dyDescent="0.65">
      <c r="A214" s="195"/>
      <c r="B214" s="140">
        <v>211</v>
      </c>
      <c r="C214" s="2"/>
      <c r="D214" s="1"/>
      <c r="E214" s="3"/>
      <c r="F214" s="1"/>
      <c r="G214" s="141">
        <f>IF(Basic345678910111213141516171819202122[[#This Row],[نوع الخدمة]]="مخالفات", 50,
IF(Basic345678910111213141516171819202122[[#This Row],[نوع الخدمة]]="كاش ان",
    IF(F214&lt;=100, 18, IF(F214&lt;=250, 23, IF(F214&lt;=500, 35, IF(F214&lt;=1000, 40, F214*0.04)))),
IF(Basic345678910111213141516171819202122[[#This Row],[نوع الخدمة]]="كاش اوت",
    IF(F214&lt;=100, 15, IF(F214&lt;=250, 20, IF(F214&lt;=500, 30, IF(F214&lt;=1000, 35, F214*0.035)))),
0)))</f>
        <v>0</v>
      </c>
      <c r="H214" s="178">
        <f>IF(I214="مخالفات",50,Basic345678910111213141516171819202122[[#This Row],[قيمة الرسوم / العموله]]+Basic345678910111213141516171819202122[[#This Row],[قيمة الشحنه]])</f>
        <v>0</v>
      </c>
      <c r="I214" s="90"/>
      <c r="J214" s="142" t="str">
        <f t="shared" si="3"/>
        <v>11.5.2026</v>
      </c>
      <c r="L214" s="153">
        <v>203</v>
      </c>
      <c r="M214" s="92"/>
    </row>
    <row r="215" spans="1:13" ht="21.6" x14ac:dyDescent="0.65">
      <c r="A215" s="195"/>
      <c r="B215" s="140">
        <v>212</v>
      </c>
      <c r="C215" s="2"/>
      <c r="D215" s="1"/>
      <c r="E215" s="3"/>
      <c r="F215" s="1"/>
      <c r="G215" s="141">
        <f>IF(Basic345678910111213141516171819202122[[#This Row],[نوع الخدمة]]="مخالفات", 50,
IF(Basic345678910111213141516171819202122[[#This Row],[نوع الخدمة]]="كاش ان",
    IF(F215&lt;=100, 18, IF(F215&lt;=250, 23, IF(F215&lt;=500, 35, IF(F215&lt;=1000, 40, F215*0.04)))),
IF(Basic345678910111213141516171819202122[[#This Row],[نوع الخدمة]]="كاش اوت",
    IF(F215&lt;=100, 15, IF(F215&lt;=250, 20, IF(F215&lt;=500, 30, IF(F215&lt;=1000, 35, F215*0.035)))),
0)))</f>
        <v>0</v>
      </c>
      <c r="H215" s="178">
        <f>IF(I215="مخالفات",50,Basic345678910111213141516171819202122[[#This Row],[قيمة الرسوم / العموله]]+Basic345678910111213141516171819202122[[#This Row],[قيمة الشحنه]])</f>
        <v>0</v>
      </c>
      <c r="I215" s="90"/>
      <c r="J215" s="142" t="str">
        <f t="shared" si="3"/>
        <v>11.5.2026</v>
      </c>
      <c r="L215" s="153">
        <v>204</v>
      </c>
      <c r="M215" s="92"/>
    </row>
    <row r="216" spans="1:13" ht="21.6" x14ac:dyDescent="0.65">
      <c r="A216" s="195"/>
      <c r="B216" s="140">
        <v>213</v>
      </c>
      <c r="C216" s="2"/>
      <c r="D216" s="1"/>
      <c r="E216" s="3"/>
      <c r="F216" s="1"/>
      <c r="G216" s="141">
        <f>IF(Basic345678910111213141516171819202122[[#This Row],[نوع الخدمة]]="مخالفات", 50,
IF(Basic345678910111213141516171819202122[[#This Row],[نوع الخدمة]]="كاش ان",
    IF(F216&lt;=100, 18, IF(F216&lt;=250, 23, IF(F216&lt;=500, 35, IF(F216&lt;=1000, 40, F216*0.04)))),
IF(Basic345678910111213141516171819202122[[#This Row],[نوع الخدمة]]="كاش اوت",
    IF(F216&lt;=100, 15, IF(F216&lt;=250, 20, IF(F216&lt;=500, 30, IF(F216&lt;=1000, 35, F216*0.035)))),
0)))</f>
        <v>0</v>
      </c>
      <c r="H216" s="178">
        <f>IF(I216="مخالفات",50,Basic345678910111213141516171819202122[[#This Row],[قيمة الرسوم / العموله]]+Basic345678910111213141516171819202122[[#This Row],[قيمة الشحنه]])</f>
        <v>0</v>
      </c>
      <c r="I216" s="90"/>
      <c r="J216" s="142" t="str">
        <f t="shared" si="3"/>
        <v>11.5.2026</v>
      </c>
      <c r="L216" s="153">
        <v>205</v>
      </c>
      <c r="M216" s="92"/>
    </row>
    <row r="217" spans="1:13" ht="21.6" x14ac:dyDescent="0.65">
      <c r="A217" s="195"/>
      <c r="B217" s="144">
        <v>214</v>
      </c>
      <c r="C217" s="2"/>
      <c r="D217" s="1"/>
      <c r="E217" s="3"/>
      <c r="F217" s="1"/>
      <c r="G217" s="141">
        <f>IF(Basic345678910111213141516171819202122[[#This Row],[نوع الخدمة]]="مخالفات", 50,
IF(Basic345678910111213141516171819202122[[#This Row],[نوع الخدمة]]="كاش ان",
    IF(F217&lt;=100, 18, IF(F217&lt;=250, 23, IF(F217&lt;=500, 35, IF(F217&lt;=1000, 40, F217*0.04)))),
IF(Basic345678910111213141516171819202122[[#This Row],[نوع الخدمة]]="كاش اوت",
    IF(F217&lt;=100, 15, IF(F217&lt;=250, 20, IF(F217&lt;=500, 30, IF(F217&lt;=1000, 35, F217*0.035)))),
0)))</f>
        <v>0</v>
      </c>
      <c r="H217" s="178">
        <f>IF(I217="مخالفات",50,Basic345678910111213141516171819202122[[#This Row],[قيمة الرسوم / العموله]]+Basic345678910111213141516171819202122[[#This Row],[قيمة الشحنه]])</f>
        <v>0</v>
      </c>
      <c r="I217" s="90"/>
      <c r="J217" s="142" t="str">
        <f t="shared" si="3"/>
        <v>11.5.2026</v>
      </c>
      <c r="L217" s="153">
        <v>206</v>
      </c>
      <c r="M217" s="92"/>
    </row>
    <row r="218" spans="1:13" ht="21.6" x14ac:dyDescent="0.65">
      <c r="A218" s="195"/>
      <c r="B218" s="140">
        <v>215</v>
      </c>
      <c r="C218" s="2"/>
      <c r="D218" s="1"/>
      <c r="E218" s="3"/>
      <c r="F218" s="1"/>
      <c r="G218" s="141">
        <f>IF(Basic345678910111213141516171819202122[[#This Row],[نوع الخدمة]]="مخالفات", 50,
IF(Basic345678910111213141516171819202122[[#This Row],[نوع الخدمة]]="كاش ان",
    IF(F218&lt;=100, 18, IF(F218&lt;=250, 23, IF(F218&lt;=500, 35, IF(F218&lt;=1000, 40, F218*0.04)))),
IF(Basic345678910111213141516171819202122[[#This Row],[نوع الخدمة]]="كاش اوت",
    IF(F218&lt;=100, 15, IF(F218&lt;=250, 20, IF(F218&lt;=500, 30, IF(F218&lt;=1000, 35, F218*0.035)))),
0)))</f>
        <v>0</v>
      </c>
      <c r="H218" s="178">
        <f>IF(I218="مخالفات",50,Basic345678910111213141516171819202122[[#This Row],[قيمة الرسوم / العموله]]+Basic345678910111213141516171819202122[[#This Row],[قيمة الشحنه]])</f>
        <v>0</v>
      </c>
      <c r="I218" s="90"/>
      <c r="J218" s="142" t="str">
        <f t="shared" si="3"/>
        <v>11.5.2026</v>
      </c>
      <c r="L218" s="153">
        <v>207</v>
      </c>
      <c r="M218" s="92"/>
    </row>
    <row r="219" spans="1:13" ht="21.6" x14ac:dyDescent="0.65">
      <c r="A219" s="195"/>
      <c r="B219" s="140">
        <v>216</v>
      </c>
      <c r="C219" s="2"/>
      <c r="D219" s="1"/>
      <c r="E219" s="3"/>
      <c r="F219" s="1"/>
      <c r="G219" s="141">
        <f>IF(Basic345678910111213141516171819202122[[#This Row],[نوع الخدمة]]="مخالفات", 50,
IF(Basic345678910111213141516171819202122[[#This Row],[نوع الخدمة]]="كاش ان",
    IF(F219&lt;=100, 18, IF(F219&lt;=250, 23, IF(F219&lt;=500, 35, IF(F219&lt;=1000, 40, F219*0.04)))),
IF(Basic345678910111213141516171819202122[[#This Row],[نوع الخدمة]]="كاش اوت",
    IF(F219&lt;=100, 15, IF(F219&lt;=250, 20, IF(F219&lt;=500, 30, IF(F219&lt;=1000, 35, F219*0.035)))),
0)))</f>
        <v>0</v>
      </c>
      <c r="H219" s="178">
        <f>IF(I219="مخالفات",50,Basic345678910111213141516171819202122[[#This Row],[قيمة الرسوم / العموله]]+Basic345678910111213141516171819202122[[#This Row],[قيمة الشحنه]])</f>
        <v>0</v>
      </c>
      <c r="I219" s="90"/>
      <c r="J219" s="142" t="str">
        <f t="shared" si="3"/>
        <v>11.5.2026</v>
      </c>
      <c r="L219" s="153">
        <v>208</v>
      </c>
      <c r="M219" s="92"/>
    </row>
    <row r="220" spans="1:13" ht="21.6" x14ac:dyDescent="0.65">
      <c r="A220" s="195"/>
      <c r="B220" s="140">
        <v>217</v>
      </c>
      <c r="C220" s="2"/>
      <c r="D220" s="1"/>
      <c r="E220" s="3"/>
      <c r="F220" s="1"/>
      <c r="G220" s="141">
        <f>IF(Basic345678910111213141516171819202122[[#This Row],[نوع الخدمة]]="مخالفات", 50,
IF(Basic345678910111213141516171819202122[[#This Row],[نوع الخدمة]]="كاش ان",
    IF(F220&lt;=100, 18, IF(F220&lt;=250, 23, IF(F220&lt;=500, 35, IF(F220&lt;=1000, 40, F220*0.04)))),
IF(Basic345678910111213141516171819202122[[#This Row],[نوع الخدمة]]="كاش اوت",
    IF(F220&lt;=100, 15, IF(F220&lt;=250, 20, IF(F220&lt;=500, 30, IF(F220&lt;=1000, 35, F220*0.035)))),
0)))</f>
        <v>0</v>
      </c>
      <c r="H220" s="178">
        <f>IF(I220="مخالفات",50,Basic345678910111213141516171819202122[[#This Row],[قيمة الرسوم / العموله]]+Basic345678910111213141516171819202122[[#This Row],[قيمة الشحنه]])</f>
        <v>0</v>
      </c>
      <c r="I220" s="90"/>
      <c r="J220" s="142" t="str">
        <f t="shared" si="3"/>
        <v>11.5.2026</v>
      </c>
      <c r="L220" s="153">
        <v>209</v>
      </c>
      <c r="M220" s="92"/>
    </row>
    <row r="221" spans="1:13" ht="21.6" x14ac:dyDescent="0.65">
      <c r="A221" s="195"/>
      <c r="B221" s="144">
        <v>218</v>
      </c>
      <c r="C221" s="2"/>
      <c r="D221" s="1"/>
      <c r="E221" s="3"/>
      <c r="F221" s="1"/>
      <c r="G221" s="141">
        <f>IF(Basic345678910111213141516171819202122[[#This Row],[نوع الخدمة]]="مخالفات", 50,
IF(Basic345678910111213141516171819202122[[#This Row],[نوع الخدمة]]="كاش ان",
    IF(F221&lt;=100, 18, IF(F221&lt;=250, 23, IF(F221&lt;=500, 35, IF(F221&lt;=1000, 40, F221*0.04)))),
IF(Basic345678910111213141516171819202122[[#This Row],[نوع الخدمة]]="كاش اوت",
    IF(F221&lt;=100, 15, IF(F221&lt;=250, 20, IF(F221&lt;=500, 30, IF(F221&lt;=1000, 35, F221*0.035)))),
0)))</f>
        <v>0</v>
      </c>
      <c r="H221" s="178">
        <f>IF(I221="مخالفات",50,Basic345678910111213141516171819202122[[#This Row],[قيمة الرسوم / العموله]]+Basic345678910111213141516171819202122[[#This Row],[قيمة الشحنه]])</f>
        <v>0</v>
      </c>
      <c r="I221" s="90"/>
      <c r="J221" s="142" t="str">
        <f t="shared" si="3"/>
        <v>11.5.2026</v>
      </c>
      <c r="L221" s="153">
        <v>210</v>
      </c>
      <c r="M221" s="92"/>
    </row>
    <row r="222" spans="1:13" ht="21.6" x14ac:dyDescent="0.65">
      <c r="A222" s="195"/>
      <c r="B222" s="140">
        <v>219</v>
      </c>
      <c r="C222" s="2"/>
      <c r="D222" s="1"/>
      <c r="E222" s="3"/>
      <c r="F222" s="1"/>
      <c r="G222" s="141">
        <f>IF(Basic345678910111213141516171819202122[[#This Row],[نوع الخدمة]]="مخالفات", 50,
IF(Basic345678910111213141516171819202122[[#This Row],[نوع الخدمة]]="كاش ان",
    IF(F222&lt;=100, 18, IF(F222&lt;=250, 23, IF(F222&lt;=500, 35, IF(F222&lt;=1000, 40, F222*0.04)))),
IF(Basic345678910111213141516171819202122[[#This Row],[نوع الخدمة]]="كاش اوت",
    IF(F222&lt;=100, 15, IF(F222&lt;=250, 20, IF(F222&lt;=500, 30, IF(F222&lt;=1000, 35, F222*0.035)))),
0)))</f>
        <v>0</v>
      </c>
      <c r="H222" s="178">
        <f>IF(I222="مخالفات",50,Basic345678910111213141516171819202122[[#This Row],[قيمة الرسوم / العموله]]+Basic345678910111213141516171819202122[[#This Row],[قيمة الشحنه]])</f>
        <v>0</v>
      </c>
      <c r="I222" s="90"/>
      <c r="J222" s="142" t="str">
        <f t="shared" si="3"/>
        <v>11.5.2026</v>
      </c>
      <c r="L222" s="153">
        <v>211</v>
      </c>
      <c r="M222" s="92"/>
    </row>
    <row r="223" spans="1:13" ht="21.6" x14ac:dyDescent="0.65">
      <c r="A223" s="195"/>
      <c r="B223" s="140">
        <v>220</v>
      </c>
      <c r="C223" s="2"/>
      <c r="D223" s="1"/>
      <c r="E223" s="3"/>
      <c r="F223" s="1"/>
      <c r="G223" s="141">
        <f>IF(Basic345678910111213141516171819202122[[#This Row],[نوع الخدمة]]="مخالفات", 50,
IF(Basic345678910111213141516171819202122[[#This Row],[نوع الخدمة]]="كاش ان",
    IF(F223&lt;=100, 18, IF(F223&lt;=250, 23, IF(F223&lt;=500, 35, IF(F223&lt;=1000, 40, F223*0.04)))),
IF(Basic345678910111213141516171819202122[[#This Row],[نوع الخدمة]]="كاش اوت",
    IF(F223&lt;=100, 15, IF(F223&lt;=250, 20, IF(F223&lt;=500, 30, IF(F223&lt;=1000, 35, F223*0.035)))),
0)))</f>
        <v>0</v>
      </c>
      <c r="H223" s="178">
        <f>IF(I223="مخالفات",50,Basic345678910111213141516171819202122[[#This Row],[قيمة الرسوم / العموله]]+Basic345678910111213141516171819202122[[#This Row],[قيمة الشحنه]])</f>
        <v>0</v>
      </c>
      <c r="I223" s="90"/>
      <c r="J223" s="142" t="str">
        <f t="shared" si="3"/>
        <v>11.5.2026</v>
      </c>
      <c r="L223" s="153">
        <v>212</v>
      </c>
      <c r="M223" s="92"/>
    </row>
    <row r="224" spans="1:13" ht="21.6" x14ac:dyDescent="0.65">
      <c r="A224" s="195"/>
      <c r="B224" s="140">
        <v>221</v>
      </c>
      <c r="C224" s="2"/>
      <c r="D224" s="1"/>
      <c r="E224" s="3"/>
      <c r="F224" s="1"/>
      <c r="G224" s="141">
        <f>IF(Basic345678910111213141516171819202122[[#This Row],[نوع الخدمة]]="مخالفات", 50,
IF(Basic345678910111213141516171819202122[[#This Row],[نوع الخدمة]]="كاش ان",
    IF(F224&lt;=100, 18, IF(F224&lt;=250, 23, IF(F224&lt;=500, 35, IF(F224&lt;=1000, 40, F224*0.04)))),
IF(Basic345678910111213141516171819202122[[#This Row],[نوع الخدمة]]="كاش اوت",
    IF(F224&lt;=100, 15, IF(F224&lt;=250, 20, IF(F224&lt;=500, 30, IF(F224&lt;=1000, 35, F224*0.035)))),
0)))</f>
        <v>0</v>
      </c>
      <c r="H224" s="178">
        <f>IF(I224="مخالفات",50,Basic345678910111213141516171819202122[[#This Row],[قيمة الرسوم / العموله]]+Basic345678910111213141516171819202122[[#This Row],[قيمة الشحنه]])</f>
        <v>0</v>
      </c>
      <c r="I224" s="90"/>
      <c r="J224" s="142" t="str">
        <f t="shared" si="3"/>
        <v>11.5.2026</v>
      </c>
      <c r="L224" s="153">
        <v>213</v>
      </c>
      <c r="M224" s="92"/>
    </row>
    <row r="225" spans="1:13" ht="21.6" x14ac:dyDescent="0.65">
      <c r="A225" s="195"/>
      <c r="B225" s="144">
        <v>222</v>
      </c>
      <c r="C225" s="2"/>
      <c r="D225" s="1"/>
      <c r="E225" s="3"/>
      <c r="F225" s="1"/>
      <c r="G225" s="141">
        <f>IF(Basic345678910111213141516171819202122[[#This Row],[نوع الخدمة]]="مخالفات", 50,
IF(Basic345678910111213141516171819202122[[#This Row],[نوع الخدمة]]="كاش ان",
    IF(F225&lt;=100, 18, IF(F225&lt;=250, 23, IF(F225&lt;=500, 35, IF(F225&lt;=1000, 40, F225*0.04)))),
IF(Basic345678910111213141516171819202122[[#This Row],[نوع الخدمة]]="كاش اوت",
    IF(F225&lt;=100, 15, IF(F225&lt;=250, 20, IF(F225&lt;=500, 30, IF(F225&lt;=1000, 35, F225*0.035)))),
0)))</f>
        <v>0</v>
      </c>
      <c r="H225" s="178">
        <f>IF(I225="مخالفات",50,Basic345678910111213141516171819202122[[#This Row],[قيمة الرسوم / العموله]]+Basic345678910111213141516171819202122[[#This Row],[قيمة الشحنه]])</f>
        <v>0</v>
      </c>
      <c r="I225" s="90"/>
      <c r="J225" s="142" t="str">
        <f t="shared" si="3"/>
        <v>11.5.2026</v>
      </c>
      <c r="L225" s="153">
        <v>214</v>
      </c>
      <c r="M225" s="92"/>
    </row>
    <row r="226" spans="1:13" ht="21.6" x14ac:dyDescent="0.65">
      <c r="A226" s="195"/>
      <c r="B226" s="140">
        <v>223</v>
      </c>
      <c r="C226" s="4"/>
      <c r="D226" s="5"/>
      <c r="E226" s="6"/>
      <c r="F226" s="5"/>
      <c r="G226" s="141">
        <f>IF(Basic345678910111213141516171819202122[[#This Row],[نوع الخدمة]]="مخالفات", 50,
IF(Basic345678910111213141516171819202122[[#This Row],[نوع الخدمة]]="كاش ان",
    IF(F226&lt;=100, 18, IF(F226&lt;=250, 23, IF(F226&lt;=500, 35, IF(F226&lt;=1000, 40, F226*0.04)))),
IF(Basic345678910111213141516171819202122[[#This Row],[نوع الخدمة]]="كاش اوت",
    IF(F226&lt;=100, 15, IF(F226&lt;=250, 20, IF(F226&lt;=500, 30, IF(F226&lt;=1000, 35, F226*0.035)))),
0)))</f>
        <v>0</v>
      </c>
      <c r="H226" s="179">
        <f>IF(I226="مخالفات",50,Basic345678910111213141516171819202122[[#This Row],[قيمة الرسوم / العموله]]+Basic345678910111213141516171819202122[[#This Row],[قيمة الشحنه]])</f>
        <v>0</v>
      </c>
      <c r="I226" s="90"/>
      <c r="J226" s="142" t="str">
        <f t="shared" si="3"/>
        <v>11.5.2026</v>
      </c>
      <c r="L226" s="156">
        <v>215</v>
      </c>
      <c r="M226" s="93"/>
    </row>
  </sheetData>
  <sheetProtection algorithmName="SHA-512" hashValue="Iitn/rqI9v/+eGveM705FRL68X9s37TnGHPzn8S2L2BvsQkP1P5ntqxCR4MDWuF5wBwrBNGJMnCUi3vi+Z2gXw==" saltValue="GyuJsVII9iviZHglZwK/dQ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83" priority="12" operator="equal">
      <formula>$BH$10</formula>
    </cfRule>
    <cfRule type="cellIs" dxfId="82" priority="13" operator="equal">
      <formula>$BH$9</formula>
    </cfRule>
    <cfRule type="cellIs" dxfId="81" priority="14" operator="equal">
      <formula>$BH$8</formula>
    </cfRule>
  </conditionalFormatting>
  <conditionalFormatting sqref="P11">
    <cfRule type="cellIs" dxfId="80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{CD5EEFD3-9B54-4B9C-8595-834EE9BCF60E}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{A5BA72AC-B44D-4120-9CB5-24D0695648BB}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{CFF92AC1-F0E4-452E-99EB-4C5B4D645AE4}</x14:id>
        </ext>
      </extLst>
    </cfRule>
  </conditionalFormatting>
  <dataValidations count="2">
    <dataValidation type="list" allowBlank="1" showInputMessage="1" showErrorMessage="1" sqref="I4:I226" xr:uid="{00000000-0002-0000-0A00-000000000000}">
      <formula1>$BH$8:$BH$10</formula1>
    </dataValidation>
    <dataValidation type="textLength" operator="equal" allowBlank="1" showInputMessage="1" showErrorMessage="1" errorTitle="يجب إخال رقم IPN صحيح 13 رقم" sqref="C1:C1048576" xr:uid="{00000000-0002-0000-0A00-000001000000}">
      <formula1>13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D5EEFD3-9B54-4B9C-8595-834EE9BCF60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A5BA72AC-B44D-4120-9CB5-24D0695648BB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CFF92AC1-F0E4-452E-99EB-4C5B4D645AE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H226"/>
  <sheetViews>
    <sheetView showGridLines="0" showRowColHeaders="0" rightToLeft="1" topLeftCell="D1" zoomScale="80" zoomScaleNormal="80" workbookViewId="0">
      <selection activeCell="R10" sqref="R10:W10"/>
    </sheetView>
  </sheetViews>
  <sheetFormatPr defaultColWidth="9.109375" defaultRowHeight="14.4" x14ac:dyDescent="0.3"/>
  <cols>
    <col min="1" max="1" width="4.109375" style="124" customWidth="1"/>
    <col min="2" max="2" width="6.5546875" style="125" bestFit="1" customWidth="1"/>
    <col min="3" max="3" width="30" style="126" customWidth="1"/>
    <col min="4" max="4" width="15.6640625" style="124" customWidth="1"/>
    <col min="5" max="5" width="17.5546875" style="157" customWidth="1"/>
    <col min="6" max="6" width="12.88671875" style="124" bestFit="1" customWidth="1"/>
    <col min="7" max="7" width="19" style="124" bestFit="1" customWidth="1"/>
    <col min="8" max="8" width="19" style="124" customWidth="1"/>
    <col min="9" max="9" width="12.44140625" style="128" bestFit="1" customWidth="1"/>
    <col min="10" max="10" width="17.5546875" style="129" customWidth="1"/>
    <col min="11" max="11" width="3.5546875" style="124" customWidth="1"/>
    <col min="12" max="12" width="8.5546875" style="124" bestFit="1" customWidth="1"/>
    <col min="13" max="13" width="25.5546875" style="124" customWidth="1"/>
    <col min="14" max="14" width="8.33203125" style="124" bestFit="1" customWidth="1"/>
    <col min="15" max="15" width="26.5546875" style="124" bestFit="1" customWidth="1"/>
    <col min="16" max="16" width="10.88671875" style="124" bestFit="1" customWidth="1"/>
    <col min="17" max="17" width="3.5546875" style="124" customWidth="1"/>
    <col min="18" max="19" width="17.5546875" style="124" customWidth="1"/>
    <col min="20" max="20" width="11.5546875" style="124" bestFit="1" customWidth="1"/>
    <col min="21" max="21" width="10.5546875" style="124" bestFit="1" customWidth="1"/>
    <col min="22" max="22" width="10.109375" style="124" bestFit="1" customWidth="1"/>
    <col min="23" max="23" width="11.5546875" style="124" customWidth="1"/>
    <col min="24" max="25" width="5.44140625" style="124" customWidth="1"/>
    <col min="26" max="16384" width="9.109375" style="124"/>
  </cols>
  <sheetData>
    <row r="1" spans="1:60" x14ac:dyDescent="0.3">
      <c r="E1" s="127">
        <f>Total!F5</f>
        <v>69</v>
      </c>
      <c r="F1" s="192" t="str">
        <f>Total!G5</f>
        <v>العبور</v>
      </c>
      <c r="G1" s="192"/>
      <c r="H1" s="192"/>
    </row>
    <row r="3" spans="1:60" ht="15.6" x14ac:dyDescent="0.3">
      <c r="B3" s="130" t="s">
        <v>0</v>
      </c>
      <c r="C3" s="131" t="s">
        <v>1</v>
      </c>
      <c r="D3" s="132" t="s">
        <v>2</v>
      </c>
      <c r="E3" s="133" t="s">
        <v>3</v>
      </c>
      <c r="F3" s="132" t="s">
        <v>4</v>
      </c>
      <c r="G3" s="132" t="s">
        <v>5</v>
      </c>
      <c r="H3" s="132" t="s">
        <v>76</v>
      </c>
      <c r="I3" s="132" t="s">
        <v>6</v>
      </c>
      <c r="J3" s="134" t="s">
        <v>7</v>
      </c>
      <c r="L3" s="135" t="s">
        <v>7</v>
      </c>
      <c r="M3" s="7" t="s">
        <v>97</v>
      </c>
      <c r="O3" s="137" t="s">
        <v>17</v>
      </c>
      <c r="P3" s="138">
        <f>M5+M6</f>
        <v>0</v>
      </c>
      <c r="T3" s="139"/>
      <c r="U3" s="139"/>
      <c r="V3" s="139"/>
      <c r="W3" s="139"/>
      <c r="X3" s="139"/>
    </row>
    <row r="4" spans="1:60" ht="21.6" x14ac:dyDescent="0.65">
      <c r="A4" s="195"/>
      <c r="B4" s="140">
        <v>1</v>
      </c>
      <c r="C4" s="8"/>
      <c r="D4" s="9"/>
      <c r="E4" s="10"/>
      <c r="F4" s="9"/>
      <c r="G4" s="141">
        <f>IF(Basic3456789101112131415161718192021[[#This Row],[نوع الخدمة]]="مخالفات", 50,
IF(Basic3456789101112131415161718192021[[#This Row],[نوع الخدمة]]="كاش ان",
    IF(F4&lt;=100, 18, IF(F4&lt;=250, 23, IF(F4&lt;=500, 35, IF(F4&lt;=1000, 40, F4*0.04)))),
IF(Basic3456789101112131415161718192021[[#This Row],[نوع الخدمة]]="كاش اوت",
    IF(F4&lt;=100, 15, IF(F4&lt;=250, 20, IF(F4&lt;=500, 30, IF(F4&lt;=1000, 35, F4*0.035)))),
0)))</f>
        <v>0</v>
      </c>
      <c r="H4" s="162">
        <f>IF(I4="مخالفات",50,Basic3456789101112131415161718192021[[#This Row],[قيمة الرسوم / العموله]]+Basic3456789101112131415161718192021[[#This Row],[قيمة الشحنه]])</f>
        <v>0</v>
      </c>
      <c r="I4" s="90"/>
      <c r="J4" s="142" t="str">
        <f t="shared" ref="J4:J67" si="0">M$3</f>
        <v>12.5.2026</v>
      </c>
      <c r="L4" s="135" t="s">
        <v>26</v>
      </c>
      <c r="M4" s="90">
        <v>0</v>
      </c>
      <c r="O4" s="137" t="s">
        <v>18</v>
      </c>
      <c r="P4" s="138">
        <f>M4</f>
        <v>0</v>
      </c>
      <c r="S4" s="143" t="s">
        <v>22</v>
      </c>
      <c r="T4" s="143" t="s">
        <v>23</v>
      </c>
      <c r="U4" s="139"/>
      <c r="V4" s="139"/>
      <c r="W4" s="139"/>
      <c r="X4" s="139"/>
    </row>
    <row r="5" spans="1:60" ht="21.6" x14ac:dyDescent="0.65">
      <c r="A5" s="195"/>
      <c r="B5" s="144">
        <v>2</v>
      </c>
      <c r="C5" s="8"/>
      <c r="D5" s="9"/>
      <c r="E5" s="10"/>
      <c r="F5" s="9"/>
      <c r="G5" s="141">
        <f>IF(Basic3456789101112131415161718192021[[#This Row],[نوع الخدمة]]="مخالفات", 50,
IF(Basic3456789101112131415161718192021[[#This Row],[نوع الخدمة]]="كاش ان",
    IF(F5&lt;=100, 18, IF(F5&lt;=250, 23, IF(F5&lt;=500, 35, IF(F5&lt;=1000, 40, F5*0.04)))),
IF(Basic3456789101112131415161718192021[[#This Row],[نوع الخدمة]]="كاش اوت",
    IF(F5&lt;=100, 15, IF(F5&lt;=250, 20, IF(F5&lt;=500, 30, IF(F5&lt;=1000, 35, F5*0.035)))),
0)))</f>
        <v>0</v>
      </c>
      <c r="H5" s="162">
        <f>IF(I5="مخالفات",50,Basic3456789101112131415161718192021[[#This Row],[قيمة الرسوم / العموله]]+Basic3456789101112131415161718192021[[#This Row],[قيمة الشحنه]])</f>
        <v>0</v>
      </c>
      <c r="I5" s="90"/>
      <c r="J5" s="142" t="str">
        <f t="shared" si="0"/>
        <v>12.5.2026</v>
      </c>
      <c r="L5" s="135" t="s">
        <v>27</v>
      </c>
      <c r="M5" s="90"/>
      <c r="O5" s="137" t="s">
        <v>19</v>
      </c>
      <c r="P5" s="138">
        <f>SUMIF(Basic3456789101112131415161718192021[نوع الخدمة],"كاش ان",Basic3456789101112131415161718192021[قيمة الشحنه])</f>
        <v>0</v>
      </c>
      <c r="S5" s="145">
        <f>P5+P9+P12+P7</f>
        <v>0</v>
      </c>
      <c r="T5" s="145">
        <f>P3</f>
        <v>0</v>
      </c>
    </row>
    <row r="6" spans="1:60" ht="21.6" x14ac:dyDescent="0.65">
      <c r="A6" s="195"/>
      <c r="B6" s="140">
        <v>3</v>
      </c>
      <c r="C6" s="8"/>
      <c r="D6" s="9"/>
      <c r="E6" s="10"/>
      <c r="F6" s="9"/>
      <c r="G6" s="141">
        <f>IF(Basic3456789101112131415161718192021[[#This Row],[نوع الخدمة]]="مخالفات", 50,
IF(Basic3456789101112131415161718192021[[#This Row],[نوع الخدمة]]="كاش ان",
    IF(F6&lt;=100, 18, IF(F6&lt;=250, 23, IF(F6&lt;=500, 35, IF(F6&lt;=1000, 40, F6*0.04)))),
IF(Basic3456789101112131415161718192021[[#This Row],[نوع الخدمة]]="كاش اوت",
    IF(F6&lt;=100, 15, IF(F6&lt;=250, 20, IF(F6&lt;=500, 30, IF(F6&lt;=1000, 35, F6*0.035)))),
0)))</f>
        <v>0</v>
      </c>
      <c r="H6" s="162">
        <f>IF(I6="مخالفات",50,Basic3456789101112131415161718192021[[#This Row],[قيمة الرسوم / العموله]]+Basic3456789101112131415161718192021[[#This Row],[قيمة الشحنه]])</f>
        <v>0</v>
      </c>
      <c r="I6" s="90"/>
      <c r="J6" s="142" t="str">
        <f t="shared" si="0"/>
        <v>12.5.2026</v>
      </c>
      <c r="L6" s="135" t="s">
        <v>28</v>
      </c>
      <c r="M6" s="90"/>
      <c r="O6" s="146" t="s">
        <v>12</v>
      </c>
      <c r="P6" s="138">
        <f>P3*150</f>
        <v>0</v>
      </c>
    </row>
    <row r="7" spans="1:60" ht="21.6" x14ac:dyDescent="0.65">
      <c r="A7" s="195"/>
      <c r="B7" s="140">
        <v>4</v>
      </c>
      <c r="C7" s="8"/>
      <c r="D7" s="9"/>
      <c r="E7" s="10"/>
      <c r="F7" s="9"/>
      <c r="G7" s="141">
        <f>IF(Basic3456789101112131415161718192021[[#This Row],[نوع الخدمة]]="مخالفات", 50,
IF(Basic3456789101112131415161718192021[[#This Row],[نوع الخدمة]]="كاش ان",
    IF(F7&lt;=100, 18, IF(F7&lt;=250, 23, IF(F7&lt;=500, 35, IF(F7&lt;=1000, 40, F7*0.04)))),
IF(Basic3456789101112131415161718192021[[#This Row],[نوع الخدمة]]="كاش اوت",
    IF(F7&lt;=100, 15, IF(F7&lt;=250, 20, IF(F7&lt;=500, 30, IF(F7&lt;=1000, 35, F7*0.035)))),
0)))</f>
        <v>0</v>
      </c>
      <c r="H7" s="162">
        <f>IF(I7="مخالفات",50,Basic3456789101112131415161718192021[[#This Row],[قيمة الرسوم / العموله]]+Basic3456789101112131415161718192021[[#This Row],[قيمة الشحنه]])</f>
        <v>0</v>
      </c>
      <c r="I7" s="90"/>
      <c r="J7" s="142" t="str">
        <f t="shared" si="0"/>
        <v>12.5.2026</v>
      </c>
      <c r="L7" s="137" t="s">
        <v>11</v>
      </c>
      <c r="M7" s="165"/>
      <c r="O7" s="146" t="s">
        <v>75</v>
      </c>
      <c r="P7" s="138">
        <f>SUMIF(Basic3456789101112131415161718192021[نوع الخدمة],"مخالفات",Basic3456789101112131415161718192021[الاجمــــــــــالي])</f>
        <v>0</v>
      </c>
      <c r="R7" s="139"/>
      <c r="S7" s="139"/>
    </row>
    <row r="8" spans="1:60" ht="21.6" x14ac:dyDescent="0.65">
      <c r="A8" s="195"/>
      <c r="B8" s="140">
        <v>5</v>
      </c>
      <c r="C8" s="8"/>
      <c r="D8" s="9"/>
      <c r="E8" s="10"/>
      <c r="F8" s="9"/>
      <c r="G8" s="141">
        <f>IF(Basic3456789101112131415161718192021[[#This Row],[نوع الخدمة]]="مخالفات", 50,
IF(Basic3456789101112131415161718192021[[#This Row],[نوع الخدمة]]="كاش ان",
    IF(F8&lt;=100, 18, IF(F8&lt;=250, 23, IF(F8&lt;=500, 35, IF(F8&lt;=1000, 40, F8*0.04)))),
IF(Basic3456789101112131415161718192021[[#This Row],[نوع الخدمة]]="كاش اوت",
    IF(F8&lt;=100, 15, IF(F8&lt;=250, 20, IF(F8&lt;=500, 30, IF(F8&lt;=1000, 35, F8*0.035)))),
0)))</f>
        <v>0</v>
      </c>
      <c r="H8" s="162">
        <f>IF(I8="مخالفات",50,Basic3456789101112131415161718192021[[#This Row],[قيمة الرسوم / العموله]]+Basic3456789101112131415161718192021[[#This Row],[قيمة الشحنه]])</f>
        <v>0</v>
      </c>
      <c r="I8" s="90"/>
      <c r="J8" s="142" t="str">
        <f t="shared" si="0"/>
        <v>12.5.2026</v>
      </c>
      <c r="L8" s="166" t="s">
        <v>79</v>
      </c>
      <c r="M8" s="167">
        <v>0</v>
      </c>
      <c r="O8" s="137" t="s">
        <v>11</v>
      </c>
      <c r="P8" s="138">
        <f>M7</f>
        <v>0</v>
      </c>
      <c r="R8" s="143" t="s">
        <v>72</v>
      </c>
      <c r="S8" s="143" t="s">
        <v>25</v>
      </c>
      <c r="T8" s="143" t="s">
        <v>24</v>
      </c>
      <c r="U8" s="143" t="s">
        <v>73</v>
      </c>
      <c r="V8" s="143" t="s">
        <v>25</v>
      </c>
      <c r="W8" s="143" t="s">
        <v>24</v>
      </c>
      <c r="BH8" s="148" t="s">
        <v>8</v>
      </c>
    </row>
    <row r="9" spans="1:60" ht="18" customHeight="1" x14ac:dyDescent="0.65">
      <c r="A9" s="195"/>
      <c r="B9" s="144">
        <v>6</v>
      </c>
      <c r="C9" s="8"/>
      <c r="D9" s="9"/>
      <c r="E9" s="10"/>
      <c r="F9" s="9"/>
      <c r="G9" s="141">
        <f>IF(Basic3456789101112131415161718192021[[#This Row],[نوع الخدمة]]="مخالفات", 50,
IF(Basic3456789101112131415161718192021[[#This Row],[نوع الخدمة]]="كاش ان",
    IF(F9&lt;=100, 18, IF(F9&lt;=250, 23, IF(F9&lt;=500, 35, IF(F9&lt;=1000, 40, F9*0.04)))),
IF(Basic3456789101112131415161718192021[[#This Row],[نوع الخدمة]]="كاش اوت",
    IF(F9&lt;=100, 15, IF(F9&lt;=250, 20, IF(F9&lt;=500, 30, IF(F9&lt;=1000, 35, F9*0.035)))),
0)))</f>
        <v>0</v>
      </c>
      <c r="H9" s="162">
        <f>IF(I9="مخالفات",50,Basic3456789101112131415161718192021[[#This Row],[قيمة الرسوم / العموله]]+Basic3456789101112131415161718192021[[#This Row],[قيمة الشحنه]])</f>
        <v>0</v>
      </c>
      <c r="I9" s="90"/>
      <c r="J9" s="142" t="str">
        <f t="shared" si="0"/>
        <v>12.5.2026</v>
      </c>
      <c r="L9" s="166" t="s">
        <v>80</v>
      </c>
      <c r="M9" s="167">
        <v>0</v>
      </c>
      <c r="O9" s="137" t="s">
        <v>20</v>
      </c>
      <c r="P9" s="138">
        <f>SUMIF(Basic3456789101112131415161718192021[نوع الخدمة],"كاش ان",Basic3456789101112131415161718192021[قيمة الرسوم / العموله])</f>
        <v>0</v>
      </c>
      <c r="R9" s="149">
        <f>Total!H5/24</f>
        <v>29166.666666666668</v>
      </c>
      <c r="S9" s="149">
        <f>S5</f>
        <v>0</v>
      </c>
      <c r="T9" s="150">
        <f>S9/R9</f>
        <v>0</v>
      </c>
      <c r="U9" s="149">
        <f>Total!K5/24</f>
        <v>2.9166666666666665</v>
      </c>
      <c r="V9" s="149">
        <f>T5</f>
        <v>0</v>
      </c>
      <c r="W9" s="150">
        <f>V9/U9</f>
        <v>0</v>
      </c>
      <c r="BH9" s="148" t="s">
        <v>9</v>
      </c>
    </row>
    <row r="10" spans="1:60" ht="21.6" x14ac:dyDescent="0.65">
      <c r="A10" s="195"/>
      <c r="B10" s="140">
        <v>7</v>
      </c>
      <c r="C10" s="8"/>
      <c r="D10" s="9"/>
      <c r="E10" s="10"/>
      <c r="F10" s="9"/>
      <c r="G10" s="141">
        <f>IF(Basic3456789101112131415161718192021[[#This Row],[نوع الخدمة]]="مخالفات", 50,
IF(Basic3456789101112131415161718192021[[#This Row],[نوع الخدمة]]="كاش ان",
    IF(F10&lt;=100, 18, IF(F10&lt;=250, 23, IF(F10&lt;=500, 35, IF(F10&lt;=1000, 40, F10*0.04)))),
IF(Basic3456789101112131415161718192021[[#This Row],[نوع الخدمة]]="كاش اوت",
    IF(F10&lt;=100, 15, IF(F10&lt;=250, 20, IF(F10&lt;=500, 30, IF(F10&lt;=1000, 35, F10*0.035)))),
0)))</f>
        <v>0</v>
      </c>
      <c r="H10" s="162">
        <f>IF(I10="مخالفات",50,Basic3456789101112131415161718192021[[#This Row],[قيمة الرسوم / العموله]]+Basic3456789101112131415161718192021[[#This Row],[قيمة الشحنه]])</f>
        <v>0</v>
      </c>
      <c r="I10" s="90"/>
      <c r="J10" s="142" t="str">
        <f t="shared" si="0"/>
        <v>12.5.2026</v>
      </c>
      <c r="O10" s="137" t="s">
        <v>16</v>
      </c>
      <c r="P10" s="138">
        <f>SUMIF(Basic3456789101112131415161718192021[نوع الخدمة],"كاش اوت",Basic3456789101112131415161718192021[قيمة الشحنه])</f>
        <v>0</v>
      </c>
      <c r="R10" s="191">
        <f>(W9+T9)/2</f>
        <v>0</v>
      </c>
      <c r="S10" s="191"/>
      <c r="T10" s="191"/>
      <c r="U10" s="191"/>
      <c r="V10" s="191"/>
      <c r="W10" s="191"/>
      <c r="BH10" s="148" t="s">
        <v>10</v>
      </c>
    </row>
    <row r="11" spans="1:60" ht="21.6" x14ac:dyDescent="0.65">
      <c r="A11" s="195"/>
      <c r="B11" s="140">
        <v>8</v>
      </c>
      <c r="C11" s="8"/>
      <c r="D11" s="9"/>
      <c r="E11" s="10"/>
      <c r="F11" s="9"/>
      <c r="G11" s="141">
        <f>IF(Basic3456789101112131415161718192021[[#This Row],[نوع الخدمة]]="مخالفات", 50,
IF(Basic3456789101112131415161718192021[[#This Row],[نوع الخدمة]]="كاش ان",
    IF(F11&lt;=100, 18, IF(F11&lt;=250, 23, IF(F11&lt;=500, 35, IF(F11&lt;=1000, 40, F11*0.04)))),
IF(Basic3456789101112131415161718192021[[#This Row],[نوع الخدمة]]="كاش اوت",
    IF(F11&lt;=100, 15, IF(F11&lt;=250, 20, IF(F11&lt;=500, 30, IF(F11&lt;=1000, 35, F11*0.035)))),
0)))</f>
        <v>0</v>
      </c>
      <c r="H11" s="162">
        <f>IF(I11="مخالفات",50,Basic3456789101112131415161718192021[[#This Row],[قيمة الرسوم / العموله]]+Basic3456789101112131415161718192021[[#This Row],[قيمة الشحنه]])</f>
        <v>0</v>
      </c>
      <c r="I11" s="90"/>
      <c r="J11" s="142" t="str">
        <f t="shared" si="0"/>
        <v>12.5.2026</v>
      </c>
      <c r="L11" s="169" t="s">
        <v>77</v>
      </c>
      <c r="M11" s="168" t="s">
        <v>78</v>
      </c>
      <c r="O11" s="151" t="s">
        <v>21</v>
      </c>
      <c r="P11" s="152">
        <f>(P5+P6+P9+P7+P4)-P10-P8</f>
        <v>0</v>
      </c>
      <c r="T11" s="139"/>
    </row>
    <row r="12" spans="1:60" ht="21.6" x14ac:dyDescent="0.65">
      <c r="A12" s="195"/>
      <c r="B12" s="140">
        <v>9</v>
      </c>
      <c r="C12" s="8"/>
      <c r="D12" s="9"/>
      <c r="E12" s="10"/>
      <c r="F12" s="9"/>
      <c r="G12" s="141">
        <f>IF(Basic3456789101112131415161718192021[[#This Row],[نوع الخدمة]]="مخالفات", 50,
IF(Basic3456789101112131415161718192021[[#This Row],[نوع الخدمة]]="كاش ان",
    IF(F12&lt;=100, 18, IF(F12&lt;=250, 23, IF(F12&lt;=500, 35, IF(F12&lt;=1000, 40, F12*0.04)))),
IF(Basic3456789101112131415161718192021[[#This Row],[نوع الخدمة]]="كاش اوت",
    IF(F12&lt;=100, 15, IF(F12&lt;=250, 20, IF(F12&lt;=500, 30, IF(F12&lt;=1000, 35, F12*0.035)))),
0)))</f>
        <v>0</v>
      </c>
      <c r="H12" s="162">
        <f>IF(I12="مخالفات",50,Basic3456789101112131415161718192021[[#This Row],[قيمة الرسوم / العموله]]+Basic3456789101112131415161718192021[[#This Row],[قيمة الشحنه]])</f>
        <v>0</v>
      </c>
      <c r="I12" s="90"/>
      <c r="J12" s="142" t="str">
        <f t="shared" si="0"/>
        <v>12.5.2026</v>
      </c>
      <c r="L12" s="153">
        <v>1</v>
      </c>
      <c r="M12" s="91"/>
      <c r="O12" s="137" t="s">
        <v>29</v>
      </c>
      <c r="P12" s="138">
        <f>SUMIF(Basic3456789101112131415161718192021[نوع الخدمة],"كاش اوت",Basic3456789101112131415161718192021[الاجمــــــــــالي])</f>
        <v>0</v>
      </c>
    </row>
    <row r="13" spans="1:60" ht="21.6" x14ac:dyDescent="0.65">
      <c r="A13" s="195"/>
      <c r="B13" s="144">
        <v>10</v>
      </c>
      <c r="C13" s="8"/>
      <c r="D13" s="9"/>
      <c r="E13" s="10"/>
      <c r="F13" s="9"/>
      <c r="G13" s="141">
        <f>IF(Basic3456789101112131415161718192021[[#This Row],[نوع الخدمة]]="مخالفات", 50,
IF(Basic3456789101112131415161718192021[[#This Row],[نوع الخدمة]]="كاش ان",
    IF(F13&lt;=100, 18, IF(F13&lt;=250, 23, IF(F13&lt;=500, 35, IF(F13&lt;=1000, 40, F13*0.04)))),
IF(Basic3456789101112131415161718192021[[#This Row],[نوع الخدمة]]="كاش اوت",
    IF(F13&lt;=100, 15, IF(F13&lt;=250, 20, IF(F13&lt;=500, 30, IF(F13&lt;=1000, 35, F13*0.035)))),
0)))</f>
        <v>0</v>
      </c>
      <c r="H13" s="162">
        <f>IF(I13="مخالفات",50,Basic3456789101112131415161718192021[[#This Row],[قيمة الرسوم / العموله]]+Basic3456789101112131415161718192021[[#This Row],[قيمة الشحنه]])</f>
        <v>0</v>
      </c>
      <c r="I13" s="90"/>
      <c r="J13" s="142" t="str">
        <f t="shared" si="0"/>
        <v>12.5.2026</v>
      </c>
      <c r="L13" s="153">
        <v>2</v>
      </c>
      <c r="M13" s="92"/>
    </row>
    <row r="14" spans="1:60" ht="21.6" x14ac:dyDescent="0.65">
      <c r="A14" s="195"/>
      <c r="B14" s="140">
        <v>11</v>
      </c>
      <c r="C14" s="2"/>
      <c r="D14" s="1"/>
      <c r="E14" s="3"/>
      <c r="F14" s="1"/>
      <c r="G14" s="141">
        <f>IF(Basic3456789101112131415161718192021[[#This Row],[نوع الخدمة]]="مخالفات", 50,
IF(Basic3456789101112131415161718192021[[#This Row],[نوع الخدمة]]="كاش ان",
    IF(F14&lt;=100, 18, IF(F14&lt;=250, 23, IF(F14&lt;=500, 35, IF(F14&lt;=1000, 40, F14*0.04)))),
IF(Basic3456789101112131415161718192021[[#This Row],[نوع الخدمة]]="كاش اوت",
    IF(F14&lt;=100, 15, IF(F14&lt;=250, 20, IF(F14&lt;=500, 30, IF(F14&lt;=1000, 35, F14*0.035)))),
0)))</f>
        <v>0</v>
      </c>
      <c r="H14" s="163">
        <f>IF(I14="مخالفات",50,Basic3456789101112131415161718192021[[#This Row],[قيمة الرسوم / العموله]]+Basic3456789101112131415161718192021[[#This Row],[قيمة الشحنه]])</f>
        <v>0</v>
      </c>
      <c r="I14" s="90"/>
      <c r="J14" s="142" t="str">
        <f t="shared" si="0"/>
        <v>12.5.2026</v>
      </c>
      <c r="L14" s="153">
        <v>3</v>
      </c>
      <c r="M14" s="92"/>
    </row>
    <row r="15" spans="1:60" ht="21.6" x14ac:dyDescent="0.65">
      <c r="A15" s="195"/>
      <c r="B15" s="140">
        <v>12</v>
      </c>
      <c r="C15" s="2"/>
      <c r="D15" s="1"/>
      <c r="E15" s="3"/>
      <c r="F15" s="1"/>
      <c r="G15" s="141">
        <f>IF(Basic3456789101112131415161718192021[[#This Row],[نوع الخدمة]]="مخالفات", 50,
IF(Basic3456789101112131415161718192021[[#This Row],[نوع الخدمة]]="كاش ان",
    IF(F15&lt;=100, 18, IF(F15&lt;=250, 23, IF(F15&lt;=500, 35, IF(F15&lt;=1000, 40, F15*0.04)))),
IF(Basic3456789101112131415161718192021[[#This Row],[نوع الخدمة]]="كاش اوت",
    IF(F15&lt;=100, 15, IF(F15&lt;=250, 20, IF(F15&lt;=500, 30, IF(F15&lt;=1000, 35, F15*0.035)))),
0)))</f>
        <v>0</v>
      </c>
      <c r="H15" s="163">
        <f>IF(I15="مخالفات",50,Basic3456789101112131415161718192021[[#This Row],[قيمة الرسوم / العموله]]+Basic3456789101112131415161718192021[[#This Row],[قيمة الشحنه]])</f>
        <v>0</v>
      </c>
      <c r="I15" s="90"/>
      <c r="J15" s="142" t="str">
        <f t="shared" si="0"/>
        <v>12.5.2026</v>
      </c>
      <c r="L15" s="153">
        <v>4</v>
      </c>
      <c r="M15" s="92"/>
      <c r="O15" s="154" t="s">
        <v>10</v>
      </c>
      <c r="P15" s="155">
        <f>COUNTIF(Basic3456789101112131415161718192021[نوع الخدمة],"مخالفات")</f>
        <v>0</v>
      </c>
    </row>
    <row r="16" spans="1:60" ht="21.6" x14ac:dyDescent="0.65">
      <c r="A16" s="195"/>
      <c r="B16" s="140">
        <v>13</v>
      </c>
      <c r="C16" s="2"/>
      <c r="D16" s="1"/>
      <c r="E16" s="3"/>
      <c r="F16" s="1"/>
      <c r="G16" s="141">
        <f>IF(Basic3456789101112131415161718192021[[#This Row],[نوع الخدمة]]="مخالفات", 50,
IF(Basic3456789101112131415161718192021[[#This Row],[نوع الخدمة]]="كاش ان",
    IF(F16&lt;=100, 18, IF(F16&lt;=250, 23, IF(F16&lt;=500, 35, IF(F16&lt;=1000, 40, F16*0.04)))),
IF(Basic3456789101112131415161718192021[[#This Row],[نوع الخدمة]]="كاش اوت",
    IF(F16&lt;=100, 15, IF(F16&lt;=250, 20, IF(F16&lt;=500, 30, IF(F16&lt;=1000, 35, F16*0.035)))),
0)))</f>
        <v>0</v>
      </c>
      <c r="H16" s="163">
        <f>IF(I16="مخالفات",50,Basic3456789101112131415161718192021[[#This Row],[قيمة الرسوم / العموله]]+Basic3456789101112131415161718192021[[#This Row],[قيمة الشحنه]])</f>
        <v>0</v>
      </c>
      <c r="I16" s="90"/>
      <c r="J16" s="142" t="str">
        <f t="shared" si="0"/>
        <v>12.5.2026</v>
      </c>
      <c r="L16" s="153">
        <v>5</v>
      </c>
      <c r="M16" s="92"/>
      <c r="O16" s="154" t="s">
        <v>13</v>
      </c>
      <c r="P16" s="155">
        <f>COUNTIF(Basic3456789101112131415161718192021[نوع الخدمة],"كاش ان")</f>
        <v>0</v>
      </c>
    </row>
    <row r="17" spans="1:21" ht="21.6" x14ac:dyDescent="0.65">
      <c r="A17" s="195"/>
      <c r="B17" s="144">
        <v>14</v>
      </c>
      <c r="C17" s="2"/>
      <c r="D17" s="1"/>
      <c r="E17" s="3"/>
      <c r="F17" s="1"/>
      <c r="G17" s="141">
        <f>IF(Basic3456789101112131415161718192021[[#This Row],[نوع الخدمة]]="مخالفات", 50,
IF(Basic3456789101112131415161718192021[[#This Row],[نوع الخدمة]]="كاش ان",
    IF(F17&lt;=100, 18, IF(F17&lt;=250, 23, IF(F17&lt;=500, 35, IF(F17&lt;=1000, 40, F17*0.04)))),
IF(Basic3456789101112131415161718192021[[#This Row],[نوع الخدمة]]="كاش اوت",
    IF(F17&lt;=100, 15, IF(F17&lt;=250, 20, IF(F17&lt;=500, 30, IF(F17&lt;=1000, 35, F17*0.035)))),
0)))</f>
        <v>0</v>
      </c>
      <c r="H17" s="163">
        <f>IF(I17="مخالفات",50,Basic3456789101112131415161718192021[[#This Row],[قيمة الرسوم / العموله]]+Basic3456789101112131415161718192021[[#This Row],[قيمة الشحنه]])</f>
        <v>0</v>
      </c>
      <c r="I17" s="90"/>
      <c r="J17" s="142" t="str">
        <f t="shared" si="0"/>
        <v>12.5.2026</v>
      </c>
      <c r="L17" s="153">
        <v>6</v>
      </c>
      <c r="M17" s="92"/>
      <c r="O17" s="154" t="s">
        <v>14</v>
      </c>
      <c r="P17" s="155">
        <f>COUNTIF(Basic3456789101112131415161718192021[نوع الخدمة],"كاش اوت")</f>
        <v>0</v>
      </c>
    </row>
    <row r="18" spans="1:21" ht="21.6" x14ac:dyDescent="0.65">
      <c r="A18" s="195"/>
      <c r="B18" s="140">
        <v>15</v>
      </c>
      <c r="C18" s="2"/>
      <c r="D18" s="1"/>
      <c r="E18" s="3"/>
      <c r="F18" s="1"/>
      <c r="G18" s="141">
        <f>IF(Basic3456789101112131415161718192021[[#This Row],[نوع الخدمة]]="مخالفات", 50,
IF(Basic3456789101112131415161718192021[[#This Row],[نوع الخدمة]]="كاش ان",
    IF(F18&lt;=100, 18, IF(F18&lt;=250, 23, IF(F18&lt;=500, 35, IF(F18&lt;=1000, 40, F18*0.04)))),
IF(Basic3456789101112131415161718192021[[#This Row],[نوع الخدمة]]="كاش اوت",
    IF(F18&lt;=100, 15, IF(F18&lt;=250, 20, IF(F18&lt;=500, 30, IF(F18&lt;=1000, 35, F18*0.035)))),
0)))</f>
        <v>0</v>
      </c>
      <c r="H18" s="163">
        <f>IF(I18="مخالفات",50,Basic3456789101112131415161718192021[[#This Row],[قيمة الرسوم / العموله]]+Basic3456789101112131415161718192021[[#This Row],[قيمة الشحنه]])</f>
        <v>0</v>
      </c>
      <c r="I18" s="90"/>
      <c r="J18" s="142" t="str">
        <f t="shared" si="0"/>
        <v>12.5.2026</v>
      </c>
      <c r="L18" s="153">
        <v>7</v>
      </c>
      <c r="M18" s="92"/>
      <c r="O18" s="154" t="s">
        <v>15</v>
      </c>
      <c r="P18" s="155">
        <f>P16+P17</f>
        <v>0</v>
      </c>
    </row>
    <row r="19" spans="1:21" ht="21.6" x14ac:dyDescent="0.65">
      <c r="A19" s="195"/>
      <c r="B19" s="140">
        <v>16</v>
      </c>
      <c r="C19" s="2"/>
      <c r="D19" s="1"/>
      <c r="E19" s="3"/>
      <c r="F19" s="1"/>
      <c r="G19" s="141">
        <f>IF(Basic3456789101112131415161718192021[[#This Row],[نوع الخدمة]]="مخالفات", 50,
IF(Basic3456789101112131415161718192021[[#This Row],[نوع الخدمة]]="كاش ان",
    IF(F19&lt;=100, 18, IF(F19&lt;=250, 23, IF(F19&lt;=500, 35, IF(F19&lt;=1000, 40, F19*0.04)))),
IF(Basic3456789101112131415161718192021[[#This Row],[نوع الخدمة]]="كاش اوت",
    IF(F19&lt;=100, 15, IF(F19&lt;=250, 20, IF(F19&lt;=500, 30, IF(F19&lt;=1000, 35, F19*0.035)))),
0)))</f>
        <v>0</v>
      </c>
      <c r="H19" s="163">
        <f>IF(I19="مخالفات",50,Basic3456789101112131415161718192021[[#This Row],[قيمة الرسوم / العموله]]+Basic3456789101112131415161718192021[[#This Row],[قيمة الشحنه]])</f>
        <v>0</v>
      </c>
      <c r="I19" s="90"/>
      <c r="J19" s="142" t="str">
        <f t="shared" si="0"/>
        <v>12.5.2026</v>
      </c>
      <c r="L19" s="153">
        <v>8</v>
      </c>
      <c r="M19" s="92"/>
    </row>
    <row r="20" spans="1:21" ht="21.6" x14ac:dyDescent="0.65">
      <c r="A20" s="195"/>
      <c r="B20" s="140">
        <v>17</v>
      </c>
      <c r="C20" s="2"/>
      <c r="D20" s="1"/>
      <c r="E20" s="3"/>
      <c r="F20" s="1"/>
      <c r="G20" s="141">
        <f>IF(Basic3456789101112131415161718192021[[#This Row],[نوع الخدمة]]="مخالفات", 50,
IF(Basic3456789101112131415161718192021[[#This Row],[نوع الخدمة]]="كاش ان",
    IF(F20&lt;=100, 18, IF(F20&lt;=250, 23, IF(F20&lt;=500, 35, IF(F20&lt;=1000, 40, F20*0.04)))),
IF(Basic3456789101112131415161718192021[[#This Row],[نوع الخدمة]]="كاش اوت",
    IF(F20&lt;=100, 15, IF(F20&lt;=250, 20, IF(F20&lt;=500, 30, IF(F20&lt;=1000, 35, F20*0.035)))),
0)))</f>
        <v>0</v>
      </c>
      <c r="H20" s="163">
        <f>IF(I20="مخالفات",50,Basic3456789101112131415161718192021[[#This Row],[قيمة الرسوم / العموله]]+Basic3456789101112131415161718192021[[#This Row],[قيمة الشحنه]])</f>
        <v>0</v>
      </c>
      <c r="I20" s="90"/>
      <c r="J20" s="142" t="str">
        <f t="shared" si="0"/>
        <v>12.5.2026</v>
      </c>
      <c r="L20" s="153">
        <v>9</v>
      </c>
      <c r="M20" s="92"/>
      <c r="O20" s="193" t="s">
        <v>30</v>
      </c>
      <c r="P20" s="194"/>
    </row>
    <row r="21" spans="1:21" ht="21.6" x14ac:dyDescent="0.65">
      <c r="A21" s="195"/>
      <c r="B21" s="144">
        <v>18</v>
      </c>
      <c r="C21" s="2"/>
      <c r="D21" s="1"/>
      <c r="E21" s="3"/>
      <c r="F21" s="1"/>
      <c r="G21" s="141">
        <f>IF(Basic3456789101112131415161718192021[[#This Row],[نوع الخدمة]]="مخالفات", 50,
IF(Basic3456789101112131415161718192021[[#This Row],[نوع الخدمة]]="كاش ان",
    IF(F21&lt;=100, 18, IF(F21&lt;=250, 23, IF(F21&lt;=500, 35, IF(F21&lt;=1000, 40, F21*0.04)))),
IF(Basic3456789101112131415161718192021[[#This Row],[نوع الخدمة]]="كاش اوت",
    IF(F21&lt;=100, 15, IF(F21&lt;=250, 20, IF(F21&lt;=500, 30, IF(F21&lt;=1000, 35, F21*0.035)))),
0)))</f>
        <v>0</v>
      </c>
      <c r="H21" s="163">
        <f>IF(I21="مخالفات",50,Basic3456789101112131415161718192021[[#This Row],[قيمة الرسوم / العموله]]+Basic3456789101112131415161718192021[[#This Row],[قيمة الشحنه]])</f>
        <v>0</v>
      </c>
      <c r="I21" s="90"/>
      <c r="J21" s="142" t="str">
        <f t="shared" si="0"/>
        <v>12.5.2026</v>
      </c>
      <c r="L21" s="153">
        <v>10</v>
      </c>
      <c r="M21" s="92"/>
      <c r="O21" s="196" t="s">
        <v>31</v>
      </c>
      <c r="P21" s="197"/>
    </row>
    <row r="22" spans="1:21" ht="21.6" x14ac:dyDescent="0.65">
      <c r="A22" s="195"/>
      <c r="B22" s="140">
        <v>19</v>
      </c>
      <c r="C22" s="2"/>
      <c r="D22" s="1"/>
      <c r="E22" s="3"/>
      <c r="F22" s="1"/>
      <c r="G22" s="141">
        <f>IF(Basic3456789101112131415161718192021[[#This Row],[نوع الخدمة]]="مخالفات", 50,
IF(Basic3456789101112131415161718192021[[#This Row],[نوع الخدمة]]="كاش ان",
    IF(F22&lt;=100, 18, IF(F22&lt;=250, 23, IF(F22&lt;=500, 35, IF(F22&lt;=1000, 40, F22*0.04)))),
IF(Basic3456789101112131415161718192021[[#This Row],[نوع الخدمة]]="كاش اوت",
    IF(F22&lt;=100, 15, IF(F22&lt;=250, 20, IF(F22&lt;=500, 30, IF(F22&lt;=1000, 35, F22*0.035)))),
0)))</f>
        <v>0</v>
      </c>
      <c r="H22" s="163">
        <f>IF(I22="مخالفات",50,Basic3456789101112131415161718192021[[#This Row],[قيمة الرسوم / العموله]]+Basic3456789101112131415161718192021[[#This Row],[قيمة الشحنه]])</f>
        <v>0</v>
      </c>
      <c r="I22" s="90"/>
      <c r="J22" s="142" t="str">
        <f t="shared" si="0"/>
        <v>12.5.2026</v>
      </c>
      <c r="L22" s="153">
        <v>11</v>
      </c>
      <c r="M22" s="92"/>
      <c r="O22" s="147" t="s">
        <v>27</v>
      </c>
      <c r="P22" s="135">
        <f>M8+'11'!P28</f>
        <v>-4</v>
      </c>
    </row>
    <row r="23" spans="1:21" ht="21.6" x14ac:dyDescent="0.65">
      <c r="A23" s="195"/>
      <c r="B23" s="140">
        <v>20</v>
      </c>
      <c r="C23" s="2"/>
      <c r="D23" s="1"/>
      <c r="E23" s="3"/>
      <c r="F23" s="1"/>
      <c r="G23" s="141">
        <f>IF(Basic3456789101112131415161718192021[[#This Row],[نوع الخدمة]]="مخالفات", 50,
IF(Basic3456789101112131415161718192021[[#This Row],[نوع الخدمة]]="كاش ان",
    IF(F23&lt;=100, 18, IF(F23&lt;=250, 23, IF(F23&lt;=500, 35, IF(F23&lt;=1000, 40, F23*0.04)))),
IF(Basic3456789101112131415161718192021[[#This Row],[نوع الخدمة]]="كاش اوت",
    IF(F23&lt;=100, 15, IF(F23&lt;=250, 20, IF(F23&lt;=500, 30, IF(F23&lt;=1000, 35, F23*0.035)))),
0)))</f>
        <v>0</v>
      </c>
      <c r="H23" s="163">
        <f>IF(I23="مخالفات",50,Basic3456789101112131415161718192021[[#This Row],[قيمة الرسوم / العموله]]+Basic3456789101112131415161718192021[[#This Row],[قيمة الشحنه]])</f>
        <v>0</v>
      </c>
      <c r="I23" s="90"/>
      <c r="J23" s="142" t="str">
        <f t="shared" si="0"/>
        <v>12.5.2026</v>
      </c>
      <c r="L23" s="153">
        <v>12</v>
      </c>
      <c r="M23" s="92"/>
      <c r="O23" s="147" t="s">
        <v>28</v>
      </c>
      <c r="P23" s="135">
        <f>M9+'11'!P29</f>
        <v>0</v>
      </c>
      <c r="T23" s="139"/>
      <c r="U23" s="139"/>
    </row>
    <row r="24" spans="1:21" ht="21.6" x14ac:dyDescent="0.65">
      <c r="A24" s="195"/>
      <c r="B24" s="140">
        <v>21</v>
      </c>
      <c r="C24" s="2"/>
      <c r="D24" s="1"/>
      <c r="E24" s="3"/>
      <c r="F24" s="1"/>
      <c r="G24" s="141">
        <f>IF(Basic3456789101112131415161718192021[[#This Row],[نوع الخدمة]]="مخالفات", 50,
IF(Basic3456789101112131415161718192021[[#This Row],[نوع الخدمة]]="كاش ان",
    IF(F24&lt;=100, 18, IF(F24&lt;=250, 23, IF(F24&lt;=500, 35, IF(F24&lt;=1000, 40, F24*0.04)))),
IF(Basic3456789101112131415161718192021[[#This Row],[نوع الخدمة]]="كاش اوت",
    IF(F24&lt;=100, 15, IF(F24&lt;=250, 20, IF(F24&lt;=500, 30, IF(F24&lt;=1000, 35, F24*0.035)))),
0)))</f>
        <v>0</v>
      </c>
      <c r="H24" s="163">
        <f>IF(I24="مخالفات",50,Basic3456789101112131415161718192021[[#This Row],[قيمة الرسوم / العموله]]+Basic3456789101112131415161718192021[[#This Row],[قيمة الشحنه]])</f>
        <v>0</v>
      </c>
      <c r="I24" s="90"/>
      <c r="J24" s="142" t="str">
        <f t="shared" si="0"/>
        <v>12.5.2026</v>
      </c>
      <c r="L24" s="153">
        <v>13</v>
      </c>
      <c r="M24" s="92"/>
      <c r="O24" s="196" t="s">
        <v>32</v>
      </c>
      <c r="P24" s="197"/>
    </row>
    <row r="25" spans="1:21" ht="21.6" x14ac:dyDescent="0.65">
      <c r="A25" s="195"/>
      <c r="B25" s="144">
        <v>22</v>
      </c>
      <c r="C25" s="2"/>
      <c r="D25" s="1"/>
      <c r="E25" s="3"/>
      <c r="F25" s="1"/>
      <c r="G25" s="141">
        <f>IF(Basic3456789101112131415161718192021[[#This Row],[نوع الخدمة]]="مخالفات", 50,
IF(Basic3456789101112131415161718192021[[#This Row],[نوع الخدمة]]="كاش ان",
    IF(F25&lt;=100, 18, IF(F25&lt;=250, 23, IF(F25&lt;=500, 35, IF(F25&lt;=1000, 40, F25*0.04)))),
IF(Basic3456789101112131415161718192021[[#This Row],[نوع الخدمة]]="كاش اوت",
    IF(F25&lt;=100, 15, IF(F25&lt;=250, 20, IF(F25&lt;=500, 30, IF(F25&lt;=1000, 35, F25*0.035)))),
0)))</f>
        <v>0</v>
      </c>
      <c r="H25" s="163">
        <f>IF(I25="مخالفات",50,Basic3456789101112131415161718192021[[#This Row],[قيمة الرسوم / العموله]]+Basic3456789101112131415161718192021[[#This Row],[قيمة الشحنه]])</f>
        <v>0</v>
      </c>
      <c r="I25" s="90"/>
      <c r="J25" s="142" t="str">
        <f t="shared" si="0"/>
        <v>12.5.2026</v>
      </c>
      <c r="L25" s="153">
        <v>14</v>
      </c>
      <c r="M25" s="92"/>
      <c r="O25" s="147" t="s">
        <v>27</v>
      </c>
      <c r="P25" s="135">
        <f>M5</f>
        <v>0</v>
      </c>
    </row>
    <row r="26" spans="1:21" ht="21.6" x14ac:dyDescent="0.65">
      <c r="A26" s="195"/>
      <c r="B26" s="140">
        <v>23</v>
      </c>
      <c r="C26" s="2"/>
      <c r="D26" s="1"/>
      <c r="E26" s="3"/>
      <c r="F26" s="1"/>
      <c r="G26" s="141">
        <f>IF(Basic3456789101112131415161718192021[[#This Row],[نوع الخدمة]]="مخالفات", 50,
IF(Basic3456789101112131415161718192021[[#This Row],[نوع الخدمة]]="كاش ان",
    IF(F26&lt;=100, 18, IF(F26&lt;=250, 23, IF(F26&lt;=500, 35, IF(F26&lt;=1000, 40, F26*0.04)))),
IF(Basic3456789101112131415161718192021[[#This Row],[نوع الخدمة]]="كاش اوت",
    IF(F26&lt;=100, 15, IF(F26&lt;=250, 20, IF(F26&lt;=500, 30, IF(F26&lt;=1000, 35, F26*0.035)))),
0)))</f>
        <v>0</v>
      </c>
      <c r="H26" s="163">
        <f>IF(I26="مخالفات",50,Basic3456789101112131415161718192021[[#This Row],[قيمة الرسوم / العموله]]+Basic3456789101112131415161718192021[[#This Row],[قيمة الشحنه]])</f>
        <v>0</v>
      </c>
      <c r="I26" s="90"/>
      <c r="J26" s="142" t="str">
        <f t="shared" si="0"/>
        <v>12.5.2026</v>
      </c>
      <c r="L26" s="153">
        <v>15</v>
      </c>
      <c r="M26" s="92"/>
      <c r="O26" s="147" t="s">
        <v>28</v>
      </c>
      <c r="P26" s="135">
        <f>M6</f>
        <v>0</v>
      </c>
    </row>
    <row r="27" spans="1:21" ht="21.6" x14ac:dyDescent="0.65">
      <c r="A27" s="195"/>
      <c r="B27" s="140">
        <v>24</v>
      </c>
      <c r="C27" s="2"/>
      <c r="D27" s="1"/>
      <c r="E27" s="3"/>
      <c r="F27" s="1"/>
      <c r="G27" s="141">
        <f>IF(Basic3456789101112131415161718192021[[#This Row],[نوع الخدمة]]="مخالفات", 50,
IF(Basic3456789101112131415161718192021[[#This Row],[نوع الخدمة]]="كاش ان",
    IF(F27&lt;=100, 18, IF(F27&lt;=250, 23, IF(F27&lt;=500, 35, IF(F27&lt;=1000, 40, F27*0.04)))),
IF(Basic3456789101112131415161718192021[[#This Row],[نوع الخدمة]]="كاش اوت",
    IF(F27&lt;=100, 15, IF(F27&lt;=250, 20, IF(F27&lt;=500, 30, IF(F27&lt;=1000, 35, F27*0.035)))),
0)))</f>
        <v>0</v>
      </c>
      <c r="H27" s="163">
        <f>IF(I27="مخالفات",50,Basic3456789101112131415161718192021[[#This Row],[قيمة الرسوم / العموله]]+Basic3456789101112131415161718192021[[#This Row],[قيمة الشحنه]])</f>
        <v>0</v>
      </c>
      <c r="I27" s="90"/>
      <c r="J27" s="142" t="str">
        <f t="shared" si="0"/>
        <v>12.5.2026</v>
      </c>
      <c r="L27" s="153">
        <v>16</v>
      </c>
      <c r="M27" s="92"/>
      <c r="O27" s="196" t="s">
        <v>33</v>
      </c>
      <c r="P27" s="197"/>
    </row>
    <row r="28" spans="1:21" ht="21.6" x14ac:dyDescent="0.65">
      <c r="A28" s="195"/>
      <c r="B28" s="140">
        <v>25</v>
      </c>
      <c r="C28" s="2"/>
      <c r="D28" s="1"/>
      <c r="E28" s="3"/>
      <c r="F28" s="1"/>
      <c r="G28" s="141">
        <f>IF(Basic3456789101112131415161718192021[[#This Row],[نوع الخدمة]]="مخالفات", 50,
IF(Basic3456789101112131415161718192021[[#This Row],[نوع الخدمة]]="كاش ان",
    IF(F28&lt;=100, 18, IF(F28&lt;=250, 23, IF(F28&lt;=500, 35, IF(F28&lt;=1000, 40, F28*0.04)))),
IF(Basic3456789101112131415161718192021[[#This Row],[نوع الخدمة]]="كاش اوت",
    IF(F28&lt;=100, 15, IF(F28&lt;=250, 20, IF(F28&lt;=500, 30, IF(F28&lt;=1000, 35, F28*0.035)))),
0)))</f>
        <v>0</v>
      </c>
      <c r="H28" s="163">
        <f>IF(I28="مخالفات",50,Basic3456789101112131415161718192021[[#This Row],[قيمة الرسوم / العموله]]+Basic3456789101112131415161718192021[[#This Row],[قيمة الشحنه]])</f>
        <v>0</v>
      </c>
      <c r="I28" s="90"/>
      <c r="J28" s="142" t="str">
        <f t="shared" si="0"/>
        <v>12.5.2026</v>
      </c>
      <c r="L28" s="153">
        <v>17</v>
      </c>
      <c r="M28" s="92"/>
      <c r="O28" s="147" t="s">
        <v>27</v>
      </c>
      <c r="P28" s="135">
        <f>P22-P25</f>
        <v>-4</v>
      </c>
    </row>
    <row r="29" spans="1:21" ht="21.6" x14ac:dyDescent="0.65">
      <c r="A29" s="195"/>
      <c r="B29" s="144">
        <v>26</v>
      </c>
      <c r="C29" s="2"/>
      <c r="D29" s="1"/>
      <c r="E29" s="3"/>
      <c r="F29" s="1"/>
      <c r="G29" s="141">
        <f>IF(Basic3456789101112131415161718192021[[#This Row],[نوع الخدمة]]="مخالفات", 50,
IF(Basic3456789101112131415161718192021[[#This Row],[نوع الخدمة]]="كاش ان",
    IF(F29&lt;=100, 18, IF(F29&lt;=250, 23, IF(F29&lt;=500, 35, IF(F29&lt;=1000, 40, F29*0.04)))),
IF(Basic3456789101112131415161718192021[[#This Row],[نوع الخدمة]]="كاش اوت",
    IF(F29&lt;=100, 15, IF(F29&lt;=250, 20, IF(F29&lt;=500, 30, IF(F29&lt;=1000, 35, F29*0.035)))),
0)))</f>
        <v>0</v>
      </c>
      <c r="H29" s="163">
        <f>IF(I29="مخالفات",50,Basic3456789101112131415161718192021[[#This Row],[قيمة الرسوم / العموله]]+Basic3456789101112131415161718192021[[#This Row],[قيمة الشحنه]])</f>
        <v>0</v>
      </c>
      <c r="I29" s="90"/>
      <c r="J29" s="142" t="str">
        <f t="shared" si="0"/>
        <v>12.5.2026</v>
      </c>
      <c r="L29" s="153">
        <v>18</v>
      </c>
      <c r="M29" s="92"/>
      <c r="O29" s="147" t="s">
        <v>28</v>
      </c>
      <c r="P29" s="135">
        <f>P23-P26</f>
        <v>0</v>
      </c>
    </row>
    <row r="30" spans="1:21" ht="21.6" x14ac:dyDescent="0.65">
      <c r="A30" s="195"/>
      <c r="B30" s="140">
        <v>27</v>
      </c>
      <c r="C30" s="2"/>
      <c r="D30" s="1"/>
      <c r="E30" s="3"/>
      <c r="F30" s="1"/>
      <c r="G30" s="141">
        <f>IF(Basic3456789101112131415161718192021[[#This Row],[نوع الخدمة]]="مخالفات", 50,
IF(Basic3456789101112131415161718192021[[#This Row],[نوع الخدمة]]="كاش ان",
    IF(F30&lt;=100, 18, IF(F30&lt;=250, 23, IF(F30&lt;=500, 35, IF(F30&lt;=1000, 40, F30*0.04)))),
IF(Basic3456789101112131415161718192021[[#This Row],[نوع الخدمة]]="كاش اوت",
    IF(F30&lt;=100, 15, IF(F30&lt;=250, 20, IF(F30&lt;=500, 30, IF(F30&lt;=1000, 35, F30*0.035)))),
0)))</f>
        <v>0</v>
      </c>
      <c r="H30" s="163">
        <f>IF(I30="مخالفات",50,Basic3456789101112131415161718192021[[#This Row],[قيمة الرسوم / العموله]]+Basic3456789101112131415161718192021[[#This Row],[قيمة الشحنه]])</f>
        <v>0</v>
      </c>
      <c r="I30" s="90"/>
      <c r="J30" s="142" t="str">
        <f t="shared" si="0"/>
        <v>12.5.2026</v>
      </c>
      <c r="L30" s="153">
        <v>19</v>
      </c>
      <c r="M30" s="92"/>
    </row>
    <row r="31" spans="1:21" ht="21.6" x14ac:dyDescent="0.65">
      <c r="A31" s="195"/>
      <c r="B31" s="140">
        <v>28</v>
      </c>
      <c r="C31" s="2"/>
      <c r="D31" s="1"/>
      <c r="E31" s="3"/>
      <c r="F31" s="1"/>
      <c r="G31" s="141">
        <f>IF(Basic3456789101112131415161718192021[[#This Row],[نوع الخدمة]]="مخالفات", 50,
IF(Basic3456789101112131415161718192021[[#This Row],[نوع الخدمة]]="كاش ان",
    IF(F31&lt;=100, 18, IF(F31&lt;=250, 23, IF(F31&lt;=500, 35, IF(F31&lt;=1000, 40, F31*0.04)))),
IF(Basic3456789101112131415161718192021[[#This Row],[نوع الخدمة]]="كاش اوت",
    IF(F31&lt;=100, 15, IF(F31&lt;=250, 20, IF(F31&lt;=500, 30, IF(F31&lt;=1000, 35, F31*0.035)))),
0)))</f>
        <v>0</v>
      </c>
      <c r="H31" s="163">
        <f>IF(I31="مخالفات",50,Basic3456789101112131415161718192021[[#This Row],[قيمة الرسوم / العموله]]+Basic3456789101112131415161718192021[[#This Row],[قيمة الشحنه]])</f>
        <v>0</v>
      </c>
      <c r="I31" s="90"/>
      <c r="J31" s="142" t="str">
        <f t="shared" si="0"/>
        <v>12.5.2026</v>
      </c>
      <c r="L31" s="153">
        <v>20</v>
      </c>
      <c r="M31" s="92"/>
    </row>
    <row r="32" spans="1:21" ht="21.6" x14ac:dyDescent="0.65">
      <c r="A32" s="195"/>
      <c r="B32" s="140">
        <v>29</v>
      </c>
      <c r="C32" s="2"/>
      <c r="D32" s="1"/>
      <c r="E32" s="3"/>
      <c r="F32" s="1"/>
      <c r="G32" s="141">
        <f>IF(Basic3456789101112131415161718192021[[#This Row],[نوع الخدمة]]="مخالفات", 50,
IF(Basic3456789101112131415161718192021[[#This Row],[نوع الخدمة]]="كاش ان",
    IF(F32&lt;=100, 18, IF(F32&lt;=250, 23, IF(F32&lt;=500, 35, IF(F32&lt;=1000, 40, F32*0.04)))),
IF(Basic3456789101112131415161718192021[[#This Row],[نوع الخدمة]]="كاش اوت",
    IF(F32&lt;=100, 15, IF(F32&lt;=250, 20, IF(F32&lt;=500, 30, IF(F32&lt;=1000, 35, F32*0.035)))),
0)))</f>
        <v>0</v>
      </c>
      <c r="H32" s="163">
        <f>IF(I32="مخالفات",50,Basic3456789101112131415161718192021[[#This Row],[قيمة الرسوم / العموله]]+Basic3456789101112131415161718192021[[#This Row],[قيمة الشحنه]])</f>
        <v>0</v>
      </c>
      <c r="I32" s="90"/>
      <c r="J32" s="142" t="str">
        <f t="shared" si="0"/>
        <v>12.5.2026</v>
      </c>
      <c r="L32" s="153">
        <v>21</v>
      </c>
      <c r="M32" s="92"/>
    </row>
    <row r="33" spans="1:13" ht="21.6" x14ac:dyDescent="0.65">
      <c r="A33" s="195"/>
      <c r="B33" s="144">
        <v>30</v>
      </c>
      <c r="C33" s="2"/>
      <c r="D33" s="1"/>
      <c r="E33" s="3"/>
      <c r="F33" s="1"/>
      <c r="G33" s="141">
        <f>IF(Basic3456789101112131415161718192021[[#This Row],[نوع الخدمة]]="مخالفات", 50,
IF(Basic3456789101112131415161718192021[[#This Row],[نوع الخدمة]]="كاش ان",
    IF(F33&lt;=100, 18, IF(F33&lt;=250, 23, IF(F33&lt;=500, 35, IF(F33&lt;=1000, 40, F33*0.04)))),
IF(Basic3456789101112131415161718192021[[#This Row],[نوع الخدمة]]="كاش اوت",
    IF(F33&lt;=100, 15, IF(F33&lt;=250, 20, IF(F33&lt;=500, 30, IF(F33&lt;=1000, 35, F33*0.035)))),
0)))</f>
        <v>0</v>
      </c>
      <c r="H33" s="163">
        <f>IF(I33="مخالفات",50,Basic3456789101112131415161718192021[[#This Row],[قيمة الرسوم / العموله]]+Basic3456789101112131415161718192021[[#This Row],[قيمة الشحنه]])</f>
        <v>0</v>
      </c>
      <c r="I33" s="90"/>
      <c r="J33" s="142" t="str">
        <f t="shared" si="0"/>
        <v>12.5.2026</v>
      </c>
      <c r="L33" s="153">
        <v>22</v>
      </c>
      <c r="M33" s="92"/>
    </row>
    <row r="34" spans="1:13" ht="21.6" x14ac:dyDescent="0.65">
      <c r="A34" s="195"/>
      <c r="B34" s="140">
        <v>31</v>
      </c>
      <c r="C34" s="2"/>
      <c r="D34" s="1"/>
      <c r="E34" s="3"/>
      <c r="F34" s="1"/>
      <c r="G34" s="141">
        <f>IF(Basic3456789101112131415161718192021[[#This Row],[نوع الخدمة]]="مخالفات", 50,
IF(Basic3456789101112131415161718192021[[#This Row],[نوع الخدمة]]="كاش ان",
    IF(F34&lt;=100, 18, IF(F34&lt;=250, 23, IF(F34&lt;=500, 35, IF(F34&lt;=1000, 40, F34*0.04)))),
IF(Basic3456789101112131415161718192021[[#This Row],[نوع الخدمة]]="كاش اوت",
    IF(F34&lt;=100, 15, IF(F34&lt;=250, 20, IF(F34&lt;=500, 30, IF(F34&lt;=1000, 35, F34*0.035)))),
0)))</f>
        <v>0</v>
      </c>
      <c r="H34" s="163">
        <f>IF(I34="مخالفات",50,Basic3456789101112131415161718192021[[#This Row],[قيمة الرسوم / العموله]]+Basic3456789101112131415161718192021[[#This Row],[قيمة الشحنه]])</f>
        <v>0</v>
      </c>
      <c r="I34" s="90"/>
      <c r="J34" s="142" t="str">
        <f t="shared" si="0"/>
        <v>12.5.2026</v>
      </c>
      <c r="L34" s="153">
        <v>23</v>
      </c>
      <c r="M34" s="92"/>
    </row>
    <row r="35" spans="1:13" ht="21.6" x14ac:dyDescent="0.65">
      <c r="A35" s="195"/>
      <c r="B35" s="140">
        <v>32</v>
      </c>
      <c r="C35" s="2"/>
      <c r="D35" s="1"/>
      <c r="E35" s="3"/>
      <c r="F35" s="1"/>
      <c r="G35" s="141">
        <f>IF(Basic3456789101112131415161718192021[[#This Row],[نوع الخدمة]]="مخالفات", 50,
IF(Basic3456789101112131415161718192021[[#This Row],[نوع الخدمة]]="كاش ان",
    IF(F35&lt;=100, 18, IF(F35&lt;=250, 23, IF(F35&lt;=500, 35, IF(F35&lt;=1000, 40, F35*0.04)))),
IF(Basic3456789101112131415161718192021[[#This Row],[نوع الخدمة]]="كاش اوت",
    IF(F35&lt;=100, 15, IF(F35&lt;=250, 20, IF(F35&lt;=500, 30, IF(F35&lt;=1000, 35, F35*0.035)))),
0)))</f>
        <v>0</v>
      </c>
      <c r="H35" s="163">
        <f>IF(I35="مخالفات",50,Basic3456789101112131415161718192021[[#This Row],[قيمة الرسوم / العموله]]+Basic3456789101112131415161718192021[[#This Row],[قيمة الشحنه]])</f>
        <v>0</v>
      </c>
      <c r="I35" s="90"/>
      <c r="J35" s="142" t="str">
        <f t="shared" si="0"/>
        <v>12.5.2026</v>
      </c>
      <c r="L35" s="153">
        <v>24</v>
      </c>
      <c r="M35" s="92"/>
    </row>
    <row r="36" spans="1:13" ht="21.6" x14ac:dyDescent="0.65">
      <c r="A36" s="195"/>
      <c r="B36" s="140">
        <v>33</v>
      </c>
      <c r="C36" s="2"/>
      <c r="D36" s="1"/>
      <c r="E36" s="3"/>
      <c r="F36" s="1"/>
      <c r="G36" s="141">
        <f>IF(Basic3456789101112131415161718192021[[#This Row],[نوع الخدمة]]="مخالفات", 50,
IF(Basic3456789101112131415161718192021[[#This Row],[نوع الخدمة]]="كاش ان",
    IF(F36&lt;=100, 18, IF(F36&lt;=250, 23, IF(F36&lt;=500, 35, IF(F36&lt;=1000, 40, F36*0.04)))),
IF(Basic3456789101112131415161718192021[[#This Row],[نوع الخدمة]]="كاش اوت",
    IF(F36&lt;=100, 15, IF(F36&lt;=250, 20, IF(F36&lt;=500, 30, IF(F36&lt;=1000, 35, F36*0.035)))),
0)))</f>
        <v>0</v>
      </c>
      <c r="H36" s="163">
        <f>IF(I36="مخالفات",50,Basic3456789101112131415161718192021[[#This Row],[قيمة الرسوم / العموله]]+Basic3456789101112131415161718192021[[#This Row],[قيمة الشحنه]])</f>
        <v>0</v>
      </c>
      <c r="I36" s="90"/>
      <c r="J36" s="142" t="str">
        <f t="shared" si="0"/>
        <v>12.5.2026</v>
      </c>
      <c r="L36" s="153">
        <v>25</v>
      </c>
      <c r="M36" s="92"/>
    </row>
    <row r="37" spans="1:13" ht="21.6" x14ac:dyDescent="0.65">
      <c r="A37" s="195"/>
      <c r="B37" s="144">
        <v>34</v>
      </c>
      <c r="C37" s="2"/>
      <c r="D37" s="1"/>
      <c r="E37" s="3"/>
      <c r="F37" s="1"/>
      <c r="G37" s="141">
        <f>IF(Basic3456789101112131415161718192021[[#This Row],[نوع الخدمة]]="مخالفات", 50,
IF(Basic3456789101112131415161718192021[[#This Row],[نوع الخدمة]]="كاش ان",
    IF(F37&lt;=100, 18, IF(F37&lt;=250, 23, IF(F37&lt;=500, 35, IF(F37&lt;=1000, 40, F37*0.04)))),
IF(Basic3456789101112131415161718192021[[#This Row],[نوع الخدمة]]="كاش اوت",
    IF(F37&lt;=100, 15, IF(F37&lt;=250, 20, IF(F37&lt;=500, 30, IF(F37&lt;=1000, 35, F37*0.035)))),
0)))</f>
        <v>0</v>
      </c>
      <c r="H37" s="163">
        <f>IF(I37="مخالفات",50,Basic3456789101112131415161718192021[[#This Row],[قيمة الرسوم / العموله]]+Basic3456789101112131415161718192021[[#This Row],[قيمة الشحنه]])</f>
        <v>0</v>
      </c>
      <c r="I37" s="90"/>
      <c r="J37" s="142" t="str">
        <f t="shared" si="0"/>
        <v>12.5.2026</v>
      </c>
      <c r="L37" s="153">
        <v>26</v>
      </c>
      <c r="M37" s="92"/>
    </row>
    <row r="38" spans="1:13" ht="21.6" x14ac:dyDescent="0.65">
      <c r="A38" s="195"/>
      <c r="B38" s="140">
        <v>35</v>
      </c>
      <c r="C38" s="2"/>
      <c r="D38" s="1"/>
      <c r="E38" s="3"/>
      <c r="F38" s="1"/>
      <c r="G38" s="141">
        <f>IF(Basic3456789101112131415161718192021[[#This Row],[نوع الخدمة]]="مخالفات", 50,
IF(Basic3456789101112131415161718192021[[#This Row],[نوع الخدمة]]="كاش ان",
    IF(F38&lt;=100, 18, IF(F38&lt;=250, 23, IF(F38&lt;=500, 35, IF(F38&lt;=1000, 40, F38*0.04)))),
IF(Basic3456789101112131415161718192021[[#This Row],[نوع الخدمة]]="كاش اوت",
    IF(F38&lt;=100, 15, IF(F38&lt;=250, 20, IF(F38&lt;=500, 30, IF(F38&lt;=1000, 35, F38*0.035)))),
0)))</f>
        <v>0</v>
      </c>
      <c r="H38" s="163">
        <f>IF(I38="مخالفات",50,Basic3456789101112131415161718192021[[#This Row],[قيمة الرسوم / العموله]]+Basic3456789101112131415161718192021[[#This Row],[قيمة الشحنه]])</f>
        <v>0</v>
      </c>
      <c r="I38" s="90"/>
      <c r="J38" s="142" t="str">
        <f t="shared" si="0"/>
        <v>12.5.2026</v>
      </c>
      <c r="L38" s="153">
        <v>27</v>
      </c>
      <c r="M38" s="92"/>
    </row>
    <row r="39" spans="1:13" ht="21.6" x14ac:dyDescent="0.65">
      <c r="A39" s="195"/>
      <c r="B39" s="140">
        <v>36</v>
      </c>
      <c r="C39" s="2"/>
      <c r="D39" s="1"/>
      <c r="E39" s="3"/>
      <c r="F39" s="1"/>
      <c r="G39" s="141">
        <f>IF(Basic3456789101112131415161718192021[[#This Row],[نوع الخدمة]]="مخالفات", 50,
IF(Basic3456789101112131415161718192021[[#This Row],[نوع الخدمة]]="كاش ان",
    IF(F39&lt;=100, 18, IF(F39&lt;=250, 23, IF(F39&lt;=500, 35, IF(F39&lt;=1000, 40, F39*0.04)))),
IF(Basic3456789101112131415161718192021[[#This Row],[نوع الخدمة]]="كاش اوت",
    IF(F39&lt;=100, 15, IF(F39&lt;=250, 20, IF(F39&lt;=500, 30, IF(F39&lt;=1000, 35, F39*0.035)))),
0)))</f>
        <v>0</v>
      </c>
      <c r="H39" s="163">
        <f>IF(I39="مخالفات",50,Basic3456789101112131415161718192021[[#This Row],[قيمة الرسوم / العموله]]+Basic3456789101112131415161718192021[[#This Row],[قيمة الشحنه]])</f>
        <v>0</v>
      </c>
      <c r="I39" s="90"/>
      <c r="J39" s="142" t="str">
        <f t="shared" si="0"/>
        <v>12.5.2026</v>
      </c>
      <c r="L39" s="153">
        <v>28</v>
      </c>
      <c r="M39" s="92"/>
    </row>
    <row r="40" spans="1:13" ht="21.6" x14ac:dyDescent="0.65">
      <c r="A40" s="195"/>
      <c r="B40" s="140">
        <v>37</v>
      </c>
      <c r="C40" s="2"/>
      <c r="D40" s="1"/>
      <c r="E40" s="3"/>
      <c r="F40" s="1"/>
      <c r="G40" s="141">
        <f>IF(Basic3456789101112131415161718192021[[#This Row],[نوع الخدمة]]="مخالفات", 50,
IF(Basic3456789101112131415161718192021[[#This Row],[نوع الخدمة]]="كاش ان",
    IF(F40&lt;=100, 18, IF(F40&lt;=250, 23, IF(F40&lt;=500, 35, IF(F40&lt;=1000, 40, F40*0.04)))),
IF(Basic3456789101112131415161718192021[[#This Row],[نوع الخدمة]]="كاش اوت",
    IF(F40&lt;=100, 15, IF(F40&lt;=250, 20, IF(F40&lt;=500, 30, IF(F40&lt;=1000, 35, F40*0.035)))),
0)))</f>
        <v>0</v>
      </c>
      <c r="H40" s="163">
        <f>IF(I40="مخالفات",50,Basic3456789101112131415161718192021[[#This Row],[قيمة الرسوم / العموله]]+Basic3456789101112131415161718192021[[#This Row],[قيمة الشحنه]])</f>
        <v>0</v>
      </c>
      <c r="I40" s="90"/>
      <c r="J40" s="142" t="str">
        <f t="shared" si="0"/>
        <v>12.5.2026</v>
      </c>
      <c r="L40" s="153">
        <v>29</v>
      </c>
      <c r="M40" s="92"/>
    </row>
    <row r="41" spans="1:13" ht="21.6" x14ac:dyDescent="0.65">
      <c r="A41" s="195"/>
      <c r="B41" s="144">
        <v>38</v>
      </c>
      <c r="C41" s="2"/>
      <c r="D41" s="1"/>
      <c r="E41" s="3"/>
      <c r="F41" s="1"/>
      <c r="G41" s="141">
        <f>IF(Basic3456789101112131415161718192021[[#This Row],[نوع الخدمة]]="مخالفات", 50,
IF(Basic3456789101112131415161718192021[[#This Row],[نوع الخدمة]]="كاش ان",
    IF(F41&lt;=100, 18, IF(F41&lt;=250, 23, IF(F41&lt;=500, 35, IF(F41&lt;=1000, 40, F41*0.04)))),
IF(Basic3456789101112131415161718192021[[#This Row],[نوع الخدمة]]="كاش اوت",
    IF(F41&lt;=100, 15, IF(F41&lt;=250, 20, IF(F41&lt;=500, 30, IF(F41&lt;=1000, 35, F41*0.035)))),
0)))</f>
        <v>0</v>
      </c>
      <c r="H41" s="163">
        <f>IF(I41="مخالفات",50,Basic3456789101112131415161718192021[[#This Row],[قيمة الرسوم / العموله]]+Basic3456789101112131415161718192021[[#This Row],[قيمة الشحنه]])</f>
        <v>0</v>
      </c>
      <c r="I41" s="90"/>
      <c r="J41" s="142" t="str">
        <f t="shared" si="0"/>
        <v>12.5.2026</v>
      </c>
      <c r="L41" s="153">
        <v>30</v>
      </c>
      <c r="M41" s="92"/>
    </row>
    <row r="42" spans="1:13" ht="21.6" x14ac:dyDescent="0.65">
      <c r="A42" s="195"/>
      <c r="B42" s="140">
        <v>39</v>
      </c>
      <c r="C42" s="2"/>
      <c r="D42" s="1"/>
      <c r="E42" s="3"/>
      <c r="F42" s="1"/>
      <c r="G42" s="141">
        <f>IF(Basic3456789101112131415161718192021[[#This Row],[نوع الخدمة]]="مخالفات", 50,
IF(Basic3456789101112131415161718192021[[#This Row],[نوع الخدمة]]="كاش ان",
    IF(F42&lt;=100, 18, IF(F42&lt;=250, 23, IF(F42&lt;=500, 35, IF(F42&lt;=1000, 40, F42*0.04)))),
IF(Basic3456789101112131415161718192021[[#This Row],[نوع الخدمة]]="كاش اوت",
    IF(F42&lt;=100, 15, IF(F42&lt;=250, 20, IF(F42&lt;=500, 30, IF(F42&lt;=1000, 35, F42*0.035)))),
0)))</f>
        <v>0</v>
      </c>
      <c r="H42" s="163">
        <f>IF(I42="مخالفات",50,Basic3456789101112131415161718192021[[#This Row],[قيمة الرسوم / العموله]]+Basic3456789101112131415161718192021[[#This Row],[قيمة الشحنه]])</f>
        <v>0</v>
      </c>
      <c r="I42" s="90"/>
      <c r="J42" s="142" t="str">
        <f t="shared" si="0"/>
        <v>12.5.2026</v>
      </c>
      <c r="L42" s="153">
        <v>31</v>
      </c>
      <c r="M42" s="92"/>
    </row>
    <row r="43" spans="1:13" ht="21.6" x14ac:dyDescent="0.65">
      <c r="A43" s="195"/>
      <c r="B43" s="140">
        <v>40</v>
      </c>
      <c r="C43" s="2"/>
      <c r="D43" s="1"/>
      <c r="E43" s="3"/>
      <c r="F43" s="1"/>
      <c r="G43" s="141">
        <f>IF(Basic3456789101112131415161718192021[[#This Row],[نوع الخدمة]]="مخالفات", 50,
IF(Basic3456789101112131415161718192021[[#This Row],[نوع الخدمة]]="كاش ان",
    IF(F43&lt;=100, 18, IF(F43&lt;=250, 23, IF(F43&lt;=500, 35, IF(F43&lt;=1000, 40, F43*0.04)))),
IF(Basic3456789101112131415161718192021[[#This Row],[نوع الخدمة]]="كاش اوت",
    IF(F43&lt;=100, 15, IF(F43&lt;=250, 20, IF(F43&lt;=500, 30, IF(F43&lt;=1000, 35, F43*0.035)))),
0)))</f>
        <v>0</v>
      </c>
      <c r="H43" s="163">
        <f>IF(I43="مخالفات",50,Basic3456789101112131415161718192021[[#This Row],[قيمة الرسوم / العموله]]+Basic3456789101112131415161718192021[[#This Row],[قيمة الشحنه]])</f>
        <v>0</v>
      </c>
      <c r="I43" s="90"/>
      <c r="J43" s="142" t="str">
        <f t="shared" si="0"/>
        <v>12.5.2026</v>
      </c>
      <c r="L43" s="153">
        <v>32</v>
      </c>
      <c r="M43" s="92"/>
    </row>
    <row r="44" spans="1:13" ht="21.6" x14ac:dyDescent="0.65">
      <c r="A44" s="195"/>
      <c r="B44" s="140">
        <v>41</v>
      </c>
      <c r="C44" s="2"/>
      <c r="D44" s="1"/>
      <c r="E44" s="3"/>
      <c r="F44" s="1"/>
      <c r="G44" s="141">
        <f>IF(Basic3456789101112131415161718192021[[#This Row],[نوع الخدمة]]="مخالفات", 50,
IF(Basic3456789101112131415161718192021[[#This Row],[نوع الخدمة]]="كاش ان",
    IF(F44&lt;=100, 18, IF(F44&lt;=250, 23, IF(F44&lt;=500, 35, IF(F44&lt;=1000, 40, F44*0.04)))),
IF(Basic3456789101112131415161718192021[[#This Row],[نوع الخدمة]]="كاش اوت",
    IF(F44&lt;=100, 15, IF(F44&lt;=250, 20, IF(F44&lt;=500, 30, IF(F44&lt;=1000, 35, F44*0.035)))),
0)))</f>
        <v>0</v>
      </c>
      <c r="H44" s="163">
        <f>IF(I44="مخالفات",50,Basic3456789101112131415161718192021[[#This Row],[قيمة الرسوم / العموله]]+Basic3456789101112131415161718192021[[#This Row],[قيمة الشحنه]])</f>
        <v>0</v>
      </c>
      <c r="I44" s="90"/>
      <c r="J44" s="142" t="str">
        <f t="shared" si="0"/>
        <v>12.5.2026</v>
      </c>
      <c r="L44" s="153">
        <v>33</v>
      </c>
      <c r="M44" s="92"/>
    </row>
    <row r="45" spans="1:13" ht="21.6" x14ac:dyDescent="0.65">
      <c r="A45" s="195"/>
      <c r="B45" s="144">
        <v>42</v>
      </c>
      <c r="C45" s="2"/>
      <c r="D45" s="1"/>
      <c r="E45" s="3"/>
      <c r="F45" s="1"/>
      <c r="G45" s="141">
        <f>IF(Basic3456789101112131415161718192021[[#This Row],[نوع الخدمة]]="مخالفات", 50,
IF(Basic3456789101112131415161718192021[[#This Row],[نوع الخدمة]]="كاش ان",
    IF(F45&lt;=100, 18, IF(F45&lt;=250, 23, IF(F45&lt;=500, 35, IF(F45&lt;=1000, 40, F45*0.04)))),
IF(Basic3456789101112131415161718192021[[#This Row],[نوع الخدمة]]="كاش اوت",
    IF(F45&lt;=100, 15, IF(F45&lt;=250, 20, IF(F45&lt;=500, 30, IF(F45&lt;=1000, 35, F45*0.035)))),
0)))</f>
        <v>0</v>
      </c>
      <c r="H45" s="163">
        <f>IF(I45="مخالفات",50,Basic3456789101112131415161718192021[[#This Row],[قيمة الرسوم / العموله]]+Basic3456789101112131415161718192021[[#This Row],[قيمة الشحنه]])</f>
        <v>0</v>
      </c>
      <c r="I45" s="90"/>
      <c r="J45" s="142" t="str">
        <f t="shared" si="0"/>
        <v>12.5.2026</v>
      </c>
      <c r="L45" s="153">
        <v>34</v>
      </c>
      <c r="M45" s="92"/>
    </row>
    <row r="46" spans="1:13" ht="21.6" x14ac:dyDescent="0.65">
      <c r="A46" s="195"/>
      <c r="B46" s="140">
        <v>43</v>
      </c>
      <c r="C46" s="2"/>
      <c r="D46" s="1"/>
      <c r="E46" s="3"/>
      <c r="F46" s="1"/>
      <c r="G46" s="141">
        <f>IF(Basic3456789101112131415161718192021[[#This Row],[نوع الخدمة]]="مخالفات", 50,
IF(Basic3456789101112131415161718192021[[#This Row],[نوع الخدمة]]="كاش ان",
    IF(F46&lt;=100, 18, IF(F46&lt;=250, 23, IF(F46&lt;=500, 35, IF(F46&lt;=1000, 40, F46*0.04)))),
IF(Basic3456789101112131415161718192021[[#This Row],[نوع الخدمة]]="كاش اوت",
    IF(F46&lt;=100, 15, IF(F46&lt;=250, 20, IF(F46&lt;=500, 30, IF(F46&lt;=1000, 35, F46*0.035)))),
0)))</f>
        <v>0</v>
      </c>
      <c r="H46" s="163">
        <f>IF(I46="مخالفات",50,Basic3456789101112131415161718192021[[#This Row],[قيمة الرسوم / العموله]]+Basic3456789101112131415161718192021[[#This Row],[قيمة الشحنه]])</f>
        <v>0</v>
      </c>
      <c r="I46" s="90"/>
      <c r="J46" s="142" t="str">
        <f t="shared" si="0"/>
        <v>12.5.2026</v>
      </c>
      <c r="L46" s="153">
        <v>35</v>
      </c>
      <c r="M46" s="92"/>
    </row>
    <row r="47" spans="1:13" ht="21.6" x14ac:dyDescent="0.65">
      <c r="A47" s="195"/>
      <c r="B47" s="140">
        <v>44</v>
      </c>
      <c r="C47" s="2"/>
      <c r="D47" s="1"/>
      <c r="E47" s="3"/>
      <c r="F47" s="1"/>
      <c r="G47" s="141">
        <f>IF(Basic3456789101112131415161718192021[[#This Row],[نوع الخدمة]]="مخالفات", 50,
IF(Basic3456789101112131415161718192021[[#This Row],[نوع الخدمة]]="كاش ان",
    IF(F47&lt;=100, 18, IF(F47&lt;=250, 23, IF(F47&lt;=500, 35, IF(F47&lt;=1000, 40, F47*0.04)))),
IF(Basic3456789101112131415161718192021[[#This Row],[نوع الخدمة]]="كاش اوت",
    IF(F47&lt;=100, 15, IF(F47&lt;=250, 20, IF(F47&lt;=500, 30, IF(F47&lt;=1000, 35, F47*0.035)))),
0)))</f>
        <v>0</v>
      </c>
      <c r="H47" s="163">
        <f>IF(I47="مخالفات",50,Basic3456789101112131415161718192021[[#This Row],[قيمة الرسوم / العموله]]+Basic3456789101112131415161718192021[[#This Row],[قيمة الشحنه]])</f>
        <v>0</v>
      </c>
      <c r="I47" s="90"/>
      <c r="J47" s="142" t="str">
        <f t="shared" si="0"/>
        <v>12.5.2026</v>
      </c>
      <c r="L47" s="153">
        <v>36</v>
      </c>
      <c r="M47" s="92"/>
    </row>
    <row r="48" spans="1:13" ht="21.6" x14ac:dyDescent="0.65">
      <c r="A48" s="195"/>
      <c r="B48" s="140">
        <v>45</v>
      </c>
      <c r="C48" s="2"/>
      <c r="D48" s="1"/>
      <c r="E48" s="3"/>
      <c r="F48" s="1"/>
      <c r="G48" s="141">
        <f>IF(Basic3456789101112131415161718192021[[#This Row],[نوع الخدمة]]="مخالفات", 50,
IF(Basic3456789101112131415161718192021[[#This Row],[نوع الخدمة]]="كاش ان",
    IF(F48&lt;=100, 18, IF(F48&lt;=250, 23, IF(F48&lt;=500, 35, IF(F48&lt;=1000, 40, F48*0.04)))),
IF(Basic3456789101112131415161718192021[[#This Row],[نوع الخدمة]]="كاش اوت",
    IF(F48&lt;=100, 15, IF(F48&lt;=250, 20, IF(F48&lt;=500, 30, IF(F48&lt;=1000, 35, F48*0.035)))),
0)))</f>
        <v>0</v>
      </c>
      <c r="H48" s="163">
        <f>IF(I48="مخالفات",50,Basic3456789101112131415161718192021[[#This Row],[قيمة الرسوم / العموله]]+Basic3456789101112131415161718192021[[#This Row],[قيمة الشحنه]])</f>
        <v>0</v>
      </c>
      <c r="I48" s="90"/>
      <c r="J48" s="142" t="str">
        <f t="shared" si="0"/>
        <v>12.5.2026</v>
      </c>
      <c r="L48" s="153">
        <v>37</v>
      </c>
      <c r="M48" s="92"/>
    </row>
    <row r="49" spans="1:13" ht="21.6" x14ac:dyDescent="0.65">
      <c r="A49" s="195"/>
      <c r="B49" s="144">
        <v>46</v>
      </c>
      <c r="C49" s="2"/>
      <c r="D49" s="1"/>
      <c r="E49" s="3"/>
      <c r="F49" s="1"/>
      <c r="G49" s="141">
        <f>IF(Basic3456789101112131415161718192021[[#This Row],[نوع الخدمة]]="مخالفات", 50,
IF(Basic3456789101112131415161718192021[[#This Row],[نوع الخدمة]]="كاش ان",
    IF(F49&lt;=100, 18, IF(F49&lt;=250, 23, IF(F49&lt;=500, 35, IF(F49&lt;=1000, 40, F49*0.04)))),
IF(Basic3456789101112131415161718192021[[#This Row],[نوع الخدمة]]="كاش اوت",
    IF(F49&lt;=100, 15, IF(F49&lt;=250, 20, IF(F49&lt;=500, 30, IF(F49&lt;=1000, 35, F49*0.035)))),
0)))</f>
        <v>0</v>
      </c>
      <c r="H49" s="163">
        <f>IF(I49="مخالفات",50,Basic3456789101112131415161718192021[[#This Row],[قيمة الرسوم / العموله]]+Basic3456789101112131415161718192021[[#This Row],[قيمة الشحنه]])</f>
        <v>0</v>
      </c>
      <c r="I49" s="90"/>
      <c r="J49" s="142" t="str">
        <f t="shared" si="0"/>
        <v>12.5.2026</v>
      </c>
      <c r="L49" s="153">
        <v>38</v>
      </c>
      <c r="M49" s="92"/>
    </row>
    <row r="50" spans="1:13" ht="21.6" x14ac:dyDescent="0.65">
      <c r="A50" s="195"/>
      <c r="B50" s="140">
        <v>47</v>
      </c>
      <c r="C50" s="2"/>
      <c r="D50" s="1"/>
      <c r="E50" s="3"/>
      <c r="F50" s="1"/>
      <c r="G50" s="141">
        <f>IF(Basic3456789101112131415161718192021[[#This Row],[نوع الخدمة]]="مخالفات", 50,
IF(Basic3456789101112131415161718192021[[#This Row],[نوع الخدمة]]="كاش ان",
    IF(F50&lt;=100, 18, IF(F50&lt;=250, 23, IF(F50&lt;=500, 35, IF(F50&lt;=1000, 40, F50*0.04)))),
IF(Basic3456789101112131415161718192021[[#This Row],[نوع الخدمة]]="كاش اوت",
    IF(F50&lt;=100, 15, IF(F50&lt;=250, 20, IF(F50&lt;=500, 30, IF(F50&lt;=1000, 35, F50*0.035)))),
0)))</f>
        <v>0</v>
      </c>
      <c r="H50" s="163">
        <f>IF(I50="مخالفات",50,Basic3456789101112131415161718192021[[#This Row],[قيمة الرسوم / العموله]]+Basic3456789101112131415161718192021[[#This Row],[قيمة الشحنه]])</f>
        <v>0</v>
      </c>
      <c r="I50" s="90"/>
      <c r="J50" s="142" t="str">
        <f t="shared" si="0"/>
        <v>12.5.2026</v>
      </c>
      <c r="L50" s="153">
        <v>39</v>
      </c>
      <c r="M50" s="92"/>
    </row>
    <row r="51" spans="1:13" ht="21.6" x14ac:dyDescent="0.65">
      <c r="A51" s="195"/>
      <c r="B51" s="140">
        <v>48</v>
      </c>
      <c r="C51" s="2"/>
      <c r="D51" s="1"/>
      <c r="E51" s="3"/>
      <c r="F51" s="1"/>
      <c r="G51" s="141">
        <f>IF(Basic3456789101112131415161718192021[[#This Row],[نوع الخدمة]]="مخالفات", 50,
IF(Basic3456789101112131415161718192021[[#This Row],[نوع الخدمة]]="كاش ان",
    IF(F51&lt;=100, 18, IF(F51&lt;=250, 23, IF(F51&lt;=500, 35, IF(F51&lt;=1000, 40, F51*0.04)))),
IF(Basic3456789101112131415161718192021[[#This Row],[نوع الخدمة]]="كاش اوت",
    IF(F51&lt;=100, 15, IF(F51&lt;=250, 20, IF(F51&lt;=500, 30, IF(F51&lt;=1000, 35, F51*0.035)))),
0)))</f>
        <v>0</v>
      </c>
      <c r="H51" s="163">
        <f>IF(I51="مخالفات",50,Basic3456789101112131415161718192021[[#This Row],[قيمة الرسوم / العموله]]+Basic3456789101112131415161718192021[[#This Row],[قيمة الشحنه]])</f>
        <v>0</v>
      </c>
      <c r="I51" s="90"/>
      <c r="J51" s="142" t="str">
        <f t="shared" si="0"/>
        <v>12.5.2026</v>
      </c>
      <c r="L51" s="153">
        <v>40</v>
      </c>
      <c r="M51" s="92"/>
    </row>
    <row r="52" spans="1:13" ht="21.6" x14ac:dyDescent="0.65">
      <c r="A52" s="195"/>
      <c r="B52" s="140">
        <v>49</v>
      </c>
      <c r="C52" s="2"/>
      <c r="D52" s="1"/>
      <c r="E52" s="3"/>
      <c r="F52" s="1"/>
      <c r="G52" s="141">
        <f>IF(Basic3456789101112131415161718192021[[#This Row],[نوع الخدمة]]="مخالفات", 50,
IF(Basic3456789101112131415161718192021[[#This Row],[نوع الخدمة]]="كاش ان",
    IF(F52&lt;=100, 18, IF(F52&lt;=250, 23, IF(F52&lt;=500, 35, IF(F52&lt;=1000, 40, F52*0.04)))),
IF(Basic3456789101112131415161718192021[[#This Row],[نوع الخدمة]]="كاش اوت",
    IF(F52&lt;=100, 15, IF(F52&lt;=250, 20, IF(F52&lt;=500, 30, IF(F52&lt;=1000, 35, F52*0.035)))),
0)))</f>
        <v>0</v>
      </c>
      <c r="H52" s="163">
        <f>IF(I52="مخالفات",50,Basic3456789101112131415161718192021[[#This Row],[قيمة الرسوم / العموله]]+Basic3456789101112131415161718192021[[#This Row],[قيمة الشحنه]])</f>
        <v>0</v>
      </c>
      <c r="I52" s="90"/>
      <c r="J52" s="142" t="str">
        <f t="shared" si="0"/>
        <v>12.5.2026</v>
      </c>
      <c r="L52" s="153">
        <v>41</v>
      </c>
      <c r="M52" s="92"/>
    </row>
    <row r="53" spans="1:13" ht="21.6" x14ac:dyDescent="0.65">
      <c r="A53" s="195"/>
      <c r="B53" s="144">
        <v>50</v>
      </c>
      <c r="C53" s="2"/>
      <c r="D53" s="1"/>
      <c r="E53" s="3"/>
      <c r="F53" s="1"/>
      <c r="G53" s="141">
        <f>IF(Basic3456789101112131415161718192021[[#This Row],[نوع الخدمة]]="مخالفات", 50,
IF(Basic3456789101112131415161718192021[[#This Row],[نوع الخدمة]]="كاش ان",
    IF(F53&lt;=100, 18, IF(F53&lt;=250, 23, IF(F53&lt;=500, 35, IF(F53&lt;=1000, 40, F53*0.04)))),
IF(Basic3456789101112131415161718192021[[#This Row],[نوع الخدمة]]="كاش اوت",
    IF(F53&lt;=100, 15, IF(F53&lt;=250, 20, IF(F53&lt;=500, 30, IF(F53&lt;=1000, 35, F53*0.035)))),
0)))</f>
        <v>0</v>
      </c>
      <c r="H53" s="163">
        <f>IF(I53="مخالفات",50,Basic3456789101112131415161718192021[[#This Row],[قيمة الرسوم / العموله]]+Basic3456789101112131415161718192021[[#This Row],[قيمة الشحنه]])</f>
        <v>0</v>
      </c>
      <c r="I53" s="90"/>
      <c r="J53" s="142" t="str">
        <f t="shared" si="0"/>
        <v>12.5.2026</v>
      </c>
      <c r="L53" s="153">
        <v>42</v>
      </c>
      <c r="M53" s="92"/>
    </row>
    <row r="54" spans="1:13" ht="21.6" x14ac:dyDescent="0.65">
      <c r="A54" s="195"/>
      <c r="B54" s="140">
        <v>51</v>
      </c>
      <c r="C54" s="2"/>
      <c r="D54" s="1"/>
      <c r="E54" s="3"/>
      <c r="F54" s="1"/>
      <c r="G54" s="141">
        <f>IF(Basic3456789101112131415161718192021[[#This Row],[نوع الخدمة]]="مخالفات", 50,
IF(Basic3456789101112131415161718192021[[#This Row],[نوع الخدمة]]="كاش ان",
    IF(F54&lt;=100, 18, IF(F54&lt;=250, 23, IF(F54&lt;=500, 35, IF(F54&lt;=1000, 40, F54*0.04)))),
IF(Basic3456789101112131415161718192021[[#This Row],[نوع الخدمة]]="كاش اوت",
    IF(F54&lt;=100, 15, IF(F54&lt;=250, 20, IF(F54&lt;=500, 30, IF(F54&lt;=1000, 35, F54*0.035)))),
0)))</f>
        <v>0</v>
      </c>
      <c r="H54" s="163">
        <f>IF(I54="مخالفات",50,Basic3456789101112131415161718192021[[#This Row],[قيمة الرسوم / العموله]]+Basic3456789101112131415161718192021[[#This Row],[قيمة الشحنه]])</f>
        <v>0</v>
      </c>
      <c r="I54" s="90"/>
      <c r="J54" s="142" t="str">
        <f t="shared" si="0"/>
        <v>12.5.2026</v>
      </c>
      <c r="L54" s="153">
        <v>43</v>
      </c>
      <c r="M54" s="92"/>
    </row>
    <row r="55" spans="1:13" ht="21.6" x14ac:dyDescent="0.65">
      <c r="A55" s="195"/>
      <c r="B55" s="140">
        <v>52</v>
      </c>
      <c r="C55" s="2"/>
      <c r="D55" s="1"/>
      <c r="E55" s="3"/>
      <c r="F55" s="1"/>
      <c r="G55" s="141">
        <f>IF(Basic3456789101112131415161718192021[[#This Row],[نوع الخدمة]]="مخالفات", 50,
IF(Basic3456789101112131415161718192021[[#This Row],[نوع الخدمة]]="كاش ان",
    IF(F55&lt;=100, 18, IF(F55&lt;=250, 23, IF(F55&lt;=500, 35, IF(F55&lt;=1000, 40, F55*0.04)))),
IF(Basic3456789101112131415161718192021[[#This Row],[نوع الخدمة]]="كاش اوت",
    IF(F55&lt;=100, 15, IF(F55&lt;=250, 20, IF(F55&lt;=500, 30, IF(F55&lt;=1000, 35, F55*0.035)))),
0)))</f>
        <v>0</v>
      </c>
      <c r="H55" s="163">
        <f>IF(I55="مخالفات",50,Basic3456789101112131415161718192021[[#This Row],[قيمة الرسوم / العموله]]+Basic3456789101112131415161718192021[[#This Row],[قيمة الشحنه]])</f>
        <v>0</v>
      </c>
      <c r="I55" s="90"/>
      <c r="J55" s="142" t="str">
        <f t="shared" si="0"/>
        <v>12.5.2026</v>
      </c>
      <c r="L55" s="153">
        <v>44</v>
      </c>
      <c r="M55" s="92"/>
    </row>
    <row r="56" spans="1:13" ht="21.6" x14ac:dyDescent="0.65">
      <c r="A56" s="195"/>
      <c r="B56" s="140">
        <v>53</v>
      </c>
      <c r="C56" s="2"/>
      <c r="D56" s="1"/>
      <c r="E56" s="3"/>
      <c r="F56" s="1"/>
      <c r="G56" s="141">
        <f>IF(Basic3456789101112131415161718192021[[#This Row],[نوع الخدمة]]="مخالفات", 50,
IF(Basic3456789101112131415161718192021[[#This Row],[نوع الخدمة]]="كاش ان",
    IF(F56&lt;=100, 18, IF(F56&lt;=250, 23, IF(F56&lt;=500, 35, IF(F56&lt;=1000, 40, F56*0.04)))),
IF(Basic3456789101112131415161718192021[[#This Row],[نوع الخدمة]]="كاش اوت",
    IF(F56&lt;=100, 15, IF(F56&lt;=250, 20, IF(F56&lt;=500, 30, IF(F56&lt;=1000, 35, F56*0.035)))),
0)))</f>
        <v>0</v>
      </c>
      <c r="H56" s="163">
        <f>IF(I56="مخالفات",50,Basic3456789101112131415161718192021[[#This Row],[قيمة الرسوم / العموله]]+Basic3456789101112131415161718192021[[#This Row],[قيمة الشحنه]])</f>
        <v>0</v>
      </c>
      <c r="I56" s="90"/>
      <c r="J56" s="142" t="str">
        <f t="shared" si="0"/>
        <v>12.5.2026</v>
      </c>
      <c r="L56" s="153">
        <v>45</v>
      </c>
      <c r="M56" s="92"/>
    </row>
    <row r="57" spans="1:13" ht="21.6" x14ac:dyDescent="0.65">
      <c r="A57" s="195"/>
      <c r="B57" s="144">
        <v>54</v>
      </c>
      <c r="C57" s="2"/>
      <c r="D57" s="1"/>
      <c r="E57" s="3"/>
      <c r="F57" s="1"/>
      <c r="G57" s="141">
        <f>IF(Basic3456789101112131415161718192021[[#This Row],[نوع الخدمة]]="مخالفات", 50,
IF(Basic3456789101112131415161718192021[[#This Row],[نوع الخدمة]]="كاش ان",
    IF(F57&lt;=100, 18, IF(F57&lt;=250, 23, IF(F57&lt;=500, 35, IF(F57&lt;=1000, 40, F57*0.04)))),
IF(Basic3456789101112131415161718192021[[#This Row],[نوع الخدمة]]="كاش اوت",
    IF(F57&lt;=100, 15, IF(F57&lt;=250, 20, IF(F57&lt;=500, 30, IF(F57&lt;=1000, 35, F57*0.035)))),
0)))</f>
        <v>0</v>
      </c>
      <c r="H57" s="163">
        <f>IF(I57="مخالفات",50,Basic3456789101112131415161718192021[[#This Row],[قيمة الرسوم / العموله]]+Basic3456789101112131415161718192021[[#This Row],[قيمة الشحنه]])</f>
        <v>0</v>
      </c>
      <c r="I57" s="90"/>
      <c r="J57" s="142" t="str">
        <f t="shared" si="0"/>
        <v>12.5.2026</v>
      </c>
      <c r="L57" s="153">
        <v>46</v>
      </c>
      <c r="M57" s="92"/>
    </row>
    <row r="58" spans="1:13" ht="21.6" x14ac:dyDescent="0.65">
      <c r="A58" s="195"/>
      <c r="B58" s="140">
        <v>55</v>
      </c>
      <c r="C58" s="2"/>
      <c r="D58" s="1"/>
      <c r="E58" s="3"/>
      <c r="F58" s="1"/>
      <c r="G58" s="141">
        <f>IF(Basic3456789101112131415161718192021[[#This Row],[نوع الخدمة]]="مخالفات", 50,
IF(Basic3456789101112131415161718192021[[#This Row],[نوع الخدمة]]="كاش ان",
    IF(F58&lt;=100, 18, IF(F58&lt;=250, 23, IF(F58&lt;=500, 35, IF(F58&lt;=1000, 40, F58*0.04)))),
IF(Basic3456789101112131415161718192021[[#This Row],[نوع الخدمة]]="كاش اوت",
    IF(F58&lt;=100, 15, IF(F58&lt;=250, 20, IF(F58&lt;=500, 30, IF(F58&lt;=1000, 35, F58*0.035)))),
0)))</f>
        <v>0</v>
      </c>
      <c r="H58" s="163">
        <f>IF(I58="مخالفات",50,Basic3456789101112131415161718192021[[#This Row],[قيمة الرسوم / العموله]]+Basic3456789101112131415161718192021[[#This Row],[قيمة الشحنه]])</f>
        <v>0</v>
      </c>
      <c r="I58" s="90"/>
      <c r="J58" s="142" t="str">
        <f t="shared" si="0"/>
        <v>12.5.2026</v>
      </c>
      <c r="L58" s="153">
        <v>47</v>
      </c>
      <c r="M58" s="92"/>
    </row>
    <row r="59" spans="1:13" ht="21.6" x14ac:dyDescent="0.65">
      <c r="A59" s="195"/>
      <c r="B59" s="140">
        <v>56</v>
      </c>
      <c r="C59" s="2"/>
      <c r="D59" s="1"/>
      <c r="E59" s="3"/>
      <c r="F59" s="1"/>
      <c r="G59" s="141">
        <f>IF(Basic3456789101112131415161718192021[[#This Row],[نوع الخدمة]]="مخالفات", 50,
IF(Basic3456789101112131415161718192021[[#This Row],[نوع الخدمة]]="كاش ان",
    IF(F59&lt;=100, 18, IF(F59&lt;=250, 23, IF(F59&lt;=500, 35, IF(F59&lt;=1000, 40, F59*0.04)))),
IF(Basic3456789101112131415161718192021[[#This Row],[نوع الخدمة]]="كاش اوت",
    IF(F59&lt;=100, 15, IF(F59&lt;=250, 20, IF(F59&lt;=500, 30, IF(F59&lt;=1000, 35, F59*0.035)))),
0)))</f>
        <v>0</v>
      </c>
      <c r="H59" s="163">
        <f>IF(I59="مخالفات",50,Basic3456789101112131415161718192021[[#This Row],[قيمة الرسوم / العموله]]+Basic3456789101112131415161718192021[[#This Row],[قيمة الشحنه]])</f>
        <v>0</v>
      </c>
      <c r="I59" s="90"/>
      <c r="J59" s="142" t="str">
        <f t="shared" si="0"/>
        <v>12.5.2026</v>
      </c>
      <c r="L59" s="153">
        <v>48</v>
      </c>
      <c r="M59" s="92"/>
    </row>
    <row r="60" spans="1:13" ht="21.6" x14ac:dyDescent="0.65">
      <c r="A60" s="195"/>
      <c r="B60" s="140">
        <v>57</v>
      </c>
      <c r="C60" s="2"/>
      <c r="D60" s="1"/>
      <c r="E60" s="3"/>
      <c r="F60" s="1"/>
      <c r="G60" s="141">
        <f>IF(Basic3456789101112131415161718192021[[#This Row],[نوع الخدمة]]="مخالفات", 50,
IF(Basic3456789101112131415161718192021[[#This Row],[نوع الخدمة]]="كاش ان",
    IF(F60&lt;=100, 18, IF(F60&lt;=250, 23, IF(F60&lt;=500, 35, IF(F60&lt;=1000, 40, F60*0.04)))),
IF(Basic3456789101112131415161718192021[[#This Row],[نوع الخدمة]]="كاش اوت",
    IF(F60&lt;=100, 15, IF(F60&lt;=250, 20, IF(F60&lt;=500, 30, IF(F60&lt;=1000, 35, F60*0.035)))),
0)))</f>
        <v>0</v>
      </c>
      <c r="H60" s="163">
        <f>IF(I60="مخالفات",50,Basic3456789101112131415161718192021[[#This Row],[قيمة الرسوم / العموله]]+Basic3456789101112131415161718192021[[#This Row],[قيمة الشحنه]])</f>
        <v>0</v>
      </c>
      <c r="I60" s="90"/>
      <c r="J60" s="142" t="str">
        <f t="shared" si="0"/>
        <v>12.5.2026</v>
      </c>
      <c r="L60" s="153">
        <v>49</v>
      </c>
      <c r="M60" s="92"/>
    </row>
    <row r="61" spans="1:13" ht="21.6" x14ac:dyDescent="0.65">
      <c r="A61" s="195"/>
      <c r="B61" s="144">
        <v>58</v>
      </c>
      <c r="C61" s="2"/>
      <c r="D61" s="1"/>
      <c r="E61" s="3"/>
      <c r="F61" s="1"/>
      <c r="G61" s="141">
        <f>IF(Basic3456789101112131415161718192021[[#This Row],[نوع الخدمة]]="مخالفات", 50,
IF(Basic3456789101112131415161718192021[[#This Row],[نوع الخدمة]]="كاش ان",
    IF(F61&lt;=100, 18, IF(F61&lt;=250, 23, IF(F61&lt;=500, 35, IF(F61&lt;=1000, 40, F61*0.04)))),
IF(Basic3456789101112131415161718192021[[#This Row],[نوع الخدمة]]="كاش اوت",
    IF(F61&lt;=100, 15, IF(F61&lt;=250, 20, IF(F61&lt;=500, 30, IF(F61&lt;=1000, 35, F61*0.035)))),
0)))</f>
        <v>0</v>
      </c>
      <c r="H61" s="163">
        <f>IF(I61="مخالفات",50,Basic3456789101112131415161718192021[[#This Row],[قيمة الرسوم / العموله]]+Basic3456789101112131415161718192021[[#This Row],[قيمة الشحنه]])</f>
        <v>0</v>
      </c>
      <c r="I61" s="90"/>
      <c r="J61" s="142" t="str">
        <f t="shared" si="0"/>
        <v>12.5.2026</v>
      </c>
      <c r="L61" s="153">
        <v>50</v>
      </c>
      <c r="M61" s="92"/>
    </row>
    <row r="62" spans="1:13" ht="21.6" x14ac:dyDescent="0.65">
      <c r="A62" s="195"/>
      <c r="B62" s="140">
        <v>59</v>
      </c>
      <c r="C62" s="2"/>
      <c r="D62" s="1"/>
      <c r="E62" s="3"/>
      <c r="F62" s="1"/>
      <c r="G62" s="141">
        <f>IF(Basic3456789101112131415161718192021[[#This Row],[نوع الخدمة]]="مخالفات", 50,
IF(Basic3456789101112131415161718192021[[#This Row],[نوع الخدمة]]="كاش ان",
    IF(F62&lt;=100, 18, IF(F62&lt;=250, 23, IF(F62&lt;=500, 35, IF(F62&lt;=1000, 40, F62*0.04)))),
IF(Basic3456789101112131415161718192021[[#This Row],[نوع الخدمة]]="كاش اوت",
    IF(F62&lt;=100, 15, IF(F62&lt;=250, 20, IF(F62&lt;=500, 30, IF(F62&lt;=1000, 35, F62*0.035)))),
0)))</f>
        <v>0</v>
      </c>
      <c r="H62" s="163">
        <f>IF(I62="مخالفات",50,Basic3456789101112131415161718192021[[#This Row],[قيمة الرسوم / العموله]]+Basic3456789101112131415161718192021[[#This Row],[قيمة الشحنه]])</f>
        <v>0</v>
      </c>
      <c r="I62" s="90"/>
      <c r="J62" s="142" t="str">
        <f t="shared" si="0"/>
        <v>12.5.2026</v>
      </c>
      <c r="L62" s="153">
        <v>51</v>
      </c>
      <c r="M62" s="92"/>
    </row>
    <row r="63" spans="1:13" ht="21.6" x14ac:dyDescent="0.65">
      <c r="A63" s="195"/>
      <c r="B63" s="140">
        <v>60</v>
      </c>
      <c r="C63" s="2"/>
      <c r="D63" s="1"/>
      <c r="E63" s="3"/>
      <c r="F63" s="1"/>
      <c r="G63" s="141">
        <f>IF(Basic3456789101112131415161718192021[[#This Row],[نوع الخدمة]]="مخالفات", 50,
IF(Basic3456789101112131415161718192021[[#This Row],[نوع الخدمة]]="كاش ان",
    IF(F63&lt;=100, 18, IF(F63&lt;=250, 23, IF(F63&lt;=500, 35, IF(F63&lt;=1000, 40, F63*0.04)))),
IF(Basic3456789101112131415161718192021[[#This Row],[نوع الخدمة]]="كاش اوت",
    IF(F63&lt;=100, 15, IF(F63&lt;=250, 20, IF(F63&lt;=500, 30, IF(F63&lt;=1000, 35, F63*0.035)))),
0)))</f>
        <v>0</v>
      </c>
      <c r="H63" s="163">
        <f>IF(I63="مخالفات",50,Basic3456789101112131415161718192021[[#This Row],[قيمة الرسوم / العموله]]+Basic3456789101112131415161718192021[[#This Row],[قيمة الشحنه]])</f>
        <v>0</v>
      </c>
      <c r="I63" s="90"/>
      <c r="J63" s="142" t="str">
        <f t="shared" si="0"/>
        <v>12.5.2026</v>
      </c>
      <c r="L63" s="153">
        <v>52</v>
      </c>
      <c r="M63" s="92"/>
    </row>
    <row r="64" spans="1:13" ht="21.6" x14ac:dyDescent="0.65">
      <c r="A64" s="195"/>
      <c r="B64" s="140">
        <v>61</v>
      </c>
      <c r="C64" s="2"/>
      <c r="D64" s="1"/>
      <c r="E64" s="3"/>
      <c r="F64" s="1"/>
      <c r="G64" s="141">
        <f>IF(Basic3456789101112131415161718192021[[#This Row],[نوع الخدمة]]="مخالفات", 50,
IF(Basic3456789101112131415161718192021[[#This Row],[نوع الخدمة]]="كاش ان",
    IF(F64&lt;=100, 18, IF(F64&lt;=250, 23, IF(F64&lt;=500, 35, IF(F64&lt;=1000, 40, F64*0.04)))),
IF(Basic3456789101112131415161718192021[[#This Row],[نوع الخدمة]]="كاش اوت",
    IF(F64&lt;=100, 15, IF(F64&lt;=250, 20, IF(F64&lt;=500, 30, IF(F64&lt;=1000, 35, F64*0.035)))),
0)))</f>
        <v>0</v>
      </c>
      <c r="H64" s="163">
        <f>IF(I64="مخالفات",50,Basic3456789101112131415161718192021[[#This Row],[قيمة الرسوم / العموله]]+Basic3456789101112131415161718192021[[#This Row],[قيمة الشحنه]])</f>
        <v>0</v>
      </c>
      <c r="I64" s="90"/>
      <c r="J64" s="142" t="str">
        <f t="shared" si="0"/>
        <v>12.5.2026</v>
      </c>
      <c r="L64" s="153">
        <v>53</v>
      </c>
      <c r="M64" s="92"/>
    </row>
    <row r="65" spans="1:13" ht="21.6" x14ac:dyDescent="0.65">
      <c r="A65" s="195"/>
      <c r="B65" s="144">
        <v>62</v>
      </c>
      <c r="C65" s="2"/>
      <c r="D65" s="1"/>
      <c r="E65" s="3"/>
      <c r="F65" s="1"/>
      <c r="G65" s="141">
        <f>IF(Basic3456789101112131415161718192021[[#This Row],[نوع الخدمة]]="مخالفات", 50,
IF(Basic3456789101112131415161718192021[[#This Row],[نوع الخدمة]]="كاش ان",
    IF(F65&lt;=100, 18, IF(F65&lt;=250, 23, IF(F65&lt;=500, 35, IF(F65&lt;=1000, 40, F65*0.04)))),
IF(Basic3456789101112131415161718192021[[#This Row],[نوع الخدمة]]="كاش اوت",
    IF(F65&lt;=100, 15, IF(F65&lt;=250, 20, IF(F65&lt;=500, 30, IF(F65&lt;=1000, 35, F65*0.035)))),
0)))</f>
        <v>0</v>
      </c>
      <c r="H65" s="163">
        <f>IF(I65="مخالفات",50,Basic3456789101112131415161718192021[[#This Row],[قيمة الرسوم / العموله]]+Basic3456789101112131415161718192021[[#This Row],[قيمة الشحنه]])</f>
        <v>0</v>
      </c>
      <c r="I65" s="90"/>
      <c r="J65" s="142" t="str">
        <f t="shared" si="0"/>
        <v>12.5.2026</v>
      </c>
      <c r="L65" s="153">
        <v>54</v>
      </c>
      <c r="M65" s="92"/>
    </row>
    <row r="66" spans="1:13" ht="21.6" x14ac:dyDescent="0.65">
      <c r="A66" s="195"/>
      <c r="B66" s="140">
        <v>63</v>
      </c>
      <c r="C66" s="2"/>
      <c r="D66" s="1"/>
      <c r="E66" s="3"/>
      <c r="F66" s="1"/>
      <c r="G66" s="141">
        <f>IF(Basic3456789101112131415161718192021[[#This Row],[نوع الخدمة]]="مخالفات", 50,
IF(Basic3456789101112131415161718192021[[#This Row],[نوع الخدمة]]="كاش ان",
    IF(F66&lt;=100, 18, IF(F66&lt;=250, 23, IF(F66&lt;=500, 35, IF(F66&lt;=1000, 40, F66*0.04)))),
IF(Basic3456789101112131415161718192021[[#This Row],[نوع الخدمة]]="كاش اوت",
    IF(F66&lt;=100, 15, IF(F66&lt;=250, 20, IF(F66&lt;=500, 30, IF(F66&lt;=1000, 35, F66*0.035)))),
0)))</f>
        <v>0</v>
      </c>
      <c r="H66" s="163">
        <f>IF(I66="مخالفات",50,Basic3456789101112131415161718192021[[#This Row],[قيمة الرسوم / العموله]]+Basic3456789101112131415161718192021[[#This Row],[قيمة الشحنه]])</f>
        <v>0</v>
      </c>
      <c r="I66" s="90"/>
      <c r="J66" s="142" t="str">
        <f t="shared" si="0"/>
        <v>12.5.2026</v>
      </c>
      <c r="L66" s="153">
        <v>55</v>
      </c>
      <c r="M66" s="92"/>
    </row>
    <row r="67" spans="1:13" ht="21.6" x14ac:dyDescent="0.65">
      <c r="A67" s="195"/>
      <c r="B67" s="140">
        <v>64</v>
      </c>
      <c r="C67" s="2"/>
      <c r="D67" s="1"/>
      <c r="E67" s="3"/>
      <c r="F67" s="1"/>
      <c r="G67" s="141">
        <f>IF(Basic3456789101112131415161718192021[[#This Row],[نوع الخدمة]]="مخالفات", 50,
IF(Basic3456789101112131415161718192021[[#This Row],[نوع الخدمة]]="كاش ان",
    IF(F67&lt;=100, 18, IF(F67&lt;=250, 23, IF(F67&lt;=500, 35, IF(F67&lt;=1000, 40, F67*0.04)))),
IF(Basic3456789101112131415161718192021[[#This Row],[نوع الخدمة]]="كاش اوت",
    IF(F67&lt;=100, 15, IF(F67&lt;=250, 20, IF(F67&lt;=500, 30, IF(F67&lt;=1000, 35, F67*0.035)))),
0)))</f>
        <v>0</v>
      </c>
      <c r="H67" s="163">
        <f>IF(I67="مخالفات",50,Basic3456789101112131415161718192021[[#This Row],[قيمة الرسوم / العموله]]+Basic3456789101112131415161718192021[[#This Row],[قيمة الشحنه]])</f>
        <v>0</v>
      </c>
      <c r="I67" s="90"/>
      <c r="J67" s="142" t="str">
        <f t="shared" si="0"/>
        <v>12.5.2026</v>
      </c>
      <c r="L67" s="153">
        <v>56</v>
      </c>
      <c r="M67" s="92"/>
    </row>
    <row r="68" spans="1:13" ht="21.6" x14ac:dyDescent="0.65">
      <c r="A68" s="195"/>
      <c r="B68" s="140">
        <v>65</v>
      </c>
      <c r="C68" s="2"/>
      <c r="D68" s="1"/>
      <c r="E68" s="3"/>
      <c r="F68" s="1"/>
      <c r="G68" s="141">
        <f>IF(Basic3456789101112131415161718192021[[#This Row],[نوع الخدمة]]="مخالفات", 50,
IF(Basic3456789101112131415161718192021[[#This Row],[نوع الخدمة]]="كاش ان",
    IF(F68&lt;=100, 18, IF(F68&lt;=250, 23, IF(F68&lt;=500, 35, IF(F68&lt;=1000, 40, F68*0.04)))),
IF(Basic3456789101112131415161718192021[[#This Row],[نوع الخدمة]]="كاش اوت",
    IF(F68&lt;=100, 15, IF(F68&lt;=250, 20, IF(F68&lt;=500, 30, IF(F68&lt;=1000, 35, F68*0.035)))),
0)))</f>
        <v>0</v>
      </c>
      <c r="H68" s="163">
        <f>IF(I68="مخالفات",50,Basic3456789101112131415161718192021[[#This Row],[قيمة الرسوم / العموله]]+Basic3456789101112131415161718192021[[#This Row],[قيمة الشحنه]])</f>
        <v>0</v>
      </c>
      <c r="I68" s="90"/>
      <c r="J68" s="142" t="str">
        <f t="shared" ref="J68:J131" si="1">M$3</f>
        <v>12.5.2026</v>
      </c>
      <c r="L68" s="153">
        <v>57</v>
      </c>
      <c r="M68" s="92"/>
    </row>
    <row r="69" spans="1:13" ht="21.6" x14ac:dyDescent="0.65">
      <c r="A69" s="195"/>
      <c r="B69" s="144">
        <v>66</v>
      </c>
      <c r="C69" s="2"/>
      <c r="D69" s="1"/>
      <c r="E69" s="3"/>
      <c r="F69" s="1"/>
      <c r="G69" s="141">
        <f>IF(Basic3456789101112131415161718192021[[#This Row],[نوع الخدمة]]="مخالفات", 50,
IF(Basic3456789101112131415161718192021[[#This Row],[نوع الخدمة]]="كاش ان",
    IF(F69&lt;=100, 18, IF(F69&lt;=250, 23, IF(F69&lt;=500, 35, IF(F69&lt;=1000, 40, F69*0.04)))),
IF(Basic3456789101112131415161718192021[[#This Row],[نوع الخدمة]]="كاش اوت",
    IF(F69&lt;=100, 15, IF(F69&lt;=250, 20, IF(F69&lt;=500, 30, IF(F69&lt;=1000, 35, F69*0.035)))),
0)))</f>
        <v>0</v>
      </c>
      <c r="H69" s="163">
        <f>IF(I69="مخالفات",50,Basic3456789101112131415161718192021[[#This Row],[قيمة الرسوم / العموله]]+Basic3456789101112131415161718192021[[#This Row],[قيمة الشحنه]])</f>
        <v>0</v>
      </c>
      <c r="I69" s="90"/>
      <c r="J69" s="142" t="str">
        <f t="shared" si="1"/>
        <v>12.5.2026</v>
      </c>
      <c r="L69" s="153">
        <v>58</v>
      </c>
      <c r="M69" s="92"/>
    </row>
    <row r="70" spans="1:13" ht="21.6" x14ac:dyDescent="0.65">
      <c r="A70" s="195"/>
      <c r="B70" s="140">
        <v>67</v>
      </c>
      <c r="C70" s="2"/>
      <c r="D70" s="1"/>
      <c r="E70" s="3"/>
      <c r="F70" s="1"/>
      <c r="G70" s="141">
        <f>IF(Basic3456789101112131415161718192021[[#This Row],[نوع الخدمة]]="مخالفات", 50,
IF(Basic3456789101112131415161718192021[[#This Row],[نوع الخدمة]]="كاش ان",
    IF(F70&lt;=100, 18, IF(F70&lt;=250, 23, IF(F70&lt;=500, 35, IF(F70&lt;=1000, 40, F70*0.04)))),
IF(Basic3456789101112131415161718192021[[#This Row],[نوع الخدمة]]="كاش اوت",
    IF(F70&lt;=100, 15, IF(F70&lt;=250, 20, IF(F70&lt;=500, 30, IF(F70&lt;=1000, 35, F70*0.035)))),
0)))</f>
        <v>0</v>
      </c>
      <c r="H70" s="163">
        <f>IF(I70="مخالفات",50,Basic3456789101112131415161718192021[[#This Row],[قيمة الرسوم / العموله]]+Basic3456789101112131415161718192021[[#This Row],[قيمة الشحنه]])</f>
        <v>0</v>
      </c>
      <c r="I70" s="90"/>
      <c r="J70" s="142" t="str">
        <f t="shared" si="1"/>
        <v>12.5.2026</v>
      </c>
      <c r="L70" s="153">
        <v>59</v>
      </c>
      <c r="M70" s="92"/>
    </row>
    <row r="71" spans="1:13" ht="21.6" x14ac:dyDescent="0.65">
      <c r="A71" s="195"/>
      <c r="B71" s="140">
        <v>68</v>
      </c>
      <c r="C71" s="2"/>
      <c r="D71" s="1"/>
      <c r="E71" s="3"/>
      <c r="F71" s="1"/>
      <c r="G71" s="141">
        <f>IF(Basic3456789101112131415161718192021[[#This Row],[نوع الخدمة]]="مخالفات", 50,
IF(Basic3456789101112131415161718192021[[#This Row],[نوع الخدمة]]="كاش ان",
    IF(F71&lt;=100, 18, IF(F71&lt;=250, 23, IF(F71&lt;=500, 35, IF(F71&lt;=1000, 40, F71*0.04)))),
IF(Basic3456789101112131415161718192021[[#This Row],[نوع الخدمة]]="كاش اوت",
    IF(F71&lt;=100, 15, IF(F71&lt;=250, 20, IF(F71&lt;=500, 30, IF(F71&lt;=1000, 35, F71*0.035)))),
0)))</f>
        <v>0</v>
      </c>
      <c r="H71" s="163">
        <f>IF(I71="مخالفات",50,Basic3456789101112131415161718192021[[#This Row],[قيمة الرسوم / العموله]]+Basic3456789101112131415161718192021[[#This Row],[قيمة الشحنه]])</f>
        <v>0</v>
      </c>
      <c r="I71" s="90"/>
      <c r="J71" s="142" t="str">
        <f t="shared" si="1"/>
        <v>12.5.2026</v>
      </c>
      <c r="L71" s="153">
        <v>60</v>
      </c>
      <c r="M71" s="92"/>
    </row>
    <row r="72" spans="1:13" ht="21.6" x14ac:dyDescent="0.65">
      <c r="A72" s="195"/>
      <c r="B72" s="140">
        <v>69</v>
      </c>
      <c r="C72" s="2"/>
      <c r="D72" s="1"/>
      <c r="E72" s="3"/>
      <c r="F72" s="1"/>
      <c r="G72" s="141">
        <f>IF(Basic3456789101112131415161718192021[[#This Row],[نوع الخدمة]]="مخالفات", 50,
IF(Basic3456789101112131415161718192021[[#This Row],[نوع الخدمة]]="كاش ان",
    IF(F72&lt;=100, 18, IF(F72&lt;=250, 23, IF(F72&lt;=500, 35, IF(F72&lt;=1000, 40, F72*0.04)))),
IF(Basic3456789101112131415161718192021[[#This Row],[نوع الخدمة]]="كاش اوت",
    IF(F72&lt;=100, 15, IF(F72&lt;=250, 20, IF(F72&lt;=500, 30, IF(F72&lt;=1000, 35, F72*0.035)))),
0)))</f>
        <v>0</v>
      </c>
      <c r="H72" s="163">
        <f>IF(I72="مخالفات",50,Basic3456789101112131415161718192021[[#This Row],[قيمة الرسوم / العموله]]+Basic3456789101112131415161718192021[[#This Row],[قيمة الشحنه]])</f>
        <v>0</v>
      </c>
      <c r="I72" s="90"/>
      <c r="J72" s="142" t="str">
        <f t="shared" si="1"/>
        <v>12.5.2026</v>
      </c>
      <c r="L72" s="153">
        <v>61</v>
      </c>
      <c r="M72" s="92"/>
    </row>
    <row r="73" spans="1:13" ht="21.6" x14ac:dyDescent="0.65">
      <c r="A73" s="195"/>
      <c r="B73" s="144">
        <v>70</v>
      </c>
      <c r="C73" s="2"/>
      <c r="D73" s="1"/>
      <c r="E73" s="3"/>
      <c r="F73" s="1"/>
      <c r="G73" s="141">
        <f>IF(Basic3456789101112131415161718192021[[#This Row],[نوع الخدمة]]="مخالفات", 50,
IF(Basic3456789101112131415161718192021[[#This Row],[نوع الخدمة]]="كاش ان",
    IF(F73&lt;=100, 18, IF(F73&lt;=250, 23, IF(F73&lt;=500, 35, IF(F73&lt;=1000, 40, F73*0.04)))),
IF(Basic3456789101112131415161718192021[[#This Row],[نوع الخدمة]]="كاش اوت",
    IF(F73&lt;=100, 15, IF(F73&lt;=250, 20, IF(F73&lt;=500, 30, IF(F73&lt;=1000, 35, F73*0.035)))),
0)))</f>
        <v>0</v>
      </c>
      <c r="H73" s="163">
        <f>IF(I73="مخالفات",50,Basic3456789101112131415161718192021[[#This Row],[قيمة الرسوم / العموله]]+Basic3456789101112131415161718192021[[#This Row],[قيمة الشحنه]])</f>
        <v>0</v>
      </c>
      <c r="I73" s="90"/>
      <c r="J73" s="142" t="str">
        <f t="shared" si="1"/>
        <v>12.5.2026</v>
      </c>
      <c r="L73" s="153">
        <v>62</v>
      </c>
      <c r="M73" s="92"/>
    </row>
    <row r="74" spans="1:13" ht="21.6" x14ac:dyDescent="0.65">
      <c r="A74" s="195"/>
      <c r="B74" s="140">
        <v>71</v>
      </c>
      <c r="C74" s="2"/>
      <c r="D74" s="1"/>
      <c r="E74" s="3"/>
      <c r="F74" s="1"/>
      <c r="G74" s="141">
        <f>IF(Basic3456789101112131415161718192021[[#This Row],[نوع الخدمة]]="مخالفات", 50,
IF(Basic3456789101112131415161718192021[[#This Row],[نوع الخدمة]]="كاش ان",
    IF(F74&lt;=100, 18, IF(F74&lt;=250, 23, IF(F74&lt;=500, 35, IF(F74&lt;=1000, 40, F74*0.04)))),
IF(Basic3456789101112131415161718192021[[#This Row],[نوع الخدمة]]="كاش اوت",
    IF(F74&lt;=100, 15, IF(F74&lt;=250, 20, IF(F74&lt;=500, 30, IF(F74&lt;=1000, 35, F74*0.035)))),
0)))</f>
        <v>0</v>
      </c>
      <c r="H74" s="163">
        <f>IF(I74="مخالفات",50,Basic3456789101112131415161718192021[[#This Row],[قيمة الرسوم / العموله]]+Basic3456789101112131415161718192021[[#This Row],[قيمة الشحنه]])</f>
        <v>0</v>
      </c>
      <c r="I74" s="90"/>
      <c r="J74" s="142" t="str">
        <f t="shared" si="1"/>
        <v>12.5.2026</v>
      </c>
      <c r="L74" s="153">
        <v>63</v>
      </c>
      <c r="M74" s="92"/>
    </row>
    <row r="75" spans="1:13" ht="21.6" x14ac:dyDescent="0.65">
      <c r="A75" s="195"/>
      <c r="B75" s="140">
        <v>72</v>
      </c>
      <c r="C75" s="2"/>
      <c r="D75" s="1"/>
      <c r="E75" s="3"/>
      <c r="F75" s="1"/>
      <c r="G75" s="141">
        <f>IF(Basic3456789101112131415161718192021[[#This Row],[نوع الخدمة]]="مخالفات", 50,
IF(Basic3456789101112131415161718192021[[#This Row],[نوع الخدمة]]="كاش ان",
    IF(F75&lt;=100, 18, IF(F75&lt;=250, 23, IF(F75&lt;=500, 35, IF(F75&lt;=1000, 40, F75*0.04)))),
IF(Basic3456789101112131415161718192021[[#This Row],[نوع الخدمة]]="كاش اوت",
    IF(F75&lt;=100, 15, IF(F75&lt;=250, 20, IF(F75&lt;=500, 30, IF(F75&lt;=1000, 35, F75*0.035)))),
0)))</f>
        <v>0</v>
      </c>
      <c r="H75" s="163">
        <f>IF(I75="مخالفات",50,Basic3456789101112131415161718192021[[#This Row],[قيمة الرسوم / العموله]]+Basic3456789101112131415161718192021[[#This Row],[قيمة الشحنه]])</f>
        <v>0</v>
      </c>
      <c r="I75" s="90"/>
      <c r="J75" s="142" t="str">
        <f t="shared" si="1"/>
        <v>12.5.2026</v>
      </c>
      <c r="L75" s="153">
        <v>64</v>
      </c>
      <c r="M75" s="92"/>
    </row>
    <row r="76" spans="1:13" ht="21.6" x14ac:dyDescent="0.65">
      <c r="A76" s="195"/>
      <c r="B76" s="140">
        <v>73</v>
      </c>
      <c r="C76" s="2"/>
      <c r="D76" s="1"/>
      <c r="E76" s="3"/>
      <c r="F76" s="1"/>
      <c r="G76" s="141">
        <f>IF(Basic3456789101112131415161718192021[[#This Row],[نوع الخدمة]]="مخالفات", 50,
IF(Basic3456789101112131415161718192021[[#This Row],[نوع الخدمة]]="كاش ان",
    IF(F76&lt;=100, 18, IF(F76&lt;=250, 23, IF(F76&lt;=500, 35, IF(F76&lt;=1000, 40, F76*0.04)))),
IF(Basic3456789101112131415161718192021[[#This Row],[نوع الخدمة]]="كاش اوت",
    IF(F76&lt;=100, 15, IF(F76&lt;=250, 20, IF(F76&lt;=500, 30, IF(F76&lt;=1000, 35, F76*0.035)))),
0)))</f>
        <v>0</v>
      </c>
      <c r="H76" s="163">
        <f>IF(I76="مخالفات",50,Basic3456789101112131415161718192021[[#This Row],[قيمة الرسوم / العموله]]+Basic3456789101112131415161718192021[[#This Row],[قيمة الشحنه]])</f>
        <v>0</v>
      </c>
      <c r="I76" s="90"/>
      <c r="J76" s="142" t="str">
        <f t="shared" si="1"/>
        <v>12.5.2026</v>
      </c>
      <c r="L76" s="153">
        <v>65</v>
      </c>
      <c r="M76" s="92"/>
    </row>
    <row r="77" spans="1:13" ht="21.6" x14ac:dyDescent="0.65">
      <c r="A77" s="195"/>
      <c r="B77" s="144">
        <v>74</v>
      </c>
      <c r="C77" s="2"/>
      <c r="D77" s="1"/>
      <c r="E77" s="3"/>
      <c r="F77" s="1"/>
      <c r="G77" s="141">
        <f>IF(Basic3456789101112131415161718192021[[#This Row],[نوع الخدمة]]="مخالفات", 50,
IF(Basic3456789101112131415161718192021[[#This Row],[نوع الخدمة]]="كاش ان",
    IF(F77&lt;=100, 18, IF(F77&lt;=250, 23, IF(F77&lt;=500, 35, IF(F77&lt;=1000, 40, F77*0.04)))),
IF(Basic3456789101112131415161718192021[[#This Row],[نوع الخدمة]]="كاش اوت",
    IF(F77&lt;=100, 15, IF(F77&lt;=250, 20, IF(F77&lt;=500, 30, IF(F77&lt;=1000, 35, F77*0.035)))),
0)))</f>
        <v>0</v>
      </c>
      <c r="H77" s="163">
        <f>IF(I77="مخالفات",50,Basic3456789101112131415161718192021[[#This Row],[قيمة الرسوم / العموله]]+Basic3456789101112131415161718192021[[#This Row],[قيمة الشحنه]])</f>
        <v>0</v>
      </c>
      <c r="I77" s="90"/>
      <c r="J77" s="142" t="str">
        <f t="shared" si="1"/>
        <v>12.5.2026</v>
      </c>
      <c r="L77" s="153">
        <v>66</v>
      </c>
      <c r="M77" s="92"/>
    </row>
    <row r="78" spans="1:13" ht="21.6" x14ac:dyDescent="0.65">
      <c r="A78" s="195"/>
      <c r="B78" s="140">
        <v>75</v>
      </c>
      <c r="C78" s="2"/>
      <c r="D78" s="1"/>
      <c r="E78" s="3"/>
      <c r="F78" s="1"/>
      <c r="G78" s="141">
        <f>IF(Basic3456789101112131415161718192021[[#This Row],[نوع الخدمة]]="مخالفات", 50,
IF(Basic3456789101112131415161718192021[[#This Row],[نوع الخدمة]]="كاش ان",
    IF(F78&lt;=100, 18, IF(F78&lt;=250, 23, IF(F78&lt;=500, 35, IF(F78&lt;=1000, 40, F78*0.04)))),
IF(Basic3456789101112131415161718192021[[#This Row],[نوع الخدمة]]="كاش اوت",
    IF(F78&lt;=100, 15, IF(F78&lt;=250, 20, IF(F78&lt;=500, 30, IF(F78&lt;=1000, 35, F78*0.035)))),
0)))</f>
        <v>0</v>
      </c>
      <c r="H78" s="163">
        <f>IF(I78="مخالفات",50,Basic3456789101112131415161718192021[[#This Row],[قيمة الرسوم / العموله]]+Basic3456789101112131415161718192021[[#This Row],[قيمة الشحنه]])</f>
        <v>0</v>
      </c>
      <c r="I78" s="90"/>
      <c r="J78" s="142" t="str">
        <f t="shared" si="1"/>
        <v>12.5.2026</v>
      </c>
      <c r="L78" s="153">
        <v>67</v>
      </c>
      <c r="M78" s="92"/>
    </row>
    <row r="79" spans="1:13" ht="21.6" x14ac:dyDescent="0.65">
      <c r="A79" s="195"/>
      <c r="B79" s="140">
        <v>76</v>
      </c>
      <c r="C79" s="2"/>
      <c r="D79" s="1"/>
      <c r="E79" s="3"/>
      <c r="F79" s="1"/>
      <c r="G79" s="141">
        <f>IF(Basic3456789101112131415161718192021[[#This Row],[نوع الخدمة]]="مخالفات", 50,
IF(Basic3456789101112131415161718192021[[#This Row],[نوع الخدمة]]="كاش ان",
    IF(F79&lt;=100, 18, IF(F79&lt;=250, 23, IF(F79&lt;=500, 35, IF(F79&lt;=1000, 40, F79*0.04)))),
IF(Basic3456789101112131415161718192021[[#This Row],[نوع الخدمة]]="كاش اوت",
    IF(F79&lt;=100, 15, IF(F79&lt;=250, 20, IF(F79&lt;=500, 30, IF(F79&lt;=1000, 35, F79*0.035)))),
0)))</f>
        <v>0</v>
      </c>
      <c r="H79" s="163">
        <f>IF(I79="مخالفات",50,Basic3456789101112131415161718192021[[#This Row],[قيمة الرسوم / العموله]]+Basic3456789101112131415161718192021[[#This Row],[قيمة الشحنه]])</f>
        <v>0</v>
      </c>
      <c r="I79" s="90"/>
      <c r="J79" s="142" t="str">
        <f t="shared" si="1"/>
        <v>12.5.2026</v>
      </c>
      <c r="L79" s="153">
        <v>68</v>
      </c>
      <c r="M79" s="92"/>
    </row>
    <row r="80" spans="1:13" ht="21.6" x14ac:dyDescent="0.65">
      <c r="A80" s="195"/>
      <c r="B80" s="140">
        <v>77</v>
      </c>
      <c r="C80" s="2"/>
      <c r="D80" s="1"/>
      <c r="E80" s="3"/>
      <c r="F80" s="1"/>
      <c r="G80" s="141">
        <f>IF(Basic3456789101112131415161718192021[[#This Row],[نوع الخدمة]]="مخالفات", 50,
IF(Basic3456789101112131415161718192021[[#This Row],[نوع الخدمة]]="كاش ان",
    IF(F80&lt;=100, 18, IF(F80&lt;=250, 23, IF(F80&lt;=500, 35, IF(F80&lt;=1000, 40, F80*0.04)))),
IF(Basic3456789101112131415161718192021[[#This Row],[نوع الخدمة]]="كاش اوت",
    IF(F80&lt;=100, 15, IF(F80&lt;=250, 20, IF(F80&lt;=500, 30, IF(F80&lt;=1000, 35, F80*0.035)))),
0)))</f>
        <v>0</v>
      </c>
      <c r="H80" s="163">
        <f>IF(I80="مخالفات",50,Basic3456789101112131415161718192021[[#This Row],[قيمة الرسوم / العموله]]+Basic3456789101112131415161718192021[[#This Row],[قيمة الشحنه]])</f>
        <v>0</v>
      </c>
      <c r="I80" s="90"/>
      <c r="J80" s="142" t="str">
        <f t="shared" si="1"/>
        <v>12.5.2026</v>
      </c>
      <c r="L80" s="153">
        <v>69</v>
      </c>
      <c r="M80" s="92"/>
    </row>
    <row r="81" spans="1:13" ht="21.6" x14ac:dyDescent="0.65">
      <c r="A81" s="195"/>
      <c r="B81" s="144">
        <v>78</v>
      </c>
      <c r="C81" s="2"/>
      <c r="D81" s="1"/>
      <c r="E81" s="3"/>
      <c r="F81" s="1"/>
      <c r="G81" s="141">
        <f>IF(Basic3456789101112131415161718192021[[#This Row],[نوع الخدمة]]="مخالفات", 50,
IF(Basic3456789101112131415161718192021[[#This Row],[نوع الخدمة]]="كاش ان",
    IF(F81&lt;=100, 18, IF(F81&lt;=250, 23, IF(F81&lt;=500, 35, IF(F81&lt;=1000, 40, F81*0.04)))),
IF(Basic3456789101112131415161718192021[[#This Row],[نوع الخدمة]]="كاش اوت",
    IF(F81&lt;=100, 15, IF(F81&lt;=250, 20, IF(F81&lt;=500, 30, IF(F81&lt;=1000, 35, F81*0.035)))),
0)))</f>
        <v>0</v>
      </c>
      <c r="H81" s="163">
        <f>IF(I81="مخالفات",50,Basic3456789101112131415161718192021[[#This Row],[قيمة الرسوم / العموله]]+Basic3456789101112131415161718192021[[#This Row],[قيمة الشحنه]])</f>
        <v>0</v>
      </c>
      <c r="I81" s="90"/>
      <c r="J81" s="142" t="str">
        <f t="shared" si="1"/>
        <v>12.5.2026</v>
      </c>
      <c r="L81" s="153">
        <v>70</v>
      </c>
      <c r="M81" s="92"/>
    </row>
    <row r="82" spans="1:13" ht="21.6" x14ac:dyDescent="0.65">
      <c r="A82" s="195"/>
      <c r="B82" s="140">
        <v>79</v>
      </c>
      <c r="C82" s="2"/>
      <c r="D82" s="1"/>
      <c r="E82" s="3"/>
      <c r="F82" s="1"/>
      <c r="G82" s="141">
        <f>IF(Basic3456789101112131415161718192021[[#This Row],[نوع الخدمة]]="مخالفات", 50,
IF(Basic3456789101112131415161718192021[[#This Row],[نوع الخدمة]]="كاش ان",
    IF(F82&lt;=100, 18, IF(F82&lt;=250, 23, IF(F82&lt;=500, 35, IF(F82&lt;=1000, 40, F82*0.04)))),
IF(Basic3456789101112131415161718192021[[#This Row],[نوع الخدمة]]="كاش اوت",
    IF(F82&lt;=100, 15, IF(F82&lt;=250, 20, IF(F82&lt;=500, 30, IF(F82&lt;=1000, 35, F82*0.035)))),
0)))</f>
        <v>0</v>
      </c>
      <c r="H82" s="163">
        <f>IF(I82="مخالفات",50,Basic3456789101112131415161718192021[[#This Row],[قيمة الرسوم / العموله]]+Basic3456789101112131415161718192021[[#This Row],[قيمة الشحنه]])</f>
        <v>0</v>
      </c>
      <c r="I82" s="90"/>
      <c r="J82" s="142" t="str">
        <f t="shared" si="1"/>
        <v>12.5.2026</v>
      </c>
      <c r="L82" s="153">
        <v>71</v>
      </c>
      <c r="M82" s="92"/>
    </row>
    <row r="83" spans="1:13" ht="21.6" x14ac:dyDescent="0.65">
      <c r="A83" s="195"/>
      <c r="B83" s="140">
        <v>80</v>
      </c>
      <c r="C83" s="2"/>
      <c r="D83" s="1"/>
      <c r="E83" s="3"/>
      <c r="F83" s="1"/>
      <c r="G83" s="141">
        <f>IF(Basic3456789101112131415161718192021[[#This Row],[نوع الخدمة]]="مخالفات", 50,
IF(Basic3456789101112131415161718192021[[#This Row],[نوع الخدمة]]="كاش ان",
    IF(F83&lt;=100, 18, IF(F83&lt;=250, 23, IF(F83&lt;=500, 35, IF(F83&lt;=1000, 40, F83*0.04)))),
IF(Basic3456789101112131415161718192021[[#This Row],[نوع الخدمة]]="كاش اوت",
    IF(F83&lt;=100, 15, IF(F83&lt;=250, 20, IF(F83&lt;=500, 30, IF(F83&lt;=1000, 35, F83*0.035)))),
0)))</f>
        <v>0</v>
      </c>
      <c r="H83" s="163">
        <f>IF(I83="مخالفات",50,Basic3456789101112131415161718192021[[#This Row],[قيمة الرسوم / العموله]]+Basic3456789101112131415161718192021[[#This Row],[قيمة الشحنه]])</f>
        <v>0</v>
      </c>
      <c r="I83" s="90"/>
      <c r="J83" s="142" t="str">
        <f t="shared" si="1"/>
        <v>12.5.2026</v>
      </c>
      <c r="L83" s="153">
        <v>72</v>
      </c>
      <c r="M83" s="92"/>
    </row>
    <row r="84" spans="1:13" ht="21.6" x14ac:dyDescent="0.65">
      <c r="A84" s="195"/>
      <c r="B84" s="140">
        <v>81</v>
      </c>
      <c r="C84" s="2"/>
      <c r="D84" s="1"/>
      <c r="E84" s="3"/>
      <c r="F84" s="1"/>
      <c r="G84" s="141">
        <f>IF(Basic3456789101112131415161718192021[[#This Row],[نوع الخدمة]]="مخالفات", 50,
IF(Basic3456789101112131415161718192021[[#This Row],[نوع الخدمة]]="كاش ان",
    IF(F84&lt;=100, 18, IF(F84&lt;=250, 23, IF(F84&lt;=500, 35, IF(F84&lt;=1000, 40, F84*0.04)))),
IF(Basic3456789101112131415161718192021[[#This Row],[نوع الخدمة]]="كاش اوت",
    IF(F84&lt;=100, 15, IF(F84&lt;=250, 20, IF(F84&lt;=500, 30, IF(F84&lt;=1000, 35, F84*0.035)))),
0)))</f>
        <v>0</v>
      </c>
      <c r="H84" s="163">
        <f>IF(I84="مخالفات",50,Basic3456789101112131415161718192021[[#This Row],[قيمة الرسوم / العموله]]+Basic3456789101112131415161718192021[[#This Row],[قيمة الشحنه]])</f>
        <v>0</v>
      </c>
      <c r="I84" s="90"/>
      <c r="J84" s="142" t="str">
        <f t="shared" si="1"/>
        <v>12.5.2026</v>
      </c>
      <c r="L84" s="153">
        <v>73</v>
      </c>
      <c r="M84" s="92"/>
    </row>
    <row r="85" spans="1:13" ht="21.6" x14ac:dyDescent="0.65">
      <c r="A85" s="195"/>
      <c r="B85" s="144">
        <v>82</v>
      </c>
      <c r="C85" s="2"/>
      <c r="D85" s="1"/>
      <c r="E85" s="3"/>
      <c r="F85" s="1"/>
      <c r="G85" s="141">
        <f>IF(Basic3456789101112131415161718192021[[#This Row],[نوع الخدمة]]="مخالفات", 50,
IF(Basic3456789101112131415161718192021[[#This Row],[نوع الخدمة]]="كاش ان",
    IF(F85&lt;=100, 18, IF(F85&lt;=250, 23, IF(F85&lt;=500, 35, IF(F85&lt;=1000, 40, F85*0.04)))),
IF(Basic3456789101112131415161718192021[[#This Row],[نوع الخدمة]]="كاش اوت",
    IF(F85&lt;=100, 15, IF(F85&lt;=250, 20, IF(F85&lt;=500, 30, IF(F85&lt;=1000, 35, F85*0.035)))),
0)))</f>
        <v>0</v>
      </c>
      <c r="H85" s="163">
        <f>IF(I85="مخالفات",50,Basic3456789101112131415161718192021[[#This Row],[قيمة الرسوم / العموله]]+Basic3456789101112131415161718192021[[#This Row],[قيمة الشحنه]])</f>
        <v>0</v>
      </c>
      <c r="I85" s="90"/>
      <c r="J85" s="142" t="str">
        <f t="shared" si="1"/>
        <v>12.5.2026</v>
      </c>
      <c r="L85" s="153">
        <v>74</v>
      </c>
      <c r="M85" s="92"/>
    </row>
    <row r="86" spans="1:13" ht="21.6" x14ac:dyDescent="0.65">
      <c r="A86" s="195"/>
      <c r="B86" s="140">
        <v>83</v>
      </c>
      <c r="C86" s="2"/>
      <c r="D86" s="1"/>
      <c r="E86" s="3"/>
      <c r="F86" s="1"/>
      <c r="G86" s="141">
        <f>IF(Basic3456789101112131415161718192021[[#This Row],[نوع الخدمة]]="مخالفات", 50,
IF(Basic3456789101112131415161718192021[[#This Row],[نوع الخدمة]]="كاش ان",
    IF(F86&lt;=100, 18, IF(F86&lt;=250, 23, IF(F86&lt;=500, 35, IF(F86&lt;=1000, 40, F86*0.04)))),
IF(Basic3456789101112131415161718192021[[#This Row],[نوع الخدمة]]="كاش اوت",
    IF(F86&lt;=100, 15, IF(F86&lt;=250, 20, IF(F86&lt;=500, 30, IF(F86&lt;=1000, 35, F86*0.035)))),
0)))</f>
        <v>0</v>
      </c>
      <c r="H86" s="163">
        <f>IF(I86="مخالفات",50,Basic3456789101112131415161718192021[[#This Row],[قيمة الرسوم / العموله]]+Basic3456789101112131415161718192021[[#This Row],[قيمة الشحنه]])</f>
        <v>0</v>
      </c>
      <c r="I86" s="90"/>
      <c r="J86" s="142" t="str">
        <f t="shared" si="1"/>
        <v>12.5.2026</v>
      </c>
      <c r="L86" s="153">
        <v>75</v>
      </c>
      <c r="M86" s="92"/>
    </row>
    <row r="87" spans="1:13" ht="21.6" x14ac:dyDescent="0.65">
      <c r="A87" s="195"/>
      <c r="B87" s="140">
        <v>84</v>
      </c>
      <c r="C87" s="2"/>
      <c r="D87" s="1"/>
      <c r="E87" s="3"/>
      <c r="F87" s="1"/>
      <c r="G87" s="141">
        <f>IF(Basic3456789101112131415161718192021[[#This Row],[نوع الخدمة]]="مخالفات", 50,
IF(Basic3456789101112131415161718192021[[#This Row],[نوع الخدمة]]="كاش ان",
    IF(F87&lt;=100, 18, IF(F87&lt;=250, 23, IF(F87&lt;=500, 35, IF(F87&lt;=1000, 40, F87*0.04)))),
IF(Basic3456789101112131415161718192021[[#This Row],[نوع الخدمة]]="كاش اوت",
    IF(F87&lt;=100, 15, IF(F87&lt;=250, 20, IF(F87&lt;=500, 30, IF(F87&lt;=1000, 35, F87*0.035)))),
0)))</f>
        <v>0</v>
      </c>
      <c r="H87" s="163">
        <f>IF(I87="مخالفات",50,Basic3456789101112131415161718192021[[#This Row],[قيمة الرسوم / العموله]]+Basic3456789101112131415161718192021[[#This Row],[قيمة الشحنه]])</f>
        <v>0</v>
      </c>
      <c r="I87" s="90"/>
      <c r="J87" s="142" t="str">
        <f t="shared" si="1"/>
        <v>12.5.2026</v>
      </c>
      <c r="L87" s="153">
        <v>76</v>
      </c>
      <c r="M87" s="92"/>
    </row>
    <row r="88" spans="1:13" ht="21.6" x14ac:dyDescent="0.65">
      <c r="A88" s="195"/>
      <c r="B88" s="140">
        <v>85</v>
      </c>
      <c r="C88" s="2"/>
      <c r="D88" s="1"/>
      <c r="E88" s="3"/>
      <c r="F88" s="1"/>
      <c r="G88" s="141">
        <f>IF(Basic3456789101112131415161718192021[[#This Row],[نوع الخدمة]]="مخالفات", 50,
IF(Basic3456789101112131415161718192021[[#This Row],[نوع الخدمة]]="كاش ان",
    IF(F88&lt;=100, 18, IF(F88&lt;=250, 23, IF(F88&lt;=500, 35, IF(F88&lt;=1000, 40, F88*0.04)))),
IF(Basic3456789101112131415161718192021[[#This Row],[نوع الخدمة]]="كاش اوت",
    IF(F88&lt;=100, 15, IF(F88&lt;=250, 20, IF(F88&lt;=500, 30, IF(F88&lt;=1000, 35, F88*0.035)))),
0)))</f>
        <v>0</v>
      </c>
      <c r="H88" s="163">
        <f>IF(I88="مخالفات",50,Basic3456789101112131415161718192021[[#This Row],[قيمة الرسوم / العموله]]+Basic3456789101112131415161718192021[[#This Row],[قيمة الشحنه]])</f>
        <v>0</v>
      </c>
      <c r="I88" s="90"/>
      <c r="J88" s="142" t="str">
        <f t="shared" si="1"/>
        <v>12.5.2026</v>
      </c>
      <c r="L88" s="153">
        <v>77</v>
      </c>
      <c r="M88" s="92"/>
    </row>
    <row r="89" spans="1:13" ht="21.6" x14ac:dyDescent="0.65">
      <c r="A89" s="195"/>
      <c r="B89" s="144">
        <v>86</v>
      </c>
      <c r="C89" s="2"/>
      <c r="D89" s="1"/>
      <c r="E89" s="3"/>
      <c r="F89" s="1"/>
      <c r="G89" s="141">
        <f>IF(Basic3456789101112131415161718192021[[#This Row],[نوع الخدمة]]="مخالفات", 50,
IF(Basic3456789101112131415161718192021[[#This Row],[نوع الخدمة]]="كاش ان",
    IF(F89&lt;=100, 18, IF(F89&lt;=250, 23, IF(F89&lt;=500, 35, IF(F89&lt;=1000, 40, F89*0.04)))),
IF(Basic3456789101112131415161718192021[[#This Row],[نوع الخدمة]]="كاش اوت",
    IF(F89&lt;=100, 15, IF(F89&lt;=250, 20, IF(F89&lt;=500, 30, IF(F89&lt;=1000, 35, F89*0.035)))),
0)))</f>
        <v>0</v>
      </c>
      <c r="H89" s="163">
        <f>IF(I89="مخالفات",50,Basic3456789101112131415161718192021[[#This Row],[قيمة الرسوم / العموله]]+Basic3456789101112131415161718192021[[#This Row],[قيمة الشحنه]])</f>
        <v>0</v>
      </c>
      <c r="I89" s="90"/>
      <c r="J89" s="142" t="str">
        <f t="shared" si="1"/>
        <v>12.5.2026</v>
      </c>
      <c r="L89" s="153">
        <v>78</v>
      </c>
      <c r="M89" s="92"/>
    </row>
    <row r="90" spans="1:13" ht="21.6" x14ac:dyDescent="0.65">
      <c r="A90" s="195"/>
      <c r="B90" s="140">
        <v>87</v>
      </c>
      <c r="C90" s="2"/>
      <c r="D90" s="1"/>
      <c r="E90" s="3"/>
      <c r="F90" s="1"/>
      <c r="G90" s="141">
        <f>IF(Basic3456789101112131415161718192021[[#This Row],[نوع الخدمة]]="مخالفات", 50,
IF(Basic3456789101112131415161718192021[[#This Row],[نوع الخدمة]]="كاش ان",
    IF(F90&lt;=100, 18, IF(F90&lt;=250, 23, IF(F90&lt;=500, 35, IF(F90&lt;=1000, 40, F90*0.04)))),
IF(Basic3456789101112131415161718192021[[#This Row],[نوع الخدمة]]="كاش اوت",
    IF(F90&lt;=100, 15, IF(F90&lt;=250, 20, IF(F90&lt;=500, 30, IF(F90&lt;=1000, 35, F90*0.035)))),
0)))</f>
        <v>0</v>
      </c>
      <c r="H90" s="163">
        <f>IF(I90="مخالفات",50,Basic3456789101112131415161718192021[[#This Row],[قيمة الرسوم / العموله]]+Basic3456789101112131415161718192021[[#This Row],[قيمة الشحنه]])</f>
        <v>0</v>
      </c>
      <c r="I90" s="90"/>
      <c r="J90" s="142" t="str">
        <f t="shared" si="1"/>
        <v>12.5.2026</v>
      </c>
      <c r="L90" s="153">
        <v>79</v>
      </c>
      <c r="M90" s="92"/>
    </row>
    <row r="91" spans="1:13" ht="21.6" x14ac:dyDescent="0.65">
      <c r="A91" s="195"/>
      <c r="B91" s="140">
        <v>88</v>
      </c>
      <c r="C91" s="2"/>
      <c r="D91" s="1"/>
      <c r="E91" s="3"/>
      <c r="F91" s="1"/>
      <c r="G91" s="141">
        <f>IF(Basic3456789101112131415161718192021[[#This Row],[نوع الخدمة]]="مخالفات", 50,
IF(Basic3456789101112131415161718192021[[#This Row],[نوع الخدمة]]="كاش ان",
    IF(F91&lt;=100, 18, IF(F91&lt;=250, 23, IF(F91&lt;=500, 35, IF(F91&lt;=1000, 40, F91*0.04)))),
IF(Basic3456789101112131415161718192021[[#This Row],[نوع الخدمة]]="كاش اوت",
    IF(F91&lt;=100, 15, IF(F91&lt;=250, 20, IF(F91&lt;=500, 30, IF(F91&lt;=1000, 35, F91*0.035)))),
0)))</f>
        <v>0</v>
      </c>
      <c r="H91" s="163">
        <f>IF(I91="مخالفات",50,Basic3456789101112131415161718192021[[#This Row],[قيمة الرسوم / العموله]]+Basic3456789101112131415161718192021[[#This Row],[قيمة الشحنه]])</f>
        <v>0</v>
      </c>
      <c r="I91" s="90"/>
      <c r="J91" s="142" t="str">
        <f t="shared" si="1"/>
        <v>12.5.2026</v>
      </c>
      <c r="L91" s="153">
        <v>80</v>
      </c>
      <c r="M91" s="92"/>
    </row>
    <row r="92" spans="1:13" ht="21.6" x14ac:dyDescent="0.65">
      <c r="A92" s="195"/>
      <c r="B92" s="140">
        <v>89</v>
      </c>
      <c r="C92" s="2"/>
      <c r="D92" s="1"/>
      <c r="E92" s="3"/>
      <c r="F92" s="1"/>
      <c r="G92" s="141">
        <f>IF(Basic3456789101112131415161718192021[[#This Row],[نوع الخدمة]]="مخالفات", 50,
IF(Basic3456789101112131415161718192021[[#This Row],[نوع الخدمة]]="كاش ان",
    IF(F92&lt;=100, 18, IF(F92&lt;=250, 23, IF(F92&lt;=500, 35, IF(F92&lt;=1000, 40, F92*0.04)))),
IF(Basic3456789101112131415161718192021[[#This Row],[نوع الخدمة]]="كاش اوت",
    IF(F92&lt;=100, 15, IF(F92&lt;=250, 20, IF(F92&lt;=500, 30, IF(F92&lt;=1000, 35, F92*0.035)))),
0)))</f>
        <v>0</v>
      </c>
      <c r="H92" s="163">
        <f>IF(I92="مخالفات",50,Basic3456789101112131415161718192021[[#This Row],[قيمة الرسوم / العموله]]+Basic3456789101112131415161718192021[[#This Row],[قيمة الشحنه]])</f>
        <v>0</v>
      </c>
      <c r="I92" s="90"/>
      <c r="J92" s="142" t="str">
        <f t="shared" si="1"/>
        <v>12.5.2026</v>
      </c>
      <c r="L92" s="153">
        <v>81</v>
      </c>
      <c r="M92" s="92"/>
    </row>
    <row r="93" spans="1:13" ht="21.6" x14ac:dyDescent="0.65">
      <c r="A93" s="195"/>
      <c r="B93" s="144">
        <v>90</v>
      </c>
      <c r="C93" s="2"/>
      <c r="D93" s="1"/>
      <c r="E93" s="3"/>
      <c r="F93" s="1"/>
      <c r="G93" s="141">
        <f>IF(Basic3456789101112131415161718192021[[#This Row],[نوع الخدمة]]="مخالفات", 50,
IF(Basic3456789101112131415161718192021[[#This Row],[نوع الخدمة]]="كاش ان",
    IF(F93&lt;=100, 18, IF(F93&lt;=250, 23, IF(F93&lt;=500, 35, IF(F93&lt;=1000, 40, F93*0.04)))),
IF(Basic3456789101112131415161718192021[[#This Row],[نوع الخدمة]]="كاش اوت",
    IF(F93&lt;=100, 15, IF(F93&lt;=250, 20, IF(F93&lt;=500, 30, IF(F93&lt;=1000, 35, F93*0.035)))),
0)))</f>
        <v>0</v>
      </c>
      <c r="H93" s="163">
        <f>IF(I93="مخالفات",50,Basic3456789101112131415161718192021[[#This Row],[قيمة الرسوم / العموله]]+Basic3456789101112131415161718192021[[#This Row],[قيمة الشحنه]])</f>
        <v>0</v>
      </c>
      <c r="I93" s="90"/>
      <c r="J93" s="142" t="str">
        <f t="shared" si="1"/>
        <v>12.5.2026</v>
      </c>
      <c r="L93" s="153">
        <v>82</v>
      </c>
      <c r="M93" s="92"/>
    </row>
    <row r="94" spans="1:13" ht="21.6" x14ac:dyDescent="0.65">
      <c r="A94" s="195"/>
      <c r="B94" s="140">
        <v>91</v>
      </c>
      <c r="C94" s="2"/>
      <c r="D94" s="1"/>
      <c r="E94" s="3"/>
      <c r="F94" s="1"/>
      <c r="G94" s="141">
        <f>IF(Basic3456789101112131415161718192021[[#This Row],[نوع الخدمة]]="مخالفات", 50,
IF(Basic3456789101112131415161718192021[[#This Row],[نوع الخدمة]]="كاش ان",
    IF(F94&lt;=100, 18, IF(F94&lt;=250, 23, IF(F94&lt;=500, 35, IF(F94&lt;=1000, 40, F94*0.04)))),
IF(Basic3456789101112131415161718192021[[#This Row],[نوع الخدمة]]="كاش اوت",
    IF(F94&lt;=100, 15, IF(F94&lt;=250, 20, IF(F94&lt;=500, 30, IF(F94&lt;=1000, 35, F94*0.035)))),
0)))</f>
        <v>0</v>
      </c>
      <c r="H94" s="163">
        <f>IF(I94="مخالفات",50,Basic3456789101112131415161718192021[[#This Row],[قيمة الرسوم / العموله]]+Basic3456789101112131415161718192021[[#This Row],[قيمة الشحنه]])</f>
        <v>0</v>
      </c>
      <c r="I94" s="90"/>
      <c r="J94" s="142" t="str">
        <f t="shared" si="1"/>
        <v>12.5.2026</v>
      </c>
      <c r="L94" s="153">
        <v>83</v>
      </c>
      <c r="M94" s="92"/>
    </row>
    <row r="95" spans="1:13" ht="21.6" x14ac:dyDescent="0.65">
      <c r="A95" s="195"/>
      <c r="B95" s="140">
        <v>92</v>
      </c>
      <c r="C95" s="2"/>
      <c r="D95" s="1"/>
      <c r="E95" s="3"/>
      <c r="F95" s="1"/>
      <c r="G95" s="141">
        <f>IF(Basic3456789101112131415161718192021[[#This Row],[نوع الخدمة]]="مخالفات", 50,
IF(Basic3456789101112131415161718192021[[#This Row],[نوع الخدمة]]="كاش ان",
    IF(F95&lt;=100, 18, IF(F95&lt;=250, 23, IF(F95&lt;=500, 35, IF(F95&lt;=1000, 40, F95*0.04)))),
IF(Basic3456789101112131415161718192021[[#This Row],[نوع الخدمة]]="كاش اوت",
    IF(F95&lt;=100, 15, IF(F95&lt;=250, 20, IF(F95&lt;=500, 30, IF(F95&lt;=1000, 35, F95*0.035)))),
0)))</f>
        <v>0</v>
      </c>
      <c r="H95" s="163">
        <f>IF(I95="مخالفات",50,Basic3456789101112131415161718192021[[#This Row],[قيمة الرسوم / العموله]]+Basic3456789101112131415161718192021[[#This Row],[قيمة الشحنه]])</f>
        <v>0</v>
      </c>
      <c r="I95" s="90"/>
      <c r="J95" s="142" t="str">
        <f t="shared" si="1"/>
        <v>12.5.2026</v>
      </c>
      <c r="L95" s="153">
        <v>84</v>
      </c>
      <c r="M95" s="92"/>
    </row>
    <row r="96" spans="1:13" ht="21.6" x14ac:dyDescent="0.65">
      <c r="A96" s="195"/>
      <c r="B96" s="140">
        <v>93</v>
      </c>
      <c r="C96" s="2"/>
      <c r="D96" s="1"/>
      <c r="E96" s="3"/>
      <c r="F96" s="1"/>
      <c r="G96" s="141">
        <f>IF(Basic3456789101112131415161718192021[[#This Row],[نوع الخدمة]]="مخالفات", 50,
IF(Basic3456789101112131415161718192021[[#This Row],[نوع الخدمة]]="كاش ان",
    IF(F96&lt;=100, 18, IF(F96&lt;=250, 23, IF(F96&lt;=500, 35, IF(F96&lt;=1000, 40, F96*0.04)))),
IF(Basic3456789101112131415161718192021[[#This Row],[نوع الخدمة]]="كاش اوت",
    IF(F96&lt;=100, 15, IF(F96&lt;=250, 20, IF(F96&lt;=500, 30, IF(F96&lt;=1000, 35, F96*0.035)))),
0)))</f>
        <v>0</v>
      </c>
      <c r="H96" s="163">
        <f>IF(I96="مخالفات",50,Basic3456789101112131415161718192021[[#This Row],[قيمة الرسوم / العموله]]+Basic3456789101112131415161718192021[[#This Row],[قيمة الشحنه]])</f>
        <v>0</v>
      </c>
      <c r="I96" s="90"/>
      <c r="J96" s="142" t="str">
        <f t="shared" si="1"/>
        <v>12.5.2026</v>
      </c>
      <c r="L96" s="153">
        <v>85</v>
      </c>
      <c r="M96" s="92"/>
    </row>
    <row r="97" spans="1:13" ht="21.6" x14ac:dyDescent="0.65">
      <c r="A97" s="195"/>
      <c r="B97" s="144">
        <v>94</v>
      </c>
      <c r="C97" s="2"/>
      <c r="D97" s="1"/>
      <c r="E97" s="3"/>
      <c r="F97" s="1"/>
      <c r="G97" s="141">
        <f>IF(Basic3456789101112131415161718192021[[#This Row],[نوع الخدمة]]="مخالفات", 50,
IF(Basic3456789101112131415161718192021[[#This Row],[نوع الخدمة]]="كاش ان",
    IF(F97&lt;=100, 18, IF(F97&lt;=250, 23, IF(F97&lt;=500, 35, IF(F97&lt;=1000, 40, F97*0.04)))),
IF(Basic3456789101112131415161718192021[[#This Row],[نوع الخدمة]]="كاش اوت",
    IF(F97&lt;=100, 15, IF(F97&lt;=250, 20, IF(F97&lt;=500, 30, IF(F97&lt;=1000, 35, F97*0.035)))),
0)))</f>
        <v>0</v>
      </c>
      <c r="H97" s="163">
        <f>IF(I97="مخالفات",50,Basic3456789101112131415161718192021[[#This Row],[قيمة الرسوم / العموله]]+Basic3456789101112131415161718192021[[#This Row],[قيمة الشحنه]])</f>
        <v>0</v>
      </c>
      <c r="I97" s="90"/>
      <c r="J97" s="142" t="str">
        <f t="shared" si="1"/>
        <v>12.5.2026</v>
      </c>
      <c r="L97" s="153">
        <v>86</v>
      </c>
      <c r="M97" s="92"/>
    </row>
    <row r="98" spans="1:13" ht="21.6" x14ac:dyDescent="0.65">
      <c r="A98" s="195"/>
      <c r="B98" s="140">
        <v>95</v>
      </c>
      <c r="C98" s="2"/>
      <c r="D98" s="1"/>
      <c r="E98" s="3"/>
      <c r="F98" s="1"/>
      <c r="G98" s="141">
        <f>IF(Basic3456789101112131415161718192021[[#This Row],[نوع الخدمة]]="مخالفات", 50,
IF(Basic3456789101112131415161718192021[[#This Row],[نوع الخدمة]]="كاش ان",
    IF(F98&lt;=100, 18, IF(F98&lt;=250, 23, IF(F98&lt;=500, 35, IF(F98&lt;=1000, 40, F98*0.04)))),
IF(Basic3456789101112131415161718192021[[#This Row],[نوع الخدمة]]="كاش اوت",
    IF(F98&lt;=100, 15, IF(F98&lt;=250, 20, IF(F98&lt;=500, 30, IF(F98&lt;=1000, 35, F98*0.035)))),
0)))</f>
        <v>0</v>
      </c>
      <c r="H98" s="163">
        <f>IF(I98="مخالفات",50,Basic3456789101112131415161718192021[[#This Row],[قيمة الرسوم / العموله]]+Basic3456789101112131415161718192021[[#This Row],[قيمة الشحنه]])</f>
        <v>0</v>
      </c>
      <c r="I98" s="90"/>
      <c r="J98" s="142" t="str">
        <f t="shared" si="1"/>
        <v>12.5.2026</v>
      </c>
      <c r="L98" s="153">
        <v>87</v>
      </c>
      <c r="M98" s="92"/>
    </row>
    <row r="99" spans="1:13" ht="21.6" x14ac:dyDescent="0.65">
      <c r="A99" s="195"/>
      <c r="B99" s="140">
        <v>96</v>
      </c>
      <c r="C99" s="2"/>
      <c r="D99" s="1"/>
      <c r="E99" s="3"/>
      <c r="F99" s="1"/>
      <c r="G99" s="141">
        <f>IF(Basic3456789101112131415161718192021[[#This Row],[نوع الخدمة]]="مخالفات", 50,
IF(Basic3456789101112131415161718192021[[#This Row],[نوع الخدمة]]="كاش ان",
    IF(F99&lt;=100, 18, IF(F99&lt;=250, 23, IF(F99&lt;=500, 35, IF(F99&lt;=1000, 40, F99*0.04)))),
IF(Basic3456789101112131415161718192021[[#This Row],[نوع الخدمة]]="كاش اوت",
    IF(F99&lt;=100, 15, IF(F99&lt;=250, 20, IF(F99&lt;=500, 30, IF(F99&lt;=1000, 35, F99*0.035)))),
0)))</f>
        <v>0</v>
      </c>
      <c r="H99" s="163">
        <f>IF(I99="مخالفات",50,Basic3456789101112131415161718192021[[#This Row],[قيمة الرسوم / العموله]]+Basic3456789101112131415161718192021[[#This Row],[قيمة الشحنه]])</f>
        <v>0</v>
      </c>
      <c r="I99" s="90"/>
      <c r="J99" s="142" t="str">
        <f t="shared" si="1"/>
        <v>12.5.2026</v>
      </c>
      <c r="L99" s="153">
        <v>88</v>
      </c>
      <c r="M99" s="92"/>
    </row>
    <row r="100" spans="1:13" ht="21.6" x14ac:dyDescent="0.65">
      <c r="A100" s="195"/>
      <c r="B100" s="140">
        <v>97</v>
      </c>
      <c r="C100" s="2"/>
      <c r="D100" s="1"/>
      <c r="E100" s="3"/>
      <c r="F100" s="1"/>
      <c r="G100" s="141">
        <f>IF(Basic3456789101112131415161718192021[[#This Row],[نوع الخدمة]]="مخالفات", 50,
IF(Basic3456789101112131415161718192021[[#This Row],[نوع الخدمة]]="كاش ان",
    IF(F100&lt;=100, 18, IF(F100&lt;=250, 23, IF(F100&lt;=500, 35, IF(F100&lt;=1000, 40, F100*0.04)))),
IF(Basic3456789101112131415161718192021[[#This Row],[نوع الخدمة]]="كاش اوت",
    IF(F100&lt;=100, 15, IF(F100&lt;=250, 20, IF(F100&lt;=500, 30, IF(F100&lt;=1000, 35, F100*0.035)))),
0)))</f>
        <v>0</v>
      </c>
      <c r="H100" s="163">
        <f>IF(I100="مخالفات",50,Basic3456789101112131415161718192021[[#This Row],[قيمة الرسوم / العموله]]+Basic3456789101112131415161718192021[[#This Row],[قيمة الشحنه]])</f>
        <v>0</v>
      </c>
      <c r="I100" s="90"/>
      <c r="J100" s="142" t="str">
        <f t="shared" si="1"/>
        <v>12.5.2026</v>
      </c>
      <c r="L100" s="153">
        <v>89</v>
      </c>
      <c r="M100" s="92"/>
    </row>
    <row r="101" spans="1:13" ht="21.6" x14ac:dyDescent="0.65">
      <c r="A101" s="195"/>
      <c r="B101" s="144">
        <v>98</v>
      </c>
      <c r="C101" s="2"/>
      <c r="D101" s="1"/>
      <c r="E101" s="3"/>
      <c r="F101" s="1"/>
      <c r="G101" s="141">
        <f>IF(Basic3456789101112131415161718192021[[#This Row],[نوع الخدمة]]="مخالفات", 50,
IF(Basic3456789101112131415161718192021[[#This Row],[نوع الخدمة]]="كاش ان",
    IF(F101&lt;=100, 18, IF(F101&lt;=250, 23, IF(F101&lt;=500, 35, IF(F101&lt;=1000, 40, F101*0.04)))),
IF(Basic3456789101112131415161718192021[[#This Row],[نوع الخدمة]]="كاش اوت",
    IF(F101&lt;=100, 15, IF(F101&lt;=250, 20, IF(F101&lt;=500, 30, IF(F101&lt;=1000, 35, F101*0.035)))),
0)))</f>
        <v>0</v>
      </c>
      <c r="H101" s="163">
        <f>IF(I101="مخالفات",50,Basic3456789101112131415161718192021[[#This Row],[قيمة الرسوم / العموله]]+Basic3456789101112131415161718192021[[#This Row],[قيمة الشحنه]])</f>
        <v>0</v>
      </c>
      <c r="I101" s="90"/>
      <c r="J101" s="142" t="str">
        <f t="shared" si="1"/>
        <v>12.5.2026</v>
      </c>
      <c r="L101" s="153">
        <v>90</v>
      </c>
      <c r="M101" s="92"/>
    </row>
    <row r="102" spans="1:13" ht="21.6" x14ac:dyDescent="0.65">
      <c r="A102" s="195"/>
      <c r="B102" s="140">
        <v>99</v>
      </c>
      <c r="C102" s="2"/>
      <c r="D102" s="1"/>
      <c r="E102" s="3"/>
      <c r="F102" s="1"/>
      <c r="G102" s="141">
        <f>IF(Basic3456789101112131415161718192021[[#This Row],[نوع الخدمة]]="مخالفات", 50,
IF(Basic3456789101112131415161718192021[[#This Row],[نوع الخدمة]]="كاش ان",
    IF(F102&lt;=100, 18, IF(F102&lt;=250, 23, IF(F102&lt;=500, 35, IF(F102&lt;=1000, 40, F102*0.04)))),
IF(Basic3456789101112131415161718192021[[#This Row],[نوع الخدمة]]="كاش اوت",
    IF(F102&lt;=100, 15, IF(F102&lt;=250, 20, IF(F102&lt;=500, 30, IF(F102&lt;=1000, 35, F102*0.035)))),
0)))</f>
        <v>0</v>
      </c>
      <c r="H102" s="163">
        <f>IF(I102="مخالفات",50,Basic3456789101112131415161718192021[[#This Row],[قيمة الرسوم / العموله]]+Basic3456789101112131415161718192021[[#This Row],[قيمة الشحنه]])</f>
        <v>0</v>
      </c>
      <c r="I102" s="90"/>
      <c r="J102" s="142" t="str">
        <f t="shared" si="1"/>
        <v>12.5.2026</v>
      </c>
      <c r="L102" s="153">
        <v>91</v>
      </c>
      <c r="M102" s="92"/>
    </row>
    <row r="103" spans="1:13" ht="21.6" x14ac:dyDescent="0.65">
      <c r="A103" s="195"/>
      <c r="B103" s="140">
        <v>100</v>
      </c>
      <c r="C103" s="2"/>
      <c r="D103" s="1"/>
      <c r="E103" s="3"/>
      <c r="F103" s="1"/>
      <c r="G103" s="141">
        <f>IF(Basic3456789101112131415161718192021[[#This Row],[نوع الخدمة]]="مخالفات", 50,
IF(Basic3456789101112131415161718192021[[#This Row],[نوع الخدمة]]="كاش ان",
    IF(F103&lt;=100, 18, IF(F103&lt;=250, 23, IF(F103&lt;=500, 35, IF(F103&lt;=1000, 40, F103*0.04)))),
IF(Basic3456789101112131415161718192021[[#This Row],[نوع الخدمة]]="كاش اوت",
    IF(F103&lt;=100, 15, IF(F103&lt;=250, 20, IF(F103&lt;=500, 30, IF(F103&lt;=1000, 35, F103*0.035)))),
0)))</f>
        <v>0</v>
      </c>
      <c r="H103" s="163">
        <f>IF(I103="مخالفات",50,Basic3456789101112131415161718192021[[#This Row],[قيمة الرسوم / العموله]]+Basic3456789101112131415161718192021[[#This Row],[قيمة الشحنه]])</f>
        <v>0</v>
      </c>
      <c r="I103" s="90"/>
      <c r="J103" s="142" t="str">
        <f t="shared" si="1"/>
        <v>12.5.2026</v>
      </c>
      <c r="L103" s="153">
        <v>92</v>
      </c>
      <c r="M103" s="92"/>
    </row>
    <row r="104" spans="1:13" ht="21.6" x14ac:dyDescent="0.65">
      <c r="A104" s="195"/>
      <c r="B104" s="140">
        <v>101</v>
      </c>
      <c r="C104" s="2"/>
      <c r="D104" s="1"/>
      <c r="E104" s="3"/>
      <c r="F104" s="1"/>
      <c r="G104" s="141">
        <f>IF(Basic3456789101112131415161718192021[[#This Row],[نوع الخدمة]]="مخالفات", 50,
IF(Basic3456789101112131415161718192021[[#This Row],[نوع الخدمة]]="كاش ان",
    IF(F104&lt;=100, 18, IF(F104&lt;=250, 23, IF(F104&lt;=500, 35, IF(F104&lt;=1000, 40, F104*0.04)))),
IF(Basic3456789101112131415161718192021[[#This Row],[نوع الخدمة]]="كاش اوت",
    IF(F104&lt;=100, 15, IF(F104&lt;=250, 20, IF(F104&lt;=500, 30, IF(F104&lt;=1000, 35, F104*0.035)))),
0)))</f>
        <v>0</v>
      </c>
      <c r="H104" s="163">
        <f>IF(I104="مخالفات",50,Basic3456789101112131415161718192021[[#This Row],[قيمة الرسوم / العموله]]+Basic3456789101112131415161718192021[[#This Row],[قيمة الشحنه]])</f>
        <v>0</v>
      </c>
      <c r="I104" s="90"/>
      <c r="J104" s="142" t="str">
        <f t="shared" si="1"/>
        <v>12.5.2026</v>
      </c>
      <c r="L104" s="153">
        <v>93</v>
      </c>
      <c r="M104" s="92"/>
    </row>
    <row r="105" spans="1:13" ht="21.6" x14ac:dyDescent="0.65">
      <c r="A105" s="195"/>
      <c r="B105" s="144">
        <v>102</v>
      </c>
      <c r="C105" s="2"/>
      <c r="D105" s="1"/>
      <c r="E105" s="3"/>
      <c r="F105" s="1"/>
      <c r="G105" s="141">
        <f>IF(Basic3456789101112131415161718192021[[#This Row],[نوع الخدمة]]="مخالفات", 50,
IF(Basic3456789101112131415161718192021[[#This Row],[نوع الخدمة]]="كاش ان",
    IF(F105&lt;=100, 18, IF(F105&lt;=250, 23, IF(F105&lt;=500, 35, IF(F105&lt;=1000, 40, F105*0.04)))),
IF(Basic3456789101112131415161718192021[[#This Row],[نوع الخدمة]]="كاش اوت",
    IF(F105&lt;=100, 15, IF(F105&lt;=250, 20, IF(F105&lt;=500, 30, IF(F105&lt;=1000, 35, F105*0.035)))),
0)))</f>
        <v>0</v>
      </c>
      <c r="H105" s="163">
        <f>IF(I105="مخالفات",50,Basic3456789101112131415161718192021[[#This Row],[قيمة الرسوم / العموله]]+Basic3456789101112131415161718192021[[#This Row],[قيمة الشحنه]])</f>
        <v>0</v>
      </c>
      <c r="I105" s="90"/>
      <c r="J105" s="142" t="str">
        <f t="shared" si="1"/>
        <v>12.5.2026</v>
      </c>
      <c r="L105" s="153">
        <v>94</v>
      </c>
      <c r="M105" s="92"/>
    </row>
    <row r="106" spans="1:13" ht="21.6" x14ac:dyDescent="0.65">
      <c r="A106" s="195"/>
      <c r="B106" s="140">
        <v>103</v>
      </c>
      <c r="C106" s="2"/>
      <c r="D106" s="1"/>
      <c r="E106" s="3"/>
      <c r="F106" s="1"/>
      <c r="G106" s="141">
        <f>IF(Basic3456789101112131415161718192021[[#This Row],[نوع الخدمة]]="مخالفات", 50,
IF(Basic3456789101112131415161718192021[[#This Row],[نوع الخدمة]]="كاش ان",
    IF(F106&lt;=100, 18, IF(F106&lt;=250, 23, IF(F106&lt;=500, 35, IF(F106&lt;=1000, 40, F106*0.04)))),
IF(Basic3456789101112131415161718192021[[#This Row],[نوع الخدمة]]="كاش اوت",
    IF(F106&lt;=100, 15, IF(F106&lt;=250, 20, IF(F106&lt;=500, 30, IF(F106&lt;=1000, 35, F106*0.035)))),
0)))</f>
        <v>0</v>
      </c>
      <c r="H106" s="163">
        <f>IF(I106="مخالفات",50,Basic3456789101112131415161718192021[[#This Row],[قيمة الرسوم / العموله]]+Basic3456789101112131415161718192021[[#This Row],[قيمة الشحنه]])</f>
        <v>0</v>
      </c>
      <c r="I106" s="90"/>
      <c r="J106" s="142" t="str">
        <f t="shared" si="1"/>
        <v>12.5.2026</v>
      </c>
      <c r="L106" s="153">
        <v>95</v>
      </c>
      <c r="M106" s="92"/>
    </row>
    <row r="107" spans="1:13" ht="21.6" x14ac:dyDescent="0.65">
      <c r="A107" s="195"/>
      <c r="B107" s="140">
        <v>104</v>
      </c>
      <c r="C107" s="2"/>
      <c r="D107" s="1"/>
      <c r="E107" s="3"/>
      <c r="F107" s="1"/>
      <c r="G107" s="141">
        <f>IF(Basic3456789101112131415161718192021[[#This Row],[نوع الخدمة]]="مخالفات", 50,
IF(Basic3456789101112131415161718192021[[#This Row],[نوع الخدمة]]="كاش ان",
    IF(F107&lt;=100, 18, IF(F107&lt;=250, 23, IF(F107&lt;=500, 35, IF(F107&lt;=1000, 40, F107*0.04)))),
IF(Basic3456789101112131415161718192021[[#This Row],[نوع الخدمة]]="كاش اوت",
    IF(F107&lt;=100, 15, IF(F107&lt;=250, 20, IF(F107&lt;=500, 30, IF(F107&lt;=1000, 35, F107*0.035)))),
0)))</f>
        <v>0</v>
      </c>
      <c r="H107" s="163">
        <f>IF(I107="مخالفات",50,Basic3456789101112131415161718192021[[#This Row],[قيمة الرسوم / العموله]]+Basic3456789101112131415161718192021[[#This Row],[قيمة الشحنه]])</f>
        <v>0</v>
      </c>
      <c r="I107" s="90"/>
      <c r="J107" s="142" t="str">
        <f t="shared" si="1"/>
        <v>12.5.2026</v>
      </c>
      <c r="L107" s="153">
        <v>96</v>
      </c>
      <c r="M107" s="92"/>
    </row>
    <row r="108" spans="1:13" ht="21.6" x14ac:dyDescent="0.65">
      <c r="A108" s="195"/>
      <c r="B108" s="140">
        <v>105</v>
      </c>
      <c r="C108" s="2"/>
      <c r="D108" s="1"/>
      <c r="E108" s="3"/>
      <c r="F108" s="1"/>
      <c r="G108" s="141">
        <f>IF(Basic3456789101112131415161718192021[[#This Row],[نوع الخدمة]]="مخالفات", 50,
IF(Basic3456789101112131415161718192021[[#This Row],[نوع الخدمة]]="كاش ان",
    IF(F108&lt;=100, 18, IF(F108&lt;=250, 23, IF(F108&lt;=500, 35, IF(F108&lt;=1000, 40, F108*0.04)))),
IF(Basic3456789101112131415161718192021[[#This Row],[نوع الخدمة]]="كاش اوت",
    IF(F108&lt;=100, 15, IF(F108&lt;=250, 20, IF(F108&lt;=500, 30, IF(F108&lt;=1000, 35, F108*0.035)))),
0)))</f>
        <v>0</v>
      </c>
      <c r="H108" s="163">
        <f>IF(I108="مخالفات",50,Basic3456789101112131415161718192021[[#This Row],[قيمة الرسوم / العموله]]+Basic3456789101112131415161718192021[[#This Row],[قيمة الشحنه]])</f>
        <v>0</v>
      </c>
      <c r="I108" s="90"/>
      <c r="J108" s="142" t="str">
        <f t="shared" si="1"/>
        <v>12.5.2026</v>
      </c>
      <c r="L108" s="153">
        <v>97</v>
      </c>
      <c r="M108" s="92"/>
    </row>
    <row r="109" spans="1:13" ht="21.6" x14ac:dyDescent="0.65">
      <c r="A109" s="195"/>
      <c r="B109" s="144">
        <v>106</v>
      </c>
      <c r="C109" s="2"/>
      <c r="D109" s="1"/>
      <c r="E109" s="3"/>
      <c r="F109" s="1"/>
      <c r="G109" s="141">
        <f>IF(Basic3456789101112131415161718192021[[#This Row],[نوع الخدمة]]="مخالفات", 50,
IF(Basic3456789101112131415161718192021[[#This Row],[نوع الخدمة]]="كاش ان",
    IF(F109&lt;=100, 18, IF(F109&lt;=250, 23, IF(F109&lt;=500, 35, IF(F109&lt;=1000, 40, F109*0.04)))),
IF(Basic3456789101112131415161718192021[[#This Row],[نوع الخدمة]]="كاش اوت",
    IF(F109&lt;=100, 15, IF(F109&lt;=250, 20, IF(F109&lt;=500, 30, IF(F109&lt;=1000, 35, F109*0.035)))),
0)))</f>
        <v>0</v>
      </c>
      <c r="H109" s="163">
        <f>IF(I109="مخالفات",50,Basic3456789101112131415161718192021[[#This Row],[قيمة الرسوم / العموله]]+Basic3456789101112131415161718192021[[#This Row],[قيمة الشحنه]])</f>
        <v>0</v>
      </c>
      <c r="I109" s="90"/>
      <c r="J109" s="142" t="str">
        <f t="shared" si="1"/>
        <v>12.5.2026</v>
      </c>
      <c r="L109" s="153">
        <v>98</v>
      </c>
      <c r="M109" s="92"/>
    </row>
    <row r="110" spans="1:13" ht="21.6" x14ac:dyDescent="0.65">
      <c r="A110" s="195"/>
      <c r="B110" s="140">
        <v>107</v>
      </c>
      <c r="C110" s="2"/>
      <c r="D110" s="1"/>
      <c r="E110" s="3"/>
      <c r="F110" s="1"/>
      <c r="G110" s="141">
        <f>IF(Basic3456789101112131415161718192021[[#This Row],[نوع الخدمة]]="مخالفات", 50,
IF(Basic3456789101112131415161718192021[[#This Row],[نوع الخدمة]]="كاش ان",
    IF(F110&lt;=100, 18, IF(F110&lt;=250, 23, IF(F110&lt;=500, 35, IF(F110&lt;=1000, 40, F110*0.04)))),
IF(Basic3456789101112131415161718192021[[#This Row],[نوع الخدمة]]="كاش اوت",
    IF(F110&lt;=100, 15, IF(F110&lt;=250, 20, IF(F110&lt;=500, 30, IF(F110&lt;=1000, 35, F110*0.035)))),
0)))</f>
        <v>0</v>
      </c>
      <c r="H110" s="163">
        <f>IF(I110="مخالفات",50,Basic3456789101112131415161718192021[[#This Row],[قيمة الرسوم / العموله]]+Basic3456789101112131415161718192021[[#This Row],[قيمة الشحنه]])</f>
        <v>0</v>
      </c>
      <c r="I110" s="90"/>
      <c r="J110" s="142" t="str">
        <f t="shared" si="1"/>
        <v>12.5.2026</v>
      </c>
      <c r="L110" s="153">
        <v>99</v>
      </c>
      <c r="M110" s="92"/>
    </row>
    <row r="111" spans="1:13" ht="21.6" x14ac:dyDescent="0.65">
      <c r="A111" s="195"/>
      <c r="B111" s="140">
        <v>108</v>
      </c>
      <c r="C111" s="2"/>
      <c r="D111" s="1"/>
      <c r="E111" s="3"/>
      <c r="F111" s="1"/>
      <c r="G111" s="141">
        <f>IF(Basic3456789101112131415161718192021[[#This Row],[نوع الخدمة]]="مخالفات", 50,
IF(Basic3456789101112131415161718192021[[#This Row],[نوع الخدمة]]="كاش ان",
    IF(F111&lt;=100, 18, IF(F111&lt;=250, 23, IF(F111&lt;=500, 35, IF(F111&lt;=1000, 40, F111*0.04)))),
IF(Basic3456789101112131415161718192021[[#This Row],[نوع الخدمة]]="كاش اوت",
    IF(F111&lt;=100, 15, IF(F111&lt;=250, 20, IF(F111&lt;=500, 30, IF(F111&lt;=1000, 35, F111*0.035)))),
0)))</f>
        <v>0</v>
      </c>
      <c r="H111" s="163">
        <f>IF(I111="مخالفات",50,Basic3456789101112131415161718192021[[#This Row],[قيمة الرسوم / العموله]]+Basic3456789101112131415161718192021[[#This Row],[قيمة الشحنه]])</f>
        <v>0</v>
      </c>
      <c r="I111" s="90"/>
      <c r="J111" s="142" t="str">
        <f t="shared" si="1"/>
        <v>12.5.2026</v>
      </c>
      <c r="L111" s="153">
        <v>100</v>
      </c>
      <c r="M111" s="92"/>
    </row>
    <row r="112" spans="1:13" ht="21.6" x14ac:dyDescent="0.65">
      <c r="A112" s="195"/>
      <c r="B112" s="140">
        <v>109</v>
      </c>
      <c r="C112" s="2"/>
      <c r="D112" s="1"/>
      <c r="E112" s="3"/>
      <c r="F112" s="1"/>
      <c r="G112" s="141">
        <f>IF(Basic3456789101112131415161718192021[[#This Row],[نوع الخدمة]]="مخالفات", 50,
IF(Basic3456789101112131415161718192021[[#This Row],[نوع الخدمة]]="كاش ان",
    IF(F112&lt;=100, 18, IF(F112&lt;=250, 23, IF(F112&lt;=500, 35, IF(F112&lt;=1000, 40, F112*0.04)))),
IF(Basic3456789101112131415161718192021[[#This Row],[نوع الخدمة]]="كاش اوت",
    IF(F112&lt;=100, 15, IF(F112&lt;=250, 20, IF(F112&lt;=500, 30, IF(F112&lt;=1000, 35, F112*0.035)))),
0)))</f>
        <v>0</v>
      </c>
      <c r="H112" s="163">
        <f>IF(I112="مخالفات",50,Basic3456789101112131415161718192021[[#This Row],[قيمة الرسوم / العموله]]+Basic3456789101112131415161718192021[[#This Row],[قيمة الشحنه]])</f>
        <v>0</v>
      </c>
      <c r="I112" s="90"/>
      <c r="J112" s="142" t="str">
        <f t="shared" si="1"/>
        <v>12.5.2026</v>
      </c>
      <c r="L112" s="153">
        <v>101</v>
      </c>
      <c r="M112" s="92"/>
    </row>
    <row r="113" spans="1:13" ht="21.6" x14ac:dyDescent="0.65">
      <c r="A113" s="195"/>
      <c r="B113" s="144">
        <v>110</v>
      </c>
      <c r="C113" s="2"/>
      <c r="D113" s="1"/>
      <c r="E113" s="3"/>
      <c r="F113" s="1"/>
      <c r="G113" s="141">
        <f>IF(Basic3456789101112131415161718192021[[#This Row],[نوع الخدمة]]="مخالفات", 50,
IF(Basic3456789101112131415161718192021[[#This Row],[نوع الخدمة]]="كاش ان",
    IF(F113&lt;=100, 18, IF(F113&lt;=250, 23, IF(F113&lt;=500, 35, IF(F113&lt;=1000, 40, F113*0.04)))),
IF(Basic3456789101112131415161718192021[[#This Row],[نوع الخدمة]]="كاش اوت",
    IF(F113&lt;=100, 15, IF(F113&lt;=250, 20, IF(F113&lt;=500, 30, IF(F113&lt;=1000, 35, F113*0.035)))),
0)))</f>
        <v>0</v>
      </c>
      <c r="H113" s="163">
        <f>IF(I113="مخالفات",50,Basic3456789101112131415161718192021[[#This Row],[قيمة الرسوم / العموله]]+Basic3456789101112131415161718192021[[#This Row],[قيمة الشحنه]])</f>
        <v>0</v>
      </c>
      <c r="I113" s="90"/>
      <c r="J113" s="142" t="str">
        <f t="shared" si="1"/>
        <v>12.5.2026</v>
      </c>
      <c r="L113" s="153">
        <v>102</v>
      </c>
      <c r="M113" s="92"/>
    </row>
    <row r="114" spans="1:13" ht="21.6" x14ac:dyDescent="0.65">
      <c r="A114" s="195"/>
      <c r="B114" s="140">
        <v>111</v>
      </c>
      <c r="C114" s="2"/>
      <c r="D114" s="1"/>
      <c r="E114" s="3"/>
      <c r="F114" s="1"/>
      <c r="G114" s="141">
        <f>IF(Basic3456789101112131415161718192021[[#This Row],[نوع الخدمة]]="مخالفات", 50,
IF(Basic3456789101112131415161718192021[[#This Row],[نوع الخدمة]]="كاش ان",
    IF(F114&lt;=100, 18, IF(F114&lt;=250, 23, IF(F114&lt;=500, 35, IF(F114&lt;=1000, 40, F114*0.04)))),
IF(Basic3456789101112131415161718192021[[#This Row],[نوع الخدمة]]="كاش اوت",
    IF(F114&lt;=100, 15, IF(F114&lt;=250, 20, IF(F114&lt;=500, 30, IF(F114&lt;=1000, 35, F114*0.035)))),
0)))</f>
        <v>0</v>
      </c>
      <c r="H114" s="163">
        <f>IF(I114="مخالفات",50,Basic3456789101112131415161718192021[[#This Row],[قيمة الرسوم / العموله]]+Basic3456789101112131415161718192021[[#This Row],[قيمة الشحنه]])</f>
        <v>0</v>
      </c>
      <c r="I114" s="90"/>
      <c r="J114" s="142" t="str">
        <f t="shared" si="1"/>
        <v>12.5.2026</v>
      </c>
      <c r="L114" s="153">
        <v>103</v>
      </c>
      <c r="M114" s="92"/>
    </row>
    <row r="115" spans="1:13" ht="21.6" x14ac:dyDescent="0.65">
      <c r="A115" s="195"/>
      <c r="B115" s="140">
        <v>112</v>
      </c>
      <c r="C115" s="2"/>
      <c r="D115" s="1"/>
      <c r="E115" s="3"/>
      <c r="F115" s="1"/>
      <c r="G115" s="141">
        <f>IF(Basic3456789101112131415161718192021[[#This Row],[نوع الخدمة]]="مخالفات", 50,
IF(Basic3456789101112131415161718192021[[#This Row],[نوع الخدمة]]="كاش ان",
    IF(F115&lt;=100, 18, IF(F115&lt;=250, 23, IF(F115&lt;=500, 35, IF(F115&lt;=1000, 40, F115*0.04)))),
IF(Basic3456789101112131415161718192021[[#This Row],[نوع الخدمة]]="كاش اوت",
    IF(F115&lt;=100, 15, IF(F115&lt;=250, 20, IF(F115&lt;=500, 30, IF(F115&lt;=1000, 35, F115*0.035)))),
0)))</f>
        <v>0</v>
      </c>
      <c r="H115" s="163">
        <f>IF(I115="مخالفات",50,Basic3456789101112131415161718192021[[#This Row],[قيمة الرسوم / العموله]]+Basic3456789101112131415161718192021[[#This Row],[قيمة الشحنه]])</f>
        <v>0</v>
      </c>
      <c r="I115" s="90"/>
      <c r="J115" s="142" t="str">
        <f t="shared" si="1"/>
        <v>12.5.2026</v>
      </c>
      <c r="L115" s="153">
        <v>104</v>
      </c>
      <c r="M115" s="92"/>
    </row>
    <row r="116" spans="1:13" ht="21.6" x14ac:dyDescent="0.65">
      <c r="A116" s="195"/>
      <c r="B116" s="140">
        <v>113</v>
      </c>
      <c r="C116" s="2"/>
      <c r="D116" s="1"/>
      <c r="E116" s="3"/>
      <c r="F116" s="1"/>
      <c r="G116" s="141">
        <f>IF(Basic3456789101112131415161718192021[[#This Row],[نوع الخدمة]]="مخالفات", 50,
IF(Basic3456789101112131415161718192021[[#This Row],[نوع الخدمة]]="كاش ان",
    IF(F116&lt;=100, 18, IF(F116&lt;=250, 23, IF(F116&lt;=500, 35, IF(F116&lt;=1000, 40, F116*0.04)))),
IF(Basic3456789101112131415161718192021[[#This Row],[نوع الخدمة]]="كاش اوت",
    IF(F116&lt;=100, 15, IF(F116&lt;=250, 20, IF(F116&lt;=500, 30, IF(F116&lt;=1000, 35, F116*0.035)))),
0)))</f>
        <v>0</v>
      </c>
      <c r="H116" s="163">
        <f>IF(I116="مخالفات",50,Basic3456789101112131415161718192021[[#This Row],[قيمة الرسوم / العموله]]+Basic3456789101112131415161718192021[[#This Row],[قيمة الشحنه]])</f>
        <v>0</v>
      </c>
      <c r="I116" s="90"/>
      <c r="J116" s="142" t="str">
        <f t="shared" si="1"/>
        <v>12.5.2026</v>
      </c>
      <c r="L116" s="153">
        <v>105</v>
      </c>
      <c r="M116" s="92"/>
    </row>
    <row r="117" spans="1:13" ht="21.6" x14ac:dyDescent="0.65">
      <c r="A117" s="195"/>
      <c r="B117" s="144">
        <v>114</v>
      </c>
      <c r="C117" s="2"/>
      <c r="D117" s="1"/>
      <c r="E117" s="3"/>
      <c r="F117" s="1"/>
      <c r="G117" s="141">
        <f>IF(Basic3456789101112131415161718192021[[#This Row],[نوع الخدمة]]="مخالفات", 50,
IF(Basic3456789101112131415161718192021[[#This Row],[نوع الخدمة]]="كاش ان",
    IF(F117&lt;=100, 18, IF(F117&lt;=250, 23, IF(F117&lt;=500, 35, IF(F117&lt;=1000, 40, F117*0.04)))),
IF(Basic3456789101112131415161718192021[[#This Row],[نوع الخدمة]]="كاش اوت",
    IF(F117&lt;=100, 15, IF(F117&lt;=250, 20, IF(F117&lt;=500, 30, IF(F117&lt;=1000, 35, F117*0.035)))),
0)))</f>
        <v>0</v>
      </c>
      <c r="H117" s="163">
        <f>IF(I117="مخالفات",50,Basic3456789101112131415161718192021[[#This Row],[قيمة الرسوم / العموله]]+Basic3456789101112131415161718192021[[#This Row],[قيمة الشحنه]])</f>
        <v>0</v>
      </c>
      <c r="I117" s="90"/>
      <c r="J117" s="142" t="str">
        <f t="shared" si="1"/>
        <v>12.5.2026</v>
      </c>
      <c r="L117" s="153">
        <v>106</v>
      </c>
      <c r="M117" s="92"/>
    </row>
    <row r="118" spans="1:13" ht="21.6" x14ac:dyDescent="0.65">
      <c r="A118" s="195"/>
      <c r="B118" s="140">
        <v>115</v>
      </c>
      <c r="C118" s="2"/>
      <c r="D118" s="1"/>
      <c r="E118" s="3"/>
      <c r="F118" s="1"/>
      <c r="G118" s="141">
        <f>IF(Basic3456789101112131415161718192021[[#This Row],[نوع الخدمة]]="مخالفات", 50,
IF(Basic3456789101112131415161718192021[[#This Row],[نوع الخدمة]]="كاش ان",
    IF(F118&lt;=100, 18, IF(F118&lt;=250, 23, IF(F118&lt;=500, 35, IF(F118&lt;=1000, 40, F118*0.04)))),
IF(Basic3456789101112131415161718192021[[#This Row],[نوع الخدمة]]="كاش اوت",
    IF(F118&lt;=100, 15, IF(F118&lt;=250, 20, IF(F118&lt;=500, 30, IF(F118&lt;=1000, 35, F118*0.035)))),
0)))</f>
        <v>0</v>
      </c>
      <c r="H118" s="163">
        <f>IF(I118="مخالفات",50,Basic3456789101112131415161718192021[[#This Row],[قيمة الرسوم / العموله]]+Basic3456789101112131415161718192021[[#This Row],[قيمة الشحنه]])</f>
        <v>0</v>
      </c>
      <c r="I118" s="90"/>
      <c r="J118" s="142" t="str">
        <f t="shared" si="1"/>
        <v>12.5.2026</v>
      </c>
      <c r="L118" s="153">
        <v>107</v>
      </c>
      <c r="M118" s="92"/>
    </row>
    <row r="119" spans="1:13" ht="21.6" x14ac:dyDescent="0.65">
      <c r="A119" s="195"/>
      <c r="B119" s="140">
        <v>116</v>
      </c>
      <c r="C119" s="2"/>
      <c r="D119" s="1"/>
      <c r="E119" s="3"/>
      <c r="F119" s="1"/>
      <c r="G119" s="141">
        <f>IF(Basic3456789101112131415161718192021[[#This Row],[نوع الخدمة]]="مخالفات", 50,
IF(Basic3456789101112131415161718192021[[#This Row],[نوع الخدمة]]="كاش ان",
    IF(F119&lt;=100, 18, IF(F119&lt;=250, 23, IF(F119&lt;=500, 35, IF(F119&lt;=1000, 40, F119*0.04)))),
IF(Basic3456789101112131415161718192021[[#This Row],[نوع الخدمة]]="كاش اوت",
    IF(F119&lt;=100, 15, IF(F119&lt;=250, 20, IF(F119&lt;=500, 30, IF(F119&lt;=1000, 35, F119*0.035)))),
0)))</f>
        <v>0</v>
      </c>
      <c r="H119" s="163">
        <f>IF(I119="مخالفات",50,Basic3456789101112131415161718192021[[#This Row],[قيمة الرسوم / العموله]]+Basic3456789101112131415161718192021[[#This Row],[قيمة الشحنه]])</f>
        <v>0</v>
      </c>
      <c r="I119" s="90"/>
      <c r="J119" s="142" t="str">
        <f t="shared" si="1"/>
        <v>12.5.2026</v>
      </c>
      <c r="L119" s="153">
        <v>108</v>
      </c>
      <c r="M119" s="92"/>
    </row>
    <row r="120" spans="1:13" ht="21.6" x14ac:dyDescent="0.65">
      <c r="A120" s="195"/>
      <c r="B120" s="140">
        <v>117</v>
      </c>
      <c r="C120" s="2"/>
      <c r="D120" s="1"/>
      <c r="E120" s="3"/>
      <c r="F120" s="1"/>
      <c r="G120" s="141">
        <f>IF(Basic3456789101112131415161718192021[[#This Row],[نوع الخدمة]]="مخالفات", 50,
IF(Basic3456789101112131415161718192021[[#This Row],[نوع الخدمة]]="كاش ان",
    IF(F120&lt;=100, 18, IF(F120&lt;=250, 23, IF(F120&lt;=500, 35, IF(F120&lt;=1000, 40, F120*0.04)))),
IF(Basic3456789101112131415161718192021[[#This Row],[نوع الخدمة]]="كاش اوت",
    IF(F120&lt;=100, 15, IF(F120&lt;=250, 20, IF(F120&lt;=500, 30, IF(F120&lt;=1000, 35, F120*0.035)))),
0)))</f>
        <v>0</v>
      </c>
      <c r="H120" s="163">
        <f>IF(I120="مخالفات",50,Basic3456789101112131415161718192021[[#This Row],[قيمة الرسوم / العموله]]+Basic3456789101112131415161718192021[[#This Row],[قيمة الشحنه]])</f>
        <v>0</v>
      </c>
      <c r="I120" s="90"/>
      <c r="J120" s="142" t="str">
        <f t="shared" si="1"/>
        <v>12.5.2026</v>
      </c>
      <c r="L120" s="153">
        <v>109</v>
      </c>
      <c r="M120" s="92"/>
    </row>
    <row r="121" spans="1:13" ht="21.6" x14ac:dyDescent="0.65">
      <c r="A121" s="195"/>
      <c r="B121" s="144">
        <v>118</v>
      </c>
      <c r="C121" s="2"/>
      <c r="D121" s="1"/>
      <c r="E121" s="3"/>
      <c r="F121" s="1"/>
      <c r="G121" s="141">
        <f>IF(Basic3456789101112131415161718192021[[#This Row],[نوع الخدمة]]="مخالفات", 50,
IF(Basic3456789101112131415161718192021[[#This Row],[نوع الخدمة]]="كاش ان",
    IF(F121&lt;=100, 18, IF(F121&lt;=250, 23, IF(F121&lt;=500, 35, IF(F121&lt;=1000, 40, F121*0.04)))),
IF(Basic3456789101112131415161718192021[[#This Row],[نوع الخدمة]]="كاش اوت",
    IF(F121&lt;=100, 15, IF(F121&lt;=250, 20, IF(F121&lt;=500, 30, IF(F121&lt;=1000, 35, F121*0.035)))),
0)))</f>
        <v>0</v>
      </c>
      <c r="H121" s="163">
        <f>IF(I121="مخالفات",50,Basic3456789101112131415161718192021[[#This Row],[قيمة الرسوم / العموله]]+Basic3456789101112131415161718192021[[#This Row],[قيمة الشحنه]])</f>
        <v>0</v>
      </c>
      <c r="I121" s="90"/>
      <c r="J121" s="142" t="str">
        <f t="shared" si="1"/>
        <v>12.5.2026</v>
      </c>
      <c r="L121" s="153">
        <v>110</v>
      </c>
      <c r="M121" s="92"/>
    </row>
    <row r="122" spans="1:13" ht="21.6" x14ac:dyDescent="0.65">
      <c r="A122" s="195"/>
      <c r="B122" s="140">
        <v>119</v>
      </c>
      <c r="C122" s="2"/>
      <c r="D122" s="1"/>
      <c r="E122" s="3"/>
      <c r="F122" s="1"/>
      <c r="G122" s="141">
        <f>IF(Basic3456789101112131415161718192021[[#This Row],[نوع الخدمة]]="مخالفات", 50,
IF(Basic3456789101112131415161718192021[[#This Row],[نوع الخدمة]]="كاش ان",
    IF(F122&lt;=100, 18, IF(F122&lt;=250, 23, IF(F122&lt;=500, 35, IF(F122&lt;=1000, 40, F122*0.04)))),
IF(Basic3456789101112131415161718192021[[#This Row],[نوع الخدمة]]="كاش اوت",
    IF(F122&lt;=100, 15, IF(F122&lt;=250, 20, IF(F122&lt;=500, 30, IF(F122&lt;=1000, 35, F122*0.035)))),
0)))</f>
        <v>0</v>
      </c>
      <c r="H122" s="163">
        <f>IF(I122="مخالفات",50,Basic3456789101112131415161718192021[[#This Row],[قيمة الرسوم / العموله]]+Basic3456789101112131415161718192021[[#This Row],[قيمة الشحنه]])</f>
        <v>0</v>
      </c>
      <c r="I122" s="90"/>
      <c r="J122" s="142" t="str">
        <f t="shared" si="1"/>
        <v>12.5.2026</v>
      </c>
      <c r="L122" s="153">
        <v>111</v>
      </c>
      <c r="M122" s="92"/>
    </row>
    <row r="123" spans="1:13" ht="21.6" x14ac:dyDescent="0.65">
      <c r="A123" s="195"/>
      <c r="B123" s="140">
        <v>120</v>
      </c>
      <c r="C123" s="2"/>
      <c r="D123" s="1"/>
      <c r="E123" s="3"/>
      <c r="F123" s="1"/>
      <c r="G123" s="141">
        <f>IF(Basic3456789101112131415161718192021[[#This Row],[نوع الخدمة]]="مخالفات", 50,
IF(Basic3456789101112131415161718192021[[#This Row],[نوع الخدمة]]="كاش ان",
    IF(F123&lt;=100, 18, IF(F123&lt;=250, 23, IF(F123&lt;=500, 35, IF(F123&lt;=1000, 40, F123*0.04)))),
IF(Basic3456789101112131415161718192021[[#This Row],[نوع الخدمة]]="كاش اوت",
    IF(F123&lt;=100, 15, IF(F123&lt;=250, 20, IF(F123&lt;=500, 30, IF(F123&lt;=1000, 35, F123*0.035)))),
0)))</f>
        <v>0</v>
      </c>
      <c r="H123" s="163">
        <f>IF(I123="مخالفات",50,Basic3456789101112131415161718192021[[#This Row],[قيمة الرسوم / العموله]]+Basic3456789101112131415161718192021[[#This Row],[قيمة الشحنه]])</f>
        <v>0</v>
      </c>
      <c r="I123" s="90"/>
      <c r="J123" s="142" t="str">
        <f t="shared" si="1"/>
        <v>12.5.2026</v>
      </c>
      <c r="L123" s="153">
        <v>112</v>
      </c>
      <c r="M123" s="92"/>
    </row>
    <row r="124" spans="1:13" ht="21.6" x14ac:dyDescent="0.65">
      <c r="A124" s="195"/>
      <c r="B124" s="140">
        <v>121</v>
      </c>
      <c r="C124" s="2"/>
      <c r="D124" s="1"/>
      <c r="E124" s="3"/>
      <c r="F124" s="1"/>
      <c r="G124" s="141">
        <f>IF(Basic3456789101112131415161718192021[[#This Row],[نوع الخدمة]]="مخالفات", 50,
IF(Basic3456789101112131415161718192021[[#This Row],[نوع الخدمة]]="كاش ان",
    IF(F124&lt;=100, 18, IF(F124&lt;=250, 23, IF(F124&lt;=500, 35, IF(F124&lt;=1000, 40, F124*0.04)))),
IF(Basic3456789101112131415161718192021[[#This Row],[نوع الخدمة]]="كاش اوت",
    IF(F124&lt;=100, 15, IF(F124&lt;=250, 20, IF(F124&lt;=500, 30, IF(F124&lt;=1000, 35, F124*0.035)))),
0)))</f>
        <v>0</v>
      </c>
      <c r="H124" s="163">
        <f>IF(I124="مخالفات",50,Basic3456789101112131415161718192021[[#This Row],[قيمة الرسوم / العموله]]+Basic3456789101112131415161718192021[[#This Row],[قيمة الشحنه]])</f>
        <v>0</v>
      </c>
      <c r="I124" s="90"/>
      <c r="J124" s="142" t="str">
        <f t="shared" si="1"/>
        <v>12.5.2026</v>
      </c>
      <c r="L124" s="153">
        <v>113</v>
      </c>
      <c r="M124" s="92"/>
    </row>
    <row r="125" spans="1:13" ht="21.6" x14ac:dyDescent="0.65">
      <c r="A125" s="195"/>
      <c r="B125" s="144">
        <v>122</v>
      </c>
      <c r="C125" s="2"/>
      <c r="D125" s="1"/>
      <c r="E125" s="3"/>
      <c r="F125" s="1"/>
      <c r="G125" s="141">
        <f>IF(Basic3456789101112131415161718192021[[#This Row],[نوع الخدمة]]="مخالفات", 50,
IF(Basic3456789101112131415161718192021[[#This Row],[نوع الخدمة]]="كاش ان",
    IF(F125&lt;=100, 18, IF(F125&lt;=250, 23, IF(F125&lt;=500, 35, IF(F125&lt;=1000, 40, F125*0.04)))),
IF(Basic3456789101112131415161718192021[[#This Row],[نوع الخدمة]]="كاش اوت",
    IF(F125&lt;=100, 15, IF(F125&lt;=250, 20, IF(F125&lt;=500, 30, IF(F125&lt;=1000, 35, F125*0.035)))),
0)))</f>
        <v>0</v>
      </c>
      <c r="H125" s="163">
        <f>IF(I125="مخالفات",50,Basic3456789101112131415161718192021[[#This Row],[قيمة الرسوم / العموله]]+Basic3456789101112131415161718192021[[#This Row],[قيمة الشحنه]])</f>
        <v>0</v>
      </c>
      <c r="I125" s="90"/>
      <c r="J125" s="142" t="str">
        <f t="shared" si="1"/>
        <v>12.5.2026</v>
      </c>
      <c r="L125" s="153">
        <v>114</v>
      </c>
      <c r="M125" s="92"/>
    </row>
    <row r="126" spans="1:13" ht="21.6" x14ac:dyDescent="0.65">
      <c r="A126" s="195"/>
      <c r="B126" s="140">
        <v>123</v>
      </c>
      <c r="C126" s="2"/>
      <c r="D126" s="1"/>
      <c r="E126" s="3"/>
      <c r="F126" s="1"/>
      <c r="G126" s="141">
        <f>IF(Basic3456789101112131415161718192021[[#This Row],[نوع الخدمة]]="مخالفات", 50,
IF(Basic3456789101112131415161718192021[[#This Row],[نوع الخدمة]]="كاش ان",
    IF(F126&lt;=100, 18, IF(F126&lt;=250, 23, IF(F126&lt;=500, 35, IF(F126&lt;=1000, 40, F126*0.04)))),
IF(Basic3456789101112131415161718192021[[#This Row],[نوع الخدمة]]="كاش اوت",
    IF(F126&lt;=100, 15, IF(F126&lt;=250, 20, IF(F126&lt;=500, 30, IF(F126&lt;=1000, 35, F126*0.035)))),
0)))</f>
        <v>0</v>
      </c>
      <c r="H126" s="163">
        <f>IF(I126="مخالفات",50,Basic3456789101112131415161718192021[[#This Row],[قيمة الرسوم / العموله]]+Basic3456789101112131415161718192021[[#This Row],[قيمة الشحنه]])</f>
        <v>0</v>
      </c>
      <c r="I126" s="90"/>
      <c r="J126" s="142" t="str">
        <f t="shared" si="1"/>
        <v>12.5.2026</v>
      </c>
      <c r="L126" s="153">
        <v>115</v>
      </c>
      <c r="M126" s="92"/>
    </row>
    <row r="127" spans="1:13" ht="21.6" x14ac:dyDescent="0.65">
      <c r="A127" s="195"/>
      <c r="B127" s="140">
        <v>124</v>
      </c>
      <c r="C127" s="2"/>
      <c r="D127" s="1"/>
      <c r="E127" s="3"/>
      <c r="F127" s="1"/>
      <c r="G127" s="141">
        <f>IF(Basic3456789101112131415161718192021[[#This Row],[نوع الخدمة]]="مخالفات", 50,
IF(Basic3456789101112131415161718192021[[#This Row],[نوع الخدمة]]="كاش ان",
    IF(F127&lt;=100, 18, IF(F127&lt;=250, 23, IF(F127&lt;=500, 35, IF(F127&lt;=1000, 40, F127*0.04)))),
IF(Basic3456789101112131415161718192021[[#This Row],[نوع الخدمة]]="كاش اوت",
    IF(F127&lt;=100, 15, IF(F127&lt;=250, 20, IF(F127&lt;=500, 30, IF(F127&lt;=1000, 35, F127*0.035)))),
0)))</f>
        <v>0</v>
      </c>
      <c r="H127" s="163">
        <f>IF(I127="مخالفات",50,Basic3456789101112131415161718192021[[#This Row],[قيمة الرسوم / العموله]]+Basic3456789101112131415161718192021[[#This Row],[قيمة الشحنه]])</f>
        <v>0</v>
      </c>
      <c r="I127" s="90"/>
      <c r="J127" s="142" t="str">
        <f t="shared" si="1"/>
        <v>12.5.2026</v>
      </c>
      <c r="L127" s="153">
        <v>116</v>
      </c>
      <c r="M127" s="92"/>
    </row>
    <row r="128" spans="1:13" ht="21.6" x14ac:dyDescent="0.65">
      <c r="A128" s="195"/>
      <c r="B128" s="140">
        <v>125</v>
      </c>
      <c r="C128" s="2"/>
      <c r="D128" s="1"/>
      <c r="E128" s="3"/>
      <c r="F128" s="1"/>
      <c r="G128" s="141">
        <f>IF(Basic3456789101112131415161718192021[[#This Row],[نوع الخدمة]]="مخالفات", 50,
IF(Basic3456789101112131415161718192021[[#This Row],[نوع الخدمة]]="كاش ان",
    IF(F128&lt;=100, 18, IF(F128&lt;=250, 23, IF(F128&lt;=500, 35, IF(F128&lt;=1000, 40, F128*0.04)))),
IF(Basic3456789101112131415161718192021[[#This Row],[نوع الخدمة]]="كاش اوت",
    IF(F128&lt;=100, 15, IF(F128&lt;=250, 20, IF(F128&lt;=500, 30, IF(F128&lt;=1000, 35, F128*0.035)))),
0)))</f>
        <v>0</v>
      </c>
      <c r="H128" s="163">
        <f>IF(I128="مخالفات",50,Basic3456789101112131415161718192021[[#This Row],[قيمة الرسوم / العموله]]+Basic3456789101112131415161718192021[[#This Row],[قيمة الشحنه]])</f>
        <v>0</v>
      </c>
      <c r="I128" s="90"/>
      <c r="J128" s="142" t="str">
        <f t="shared" si="1"/>
        <v>12.5.2026</v>
      </c>
      <c r="L128" s="153">
        <v>117</v>
      </c>
      <c r="M128" s="92"/>
    </row>
    <row r="129" spans="1:13" ht="21.6" x14ac:dyDescent="0.65">
      <c r="A129" s="195"/>
      <c r="B129" s="144">
        <v>126</v>
      </c>
      <c r="C129" s="2"/>
      <c r="D129" s="1"/>
      <c r="E129" s="3"/>
      <c r="F129" s="1"/>
      <c r="G129" s="141">
        <f>IF(Basic3456789101112131415161718192021[[#This Row],[نوع الخدمة]]="مخالفات", 50,
IF(Basic3456789101112131415161718192021[[#This Row],[نوع الخدمة]]="كاش ان",
    IF(F129&lt;=100, 18, IF(F129&lt;=250, 23, IF(F129&lt;=500, 35, IF(F129&lt;=1000, 40, F129*0.04)))),
IF(Basic3456789101112131415161718192021[[#This Row],[نوع الخدمة]]="كاش اوت",
    IF(F129&lt;=100, 15, IF(F129&lt;=250, 20, IF(F129&lt;=500, 30, IF(F129&lt;=1000, 35, F129*0.035)))),
0)))</f>
        <v>0</v>
      </c>
      <c r="H129" s="163">
        <f>IF(I129="مخالفات",50,Basic3456789101112131415161718192021[[#This Row],[قيمة الرسوم / العموله]]+Basic3456789101112131415161718192021[[#This Row],[قيمة الشحنه]])</f>
        <v>0</v>
      </c>
      <c r="I129" s="90"/>
      <c r="J129" s="142" t="str">
        <f t="shared" si="1"/>
        <v>12.5.2026</v>
      </c>
      <c r="L129" s="153">
        <v>118</v>
      </c>
      <c r="M129" s="92"/>
    </row>
    <row r="130" spans="1:13" ht="21.6" x14ac:dyDescent="0.65">
      <c r="A130" s="195"/>
      <c r="B130" s="140">
        <v>127</v>
      </c>
      <c r="C130" s="2"/>
      <c r="D130" s="1"/>
      <c r="E130" s="3"/>
      <c r="F130" s="1"/>
      <c r="G130" s="141">
        <f>IF(Basic3456789101112131415161718192021[[#This Row],[نوع الخدمة]]="مخالفات", 50,
IF(Basic3456789101112131415161718192021[[#This Row],[نوع الخدمة]]="كاش ان",
    IF(F130&lt;=100, 18, IF(F130&lt;=250, 23, IF(F130&lt;=500, 35, IF(F130&lt;=1000, 40, F130*0.04)))),
IF(Basic3456789101112131415161718192021[[#This Row],[نوع الخدمة]]="كاش اوت",
    IF(F130&lt;=100, 15, IF(F130&lt;=250, 20, IF(F130&lt;=500, 30, IF(F130&lt;=1000, 35, F130*0.035)))),
0)))</f>
        <v>0</v>
      </c>
      <c r="H130" s="163">
        <f>IF(I130="مخالفات",50,Basic3456789101112131415161718192021[[#This Row],[قيمة الرسوم / العموله]]+Basic3456789101112131415161718192021[[#This Row],[قيمة الشحنه]])</f>
        <v>0</v>
      </c>
      <c r="I130" s="90"/>
      <c r="J130" s="142" t="str">
        <f t="shared" si="1"/>
        <v>12.5.2026</v>
      </c>
      <c r="L130" s="153">
        <v>119</v>
      </c>
      <c r="M130" s="92"/>
    </row>
    <row r="131" spans="1:13" ht="21.6" x14ac:dyDescent="0.65">
      <c r="A131" s="195"/>
      <c r="B131" s="140">
        <v>128</v>
      </c>
      <c r="C131" s="2"/>
      <c r="D131" s="1"/>
      <c r="E131" s="3"/>
      <c r="F131" s="1"/>
      <c r="G131" s="141">
        <f>IF(Basic3456789101112131415161718192021[[#This Row],[نوع الخدمة]]="مخالفات", 50,
IF(Basic3456789101112131415161718192021[[#This Row],[نوع الخدمة]]="كاش ان",
    IF(F131&lt;=100, 18, IF(F131&lt;=250, 23, IF(F131&lt;=500, 35, IF(F131&lt;=1000, 40, F131*0.04)))),
IF(Basic3456789101112131415161718192021[[#This Row],[نوع الخدمة]]="كاش اوت",
    IF(F131&lt;=100, 15, IF(F131&lt;=250, 20, IF(F131&lt;=500, 30, IF(F131&lt;=1000, 35, F131*0.035)))),
0)))</f>
        <v>0</v>
      </c>
      <c r="H131" s="163">
        <f>IF(I131="مخالفات",50,Basic3456789101112131415161718192021[[#This Row],[قيمة الرسوم / العموله]]+Basic3456789101112131415161718192021[[#This Row],[قيمة الشحنه]])</f>
        <v>0</v>
      </c>
      <c r="I131" s="90"/>
      <c r="J131" s="142" t="str">
        <f t="shared" si="1"/>
        <v>12.5.2026</v>
      </c>
      <c r="L131" s="153">
        <v>120</v>
      </c>
      <c r="M131" s="92"/>
    </row>
    <row r="132" spans="1:13" ht="21.6" x14ac:dyDescent="0.65">
      <c r="A132" s="195"/>
      <c r="B132" s="140">
        <v>129</v>
      </c>
      <c r="C132" s="2"/>
      <c r="D132" s="1"/>
      <c r="E132" s="3"/>
      <c r="F132" s="1"/>
      <c r="G132" s="141">
        <f>IF(Basic3456789101112131415161718192021[[#This Row],[نوع الخدمة]]="مخالفات", 50,
IF(Basic3456789101112131415161718192021[[#This Row],[نوع الخدمة]]="كاش ان",
    IF(F132&lt;=100, 18, IF(F132&lt;=250, 23, IF(F132&lt;=500, 35, IF(F132&lt;=1000, 40, F132*0.04)))),
IF(Basic3456789101112131415161718192021[[#This Row],[نوع الخدمة]]="كاش اوت",
    IF(F132&lt;=100, 15, IF(F132&lt;=250, 20, IF(F132&lt;=500, 30, IF(F132&lt;=1000, 35, F132*0.035)))),
0)))</f>
        <v>0</v>
      </c>
      <c r="H132" s="163">
        <f>IF(I132="مخالفات",50,Basic3456789101112131415161718192021[[#This Row],[قيمة الرسوم / العموله]]+Basic3456789101112131415161718192021[[#This Row],[قيمة الشحنه]])</f>
        <v>0</v>
      </c>
      <c r="I132" s="90"/>
      <c r="J132" s="142" t="str">
        <f t="shared" ref="J132:J195" si="2">M$3</f>
        <v>12.5.2026</v>
      </c>
      <c r="L132" s="153">
        <v>121</v>
      </c>
      <c r="M132" s="92"/>
    </row>
    <row r="133" spans="1:13" ht="21.6" x14ac:dyDescent="0.65">
      <c r="A133" s="195"/>
      <c r="B133" s="144">
        <v>130</v>
      </c>
      <c r="C133" s="2"/>
      <c r="D133" s="1"/>
      <c r="E133" s="3"/>
      <c r="F133" s="1"/>
      <c r="G133" s="141">
        <f>IF(Basic3456789101112131415161718192021[[#This Row],[نوع الخدمة]]="مخالفات", 50,
IF(Basic3456789101112131415161718192021[[#This Row],[نوع الخدمة]]="كاش ان",
    IF(F133&lt;=100, 18, IF(F133&lt;=250, 23, IF(F133&lt;=500, 35, IF(F133&lt;=1000, 40, F133*0.04)))),
IF(Basic3456789101112131415161718192021[[#This Row],[نوع الخدمة]]="كاش اوت",
    IF(F133&lt;=100, 15, IF(F133&lt;=250, 20, IF(F133&lt;=500, 30, IF(F133&lt;=1000, 35, F133*0.035)))),
0)))</f>
        <v>0</v>
      </c>
      <c r="H133" s="163">
        <f>IF(I133="مخالفات",50,Basic3456789101112131415161718192021[[#This Row],[قيمة الرسوم / العموله]]+Basic3456789101112131415161718192021[[#This Row],[قيمة الشحنه]])</f>
        <v>0</v>
      </c>
      <c r="I133" s="90"/>
      <c r="J133" s="142" t="str">
        <f t="shared" si="2"/>
        <v>12.5.2026</v>
      </c>
      <c r="L133" s="153">
        <v>122</v>
      </c>
      <c r="M133" s="92"/>
    </row>
    <row r="134" spans="1:13" ht="21.6" x14ac:dyDescent="0.65">
      <c r="A134" s="195"/>
      <c r="B134" s="140">
        <v>131</v>
      </c>
      <c r="C134" s="2"/>
      <c r="D134" s="1"/>
      <c r="E134" s="3"/>
      <c r="F134" s="1"/>
      <c r="G134" s="141">
        <f>IF(Basic3456789101112131415161718192021[[#This Row],[نوع الخدمة]]="مخالفات", 50,
IF(Basic3456789101112131415161718192021[[#This Row],[نوع الخدمة]]="كاش ان",
    IF(F134&lt;=100, 18, IF(F134&lt;=250, 23, IF(F134&lt;=500, 35, IF(F134&lt;=1000, 40, F134*0.04)))),
IF(Basic3456789101112131415161718192021[[#This Row],[نوع الخدمة]]="كاش اوت",
    IF(F134&lt;=100, 15, IF(F134&lt;=250, 20, IF(F134&lt;=500, 30, IF(F134&lt;=1000, 35, F134*0.035)))),
0)))</f>
        <v>0</v>
      </c>
      <c r="H134" s="163">
        <f>IF(I134="مخالفات",50,Basic3456789101112131415161718192021[[#This Row],[قيمة الرسوم / العموله]]+Basic3456789101112131415161718192021[[#This Row],[قيمة الشحنه]])</f>
        <v>0</v>
      </c>
      <c r="I134" s="90"/>
      <c r="J134" s="142" t="str">
        <f t="shared" si="2"/>
        <v>12.5.2026</v>
      </c>
      <c r="L134" s="153">
        <v>123</v>
      </c>
      <c r="M134" s="92"/>
    </row>
    <row r="135" spans="1:13" ht="21.6" x14ac:dyDescent="0.65">
      <c r="A135" s="195"/>
      <c r="B135" s="140">
        <v>132</v>
      </c>
      <c r="C135" s="2"/>
      <c r="D135" s="1"/>
      <c r="E135" s="3"/>
      <c r="F135" s="1"/>
      <c r="G135" s="141">
        <f>IF(Basic3456789101112131415161718192021[[#This Row],[نوع الخدمة]]="مخالفات", 50,
IF(Basic3456789101112131415161718192021[[#This Row],[نوع الخدمة]]="كاش ان",
    IF(F135&lt;=100, 18, IF(F135&lt;=250, 23, IF(F135&lt;=500, 35, IF(F135&lt;=1000, 40, F135*0.04)))),
IF(Basic3456789101112131415161718192021[[#This Row],[نوع الخدمة]]="كاش اوت",
    IF(F135&lt;=100, 15, IF(F135&lt;=250, 20, IF(F135&lt;=500, 30, IF(F135&lt;=1000, 35, F135*0.035)))),
0)))</f>
        <v>0</v>
      </c>
      <c r="H135" s="163">
        <f>IF(I135="مخالفات",50,Basic3456789101112131415161718192021[[#This Row],[قيمة الرسوم / العموله]]+Basic3456789101112131415161718192021[[#This Row],[قيمة الشحنه]])</f>
        <v>0</v>
      </c>
      <c r="I135" s="90"/>
      <c r="J135" s="142" t="str">
        <f t="shared" si="2"/>
        <v>12.5.2026</v>
      </c>
      <c r="L135" s="153">
        <v>124</v>
      </c>
      <c r="M135" s="92"/>
    </row>
    <row r="136" spans="1:13" ht="21.6" x14ac:dyDescent="0.65">
      <c r="A136" s="195"/>
      <c r="B136" s="140">
        <v>133</v>
      </c>
      <c r="C136" s="2"/>
      <c r="D136" s="1"/>
      <c r="E136" s="3"/>
      <c r="F136" s="1"/>
      <c r="G136" s="141">
        <f>IF(Basic3456789101112131415161718192021[[#This Row],[نوع الخدمة]]="مخالفات", 50,
IF(Basic3456789101112131415161718192021[[#This Row],[نوع الخدمة]]="كاش ان",
    IF(F136&lt;=100, 18, IF(F136&lt;=250, 23, IF(F136&lt;=500, 35, IF(F136&lt;=1000, 40, F136*0.04)))),
IF(Basic3456789101112131415161718192021[[#This Row],[نوع الخدمة]]="كاش اوت",
    IF(F136&lt;=100, 15, IF(F136&lt;=250, 20, IF(F136&lt;=500, 30, IF(F136&lt;=1000, 35, F136*0.035)))),
0)))</f>
        <v>0</v>
      </c>
      <c r="H136" s="163">
        <f>IF(I136="مخالفات",50,Basic3456789101112131415161718192021[[#This Row],[قيمة الرسوم / العموله]]+Basic3456789101112131415161718192021[[#This Row],[قيمة الشحنه]])</f>
        <v>0</v>
      </c>
      <c r="I136" s="90"/>
      <c r="J136" s="142" t="str">
        <f t="shared" si="2"/>
        <v>12.5.2026</v>
      </c>
      <c r="L136" s="153">
        <v>125</v>
      </c>
      <c r="M136" s="92"/>
    </row>
    <row r="137" spans="1:13" ht="21.6" x14ac:dyDescent="0.65">
      <c r="A137" s="195"/>
      <c r="B137" s="144">
        <v>134</v>
      </c>
      <c r="C137" s="2"/>
      <c r="D137" s="1"/>
      <c r="E137" s="3"/>
      <c r="F137" s="1"/>
      <c r="G137" s="141">
        <f>IF(Basic3456789101112131415161718192021[[#This Row],[نوع الخدمة]]="مخالفات", 50,
IF(Basic3456789101112131415161718192021[[#This Row],[نوع الخدمة]]="كاش ان",
    IF(F137&lt;=100, 18, IF(F137&lt;=250, 23, IF(F137&lt;=500, 35, IF(F137&lt;=1000, 40, F137*0.04)))),
IF(Basic3456789101112131415161718192021[[#This Row],[نوع الخدمة]]="كاش اوت",
    IF(F137&lt;=100, 15, IF(F137&lt;=250, 20, IF(F137&lt;=500, 30, IF(F137&lt;=1000, 35, F137*0.035)))),
0)))</f>
        <v>0</v>
      </c>
      <c r="H137" s="163">
        <f>IF(I137="مخالفات",50,Basic3456789101112131415161718192021[[#This Row],[قيمة الرسوم / العموله]]+Basic3456789101112131415161718192021[[#This Row],[قيمة الشحنه]])</f>
        <v>0</v>
      </c>
      <c r="I137" s="90"/>
      <c r="J137" s="142" t="str">
        <f t="shared" si="2"/>
        <v>12.5.2026</v>
      </c>
      <c r="L137" s="153">
        <v>126</v>
      </c>
      <c r="M137" s="92"/>
    </row>
    <row r="138" spans="1:13" ht="21.6" x14ac:dyDescent="0.65">
      <c r="A138" s="195"/>
      <c r="B138" s="140">
        <v>135</v>
      </c>
      <c r="C138" s="2"/>
      <c r="D138" s="1"/>
      <c r="E138" s="3"/>
      <c r="F138" s="1"/>
      <c r="G138" s="141">
        <f>IF(Basic3456789101112131415161718192021[[#This Row],[نوع الخدمة]]="مخالفات", 50,
IF(Basic3456789101112131415161718192021[[#This Row],[نوع الخدمة]]="كاش ان",
    IF(F138&lt;=100, 18, IF(F138&lt;=250, 23, IF(F138&lt;=500, 35, IF(F138&lt;=1000, 40, F138*0.04)))),
IF(Basic3456789101112131415161718192021[[#This Row],[نوع الخدمة]]="كاش اوت",
    IF(F138&lt;=100, 15, IF(F138&lt;=250, 20, IF(F138&lt;=500, 30, IF(F138&lt;=1000, 35, F138*0.035)))),
0)))</f>
        <v>0</v>
      </c>
      <c r="H138" s="163">
        <f>IF(I138="مخالفات",50,Basic3456789101112131415161718192021[[#This Row],[قيمة الرسوم / العموله]]+Basic3456789101112131415161718192021[[#This Row],[قيمة الشحنه]])</f>
        <v>0</v>
      </c>
      <c r="I138" s="90"/>
      <c r="J138" s="142" t="str">
        <f t="shared" si="2"/>
        <v>12.5.2026</v>
      </c>
      <c r="L138" s="153">
        <v>127</v>
      </c>
      <c r="M138" s="92"/>
    </row>
    <row r="139" spans="1:13" ht="21.6" x14ac:dyDescent="0.65">
      <c r="A139" s="195"/>
      <c r="B139" s="140">
        <v>136</v>
      </c>
      <c r="C139" s="2"/>
      <c r="D139" s="1"/>
      <c r="E139" s="3"/>
      <c r="F139" s="1"/>
      <c r="G139" s="141">
        <f>IF(Basic3456789101112131415161718192021[[#This Row],[نوع الخدمة]]="مخالفات", 50,
IF(Basic3456789101112131415161718192021[[#This Row],[نوع الخدمة]]="كاش ان",
    IF(F139&lt;=100, 18, IF(F139&lt;=250, 23, IF(F139&lt;=500, 35, IF(F139&lt;=1000, 40, F139*0.04)))),
IF(Basic3456789101112131415161718192021[[#This Row],[نوع الخدمة]]="كاش اوت",
    IF(F139&lt;=100, 15, IF(F139&lt;=250, 20, IF(F139&lt;=500, 30, IF(F139&lt;=1000, 35, F139*0.035)))),
0)))</f>
        <v>0</v>
      </c>
      <c r="H139" s="163">
        <f>IF(I139="مخالفات",50,Basic3456789101112131415161718192021[[#This Row],[قيمة الرسوم / العموله]]+Basic3456789101112131415161718192021[[#This Row],[قيمة الشحنه]])</f>
        <v>0</v>
      </c>
      <c r="I139" s="90"/>
      <c r="J139" s="142" t="str">
        <f t="shared" si="2"/>
        <v>12.5.2026</v>
      </c>
      <c r="L139" s="153">
        <v>128</v>
      </c>
      <c r="M139" s="92"/>
    </row>
    <row r="140" spans="1:13" ht="21.6" x14ac:dyDescent="0.65">
      <c r="A140" s="195"/>
      <c r="B140" s="140">
        <v>137</v>
      </c>
      <c r="C140" s="2"/>
      <c r="D140" s="1"/>
      <c r="E140" s="3"/>
      <c r="F140" s="1"/>
      <c r="G140" s="141">
        <f>IF(Basic3456789101112131415161718192021[[#This Row],[نوع الخدمة]]="مخالفات", 50,
IF(Basic3456789101112131415161718192021[[#This Row],[نوع الخدمة]]="كاش ان",
    IF(F140&lt;=100, 18, IF(F140&lt;=250, 23, IF(F140&lt;=500, 35, IF(F140&lt;=1000, 40, F140*0.04)))),
IF(Basic3456789101112131415161718192021[[#This Row],[نوع الخدمة]]="كاش اوت",
    IF(F140&lt;=100, 15, IF(F140&lt;=250, 20, IF(F140&lt;=500, 30, IF(F140&lt;=1000, 35, F140*0.035)))),
0)))</f>
        <v>0</v>
      </c>
      <c r="H140" s="163">
        <f>IF(I140="مخالفات",50,Basic3456789101112131415161718192021[[#This Row],[قيمة الرسوم / العموله]]+Basic3456789101112131415161718192021[[#This Row],[قيمة الشحنه]])</f>
        <v>0</v>
      </c>
      <c r="I140" s="90"/>
      <c r="J140" s="142" t="str">
        <f t="shared" si="2"/>
        <v>12.5.2026</v>
      </c>
      <c r="L140" s="153">
        <v>129</v>
      </c>
      <c r="M140" s="92"/>
    </row>
    <row r="141" spans="1:13" ht="21.6" x14ac:dyDescent="0.65">
      <c r="A141" s="195"/>
      <c r="B141" s="144">
        <v>138</v>
      </c>
      <c r="C141" s="2"/>
      <c r="D141" s="1"/>
      <c r="E141" s="3"/>
      <c r="F141" s="1"/>
      <c r="G141" s="141">
        <f>IF(Basic3456789101112131415161718192021[[#This Row],[نوع الخدمة]]="مخالفات", 50,
IF(Basic3456789101112131415161718192021[[#This Row],[نوع الخدمة]]="كاش ان",
    IF(F141&lt;=100, 18, IF(F141&lt;=250, 23, IF(F141&lt;=500, 35, IF(F141&lt;=1000, 40, F141*0.04)))),
IF(Basic3456789101112131415161718192021[[#This Row],[نوع الخدمة]]="كاش اوت",
    IF(F141&lt;=100, 15, IF(F141&lt;=250, 20, IF(F141&lt;=500, 30, IF(F141&lt;=1000, 35, F141*0.035)))),
0)))</f>
        <v>0</v>
      </c>
      <c r="H141" s="163">
        <f>IF(I141="مخالفات",50,Basic3456789101112131415161718192021[[#This Row],[قيمة الرسوم / العموله]]+Basic3456789101112131415161718192021[[#This Row],[قيمة الشحنه]])</f>
        <v>0</v>
      </c>
      <c r="I141" s="90"/>
      <c r="J141" s="142" t="str">
        <f t="shared" si="2"/>
        <v>12.5.2026</v>
      </c>
      <c r="L141" s="153">
        <v>130</v>
      </c>
      <c r="M141" s="92"/>
    </row>
    <row r="142" spans="1:13" ht="21.6" x14ac:dyDescent="0.65">
      <c r="A142" s="195"/>
      <c r="B142" s="140">
        <v>139</v>
      </c>
      <c r="C142" s="2"/>
      <c r="D142" s="1"/>
      <c r="E142" s="3"/>
      <c r="F142" s="1"/>
      <c r="G142" s="141">
        <f>IF(Basic3456789101112131415161718192021[[#This Row],[نوع الخدمة]]="مخالفات", 50,
IF(Basic3456789101112131415161718192021[[#This Row],[نوع الخدمة]]="كاش ان",
    IF(F142&lt;=100, 18, IF(F142&lt;=250, 23, IF(F142&lt;=500, 35, IF(F142&lt;=1000, 40, F142*0.04)))),
IF(Basic3456789101112131415161718192021[[#This Row],[نوع الخدمة]]="كاش اوت",
    IF(F142&lt;=100, 15, IF(F142&lt;=250, 20, IF(F142&lt;=500, 30, IF(F142&lt;=1000, 35, F142*0.035)))),
0)))</f>
        <v>0</v>
      </c>
      <c r="H142" s="163">
        <f>IF(I142="مخالفات",50,Basic3456789101112131415161718192021[[#This Row],[قيمة الرسوم / العموله]]+Basic3456789101112131415161718192021[[#This Row],[قيمة الشحنه]])</f>
        <v>0</v>
      </c>
      <c r="I142" s="90"/>
      <c r="J142" s="142" t="str">
        <f t="shared" si="2"/>
        <v>12.5.2026</v>
      </c>
      <c r="L142" s="153">
        <v>131</v>
      </c>
      <c r="M142" s="92"/>
    </row>
    <row r="143" spans="1:13" ht="21.6" x14ac:dyDescent="0.65">
      <c r="A143" s="195"/>
      <c r="B143" s="140">
        <v>140</v>
      </c>
      <c r="C143" s="2"/>
      <c r="D143" s="1"/>
      <c r="E143" s="3"/>
      <c r="F143" s="1"/>
      <c r="G143" s="141">
        <f>IF(Basic3456789101112131415161718192021[[#This Row],[نوع الخدمة]]="مخالفات", 50,
IF(Basic3456789101112131415161718192021[[#This Row],[نوع الخدمة]]="كاش ان",
    IF(F143&lt;=100, 18, IF(F143&lt;=250, 23, IF(F143&lt;=500, 35, IF(F143&lt;=1000, 40, F143*0.04)))),
IF(Basic3456789101112131415161718192021[[#This Row],[نوع الخدمة]]="كاش اوت",
    IF(F143&lt;=100, 15, IF(F143&lt;=250, 20, IF(F143&lt;=500, 30, IF(F143&lt;=1000, 35, F143*0.035)))),
0)))</f>
        <v>0</v>
      </c>
      <c r="H143" s="163">
        <f>IF(I143="مخالفات",50,Basic3456789101112131415161718192021[[#This Row],[قيمة الرسوم / العموله]]+Basic3456789101112131415161718192021[[#This Row],[قيمة الشحنه]])</f>
        <v>0</v>
      </c>
      <c r="I143" s="90"/>
      <c r="J143" s="142" t="str">
        <f t="shared" si="2"/>
        <v>12.5.2026</v>
      </c>
      <c r="L143" s="153">
        <v>132</v>
      </c>
      <c r="M143" s="92"/>
    </row>
    <row r="144" spans="1:13" ht="21.6" x14ac:dyDescent="0.65">
      <c r="A144" s="195"/>
      <c r="B144" s="140">
        <v>141</v>
      </c>
      <c r="C144" s="2"/>
      <c r="D144" s="1"/>
      <c r="E144" s="3"/>
      <c r="F144" s="1"/>
      <c r="G144" s="141">
        <f>IF(Basic3456789101112131415161718192021[[#This Row],[نوع الخدمة]]="مخالفات", 50,
IF(Basic3456789101112131415161718192021[[#This Row],[نوع الخدمة]]="كاش ان",
    IF(F144&lt;=100, 18, IF(F144&lt;=250, 23, IF(F144&lt;=500, 35, IF(F144&lt;=1000, 40, F144*0.04)))),
IF(Basic3456789101112131415161718192021[[#This Row],[نوع الخدمة]]="كاش اوت",
    IF(F144&lt;=100, 15, IF(F144&lt;=250, 20, IF(F144&lt;=500, 30, IF(F144&lt;=1000, 35, F144*0.035)))),
0)))</f>
        <v>0</v>
      </c>
      <c r="H144" s="163">
        <f>IF(I144="مخالفات",50,Basic3456789101112131415161718192021[[#This Row],[قيمة الرسوم / العموله]]+Basic3456789101112131415161718192021[[#This Row],[قيمة الشحنه]])</f>
        <v>0</v>
      </c>
      <c r="I144" s="90"/>
      <c r="J144" s="142" t="str">
        <f t="shared" si="2"/>
        <v>12.5.2026</v>
      </c>
      <c r="L144" s="153">
        <v>133</v>
      </c>
      <c r="M144" s="92"/>
    </row>
    <row r="145" spans="1:13" ht="21.6" x14ac:dyDescent="0.65">
      <c r="A145" s="195"/>
      <c r="B145" s="144">
        <v>142</v>
      </c>
      <c r="C145" s="2"/>
      <c r="D145" s="1"/>
      <c r="E145" s="3"/>
      <c r="F145" s="1"/>
      <c r="G145" s="141">
        <f>IF(Basic3456789101112131415161718192021[[#This Row],[نوع الخدمة]]="مخالفات", 50,
IF(Basic3456789101112131415161718192021[[#This Row],[نوع الخدمة]]="كاش ان",
    IF(F145&lt;=100, 18, IF(F145&lt;=250, 23, IF(F145&lt;=500, 35, IF(F145&lt;=1000, 40, F145*0.04)))),
IF(Basic3456789101112131415161718192021[[#This Row],[نوع الخدمة]]="كاش اوت",
    IF(F145&lt;=100, 15, IF(F145&lt;=250, 20, IF(F145&lt;=500, 30, IF(F145&lt;=1000, 35, F145*0.035)))),
0)))</f>
        <v>0</v>
      </c>
      <c r="H145" s="163">
        <f>IF(I145="مخالفات",50,Basic3456789101112131415161718192021[[#This Row],[قيمة الرسوم / العموله]]+Basic3456789101112131415161718192021[[#This Row],[قيمة الشحنه]])</f>
        <v>0</v>
      </c>
      <c r="I145" s="90"/>
      <c r="J145" s="142" t="str">
        <f t="shared" si="2"/>
        <v>12.5.2026</v>
      </c>
      <c r="L145" s="153">
        <v>134</v>
      </c>
      <c r="M145" s="92"/>
    </row>
    <row r="146" spans="1:13" ht="21.6" x14ac:dyDescent="0.65">
      <c r="A146" s="195"/>
      <c r="B146" s="140">
        <v>143</v>
      </c>
      <c r="C146" s="2"/>
      <c r="D146" s="1"/>
      <c r="E146" s="3"/>
      <c r="F146" s="1"/>
      <c r="G146" s="141">
        <f>IF(Basic3456789101112131415161718192021[[#This Row],[نوع الخدمة]]="مخالفات", 50,
IF(Basic3456789101112131415161718192021[[#This Row],[نوع الخدمة]]="كاش ان",
    IF(F146&lt;=100, 18, IF(F146&lt;=250, 23, IF(F146&lt;=500, 35, IF(F146&lt;=1000, 40, F146*0.04)))),
IF(Basic3456789101112131415161718192021[[#This Row],[نوع الخدمة]]="كاش اوت",
    IF(F146&lt;=100, 15, IF(F146&lt;=250, 20, IF(F146&lt;=500, 30, IF(F146&lt;=1000, 35, F146*0.035)))),
0)))</f>
        <v>0</v>
      </c>
      <c r="H146" s="163">
        <f>IF(I146="مخالفات",50,Basic3456789101112131415161718192021[[#This Row],[قيمة الرسوم / العموله]]+Basic3456789101112131415161718192021[[#This Row],[قيمة الشحنه]])</f>
        <v>0</v>
      </c>
      <c r="I146" s="90"/>
      <c r="J146" s="142" t="str">
        <f t="shared" si="2"/>
        <v>12.5.2026</v>
      </c>
      <c r="L146" s="153">
        <v>135</v>
      </c>
      <c r="M146" s="92"/>
    </row>
    <row r="147" spans="1:13" ht="21.6" x14ac:dyDescent="0.65">
      <c r="A147" s="195"/>
      <c r="B147" s="140">
        <v>144</v>
      </c>
      <c r="C147" s="2"/>
      <c r="D147" s="1"/>
      <c r="E147" s="3"/>
      <c r="F147" s="1"/>
      <c r="G147" s="141">
        <f>IF(Basic3456789101112131415161718192021[[#This Row],[نوع الخدمة]]="مخالفات", 50,
IF(Basic3456789101112131415161718192021[[#This Row],[نوع الخدمة]]="كاش ان",
    IF(F147&lt;=100, 18, IF(F147&lt;=250, 23, IF(F147&lt;=500, 35, IF(F147&lt;=1000, 40, F147*0.04)))),
IF(Basic3456789101112131415161718192021[[#This Row],[نوع الخدمة]]="كاش اوت",
    IF(F147&lt;=100, 15, IF(F147&lt;=250, 20, IF(F147&lt;=500, 30, IF(F147&lt;=1000, 35, F147*0.035)))),
0)))</f>
        <v>0</v>
      </c>
      <c r="H147" s="163">
        <f>IF(I147="مخالفات",50,Basic3456789101112131415161718192021[[#This Row],[قيمة الرسوم / العموله]]+Basic3456789101112131415161718192021[[#This Row],[قيمة الشحنه]])</f>
        <v>0</v>
      </c>
      <c r="I147" s="90"/>
      <c r="J147" s="142" t="str">
        <f t="shared" si="2"/>
        <v>12.5.2026</v>
      </c>
      <c r="L147" s="153">
        <v>136</v>
      </c>
      <c r="M147" s="92"/>
    </row>
    <row r="148" spans="1:13" ht="21.6" x14ac:dyDescent="0.65">
      <c r="A148" s="195"/>
      <c r="B148" s="140">
        <v>145</v>
      </c>
      <c r="C148" s="2"/>
      <c r="D148" s="1"/>
      <c r="E148" s="3"/>
      <c r="F148" s="1"/>
      <c r="G148" s="141">
        <f>IF(Basic3456789101112131415161718192021[[#This Row],[نوع الخدمة]]="مخالفات", 50,
IF(Basic3456789101112131415161718192021[[#This Row],[نوع الخدمة]]="كاش ان",
    IF(F148&lt;=100, 18, IF(F148&lt;=250, 23, IF(F148&lt;=500, 35, IF(F148&lt;=1000, 40, F148*0.04)))),
IF(Basic3456789101112131415161718192021[[#This Row],[نوع الخدمة]]="كاش اوت",
    IF(F148&lt;=100, 15, IF(F148&lt;=250, 20, IF(F148&lt;=500, 30, IF(F148&lt;=1000, 35, F148*0.035)))),
0)))</f>
        <v>0</v>
      </c>
      <c r="H148" s="163">
        <f>IF(I148="مخالفات",50,Basic3456789101112131415161718192021[[#This Row],[قيمة الرسوم / العموله]]+Basic3456789101112131415161718192021[[#This Row],[قيمة الشحنه]])</f>
        <v>0</v>
      </c>
      <c r="I148" s="90"/>
      <c r="J148" s="142" t="str">
        <f t="shared" si="2"/>
        <v>12.5.2026</v>
      </c>
      <c r="L148" s="153">
        <v>137</v>
      </c>
      <c r="M148" s="92"/>
    </row>
    <row r="149" spans="1:13" ht="21.6" x14ac:dyDescent="0.65">
      <c r="A149" s="195"/>
      <c r="B149" s="144">
        <v>146</v>
      </c>
      <c r="C149" s="2"/>
      <c r="D149" s="1"/>
      <c r="E149" s="3"/>
      <c r="F149" s="1"/>
      <c r="G149" s="141">
        <f>IF(Basic3456789101112131415161718192021[[#This Row],[نوع الخدمة]]="مخالفات", 50,
IF(Basic3456789101112131415161718192021[[#This Row],[نوع الخدمة]]="كاش ان",
    IF(F149&lt;=100, 18, IF(F149&lt;=250, 23, IF(F149&lt;=500, 35, IF(F149&lt;=1000, 40, F149*0.04)))),
IF(Basic3456789101112131415161718192021[[#This Row],[نوع الخدمة]]="كاش اوت",
    IF(F149&lt;=100, 15, IF(F149&lt;=250, 20, IF(F149&lt;=500, 30, IF(F149&lt;=1000, 35, F149*0.035)))),
0)))</f>
        <v>0</v>
      </c>
      <c r="H149" s="163">
        <f>IF(I149="مخالفات",50,Basic3456789101112131415161718192021[[#This Row],[قيمة الرسوم / العموله]]+Basic3456789101112131415161718192021[[#This Row],[قيمة الشحنه]])</f>
        <v>0</v>
      </c>
      <c r="I149" s="90"/>
      <c r="J149" s="142" t="str">
        <f t="shared" si="2"/>
        <v>12.5.2026</v>
      </c>
      <c r="L149" s="153">
        <v>138</v>
      </c>
      <c r="M149" s="92"/>
    </row>
    <row r="150" spans="1:13" ht="21.6" x14ac:dyDescent="0.65">
      <c r="A150" s="195"/>
      <c r="B150" s="140">
        <v>147</v>
      </c>
      <c r="C150" s="2"/>
      <c r="D150" s="1"/>
      <c r="E150" s="3"/>
      <c r="F150" s="1"/>
      <c r="G150" s="141">
        <f>IF(Basic3456789101112131415161718192021[[#This Row],[نوع الخدمة]]="مخالفات", 50,
IF(Basic3456789101112131415161718192021[[#This Row],[نوع الخدمة]]="كاش ان",
    IF(F150&lt;=100, 18, IF(F150&lt;=250, 23, IF(F150&lt;=500, 35, IF(F150&lt;=1000, 40, F150*0.04)))),
IF(Basic3456789101112131415161718192021[[#This Row],[نوع الخدمة]]="كاش اوت",
    IF(F150&lt;=100, 15, IF(F150&lt;=250, 20, IF(F150&lt;=500, 30, IF(F150&lt;=1000, 35, F150*0.035)))),
0)))</f>
        <v>0</v>
      </c>
      <c r="H150" s="163">
        <f>IF(I150="مخالفات",50,Basic3456789101112131415161718192021[[#This Row],[قيمة الرسوم / العموله]]+Basic3456789101112131415161718192021[[#This Row],[قيمة الشحنه]])</f>
        <v>0</v>
      </c>
      <c r="I150" s="90"/>
      <c r="J150" s="142" t="str">
        <f t="shared" si="2"/>
        <v>12.5.2026</v>
      </c>
      <c r="L150" s="153">
        <v>139</v>
      </c>
      <c r="M150" s="92"/>
    </row>
    <row r="151" spans="1:13" ht="21.6" x14ac:dyDescent="0.65">
      <c r="A151" s="195"/>
      <c r="B151" s="140">
        <v>148</v>
      </c>
      <c r="C151" s="2"/>
      <c r="D151" s="1"/>
      <c r="E151" s="3"/>
      <c r="F151" s="1"/>
      <c r="G151" s="141">
        <f>IF(Basic3456789101112131415161718192021[[#This Row],[نوع الخدمة]]="مخالفات", 50,
IF(Basic3456789101112131415161718192021[[#This Row],[نوع الخدمة]]="كاش ان",
    IF(F151&lt;=100, 18, IF(F151&lt;=250, 23, IF(F151&lt;=500, 35, IF(F151&lt;=1000, 40, F151*0.04)))),
IF(Basic3456789101112131415161718192021[[#This Row],[نوع الخدمة]]="كاش اوت",
    IF(F151&lt;=100, 15, IF(F151&lt;=250, 20, IF(F151&lt;=500, 30, IF(F151&lt;=1000, 35, F151*0.035)))),
0)))</f>
        <v>0</v>
      </c>
      <c r="H151" s="163">
        <f>IF(I151="مخالفات",50,Basic3456789101112131415161718192021[[#This Row],[قيمة الرسوم / العموله]]+Basic3456789101112131415161718192021[[#This Row],[قيمة الشحنه]])</f>
        <v>0</v>
      </c>
      <c r="I151" s="90"/>
      <c r="J151" s="142" t="str">
        <f t="shared" si="2"/>
        <v>12.5.2026</v>
      </c>
      <c r="L151" s="153">
        <v>140</v>
      </c>
      <c r="M151" s="92"/>
    </row>
    <row r="152" spans="1:13" ht="21.6" x14ac:dyDescent="0.65">
      <c r="A152" s="195"/>
      <c r="B152" s="140">
        <v>149</v>
      </c>
      <c r="C152" s="2"/>
      <c r="D152" s="1"/>
      <c r="E152" s="3"/>
      <c r="F152" s="1"/>
      <c r="G152" s="141">
        <f>IF(Basic3456789101112131415161718192021[[#This Row],[نوع الخدمة]]="مخالفات", 50,
IF(Basic3456789101112131415161718192021[[#This Row],[نوع الخدمة]]="كاش ان",
    IF(F152&lt;=100, 18, IF(F152&lt;=250, 23, IF(F152&lt;=500, 35, IF(F152&lt;=1000, 40, F152*0.04)))),
IF(Basic3456789101112131415161718192021[[#This Row],[نوع الخدمة]]="كاش اوت",
    IF(F152&lt;=100, 15, IF(F152&lt;=250, 20, IF(F152&lt;=500, 30, IF(F152&lt;=1000, 35, F152*0.035)))),
0)))</f>
        <v>0</v>
      </c>
      <c r="H152" s="163">
        <f>IF(I152="مخالفات",50,Basic3456789101112131415161718192021[[#This Row],[قيمة الرسوم / العموله]]+Basic3456789101112131415161718192021[[#This Row],[قيمة الشحنه]])</f>
        <v>0</v>
      </c>
      <c r="I152" s="90"/>
      <c r="J152" s="142" t="str">
        <f t="shared" si="2"/>
        <v>12.5.2026</v>
      </c>
      <c r="L152" s="153">
        <v>141</v>
      </c>
      <c r="M152" s="92"/>
    </row>
    <row r="153" spans="1:13" ht="21.6" x14ac:dyDescent="0.65">
      <c r="A153" s="195"/>
      <c r="B153" s="144">
        <v>150</v>
      </c>
      <c r="C153" s="2"/>
      <c r="D153" s="1"/>
      <c r="E153" s="3"/>
      <c r="F153" s="1"/>
      <c r="G153" s="141">
        <f>IF(Basic3456789101112131415161718192021[[#This Row],[نوع الخدمة]]="مخالفات", 50,
IF(Basic3456789101112131415161718192021[[#This Row],[نوع الخدمة]]="كاش ان",
    IF(F153&lt;=100, 18, IF(F153&lt;=250, 23, IF(F153&lt;=500, 35, IF(F153&lt;=1000, 40, F153*0.04)))),
IF(Basic3456789101112131415161718192021[[#This Row],[نوع الخدمة]]="كاش اوت",
    IF(F153&lt;=100, 15, IF(F153&lt;=250, 20, IF(F153&lt;=500, 30, IF(F153&lt;=1000, 35, F153*0.035)))),
0)))</f>
        <v>0</v>
      </c>
      <c r="H153" s="163">
        <f>IF(I153="مخالفات",50,Basic3456789101112131415161718192021[[#This Row],[قيمة الرسوم / العموله]]+Basic3456789101112131415161718192021[[#This Row],[قيمة الشحنه]])</f>
        <v>0</v>
      </c>
      <c r="I153" s="90"/>
      <c r="J153" s="142" t="str">
        <f t="shared" si="2"/>
        <v>12.5.2026</v>
      </c>
      <c r="L153" s="153">
        <v>142</v>
      </c>
      <c r="M153" s="92"/>
    </row>
    <row r="154" spans="1:13" ht="21.6" x14ac:dyDescent="0.65">
      <c r="A154" s="195"/>
      <c r="B154" s="140">
        <v>151</v>
      </c>
      <c r="C154" s="2"/>
      <c r="D154" s="1"/>
      <c r="E154" s="3"/>
      <c r="F154" s="1"/>
      <c r="G154" s="141">
        <f>IF(Basic3456789101112131415161718192021[[#This Row],[نوع الخدمة]]="مخالفات", 50,
IF(Basic3456789101112131415161718192021[[#This Row],[نوع الخدمة]]="كاش ان",
    IF(F154&lt;=100, 18, IF(F154&lt;=250, 23, IF(F154&lt;=500, 35, IF(F154&lt;=1000, 40, F154*0.04)))),
IF(Basic3456789101112131415161718192021[[#This Row],[نوع الخدمة]]="كاش اوت",
    IF(F154&lt;=100, 15, IF(F154&lt;=250, 20, IF(F154&lt;=500, 30, IF(F154&lt;=1000, 35, F154*0.035)))),
0)))</f>
        <v>0</v>
      </c>
      <c r="H154" s="163">
        <f>IF(I154="مخالفات",50,Basic3456789101112131415161718192021[[#This Row],[قيمة الرسوم / العموله]]+Basic3456789101112131415161718192021[[#This Row],[قيمة الشحنه]])</f>
        <v>0</v>
      </c>
      <c r="I154" s="90"/>
      <c r="J154" s="142" t="str">
        <f t="shared" si="2"/>
        <v>12.5.2026</v>
      </c>
      <c r="L154" s="153">
        <v>143</v>
      </c>
      <c r="M154" s="92"/>
    </row>
    <row r="155" spans="1:13" ht="21.6" x14ac:dyDescent="0.65">
      <c r="A155" s="195"/>
      <c r="B155" s="140">
        <v>152</v>
      </c>
      <c r="C155" s="2"/>
      <c r="D155" s="1"/>
      <c r="E155" s="3"/>
      <c r="F155" s="1"/>
      <c r="G155" s="141">
        <f>IF(Basic3456789101112131415161718192021[[#This Row],[نوع الخدمة]]="مخالفات", 50,
IF(Basic3456789101112131415161718192021[[#This Row],[نوع الخدمة]]="كاش ان",
    IF(F155&lt;=100, 18, IF(F155&lt;=250, 23, IF(F155&lt;=500, 35, IF(F155&lt;=1000, 40, F155*0.04)))),
IF(Basic3456789101112131415161718192021[[#This Row],[نوع الخدمة]]="كاش اوت",
    IF(F155&lt;=100, 15, IF(F155&lt;=250, 20, IF(F155&lt;=500, 30, IF(F155&lt;=1000, 35, F155*0.035)))),
0)))</f>
        <v>0</v>
      </c>
      <c r="H155" s="163">
        <f>IF(I155="مخالفات",50,Basic3456789101112131415161718192021[[#This Row],[قيمة الرسوم / العموله]]+Basic3456789101112131415161718192021[[#This Row],[قيمة الشحنه]])</f>
        <v>0</v>
      </c>
      <c r="I155" s="90"/>
      <c r="J155" s="142" t="str">
        <f t="shared" si="2"/>
        <v>12.5.2026</v>
      </c>
      <c r="L155" s="153">
        <v>144</v>
      </c>
      <c r="M155" s="92"/>
    </row>
    <row r="156" spans="1:13" ht="21.6" x14ac:dyDescent="0.65">
      <c r="A156" s="195"/>
      <c r="B156" s="140">
        <v>153</v>
      </c>
      <c r="C156" s="2"/>
      <c r="D156" s="1"/>
      <c r="E156" s="3"/>
      <c r="F156" s="1"/>
      <c r="G156" s="141">
        <f>IF(Basic3456789101112131415161718192021[[#This Row],[نوع الخدمة]]="مخالفات", 50,
IF(Basic3456789101112131415161718192021[[#This Row],[نوع الخدمة]]="كاش ان",
    IF(F156&lt;=100, 18, IF(F156&lt;=250, 23, IF(F156&lt;=500, 35, IF(F156&lt;=1000, 40, F156*0.04)))),
IF(Basic3456789101112131415161718192021[[#This Row],[نوع الخدمة]]="كاش اوت",
    IF(F156&lt;=100, 15, IF(F156&lt;=250, 20, IF(F156&lt;=500, 30, IF(F156&lt;=1000, 35, F156*0.035)))),
0)))</f>
        <v>0</v>
      </c>
      <c r="H156" s="163">
        <f>IF(I156="مخالفات",50,Basic3456789101112131415161718192021[[#This Row],[قيمة الرسوم / العموله]]+Basic3456789101112131415161718192021[[#This Row],[قيمة الشحنه]])</f>
        <v>0</v>
      </c>
      <c r="I156" s="90"/>
      <c r="J156" s="142" t="str">
        <f t="shared" si="2"/>
        <v>12.5.2026</v>
      </c>
      <c r="L156" s="153">
        <v>145</v>
      </c>
      <c r="M156" s="92"/>
    </row>
    <row r="157" spans="1:13" ht="21.6" x14ac:dyDescent="0.65">
      <c r="A157" s="195"/>
      <c r="B157" s="144">
        <v>154</v>
      </c>
      <c r="C157" s="2"/>
      <c r="D157" s="1"/>
      <c r="E157" s="3"/>
      <c r="F157" s="1"/>
      <c r="G157" s="141">
        <f>IF(Basic3456789101112131415161718192021[[#This Row],[نوع الخدمة]]="مخالفات", 50,
IF(Basic3456789101112131415161718192021[[#This Row],[نوع الخدمة]]="كاش ان",
    IF(F157&lt;=100, 18, IF(F157&lt;=250, 23, IF(F157&lt;=500, 35, IF(F157&lt;=1000, 40, F157*0.04)))),
IF(Basic3456789101112131415161718192021[[#This Row],[نوع الخدمة]]="كاش اوت",
    IF(F157&lt;=100, 15, IF(F157&lt;=250, 20, IF(F157&lt;=500, 30, IF(F157&lt;=1000, 35, F157*0.035)))),
0)))</f>
        <v>0</v>
      </c>
      <c r="H157" s="163">
        <f>IF(I157="مخالفات",50,Basic3456789101112131415161718192021[[#This Row],[قيمة الرسوم / العموله]]+Basic3456789101112131415161718192021[[#This Row],[قيمة الشحنه]])</f>
        <v>0</v>
      </c>
      <c r="I157" s="90"/>
      <c r="J157" s="142" t="str">
        <f t="shared" si="2"/>
        <v>12.5.2026</v>
      </c>
      <c r="L157" s="153">
        <v>146</v>
      </c>
      <c r="M157" s="92"/>
    </row>
    <row r="158" spans="1:13" ht="21.6" x14ac:dyDescent="0.65">
      <c r="A158" s="195"/>
      <c r="B158" s="140">
        <v>155</v>
      </c>
      <c r="C158" s="2"/>
      <c r="D158" s="1"/>
      <c r="E158" s="3"/>
      <c r="F158" s="1"/>
      <c r="G158" s="141">
        <f>IF(Basic3456789101112131415161718192021[[#This Row],[نوع الخدمة]]="مخالفات", 50,
IF(Basic3456789101112131415161718192021[[#This Row],[نوع الخدمة]]="كاش ان",
    IF(F158&lt;=100, 18, IF(F158&lt;=250, 23, IF(F158&lt;=500, 35, IF(F158&lt;=1000, 40, F158*0.04)))),
IF(Basic3456789101112131415161718192021[[#This Row],[نوع الخدمة]]="كاش اوت",
    IF(F158&lt;=100, 15, IF(F158&lt;=250, 20, IF(F158&lt;=500, 30, IF(F158&lt;=1000, 35, F158*0.035)))),
0)))</f>
        <v>0</v>
      </c>
      <c r="H158" s="163">
        <f>IF(I158="مخالفات",50,Basic3456789101112131415161718192021[[#This Row],[قيمة الرسوم / العموله]]+Basic3456789101112131415161718192021[[#This Row],[قيمة الشحنه]])</f>
        <v>0</v>
      </c>
      <c r="I158" s="90"/>
      <c r="J158" s="142" t="str">
        <f t="shared" si="2"/>
        <v>12.5.2026</v>
      </c>
      <c r="L158" s="153">
        <v>147</v>
      </c>
      <c r="M158" s="92"/>
    </row>
    <row r="159" spans="1:13" ht="21.6" x14ac:dyDescent="0.65">
      <c r="A159" s="195"/>
      <c r="B159" s="140">
        <v>156</v>
      </c>
      <c r="C159" s="2"/>
      <c r="D159" s="1"/>
      <c r="E159" s="3"/>
      <c r="F159" s="1"/>
      <c r="G159" s="141">
        <f>IF(Basic3456789101112131415161718192021[[#This Row],[نوع الخدمة]]="مخالفات", 50,
IF(Basic3456789101112131415161718192021[[#This Row],[نوع الخدمة]]="كاش ان",
    IF(F159&lt;=100, 18, IF(F159&lt;=250, 23, IF(F159&lt;=500, 35, IF(F159&lt;=1000, 40, F159*0.04)))),
IF(Basic3456789101112131415161718192021[[#This Row],[نوع الخدمة]]="كاش اوت",
    IF(F159&lt;=100, 15, IF(F159&lt;=250, 20, IF(F159&lt;=500, 30, IF(F159&lt;=1000, 35, F159*0.035)))),
0)))</f>
        <v>0</v>
      </c>
      <c r="H159" s="163">
        <f>IF(I159="مخالفات",50,Basic3456789101112131415161718192021[[#This Row],[قيمة الرسوم / العموله]]+Basic3456789101112131415161718192021[[#This Row],[قيمة الشحنه]])</f>
        <v>0</v>
      </c>
      <c r="I159" s="90"/>
      <c r="J159" s="142" t="str">
        <f t="shared" si="2"/>
        <v>12.5.2026</v>
      </c>
      <c r="L159" s="153">
        <v>148</v>
      </c>
      <c r="M159" s="92"/>
    </row>
    <row r="160" spans="1:13" ht="21.6" x14ac:dyDescent="0.65">
      <c r="A160" s="195"/>
      <c r="B160" s="140">
        <v>157</v>
      </c>
      <c r="C160" s="2"/>
      <c r="D160" s="1"/>
      <c r="E160" s="3"/>
      <c r="F160" s="1"/>
      <c r="G160" s="141">
        <f>IF(Basic3456789101112131415161718192021[[#This Row],[نوع الخدمة]]="مخالفات", 50,
IF(Basic3456789101112131415161718192021[[#This Row],[نوع الخدمة]]="كاش ان",
    IF(F160&lt;=100, 18, IF(F160&lt;=250, 23, IF(F160&lt;=500, 35, IF(F160&lt;=1000, 40, F160*0.04)))),
IF(Basic3456789101112131415161718192021[[#This Row],[نوع الخدمة]]="كاش اوت",
    IF(F160&lt;=100, 15, IF(F160&lt;=250, 20, IF(F160&lt;=500, 30, IF(F160&lt;=1000, 35, F160*0.035)))),
0)))</f>
        <v>0</v>
      </c>
      <c r="H160" s="163">
        <f>IF(I160="مخالفات",50,Basic3456789101112131415161718192021[[#This Row],[قيمة الرسوم / العموله]]+Basic3456789101112131415161718192021[[#This Row],[قيمة الشحنه]])</f>
        <v>0</v>
      </c>
      <c r="I160" s="90"/>
      <c r="J160" s="142" t="str">
        <f t="shared" si="2"/>
        <v>12.5.2026</v>
      </c>
      <c r="L160" s="153">
        <v>149</v>
      </c>
      <c r="M160" s="92"/>
    </row>
    <row r="161" spans="1:13" ht="21.6" x14ac:dyDescent="0.65">
      <c r="A161" s="195"/>
      <c r="B161" s="144">
        <v>158</v>
      </c>
      <c r="C161" s="2"/>
      <c r="D161" s="1"/>
      <c r="E161" s="3"/>
      <c r="F161" s="1"/>
      <c r="G161" s="141">
        <f>IF(Basic3456789101112131415161718192021[[#This Row],[نوع الخدمة]]="مخالفات", 50,
IF(Basic3456789101112131415161718192021[[#This Row],[نوع الخدمة]]="كاش ان",
    IF(F161&lt;=100, 18, IF(F161&lt;=250, 23, IF(F161&lt;=500, 35, IF(F161&lt;=1000, 40, F161*0.04)))),
IF(Basic3456789101112131415161718192021[[#This Row],[نوع الخدمة]]="كاش اوت",
    IF(F161&lt;=100, 15, IF(F161&lt;=250, 20, IF(F161&lt;=500, 30, IF(F161&lt;=1000, 35, F161*0.035)))),
0)))</f>
        <v>0</v>
      </c>
      <c r="H161" s="163">
        <f>IF(I161="مخالفات",50,Basic3456789101112131415161718192021[[#This Row],[قيمة الرسوم / العموله]]+Basic3456789101112131415161718192021[[#This Row],[قيمة الشحنه]])</f>
        <v>0</v>
      </c>
      <c r="I161" s="90"/>
      <c r="J161" s="142" t="str">
        <f t="shared" si="2"/>
        <v>12.5.2026</v>
      </c>
      <c r="L161" s="153">
        <v>150</v>
      </c>
      <c r="M161" s="92"/>
    </row>
    <row r="162" spans="1:13" ht="21.6" x14ac:dyDescent="0.65">
      <c r="A162" s="195"/>
      <c r="B162" s="140">
        <v>159</v>
      </c>
      <c r="C162" s="2"/>
      <c r="D162" s="1"/>
      <c r="E162" s="3"/>
      <c r="F162" s="1"/>
      <c r="G162" s="141">
        <f>IF(Basic3456789101112131415161718192021[[#This Row],[نوع الخدمة]]="مخالفات", 50,
IF(Basic3456789101112131415161718192021[[#This Row],[نوع الخدمة]]="كاش ان",
    IF(F162&lt;=100, 18, IF(F162&lt;=250, 23, IF(F162&lt;=500, 35, IF(F162&lt;=1000, 40, F162*0.04)))),
IF(Basic3456789101112131415161718192021[[#This Row],[نوع الخدمة]]="كاش اوت",
    IF(F162&lt;=100, 15, IF(F162&lt;=250, 20, IF(F162&lt;=500, 30, IF(F162&lt;=1000, 35, F162*0.035)))),
0)))</f>
        <v>0</v>
      </c>
      <c r="H162" s="163">
        <f>IF(I162="مخالفات",50,Basic3456789101112131415161718192021[[#This Row],[قيمة الرسوم / العموله]]+Basic3456789101112131415161718192021[[#This Row],[قيمة الشحنه]])</f>
        <v>0</v>
      </c>
      <c r="I162" s="90"/>
      <c r="J162" s="142" t="str">
        <f t="shared" si="2"/>
        <v>12.5.2026</v>
      </c>
      <c r="L162" s="153">
        <v>151</v>
      </c>
      <c r="M162" s="92"/>
    </row>
    <row r="163" spans="1:13" ht="21.6" x14ac:dyDescent="0.65">
      <c r="A163" s="195"/>
      <c r="B163" s="140">
        <v>160</v>
      </c>
      <c r="C163" s="2"/>
      <c r="D163" s="1"/>
      <c r="E163" s="3"/>
      <c r="F163" s="1"/>
      <c r="G163" s="141">
        <f>IF(Basic3456789101112131415161718192021[[#This Row],[نوع الخدمة]]="مخالفات", 50,
IF(Basic3456789101112131415161718192021[[#This Row],[نوع الخدمة]]="كاش ان",
    IF(F163&lt;=100, 18, IF(F163&lt;=250, 23, IF(F163&lt;=500, 35, IF(F163&lt;=1000, 40, F163*0.04)))),
IF(Basic3456789101112131415161718192021[[#This Row],[نوع الخدمة]]="كاش اوت",
    IF(F163&lt;=100, 15, IF(F163&lt;=250, 20, IF(F163&lt;=500, 30, IF(F163&lt;=1000, 35, F163*0.035)))),
0)))</f>
        <v>0</v>
      </c>
      <c r="H163" s="163">
        <f>IF(I163="مخالفات",50,Basic3456789101112131415161718192021[[#This Row],[قيمة الرسوم / العموله]]+Basic3456789101112131415161718192021[[#This Row],[قيمة الشحنه]])</f>
        <v>0</v>
      </c>
      <c r="I163" s="90"/>
      <c r="J163" s="142" t="str">
        <f t="shared" si="2"/>
        <v>12.5.2026</v>
      </c>
      <c r="L163" s="153">
        <v>152</v>
      </c>
      <c r="M163" s="92"/>
    </row>
    <row r="164" spans="1:13" ht="21.6" x14ac:dyDescent="0.65">
      <c r="A164" s="195"/>
      <c r="B164" s="140">
        <v>161</v>
      </c>
      <c r="C164" s="2"/>
      <c r="D164" s="1"/>
      <c r="E164" s="3"/>
      <c r="F164" s="1"/>
      <c r="G164" s="141">
        <f>IF(Basic3456789101112131415161718192021[[#This Row],[نوع الخدمة]]="مخالفات", 50,
IF(Basic3456789101112131415161718192021[[#This Row],[نوع الخدمة]]="كاش ان",
    IF(F164&lt;=100, 18, IF(F164&lt;=250, 23, IF(F164&lt;=500, 35, IF(F164&lt;=1000, 40, F164*0.04)))),
IF(Basic3456789101112131415161718192021[[#This Row],[نوع الخدمة]]="كاش اوت",
    IF(F164&lt;=100, 15, IF(F164&lt;=250, 20, IF(F164&lt;=500, 30, IF(F164&lt;=1000, 35, F164*0.035)))),
0)))</f>
        <v>0</v>
      </c>
      <c r="H164" s="163">
        <f>IF(I164="مخالفات",50,Basic3456789101112131415161718192021[[#This Row],[قيمة الرسوم / العموله]]+Basic3456789101112131415161718192021[[#This Row],[قيمة الشحنه]])</f>
        <v>0</v>
      </c>
      <c r="I164" s="90"/>
      <c r="J164" s="142" t="str">
        <f t="shared" si="2"/>
        <v>12.5.2026</v>
      </c>
      <c r="L164" s="153">
        <v>153</v>
      </c>
      <c r="M164" s="92"/>
    </row>
    <row r="165" spans="1:13" ht="21.6" x14ac:dyDescent="0.65">
      <c r="A165" s="195"/>
      <c r="B165" s="144">
        <v>162</v>
      </c>
      <c r="C165" s="2"/>
      <c r="D165" s="1"/>
      <c r="E165" s="3"/>
      <c r="F165" s="1"/>
      <c r="G165" s="141">
        <f>IF(Basic3456789101112131415161718192021[[#This Row],[نوع الخدمة]]="مخالفات", 50,
IF(Basic3456789101112131415161718192021[[#This Row],[نوع الخدمة]]="كاش ان",
    IF(F165&lt;=100, 18, IF(F165&lt;=250, 23, IF(F165&lt;=500, 35, IF(F165&lt;=1000, 40, F165*0.04)))),
IF(Basic3456789101112131415161718192021[[#This Row],[نوع الخدمة]]="كاش اوت",
    IF(F165&lt;=100, 15, IF(F165&lt;=250, 20, IF(F165&lt;=500, 30, IF(F165&lt;=1000, 35, F165*0.035)))),
0)))</f>
        <v>0</v>
      </c>
      <c r="H165" s="163">
        <f>IF(I165="مخالفات",50,Basic3456789101112131415161718192021[[#This Row],[قيمة الرسوم / العموله]]+Basic3456789101112131415161718192021[[#This Row],[قيمة الشحنه]])</f>
        <v>0</v>
      </c>
      <c r="I165" s="90"/>
      <c r="J165" s="142" t="str">
        <f t="shared" si="2"/>
        <v>12.5.2026</v>
      </c>
      <c r="L165" s="153">
        <v>154</v>
      </c>
      <c r="M165" s="92"/>
    </row>
    <row r="166" spans="1:13" ht="21.6" x14ac:dyDescent="0.65">
      <c r="A166" s="195"/>
      <c r="B166" s="140">
        <v>163</v>
      </c>
      <c r="C166" s="2"/>
      <c r="D166" s="1"/>
      <c r="E166" s="3"/>
      <c r="F166" s="1"/>
      <c r="G166" s="141">
        <f>IF(Basic3456789101112131415161718192021[[#This Row],[نوع الخدمة]]="مخالفات", 50,
IF(Basic3456789101112131415161718192021[[#This Row],[نوع الخدمة]]="كاش ان",
    IF(F166&lt;=100, 18, IF(F166&lt;=250, 23, IF(F166&lt;=500, 35, IF(F166&lt;=1000, 40, F166*0.04)))),
IF(Basic3456789101112131415161718192021[[#This Row],[نوع الخدمة]]="كاش اوت",
    IF(F166&lt;=100, 15, IF(F166&lt;=250, 20, IF(F166&lt;=500, 30, IF(F166&lt;=1000, 35, F166*0.035)))),
0)))</f>
        <v>0</v>
      </c>
      <c r="H166" s="163">
        <f>IF(I166="مخالفات",50,Basic3456789101112131415161718192021[[#This Row],[قيمة الرسوم / العموله]]+Basic3456789101112131415161718192021[[#This Row],[قيمة الشحنه]])</f>
        <v>0</v>
      </c>
      <c r="I166" s="90"/>
      <c r="J166" s="142" t="str">
        <f t="shared" si="2"/>
        <v>12.5.2026</v>
      </c>
      <c r="L166" s="153">
        <v>155</v>
      </c>
      <c r="M166" s="92"/>
    </row>
    <row r="167" spans="1:13" ht="21.6" x14ac:dyDescent="0.65">
      <c r="A167" s="195"/>
      <c r="B167" s="140">
        <v>164</v>
      </c>
      <c r="C167" s="2"/>
      <c r="D167" s="1"/>
      <c r="E167" s="3"/>
      <c r="F167" s="1"/>
      <c r="G167" s="141">
        <f>IF(Basic3456789101112131415161718192021[[#This Row],[نوع الخدمة]]="مخالفات", 50,
IF(Basic3456789101112131415161718192021[[#This Row],[نوع الخدمة]]="كاش ان",
    IF(F167&lt;=100, 18, IF(F167&lt;=250, 23, IF(F167&lt;=500, 35, IF(F167&lt;=1000, 40, F167*0.04)))),
IF(Basic3456789101112131415161718192021[[#This Row],[نوع الخدمة]]="كاش اوت",
    IF(F167&lt;=100, 15, IF(F167&lt;=250, 20, IF(F167&lt;=500, 30, IF(F167&lt;=1000, 35, F167*0.035)))),
0)))</f>
        <v>0</v>
      </c>
      <c r="H167" s="163">
        <f>IF(I167="مخالفات",50,Basic3456789101112131415161718192021[[#This Row],[قيمة الرسوم / العموله]]+Basic3456789101112131415161718192021[[#This Row],[قيمة الشحنه]])</f>
        <v>0</v>
      </c>
      <c r="I167" s="90"/>
      <c r="J167" s="142" t="str">
        <f t="shared" si="2"/>
        <v>12.5.2026</v>
      </c>
      <c r="L167" s="153">
        <v>156</v>
      </c>
      <c r="M167" s="92"/>
    </row>
    <row r="168" spans="1:13" ht="21.6" x14ac:dyDescent="0.65">
      <c r="A168" s="195"/>
      <c r="B168" s="140">
        <v>165</v>
      </c>
      <c r="C168" s="2"/>
      <c r="D168" s="1"/>
      <c r="E168" s="3"/>
      <c r="F168" s="1"/>
      <c r="G168" s="141">
        <f>IF(Basic3456789101112131415161718192021[[#This Row],[نوع الخدمة]]="مخالفات", 50,
IF(Basic3456789101112131415161718192021[[#This Row],[نوع الخدمة]]="كاش ان",
    IF(F168&lt;=100, 18, IF(F168&lt;=250, 23, IF(F168&lt;=500, 35, IF(F168&lt;=1000, 40, F168*0.04)))),
IF(Basic3456789101112131415161718192021[[#This Row],[نوع الخدمة]]="كاش اوت",
    IF(F168&lt;=100, 15, IF(F168&lt;=250, 20, IF(F168&lt;=500, 30, IF(F168&lt;=1000, 35, F168*0.035)))),
0)))</f>
        <v>0</v>
      </c>
      <c r="H168" s="163">
        <f>IF(I168="مخالفات",50,Basic3456789101112131415161718192021[[#This Row],[قيمة الرسوم / العموله]]+Basic3456789101112131415161718192021[[#This Row],[قيمة الشحنه]])</f>
        <v>0</v>
      </c>
      <c r="I168" s="90"/>
      <c r="J168" s="142" t="str">
        <f t="shared" si="2"/>
        <v>12.5.2026</v>
      </c>
      <c r="L168" s="153">
        <v>157</v>
      </c>
      <c r="M168" s="92"/>
    </row>
    <row r="169" spans="1:13" ht="21.6" x14ac:dyDescent="0.65">
      <c r="A169" s="195"/>
      <c r="B169" s="144">
        <v>166</v>
      </c>
      <c r="C169" s="2"/>
      <c r="D169" s="1"/>
      <c r="E169" s="3"/>
      <c r="F169" s="1"/>
      <c r="G169" s="141">
        <f>IF(Basic3456789101112131415161718192021[[#This Row],[نوع الخدمة]]="مخالفات", 50,
IF(Basic3456789101112131415161718192021[[#This Row],[نوع الخدمة]]="كاش ان",
    IF(F169&lt;=100, 18, IF(F169&lt;=250, 23, IF(F169&lt;=500, 35, IF(F169&lt;=1000, 40, F169*0.04)))),
IF(Basic3456789101112131415161718192021[[#This Row],[نوع الخدمة]]="كاش اوت",
    IF(F169&lt;=100, 15, IF(F169&lt;=250, 20, IF(F169&lt;=500, 30, IF(F169&lt;=1000, 35, F169*0.035)))),
0)))</f>
        <v>0</v>
      </c>
      <c r="H169" s="163">
        <f>IF(I169="مخالفات",50,Basic3456789101112131415161718192021[[#This Row],[قيمة الرسوم / العموله]]+Basic3456789101112131415161718192021[[#This Row],[قيمة الشحنه]])</f>
        <v>0</v>
      </c>
      <c r="I169" s="90"/>
      <c r="J169" s="142" t="str">
        <f t="shared" si="2"/>
        <v>12.5.2026</v>
      </c>
      <c r="L169" s="153">
        <v>158</v>
      </c>
      <c r="M169" s="92"/>
    </row>
    <row r="170" spans="1:13" ht="21.6" x14ac:dyDescent="0.65">
      <c r="A170" s="195"/>
      <c r="B170" s="140">
        <v>167</v>
      </c>
      <c r="C170" s="2"/>
      <c r="D170" s="1"/>
      <c r="E170" s="3"/>
      <c r="F170" s="1"/>
      <c r="G170" s="141">
        <f>IF(Basic3456789101112131415161718192021[[#This Row],[نوع الخدمة]]="مخالفات", 50,
IF(Basic3456789101112131415161718192021[[#This Row],[نوع الخدمة]]="كاش ان",
    IF(F170&lt;=100, 18, IF(F170&lt;=250, 23, IF(F170&lt;=500, 35, IF(F170&lt;=1000, 40, F170*0.04)))),
IF(Basic3456789101112131415161718192021[[#This Row],[نوع الخدمة]]="كاش اوت",
    IF(F170&lt;=100, 15, IF(F170&lt;=250, 20, IF(F170&lt;=500, 30, IF(F170&lt;=1000, 35, F170*0.035)))),
0)))</f>
        <v>0</v>
      </c>
      <c r="H170" s="163">
        <f>IF(I170="مخالفات",50,Basic3456789101112131415161718192021[[#This Row],[قيمة الرسوم / العموله]]+Basic3456789101112131415161718192021[[#This Row],[قيمة الشحنه]])</f>
        <v>0</v>
      </c>
      <c r="I170" s="90"/>
      <c r="J170" s="142" t="str">
        <f t="shared" si="2"/>
        <v>12.5.2026</v>
      </c>
      <c r="L170" s="153">
        <v>159</v>
      </c>
      <c r="M170" s="92"/>
    </row>
    <row r="171" spans="1:13" ht="21.6" x14ac:dyDescent="0.65">
      <c r="A171" s="195"/>
      <c r="B171" s="140">
        <v>168</v>
      </c>
      <c r="C171" s="2"/>
      <c r="D171" s="1"/>
      <c r="E171" s="3"/>
      <c r="F171" s="1"/>
      <c r="G171" s="141">
        <f>IF(Basic3456789101112131415161718192021[[#This Row],[نوع الخدمة]]="مخالفات", 50,
IF(Basic3456789101112131415161718192021[[#This Row],[نوع الخدمة]]="كاش ان",
    IF(F171&lt;=100, 18, IF(F171&lt;=250, 23, IF(F171&lt;=500, 35, IF(F171&lt;=1000, 40, F171*0.04)))),
IF(Basic3456789101112131415161718192021[[#This Row],[نوع الخدمة]]="كاش اوت",
    IF(F171&lt;=100, 15, IF(F171&lt;=250, 20, IF(F171&lt;=500, 30, IF(F171&lt;=1000, 35, F171*0.035)))),
0)))</f>
        <v>0</v>
      </c>
      <c r="H171" s="163">
        <f>IF(I171="مخالفات",50,Basic3456789101112131415161718192021[[#This Row],[قيمة الرسوم / العموله]]+Basic3456789101112131415161718192021[[#This Row],[قيمة الشحنه]])</f>
        <v>0</v>
      </c>
      <c r="I171" s="90"/>
      <c r="J171" s="142" t="str">
        <f t="shared" si="2"/>
        <v>12.5.2026</v>
      </c>
      <c r="L171" s="153">
        <v>160</v>
      </c>
      <c r="M171" s="92"/>
    </row>
    <row r="172" spans="1:13" ht="21.6" x14ac:dyDescent="0.65">
      <c r="A172" s="195"/>
      <c r="B172" s="140">
        <v>169</v>
      </c>
      <c r="C172" s="2"/>
      <c r="D172" s="1"/>
      <c r="E172" s="3"/>
      <c r="F172" s="1"/>
      <c r="G172" s="141">
        <f>IF(Basic3456789101112131415161718192021[[#This Row],[نوع الخدمة]]="مخالفات", 50,
IF(Basic3456789101112131415161718192021[[#This Row],[نوع الخدمة]]="كاش ان",
    IF(F172&lt;=100, 18, IF(F172&lt;=250, 23, IF(F172&lt;=500, 35, IF(F172&lt;=1000, 40, F172*0.04)))),
IF(Basic3456789101112131415161718192021[[#This Row],[نوع الخدمة]]="كاش اوت",
    IF(F172&lt;=100, 15, IF(F172&lt;=250, 20, IF(F172&lt;=500, 30, IF(F172&lt;=1000, 35, F172*0.035)))),
0)))</f>
        <v>0</v>
      </c>
      <c r="H172" s="163">
        <f>IF(I172="مخالفات",50,Basic3456789101112131415161718192021[[#This Row],[قيمة الرسوم / العموله]]+Basic3456789101112131415161718192021[[#This Row],[قيمة الشحنه]])</f>
        <v>0</v>
      </c>
      <c r="I172" s="90"/>
      <c r="J172" s="142" t="str">
        <f t="shared" si="2"/>
        <v>12.5.2026</v>
      </c>
      <c r="L172" s="153">
        <v>161</v>
      </c>
      <c r="M172" s="92"/>
    </row>
    <row r="173" spans="1:13" ht="21.6" x14ac:dyDescent="0.65">
      <c r="A173" s="195"/>
      <c r="B173" s="144">
        <v>170</v>
      </c>
      <c r="C173" s="2"/>
      <c r="D173" s="1"/>
      <c r="E173" s="3"/>
      <c r="F173" s="1"/>
      <c r="G173" s="141">
        <f>IF(Basic3456789101112131415161718192021[[#This Row],[نوع الخدمة]]="مخالفات", 50,
IF(Basic3456789101112131415161718192021[[#This Row],[نوع الخدمة]]="كاش ان",
    IF(F173&lt;=100, 18, IF(F173&lt;=250, 23, IF(F173&lt;=500, 35, IF(F173&lt;=1000, 40, F173*0.04)))),
IF(Basic3456789101112131415161718192021[[#This Row],[نوع الخدمة]]="كاش اوت",
    IF(F173&lt;=100, 15, IF(F173&lt;=250, 20, IF(F173&lt;=500, 30, IF(F173&lt;=1000, 35, F173*0.035)))),
0)))</f>
        <v>0</v>
      </c>
      <c r="H173" s="163">
        <f>IF(I173="مخالفات",50,Basic3456789101112131415161718192021[[#This Row],[قيمة الرسوم / العموله]]+Basic3456789101112131415161718192021[[#This Row],[قيمة الشحنه]])</f>
        <v>0</v>
      </c>
      <c r="I173" s="90"/>
      <c r="J173" s="142" t="str">
        <f t="shared" si="2"/>
        <v>12.5.2026</v>
      </c>
      <c r="L173" s="153">
        <v>162</v>
      </c>
      <c r="M173" s="92"/>
    </row>
    <row r="174" spans="1:13" ht="21.6" x14ac:dyDescent="0.65">
      <c r="A174" s="195"/>
      <c r="B174" s="140">
        <v>171</v>
      </c>
      <c r="C174" s="2"/>
      <c r="D174" s="1"/>
      <c r="E174" s="3"/>
      <c r="F174" s="1"/>
      <c r="G174" s="141">
        <f>IF(Basic3456789101112131415161718192021[[#This Row],[نوع الخدمة]]="مخالفات", 50,
IF(Basic3456789101112131415161718192021[[#This Row],[نوع الخدمة]]="كاش ان",
    IF(F174&lt;=100, 18, IF(F174&lt;=250, 23, IF(F174&lt;=500, 35, IF(F174&lt;=1000, 40, F174*0.04)))),
IF(Basic3456789101112131415161718192021[[#This Row],[نوع الخدمة]]="كاش اوت",
    IF(F174&lt;=100, 15, IF(F174&lt;=250, 20, IF(F174&lt;=500, 30, IF(F174&lt;=1000, 35, F174*0.035)))),
0)))</f>
        <v>0</v>
      </c>
      <c r="H174" s="163">
        <f>IF(I174="مخالفات",50,Basic3456789101112131415161718192021[[#This Row],[قيمة الرسوم / العموله]]+Basic3456789101112131415161718192021[[#This Row],[قيمة الشحنه]])</f>
        <v>0</v>
      </c>
      <c r="I174" s="90"/>
      <c r="J174" s="142" t="str">
        <f t="shared" si="2"/>
        <v>12.5.2026</v>
      </c>
      <c r="L174" s="153">
        <v>163</v>
      </c>
      <c r="M174" s="92"/>
    </row>
    <row r="175" spans="1:13" ht="21.6" x14ac:dyDescent="0.65">
      <c r="A175" s="195"/>
      <c r="B175" s="140">
        <v>172</v>
      </c>
      <c r="C175" s="2"/>
      <c r="D175" s="1"/>
      <c r="E175" s="3"/>
      <c r="F175" s="1"/>
      <c r="G175" s="141">
        <f>IF(Basic3456789101112131415161718192021[[#This Row],[نوع الخدمة]]="مخالفات", 50,
IF(Basic3456789101112131415161718192021[[#This Row],[نوع الخدمة]]="كاش ان",
    IF(F175&lt;=100, 18, IF(F175&lt;=250, 23, IF(F175&lt;=500, 35, IF(F175&lt;=1000, 40, F175*0.04)))),
IF(Basic3456789101112131415161718192021[[#This Row],[نوع الخدمة]]="كاش اوت",
    IF(F175&lt;=100, 15, IF(F175&lt;=250, 20, IF(F175&lt;=500, 30, IF(F175&lt;=1000, 35, F175*0.035)))),
0)))</f>
        <v>0</v>
      </c>
      <c r="H175" s="163">
        <f>IF(I175="مخالفات",50,Basic3456789101112131415161718192021[[#This Row],[قيمة الرسوم / العموله]]+Basic3456789101112131415161718192021[[#This Row],[قيمة الشحنه]])</f>
        <v>0</v>
      </c>
      <c r="I175" s="90"/>
      <c r="J175" s="142" t="str">
        <f t="shared" si="2"/>
        <v>12.5.2026</v>
      </c>
      <c r="L175" s="153">
        <v>164</v>
      </c>
      <c r="M175" s="92"/>
    </row>
    <row r="176" spans="1:13" ht="21.6" x14ac:dyDescent="0.65">
      <c r="A176" s="195"/>
      <c r="B176" s="140">
        <v>173</v>
      </c>
      <c r="C176" s="2"/>
      <c r="D176" s="1"/>
      <c r="E176" s="3"/>
      <c r="F176" s="1"/>
      <c r="G176" s="141">
        <f>IF(Basic3456789101112131415161718192021[[#This Row],[نوع الخدمة]]="مخالفات", 50,
IF(Basic3456789101112131415161718192021[[#This Row],[نوع الخدمة]]="كاش ان",
    IF(F176&lt;=100, 18, IF(F176&lt;=250, 23, IF(F176&lt;=500, 35, IF(F176&lt;=1000, 40, F176*0.04)))),
IF(Basic3456789101112131415161718192021[[#This Row],[نوع الخدمة]]="كاش اوت",
    IF(F176&lt;=100, 15, IF(F176&lt;=250, 20, IF(F176&lt;=500, 30, IF(F176&lt;=1000, 35, F176*0.035)))),
0)))</f>
        <v>0</v>
      </c>
      <c r="H176" s="163">
        <f>IF(I176="مخالفات",50,Basic3456789101112131415161718192021[[#This Row],[قيمة الرسوم / العموله]]+Basic3456789101112131415161718192021[[#This Row],[قيمة الشحنه]])</f>
        <v>0</v>
      </c>
      <c r="I176" s="90"/>
      <c r="J176" s="142" t="str">
        <f t="shared" si="2"/>
        <v>12.5.2026</v>
      </c>
      <c r="L176" s="153">
        <v>165</v>
      </c>
      <c r="M176" s="92"/>
    </row>
    <row r="177" spans="1:13" ht="21.6" x14ac:dyDescent="0.65">
      <c r="A177" s="195"/>
      <c r="B177" s="144">
        <v>174</v>
      </c>
      <c r="C177" s="2"/>
      <c r="D177" s="1"/>
      <c r="E177" s="3"/>
      <c r="F177" s="1"/>
      <c r="G177" s="141">
        <f>IF(Basic3456789101112131415161718192021[[#This Row],[نوع الخدمة]]="مخالفات", 50,
IF(Basic3456789101112131415161718192021[[#This Row],[نوع الخدمة]]="كاش ان",
    IF(F177&lt;=100, 18, IF(F177&lt;=250, 23, IF(F177&lt;=500, 35, IF(F177&lt;=1000, 40, F177*0.04)))),
IF(Basic3456789101112131415161718192021[[#This Row],[نوع الخدمة]]="كاش اوت",
    IF(F177&lt;=100, 15, IF(F177&lt;=250, 20, IF(F177&lt;=500, 30, IF(F177&lt;=1000, 35, F177*0.035)))),
0)))</f>
        <v>0</v>
      </c>
      <c r="H177" s="163">
        <f>IF(I177="مخالفات",50,Basic3456789101112131415161718192021[[#This Row],[قيمة الرسوم / العموله]]+Basic3456789101112131415161718192021[[#This Row],[قيمة الشحنه]])</f>
        <v>0</v>
      </c>
      <c r="I177" s="90"/>
      <c r="J177" s="142" t="str">
        <f t="shared" si="2"/>
        <v>12.5.2026</v>
      </c>
      <c r="L177" s="153">
        <v>166</v>
      </c>
      <c r="M177" s="92"/>
    </row>
    <row r="178" spans="1:13" ht="21.6" x14ac:dyDescent="0.65">
      <c r="A178" s="195"/>
      <c r="B178" s="140">
        <v>175</v>
      </c>
      <c r="C178" s="2"/>
      <c r="D178" s="1"/>
      <c r="E178" s="3"/>
      <c r="F178" s="1"/>
      <c r="G178" s="141">
        <f>IF(Basic3456789101112131415161718192021[[#This Row],[نوع الخدمة]]="مخالفات", 50,
IF(Basic3456789101112131415161718192021[[#This Row],[نوع الخدمة]]="كاش ان",
    IF(F178&lt;=100, 18, IF(F178&lt;=250, 23, IF(F178&lt;=500, 35, IF(F178&lt;=1000, 40, F178*0.04)))),
IF(Basic3456789101112131415161718192021[[#This Row],[نوع الخدمة]]="كاش اوت",
    IF(F178&lt;=100, 15, IF(F178&lt;=250, 20, IF(F178&lt;=500, 30, IF(F178&lt;=1000, 35, F178*0.035)))),
0)))</f>
        <v>0</v>
      </c>
      <c r="H178" s="163">
        <f>IF(I178="مخالفات",50,Basic3456789101112131415161718192021[[#This Row],[قيمة الرسوم / العموله]]+Basic3456789101112131415161718192021[[#This Row],[قيمة الشحنه]])</f>
        <v>0</v>
      </c>
      <c r="I178" s="90"/>
      <c r="J178" s="142" t="str">
        <f t="shared" si="2"/>
        <v>12.5.2026</v>
      </c>
      <c r="L178" s="153">
        <v>167</v>
      </c>
      <c r="M178" s="92"/>
    </row>
    <row r="179" spans="1:13" ht="21.6" x14ac:dyDescent="0.65">
      <c r="A179" s="195"/>
      <c r="B179" s="140">
        <v>176</v>
      </c>
      <c r="C179" s="2"/>
      <c r="D179" s="1"/>
      <c r="E179" s="3"/>
      <c r="F179" s="1"/>
      <c r="G179" s="141">
        <f>IF(Basic3456789101112131415161718192021[[#This Row],[نوع الخدمة]]="مخالفات", 50,
IF(Basic3456789101112131415161718192021[[#This Row],[نوع الخدمة]]="كاش ان",
    IF(F179&lt;=100, 18, IF(F179&lt;=250, 23, IF(F179&lt;=500, 35, IF(F179&lt;=1000, 40, F179*0.04)))),
IF(Basic3456789101112131415161718192021[[#This Row],[نوع الخدمة]]="كاش اوت",
    IF(F179&lt;=100, 15, IF(F179&lt;=250, 20, IF(F179&lt;=500, 30, IF(F179&lt;=1000, 35, F179*0.035)))),
0)))</f>
        <v>0</v>
      </c>
      <c r="H179" s="163">
        <f>IF(I179="مخالفات",50,Basic3456789101112131415161718192021[[#This Row],[قيمة الرسوم / العموله]]+Basic3456789101112131415161718192021[[#This Row],[قيمة الشحنه]])</f>
        <v>0</v>
      </c>
      <c r="I179" s="90"/>
      <c r="J179" s="142" t="str">
        <f t="shared" si="2"/>
        <v>12.5.2026</v>
      </c>
      <c r="L179" s="153">
        <v>168</v>
      </c>
      <c r="M179" s="92"/>
    </row>
    <row r="180" spans="1:13" ht="21.6" x14ac:dyDescent="0.65">
      <c r="A180" s="195"/>
      <c r="B180" s="140">
        <v>177</v>
      </c>
      <c r="C180" s="2"/>
      <c r="D180" s="1"/>
      <c r="E180" s="3"/>
      <c r="F180" s="1"/>
      <c r="G180" s="141">
        <f>IF(Basic3456789101112131415161718192021[[#This Row],[نوع الخدمة]]="مخالفات", 50,
IF(Basic3456789101112131415161718192021[[#This Row],[نوع الخدمة]]="كاش ان",
    IF(F180&lt;=100, 18, IF(F180&lt;=250, 23, IF(F180&lt;=500, 35, IF(F180&lt;=1000, 40, F180*0.04)))),
IF(Basic3456789101112131415161718192021[[#This Row],[نوع الخدمة]]="كاش اوت",
    IF(F180&lt;=100, 15, IF(F180&lt;=250, 20, IF(F180&lt;=500, 30, IF(F180&lt;=1000, 35, F180*0.035)))),
0)))</f>
        <v>0</v>
      </c>
      <c r="H180" s="163">
        <f>IF(I180="مخالفات",50,Basic3456789101112131415161718192021[[#This Row],[قيمة الرسوم / العموله]]+Basic3456789101112131415161718192021[[#This Row],[قيمة الشحنه]])</f>
        <v>0</v>
      </c>
      <c r="I180" s="90"/>
      <c r="J180" s="142" t="str">
        <f t="shared" si="2"/>
        <v>12.5.2026</v>
      </c>
      <c r="L180" s="153">
        <v>169</v>
      </c>
      <c r="M180" s="92"/>
    </row>
    <row r="181" spans="1:13" ht="21.6" x14ac:dyDescent="0.65">
      <c r="A181" s="195"/>
      <c r="B181" s="144">
        <v>178</v>
      </c>
      <c r="C181" s="2"/>
      <c r="D181" s="1"/>
      <c r="E181" s="3"/>
      <c r="F181" s="1"/>
      <c r="G181" s="141">
        <f>IF(Basic3456789101112131415161718192021[[#This Row],[نوع الخدمة]]="مخالفات", 50,
IF(Basic3456789101112131415161718192021[[#This Row],[نوع الخدمة]]="كاش ان",
    IF(F181&lt;=100, 18, IF(F181&lt;=250, 23, IF(F181&lt;=500, 35, IF(F181&lt;=1000, 40, F181*0.04)))),
IF(Basic3456789101112131415161718192021[[#This Row],[نوع الخدمة]]="كاش اوت",
    IF(F181&lt;=100, 15, IF(F181&lt;=250, 20, IF(F181&lt;=500, 30, IF(F181&lt;=1000, 35, F181*0.035)))),
0)))</f>
        <v>0</v>
      </c>
      <c r="H181" s="163">
        <f>IF(I181="مخالفات",50,Basic3456789101112131415161718192021[[#This Row],[قيمة الرسوم / العموله]]+Basic3456789101112131415161718192021[[#This Row],[قيمة الشحنه]])</f>
        <v>0</v>
      </c>
      <c r="I181" s="90"/>
      <c r="J181" s="142" t="str">
        <f t="shared" si="2"/>
        <v>12.5.2026</v>
      </c>
      <c r="L181" s="153">
        <v>170</v>
      </c>
      <c r="M181" s="92"/>
    </row>
    <row r="182" spans="1:13" ht="21.6" x14ac:dyDescent="0.65">
      <c r="A182" s="195"/>
      <c r="B182" s="140">
        <v>179</v>
      </c>
      <c r="C182" s="2"/>
      <c r="D182" s="1"/>
      <c r="E182" s="3"/>
      <c r="F182" s="1"/>
      <c r="G182" s="141">
        <f>IF(Basic3456789101112131415161718192021[[#This Row],[نوع الخدمة]]="مخالفات", 50,
IF(Basic3456789101112131415161718192021[[#This Row],[نوع الخدمة]]="كاش ان",
    IF(F182&lt;=100, 18, IF(F182&lt;=250, 23, IF(F182&lt;=500, 35, IF(F182&lt;=1000, 40, F182*0.04)))),
IF(Basic3456789101112131415161718192021[[#This Row],[نوع الخدمة]]="كاش اوت",
    IF(F182&lt;=100, 15, IF(F182&lt;=250, 20, IF(F182&lt;=500, 30, IF(F182&lt;=1000, 35, F182*0.035)))),
0)))</f>
        <v>0</v>
      </c>
      <c r="H182" s="163">
        <f>IF(I182="مخالفات",50,Basic3456789101112131415161718192021[[#This Row],[قيمة الرسوم / العموله]]+Basic3456789101112131415161718192021[[#This Row],[قيمة الشحنه]])</f>
        <v>0</v>
      </c>
      <c r="I182" s="90"/>
      <c r="J182" s="142" t="str">
        <f t="shared" si="2"/>
        <v>12.5.2026</v>
      </c>
      <c r="L182" s="153">
        <v>171</v>
      </c>
      <c r="M182" s="92"/>
    </row>
    <row r="183" spans="1:13" ht="21.6" x14ac:dyDescent="0.65">
      <c r="A183" s="195"/>
      <c r="B183" s="140">
        <v>180</v>
      </c>
      <c r="C183" s="2"/>
      <c r="D183" s="1"/>
      <c r="E183" s="3"/>
      <c r="F183" s="1"/>
      <c r="G183" s="141">
        <f>IF(Basic3456789101112131415161718192021[[#This Row],[نوع الخدمة]]="مخالفات", 50,
IF(Basic3456789101112131415161718192021[[#This Row],[نوع الخدمة]]="كاش ان",
    IF(F183&lt;=100, 18, IF(F183&lt;=250, 23, IF(F183&lt;=500, 35, IF(F183&lt;=1000, 40, F183*0.04)))),
IF(Basic3456789101112131415161718192021[[#This Row],[نوع الخدمة]]="كاش اوت",
    IF(F183&lt;=100, 15, IF(F183&lt;=250, 20, IF(F183&lt;=500, 30, IF(F183&lt;=1000, 35, F183*0.035)))),
0)))</f>
        <v>0</v>
      </c>
      <c r="H183" s="163">
        <f>IF(I183="مخالفات",50,Basic3456789101112131415161718192021[[#This Row],[قيمة الرسوم / العموله]]+Basic3456789101112131415161718192021[[#This Row],[قيمة الشحنه]])</f>
        <v>0</v>
      </c>
      <c r="I183" s="90"/>
      <c r="J183" s="142" t="str">
        <f t="shared" si="2"/>
        <v>12.5.2026</v>
      </c>
      <c r="L183" s="153">
        <v>172</v>
      </c>
      <c r="M183" s="92"/>
    </row>
    <row r="184" spans="1:13" ht="21.6" x14ac:dyDescent="0.65">
      <c r="A184" s="195"/>
      <c r="B184" s="140">
        <v>181</v>
      </c>
      <c r="C184" s="2"/>
      <c r="D184" s="1"/>
      <c r="E184" s="3"/>
      <c r="F184" s="1"/>
      <c r="G184" s="141">
        <f>IF(Basic3456789101112131415161718192021[[#This Row],[نوع الخدمة]]="مخالفات", 50,
IF(Basic3456789101112131415161718192021[[#This Row],[نوع الخدمة]]="كاش ان",
    IF(F184&lt;=100, 18, IF(F184&lt;=250, 23, IF(F184&lt;=500, 35, IF(F184&lt;=1000, 40, F184*0.04)))),
IF(Basic3456789101112131415161718192021[[#This Row],[نوع الخدمة]]="كاش اوت",
    IF(F184&lt;=100, 15, IF(F184&lt;=250, 20, IF(F184&lt;=500, 30, IF(F184&lt;=1000, 35, F184*0.035)))),
0)))</f>
        <v>0</v>
      </c>
      <c r="H184" s="163">
        <f>IF(I184="مخالفات",50,Basic3456789101112131415161718192021[[#This Row],[قيمة الرسوم / العموله]]+Basic3456789101112131415161718192021[[#This Row],[قيمة الشحنه]])</f>
        <v>0</v>
      </c>
      <c r="I184" s="90"/>
      <c r="J184" s="142" t="str">
        <f t="shared" si="2"/>
        <v>12.5.2026</v>
      </c>
      <c r="L184" s="153">
        <v>173</v>
      </c>
      <c r="M184" s="92"/>
    </row>
    <row r="185" spans="1:13" ht="21.6" x14ac:dyDescent="0.65">
      <c r="A185" s="195"/>
      <c r="B185" s="144">
        <v>182</v>
      </c>
      <c r="C185" s="2"/>
      <c r="D185" s="1"/>
      <c r="E185" s="3"/>
      <c r="F185" s="1"/>
      <c r="G185" s="141">
        <f>IF(Basic3456789101112131415161718192021[[#This Row],[نوع الخدمة]]="مخالفات", 50,
IF(Basic3456789101112131415161718192021[[#This Row],[نوع الخدمة]]="كاش ان",
    IF(F185&lt;=100, 18, IF(F185&lt;=250, 23, IF(F185&lt;=500, 35, IF(F185&lt;=1000, 40, F185*0.04)))),
IF(Basic3456789101112131415161718192021[[#This Row],[نوع الخدمة]]="كاش اوت",
    IF(F185&lt;=100, 15, IF(F185&lt;=250, 20, IF(F185&lt;=500, 30, IF(F185&lt;=1000, 35, F185*0.035)))),
0)))</f>
        <v>0</v>
      </c>
      <c r="H185" s="163">
        <f>IF(I185="مخالفات",50,Basic3456789101112131415161718192021[[#This Row],[قيمة الرسوم / العموله]]+Basic3456789101112131415161718192021[[#This Row],[قيمة الشحنه]])</f>
        <v>0</v>
      </c>
      <c r="I185" s="90"/>
      <c r="J185" s="142" t="str">
        <f t="shared" si="2"/>
        <v>12.5.2026</v>
      </c>
      <c r="L185" s="153">
        <v>174</v>
      </c>
      <c r="M185" s="92"/>
    </row>
    <row r="186" spans="1:13" ht="21.6" x14ac:dyDescent="0.65">
      <c r="A186" s="195"/>
      <c r="B186" s="140">
        <v>183</v>
      </c>
      <c r="C186" s="2"/>
      <c r="D186" s="1"/>
      <c r="E186" s="3"/>
      <c r="F186" s="1"/>
      <c r="G186" s="141">
        <f>IF(Basic3456789101112131415161718192021[[#This Row],[نوع الخدمة]]="مخالفات", 50,
IF(Basic3456789101112131415161718192021[[#This Row],[نوع الخدمة]]="كاش ان",
    IF(F186&lt;=100, 18, IF(F186&lt;=250, 23, IF(F186&lt;=500, 35, IF(F186&lt;=1000, 40, F186*0.04)))),
IF(Basic3456789101112131415161718192021[[#This Row],[نوع الخدمة]]="كاش اوت",
    IF(F186&lt;=100, 15, IF(F186&lt;=250, 20, IF(F186&lt;=500, 30, IF(F186&lt;=1000, 35, F186*0.035)))),
0)))</f>
        <v>0</v>
      </c>
      <c r="H186" s="163">
        <f>IF(I186="مخالفات",50,Basic3456789101112131415161718192021[[#This Row],[قيمة الرسوم / العموله]]+Basic3456789101112131415161718192021[[#This Row],[قيمة الشحنه]])</f>
        <v>0</v>
      </c>
      <c r="I186" s="90"/>
      <c r="J186" s="142" t="str">
        <f t="shared" si="2"/>
        <v>12.5.2026</v>
      </c>
      <c r="L186" s="153">
        <v>175</v>
      </c>
      <c r="M186" s="92"/>
    </row>
    <row r="187" spans="1:13" ht="21.6" x14ac:dyDescent="0.65">
      <c r="A187" s="195"/>
      <c r="B187" s="140">
        <v>184</v>
      </c>
      <c r="C187" s="2"/>
      <c r="D187" s="1"/>
      <c r="E187" s="3"/>
      <c r="F187" s="1"/>
      <c r="G187" s="141">
        <f>IF(Basic3456789101112131415161718192021[[#This Row],[نوع الخدمة]]="مخالفات", 50,
IF(Basic3456789101112131415161718192021[[#This Row],[نوع الخدمة]]="كاش ان",
    IF(F187&lt;=100, 18, IF(F187&lt;=250, 23, IF(F187&lt;=500, 35, IF(F187&lt;=1000, 40, F187*0.04)))),
IF(Basic3456789101112131415161718192021[[#This Row],[نوع الخدمة]]="كاش اوت",
    IF(F187&lt;=100, 15, IF(F187&lt;=250, 20, IF(F187&lt;=500, 30, IF(F187&lt;=1000, 35, F187*0.035)))),
0)))</f>
        <v>0</v>
      </c>
      <c r="H187" s="163">
        <f>IF(I187="مخالفات",50,Basic3456789101112131415161718192021[[#This Row],[قيمة الرسوم / العموله]]+Basic3456789101112131415161718192021[[#This Row],[قيمة الشحنه]])</f>
        <v>0</v>
      </c>
      <c r="I187" s="90"/>
      <c r="J187" s="142" t="str">
        <f t="shared" si="2"/>
        <v>12.5.2026</v>
      </c>
      <c r="L187" s="153">
        <v>176</v>
      </c>
      <c r="M187" s="92"/>
    </row>
    <row r="188" spans="1:13" ht="21.6" x14ac:dyDescent="0.65">
      <c r="A188" s="195"/>
      <c r="B188" s="140">
        <v>185</v>
      </c>
      <c r="C188" s="2"/>
      <c r="D188" s="1"/>
      <c r="E188" s="3"/>
      <c r="F188" s="1"/>
      <c r="G188" s="141">
        <f>IF(Basic3456789101112131415161718192021[[#This Row],[نوع الخدمة]]="مخالفات", 50,
IF(Basic3456789101112131415161718192021[[#This Row],[نوع الخدمة]]="كاش ان",
    IF(F188&lt;=100, 18, IF(F188&lt;=250, 23, IF(F188&lt;=500, 35, IF(F188&lt;=1000, 40, F188*0.04)))),
IF(Basic3456789101112131415161718192021[[#This Row],[نوع الخدمة]]="كاش اوت",
    IF(F188&lt;=100, 15, IF(F188&lt;=250, 20, IF(F188&lt;=500, 30, IF(F188&lt;=1000, 35, F188*0.035)))),
0)))</f>
        <v>0</v>
      </c>
      <c r="H188" s="163">
        <f>IF(I188="مخالفات",50,Basic3456789101112131415161718192021[[#This Row],[قيمة الرسوم / العموله]]+Basic3456789101112131415161718192021[[#This Row],[قيمة الشحنه]])</f>
        <v>0</v>
      </c>
      <c r="I188" s="90"/>
      <c r="J188" s="142" t="str">
        <f t="shared" si="2"/>
        <v>12.5.2026</v>
      </c>
      <c r="L188" s="153">
        <v>177</v>
      </c>
      <c r="M188" s="92"/>
    </row>
    <row r="189" spans="1:13" ht="21.6" x14ac:dyDescent="0.65">
      <c r="A189" s="195"/>
      <c r="B189" s="144">
        <v>186</v>
      </c>
      <c r="C189" s="2"/>
      <c r="D189" s="1"/>
      <c r="E189" s="3"/>
      <c r="F189" s="1"/>
      <c r="G189" s="141">
        <f>IF(Basic3456789101112131415161718192021[[#This Row],[نوع الخدمة]]="مخالفات", 50,
IF(Basic3456789101112131415161718192021[[#This Row],[نوع الخدمة]]="كاش ان",
    IF(F189&lt;=100, 18, IF(F189&lt;=250, 23, IF(F189&lt;=500, 35, IF(F189&lt;=1000, 40, F189*0.04)))),
IF(Basic3456789101112131415161718192021[[#This Row],[نوع الخدمة]]="كاش اوت",
    IF(F189&lt;=100, 15, IF(F189&lt;=250, 20, IF(F189&lt;=500, 30, IF(F189&lt;=1000, 35, F189*0.035)))),
0)))</f>
        <v>0</v>
      </c>
      <c r="H189" s="163">
        <f>IF(I189="مخالفات",50,Basic3456789101112131415161718192021[[#This Row],[قيمة الرسوم / العموله]]+Basic3456789101112131415161718192021[[#This Row],[قيمة الشحنه]])</f>
        <v>0</v>
      </c>
      <c r="I189" s="90"/>
      <c r="J189" s="142" t="str">
        <f t="shared" si="2"/>
        <v>12.5.2026</v>
      </c>
      <c r="L189" s="153">
        <v>178</v>
      </c>
      <c r="M189" s="92"/>
    </row>
    <row r="190" spans="1:13" ht="21.6" x14ac:dyDescent="0.65">
      <c r="A190" s="195"/>
      <c r="B190" s="140">
        <v>187</v>
      </c>
      <c r="C190" s="2"/>
      <c r="D190" s="1"/>
      <c r="E190" s="3"/>
      <c r="F190" s="1"/>
      <c r="G190" s="141">
        <f>IF(Basic3456789101112131415161718192021[[#This Row],[نوع الخدمة]]="مخالفات", 50,
IF(Basic3456789101112131415161718192021[[#This Row],[نوع الخدمة]]="كاش ان",
    IF(F190&lt;=100, 18, IF(F190&lt;=250, 23, IF(F190&lt;=500, 35, IF(F190&lt;=1000, 40, F190*0.04)))),
IF(Basic3456789101112131415161718192021[[#This Row],[نوع الخدمة]]="كاش اوت",
    IF(F190&lt;=100, 15, IF(F190&lt;=250, 20, IF(F190&lt;=500, 30, IF(F190&lt;=1000, 35, F190*0.035)))),
0)))</f>
        <v>0</v>
      </c>
      <c r="H190" s="163">
        <f>IF(I190="مخالفات",50,Basic3456789101112131415161718192021[[#This Row],[قيمة الرسوم / العموله]]+Basic3456789101112131415161718192021[[#This Row],[قيمة الشحنه]])</f>
        <v>0</v>
      </c>
      <c r="I190" s="90"/>
      <c r="J190" s="142" t="str">
        <f t="shared" si="2"/>
        <v>12.5.2026</v>
      </c>
      <c r="L190" s="153">
        <v>179</v>
      </c>
      <c r="M190" s="92"/>
    </row>
    <row r="191" spans="1:13" ht="21.6" x14ac:dyDescent="0.65">
      <c r="A191" s="195"/>
      <c r="B191" s="140">
        <v>188</v>
      </c>
      <c r="C191" s="2"/>
      <c r="D191" s="1"/>
      <c r="E191" s="3"/>
      <c r="F191" s="1"/>
      <c r="G191" s="141">
        <f>IF(Basic3456789101112131415161718192021[[#This Row],[نوع الخدمة]]="مخالفات", 50,
IF(Basic3456789101112131415161718192021[[#This Row],[نوع الخدمة]]="كاش ان",
    IF(F191&lt;=100, 18, IF(F191&lt;=250, 23, IF(F191&lt;=500, 35, IF(F191&lt;=1000, 40, F191*0.04)))),
IF(Basic3456789101112131415161718192021[[#This Row],[نوع الخدمة]]="كاش اوت",
    IF(F191&lt;=100, 15, IF(F191&lt;=250, 20, IF(F191&lt;=500, 30, IF(F191&lt;=1000, 35, F191*0.035)))),
0)))</f>
        <v>0</v>
      </c>
      <c r="H191" s="163">
        <f>IF(I191="مخالفات",50,Basic3456789101112131415161718192021[[#This Row],[قيمة الرسوم / العموله]]+Basic3456789101112131415161718192021[[#This Row],[قيمة الشحنه]])</f>
        <v>0</v>
      </c>
      <c r="I191" s="90"/>
      <c r="J191" s="142" t="str">
        <f t="shared" si="2"/>
        <v>12.5.2026</v>
      </c>
      <c r="L191" s="153">
        <v>180</v>
      </c>
      <c r="M191" s="92"/>
    </row>
    <row r="192" spans="1:13" ht="21.6" x14ac:dyDescent="0.65">
      <c r="A192" s="195"/>
      <c r="B192" s="140">
        <v>189</v>
      </c>
      <c r="C192" s="2"/>
      <c r="D192" s="1"/>
      <c r="E192" s="3"/>
      <c r="F192" s="1"/>
      <c r="G192" s="141">
        <f>IF(Basic3456789101112131415161718192021[[#This Row],[نوع الخدمة]]="مخالفات", 50,
IF(Basic3456789101112131415161718192021[[#This Row],[نوع الخدمة]]="كاش ان",
    IF(F192&lt;=100, 18, IF(F192&lt;=250, 23, IF(F192&lt;=500, 35, IF(F192&lt;=1000, 40, F192*0.04)))),
IF(Basic3456789101112131415161718192021[[#This Row],[نوع الخدمة]]="كاش اوت",
    IF(F192&lt;=100, 15, IF(F192&lt;=250, 20, IF(F192&lt;=500, 30, IF(F192&lt;=1000, 35, F192*0.035)))),
0)))</f>
        <v>0</v>
      </c>
      <c r="H192" s="163">
        <f>IF(I192="مخالفات",50,Basic3456789101112131415161718192021[[#This Row],[قيمة الرسوم / العموله]]+Basic3456789101112131415161718192021[[#This Row],[قيمة الشحنه]])</f>
        <v>0</v>
      </c>
      <c r="I192" s="90"/>
      <c r="J192" s="142" t="str">
        <f t="shared" si="2"/>
        <v>12.5.2026</v>
      </c>
      <c r="L192" s="153">
        <v>181</v>
      </c>
      <c r="M192" s="92"/>
    </row>
    <row r="193" spans="1:13" ht="21.6" x14ac:dyDescent="0.65">
      <c r="A193" s="195"/>
      <c r="B193" s="144">
        <v>190</v>
      </c>
      <c r="C193" s="2"/>
      <c r="D193" s="1"/>
      <c r="E193" s="3"/>
      <c r="F193" s="1"/>
      <c r="G193" s="141">
        <f>IF(Basic3456789101112131415161718192021[[#This Row],[نوع الخدمة]]="مخالفات", 50,
IF(Basic3456789101112131415161718192021[[#This Row],[نوع الخدمة]]="كاش ان",
    IF(F193&lt;=100, 18, IF(F193&lt;=250, 23, IF(F193&lt;=500, 35, IF(F193&lt;=1000, 40, F193*0.04)))),
IF(Basic3456789101112131415161718192021[[#This Row],[نوع الخدمة]]="كاش اوت",
    IF(F193&lt;=100, 15, IF(F193&lt;=250, 20, IF(F193&lt;=500, 30, IF(F193&lt;=1000, 35, F193*0.035)))),
0)))</f>
        <v>0</v>
      </c>
      <c r="H193" s="163">
        <f>IF(I193="مخالفات",50,Basic3456789101112131415161718192021[[#This Row],[قيمة الرسوم / العموله]]+Basic3456789101112131415161718192021[[#This Row],[قيمة الشحنه]])</f>
        <v>0</v>
      </c>
      <c r="I193" s="90"/>
      <c r="J193" s="142" t="str">
        <f t="shared" si="2"/>
        <v>12.5.2026</v>
      </c>
      <c r="L193" s="153">
        <v>182</v>
      </c>
      <c r="M193" s="92"/>
    </row>
    <row r="194" spans="1:13" ht="21.6" x14ac:dyDescent="0.65">
      <c r="A194" s="195"/>
      <c r="B194" s="140">
        <v>191</v>
      </c>
      <c r="C194" s="2"/>
      <c r="D194" s="1"/>
      <c r="E194" s="3"/>
      <c r="F194" s="1"/>
      <c r="G194" s="141">
        <f>IF(Basic3456789101112131415161718192021[[#This Row],[نوع الخدمة]]="مخالفات", 50,
IF(Basic3456789101112131415161718192021[[#This Row],[نوع الخدمة]]="كاش ان",
    IF(F194&lt;=100, 18, IF(F194&lt;=250, 23, IF(F194&lt;=500, 35, IF(F194&lt;=1000, 40, F194*0.04)))),
IF(Basic3456789101112131415161718192021[[#This Row],[نوع الخدمة]]="كاش اوت",
    IF(F194&lt;=100, 15, IF(F194&lt;=250, 20, IF(F194&lt;=500, 30, IF(F194&lt;=1000, 35, F194*0.035)))),
0)))</f>
        <v>0</v>
      </c>
      <c r="H194" s="163">
        <f>IF(I194="مخالفات",50,Basic3456789101112131415161718192021[[#This Row],[قيمة الرسوم / العموله]]+Basic3456789101112131415161718192021[[#This Row],[قيمة الشحنه]])</f>
        <v>0</v>
      </c>
      <c r="I194" s="90"/>
      <c r="J194" s="142" t="str">
        <f t="shared" si="2"/>
        <v>12.5.2026</v>
      </c>
      <c r="L194" s="153">
        <v>183</v>
      </c>
      <c r="M194" s="92"/>
    </row>
    <row r="195" spans="1:13" ht="21.6" x14ac:dyDescent="0.65">
      <c r="A195" s="195"/>
      <c r="B195" s="140">
        <v>192</v>
      </c>
      <c r="C195" s="2"/>
      <c r="D195" s="1"/>
      <c r="E195" s="3"/>
      <c r="F195" s="1"/>
      <c r="G195" s="141">
        <f>IF(Basic3456789101112131415161718192021[[#This Row],[نوع الخدمة]]="مخالفات", 50,
IF(Basic3456789101112131415161718192021[[#This Row],[نوع الخدمة]]="كاش ان",
    IF(F195&lt;=100, 18, IF(F195&lt;=250, 23, IF(F195&lt;=500, 35, IF(F195&lt;=1000, 40, F195*0.04)))),
IF(Basic3456789101112131415161718192021[[#This Row],[نوع الخدمة]]="كاش اوت",
    IF(F195&lt;=100, 15, IF(F195&lt;=250, 20, IF(F195&lt;=500, 30, IF(F195&lt;=1000, 35, F195*0.035)))),
0)))</f>
        <v>0</v>
      </c>
      <c r="H195" s="163">
        <f>IF(I195="مخالفات",50,Basic3456789101112131415161718192021[[#This Row],[قيمة الرسوم / العموله]]+Basic3456789101112131415161718192021[[#This Row],[قيمة الشحنه]])</f>
        <v>0</v>
      </c>
      <c r="I195" s="90"/>
      <c r="J195" s="142" t="str">
        <f t="shared" si="2"/>
        <v>12.5.2026</v>
      </c>
      <c r="L195" s="153">
        <v>184</v>
      </c>
      <c r="M195" s="92"/>
    </row>
    <row r="196" spans="1:13" ht="21.6" x14ac:dyDescent="0.65">
      <c r="A196" s="195"/>
      <c r="B196" s="140">
        <v>193</v>
      </c>
      <c r="C196" s="2"/>
      <c r="D196" s="1"/>
      <c r="E196" s="3"/>
      <c r="F196" s="1"/>
      <c r="G196" s="141">
        <f>IF(Basic3456789101112131415161718192021[[#This Row],[نوع الخدمة]]="مخالفات", 50,
IF(Basic3456789101112131415161718192021[[#This Row],[نوع الخدمة]]="كاش ان",
    IF(F196&lt;=100, 18, IF(F196&lt;=250, 23, IF(F196&lt;=500, 35, IF(F196&lt;=1000, 40, F196*0.04)))),
IF(Basic3456789101112131415161718192021[[#This Row],[نوع الخدمة]]="كاش اوت",
    IF(F196&lt;=100, 15, IF(F196&lt;=250, 20, IF(F196&lt;=500, 30, IF(F196&lt;=1000, 35, F196*0.035)))),
0)))</f>
        <v>0</v>
      </c>
      <c r="H196" s="163">
        <f>IF(I196="مخالفات",50,Basic3456789101112131415161718192021[[#This Row],[قيمة الرسوم / العموله]]+Basic3456789101112131415161718192021[[#This Row],[قيمة الشحنه]])</f>
        <v>0</v>
      </c>
      <c r="I196" s="90"/>
      <c r="J196" s="142" t="str">
        <f t="shared" ref="J196:J226" si="3">M$3</f>
        <v>12.5.2026</v>
      </c>
      <c r="L196" s="153">
        <v>185</v>
      </c>
      <c r="M196" s="92"/>
    </row>
    <row r="197" spans="1:13" ht="21.6" x14ac:dyDescent="0.65">
      <c r="A197" s="195"/>
      <c r="B197" s="144">
        <v>194</v>
      </c>
      <c r="C197" s="2"/>
      <c r="D197" s="1"/>
      <c r="E197" s="3"/>
      <c r="F197" s="1"/>
      <c r="G197" s="141">
        <f>IF(Basic3456789101112131415161718192021[[#This Row],[نوع الخدمة]]="مخالفات", 50,
IF(Basic3456789101112131415161718192021[[#This Row],[نوع الخدمة]]="كاش ان",
    IF(F197&lt;=100, 18, IF(F197&lt;=250, 23, IF(F197&lt;=500, 35, IF(F197&lt;=1000, 40, F197*0.04)))),
IF(Basic3456789101112131415161718192021[[#This Row],[نوع الخدمة]]="كاش اوت",
    IF(F197&lt;=100, 15, IF(F197&lt;=250, 20, IF(F197&lt;=500, 30, IF(F197&lt;=1000, 35, F197*0.035)))),
0)))</f>
        <v>0</v>
      </c>
      <c r="H197" s="163">
        <f>IF(I197="مخالفات",50,Basic3456789101112131415161718192021[[#This Row],[قيمة الرسوم / العموله]]+Basic3456789101112131415161718192021[[#This Row],[قيمة الشحنه]])</f>
        <v>0</v>
      </c>
      <c r="I197" s="90"/>
      <c r="J197" s="142" t="str">
        <f t="shared" si="3"/>
        <v>12.5.2026</v>
      </c>
      <c r="L197" s="153">
        <v>186</v>
      </c>
      <c r="M197" s="92"/>
    </row>
    <row r="198" spans="1:13" ht="21.6" x14ac:dyDescent="0.65">
      <c r="A198" s="195"/>
      <c r="B198" s="140">
        <v>195</v>
      </c>
      <c r="C198" s="2"/>
      <c r="D198" s="1"/>
      <c r="E198" s="3"/>
      <c r="F198" s="1"/>
      <c r="G198" s="141">
        <f>IF(Basic3456789101112131415161718192021[[#This Row],[نوع الخدمة]]="مخالفات", 50,
IF(Basic3456789101112131415161718192021[[#This Row],[نوع الخدمة]]="كاش ان",
    IF(F198&lt;=100, 18, IF(F198&lt;=250, 23, IF(F198&lt;=500, 35, IF(F198&lt;=1000, 40, F198*0.04)))),
IF(Basic3456789101112131415161718192021[[#This Row],[نوع الخدمة]]="كاش اوت",
    IF(F198&lt;=100, 15, IF(F198&lt;=250, 20, IF(F198&lt;=500, 30, IF(F198&lt;=1000, 35, F198*0.035)))),
0)))</f>
        <v>0</v>
      </c>
      <c r="H198" s="163">
        <f>IF(I198="مخالفات",50,Basic3456789101112131415161718192021[[#This Row],[قيمة الرسوم / العموله]]+Basic3456789101112131415161718192021[[#This Row],[قيمة الشحنه]])</f>
        <v>0</v>
      </c>
      <c r="I198" s="90"/>
      <c r="J198" s="142" t="str">
        <f t="shared" si="3"/>
        <v>12.5.2026</v>
      </c>
      <c r="L198" s="153">
        <v>187</v>
      </c>
      <c r="M198" s="92"/>
    </row>
    <row r="199" spans="1:13" ht="21.6" x14ac:dyDescent="0.65">
      <c r="A199" s="195"/>
      <c r="B199" s="140">
        <v>196</v>
      </c>
      <c r="C199" s="2"/>
      <c r="D199" s="1"/>
      <c r="E199" s="3"/>
      <c r="F199" s="1"/>
      <c r="G199" s="141">
        <f>IF(Basic3456789101112131415161718192021[[#This Row],[نوع الخدمة]]="مخالفات", 50,
IF(Basic3456789101112131415161718192021[[#This Row],[نوع الخدمة]]="كاش ان",
    IF(F199&lt;=100, 18, IF(F199&lt;=250, 23, IF(F199&lt;=500, 35, IF(F199&lt;=1000, 40, F199*0.04)))),
IF(Basic3456789101112131415161718192021[[#This Row],[نوع الخدمة]]="كاش اوت",
    IF(F199&lt;=100, 15, IF(F199&lt;=250, 20, IF(F199&lt;=500, 30, IF(F199&lt;=1000, 35, F199*0.035)))),
0)))</f>
        <v>0</v>
      </c>
      <c r="H199" s="163">
        <f>IF(I199="مخالفات",50,Basic3456789101112131415161718192021[[#This Row],[قيمة الرسوم / العموله]]+Basic3456789101112131415161718192021[[#This Row],[قيمة الشحنه]])</f>
        <v>0</v>
      </c>
      <c r="I199" s="90"/>
      <c r="J199" s="142" t="str">
        <f t="shared" si="3"/>
        <v>12.5.2026</v>
      </c>
      <c r="L199" s="153">
        <v>188</v>
      </c>
      <c r="M199" s="92"/>
    </row>
    <row r="200" spans="1:13" ht="21.6" x14ac:dyDescent="0.65">
      <c r="A200" s="195"/>
      <c r="B200" s="140">
        <v>197</v>
      </c>
      <c r="C200" s="2"/>
      <c r="D200" s="1"/>
      <c r="E200" s="3"/>
      <c r="F200" s="1"/>
      <c r="G200" s="141">
        <f>IF(Basic3456789101112131415161718192021[[#This Row],[نوع الخدمة]]="مخالفات", 50,
IF(Basic3456789101112131415161718192021[[#This Row],[نوع الخدمة]]="كاش ان",
    IF(F200&lt;=100, 18, IF(F200&lt;=250, 23, IF(F200&lt;=500, 35, IF(F200&lt;=1000, 40, F200*0.04)))),
IF(Basic3456789101112131415161718192021[[#This Row],[نوع الخدمة]]="كاش اوت",
    IF(F200&lt;=100, 15, IF(F200&lt;=250, 20, IF(F200&lt;=500, 30, IF(F200&lt;=1000, 35, F200*0.035)))),
0)))</f>
        <v>0</v>
      </c>
      <c r="H200" s="163">
        <f>IF(I200="مخالفات",50,Basic3456789101112131415161718192021[[#This Row],[قيمة الرسوم / العموله]]+Basic3456789101112131415161718192021[[#This Row],[قيمة الشحنه]])</f>
        <v>0</v>
      </c>
      <c r="I200" s="90"/>
      <c r="J200" s="142" t="str">
        <f t="shared" si="3"/>
        <v>12.5.2026</v>
      </c>
      <c r="L200" s="153">
        <v>189</v>
      </c>
      <c r="M200" s="92"/>
    </row>
    <row r="201" spans="1:13" ht="21.6" x14ac:dyDescent="0.65">
      <c r="A201" s="195"/>
      <c r="B201" s="144">
        <v>198</v>
      </c>
      <c r="C201" s="2"/>
      <c r="D201" s="1"/>
      <c r="E201" s="3"/>
      <c r="F201" s="1"/>
      <c r="G201" s="141">
        <f>IF(Basic3456789101112131415161718192021[[#This Row],[نوع الخدمة]]="مخالفات", 50,
IF(Basic3456789101112131415161718192021[[#This Row],[نوع الخدمة]]="كاش ان",
    IF(F201&lt;=100, 18, IF(F201&lt;=250, 23, IF(F201&lt;=500, 35, IF(F201&lt;=1000, 40, F201*0.04)))),
IF(Basic3456789101112131415161718192021[[#This Row],[نوع الخدمة]]="كاش اوت",
    IF(F201&lt;=100, 15, IF(F201&lt;=250, 20, IF(F201&lt;=500, 30, IF(F201&lt;=1000, 35, F201*0.035)))),
0)))</f>
        <v>0</v>
      </c>
      <c r="H201" s="163">
        <f>IF(I201="مخالفات",50,Basic3456789101112131415161718192021[[#This Row],[قيمة الرسوم / العموله]]+Basic3456789101112131415161718192021[[#This Row],[قيمة الشحنه]])</f>
        <v>0</v>
      </c>
      <c r="I201" s="90"/>
      <c r="J201" s="142" t="str">
        <f t="shared" si="3"/>
        <v>12.5.2026</v>
      </c>
      <c r="L201" s="153">
        <v>190</v>
      </c>
      <c r="M201" s="92"/>
    </row>
    <row r="202" spans="1:13" ht="21.6" x14ac:dyDescent="0.65">
      <c r="A202" s="195"/>
      <c r="B202" s="140">
        <v>199</v>
      </c>
      <c r="C202" s="2"/>
      <c r="D202" s="1"/>
      <c r="E202" s="3"/>
      <c r="F202" s="1"/>
      <c r="G202" s="141">
        <f>IF(Basic3456789101112131415161718192021[[#This Row],[نوع الخدمة]]="مخالفات", 50,
IF(Basic3456789101112131415161718192021[[#This Row],[نوع الخدمة]]="كاش ان",
    IF(F202&lt;=100, 18, IF(F202&lt;=250, 23, IF(F202&lt;=500, 35, IF(F202&lt;=1000, 40, F202*0.04)))),
IF(Basic3456789101112131415161718192021[[#This Row],[نوع الخدمة]]="كاش اوت",
    IF(F202&lt;=100, 15, IF(F202&lt;=250, 20, IF(F202&lt;=500, 30, IF(F202&lt;=1000, 35, F202*0.035)))),
0)))</f>
        <v>0</v>
      </c>
      <c r="H202" s="163">
        <f>IF(I202="مخالفات",50,Basic3456789101112131415161718192021[[#This Row],[قيمة الرسوم / العموله]]+Basic3456789101112131415161718192021[[#This Row],[قيمة الشحنه]])</f>
        <v>0</v>
      </c>
      <c r="I202" s="90"/>
      <c r="J202" s="142" t="str">
        <f t="shared" si="3"/>
        <v>12.5.2026</v>
      </c>
      <c r="L202" s="153">
        <v>191</v>
      </c>
      <c r="M202" s="92"/>
    </row>
    <row r="203" spans="1:13" ht="21.6" x14ac:dyDescent="0.65">
      <c r="A203" s="195"/>
      <c r="B203" s="140">
        <v>200</v>
      </c>
      <c r="C203" s="2"/>
      <c r="D203" s="1"/>
      <c r="E203" s="3"/>
      <c r="F203" s="1"/>
      <c r="G203" s="141">
        <f>IF(Basic3456789101112131415161718192021[[#This Row],[نوع الخدمة]]="مخالفات", 50,
IF(Basic3456789101112131415161718192021[[#This Row],[نوع الخدمة]]="كاش ان",
    IF(F203&lt;=100, 18, IF(F203&lt;=250, 23, IF(F203&lt;=500, 35, IF(F203&lt;=1000, 40, F203*0.04)))),
IF(Basic3456789101112131415161718192021[[#This Row],[نوع الخدمة]]="كاش اوت",
    IF(F203&lt;=100, 15, IF(F203&lt;=250, 20, IF(F203&lt;=500, 30, IF(F203&lt;=1000, 35, F203*0.035)))),
0)))</f>
        <v>0</v>
      </c>
      <c r="H203" s="163">
        <f>IF(I203="مخالفات",50,Basic3456789101112131415161718192021[[#This Row],[قيمة الرسوم / العموله]]+Basic3456789101112131415161718192021[[#This Row],[قيمة الشحنه]])</f>
        <v>0</v>
      </c>
      <c r="I203" s="90"/>
      <c r="J203" s="142" t="str">
        <f t="shared" si="3"/>
        <v>12.5.2026</v>
      </c>
      <c r="L203" s="153">
        <v>192</v>
      </c>
      <c r="M203" s="92"/>
    </row>
    <row r="204" spans="1:13" ht="21.6" x14ac:dyDescent="0.65">
      <c r="A204" s="195"/>
      <c r="B204" s="140">
        <v>201</v>
      </c>
      <c r="C204" s="2"/>
      <c r="D204" s="1"/>
      <c r="E204" s="3"/>
      <c r="F204" s="1"/>
      <c r="G204" s="141">
        <f>IF(Basic3456789101112131415161718192021[[#This Row],[نوع الخدمة]]="مخالفات", 50,
IF(Basic3456789101112131415161718192021[[#This Row],[نوع الخدمة]]="كاش ان",
    IF(F204&lt;=100, 18, IF(F204&lt;=250, 23, IF(F204&lt;=500, 35, IF(F204&lt;=1000, 40, F204*0.04)))),
IF(Basic3456789101112131415161718192021[[#This Row],[نوع الخدمة]]="كاش اوت",
    IF(F204&lt;=100, 15, IF(F204&lt;=250, 20, IF(F204&lt;=500, 30, IF(F204&lt;=1000, 35, F204*0.035)))),
0)))</f>
        <v>0</v>
      </c>
      <c r="H204" s="163">
        <f>IF(I204="مخالفات",50,Basic3456789101112131415161718192021[[#This Row],[قيمة الرسوم / العموله]]+Basic3456789101112131415161718192021[[#This Row],[قيمة الشحنه]])</f>
        <v>0</v>
      </c>
      <c r="I204" s="90"/>
      <c r="J204" s="142" t="str">
        <f t="shared" si="3"/>
        <v>12.5.2026</v>
      </c>
      <c r="L204" s="153">
        <v>193</v>
      </c>
      <c r="M204" s="92"/>
    </row>
    <row r="205" spans="1:13" ht="21.6" x14ac:dyDescent="0.65">
      <c r="A205" s="195"/>
      <c r="B205" s="144">
        <v>202</v>
      </c>
      <c r="C205" s="2"/>
      <c r="D205" s="1"/>
      <c r="E205" s="3"/>
      <c r="F205" s="1"/>
      <c r="G205" s="141">
        <f>IF(Basic3456789101112131415161718192021[[#This Row],[نوع الخدمة]]="مخالفات", 50,
IF(Basic3456789101112131415161718192021[[#This Row],[نوع الخدمة]]="كاش ان",
    IF(F205&lt;=100, 18, IF(F205&lt;=250, 23, IF(F205&lt;=500, 35, IF(F205&lt;=1000, 40, F205*0.04)))),
IF(Basic3456789101112131415161718192021[[#This Row],[نوع الخدمة]]="كاش اوت",
    IF(F205&lt;=100, 15, IF(F205&lt;=250, 20, IF(F205&lt;=500, 30, IF(F205&lt;=1000, 35, F205*0.035)))),
0)))</f>
        <v>0</v>
      </c>
      <c r="H205" s="163">
        <f>IF(I205="مخالفات",50,Basic3456789101112131415161718192021[[#This Row],[قيمة الرسوم / العموله]]+Basic3456789101112131415161718192021[[#This Row],[قيمة الشحنه]])</f>
        <v>0</v>
      </c>
      <c r="I205" s="90"/>
      <c r="J205" s="142" t="str">
        <f t="shared" si="3"/>
        <v>12.5.2026</v>
      </c>
      <c r="L205" s="153">
        <v>194</v>
      </c>
      <c r="M205" s="92"/>
    </row>
    <row r="206" spans="1:13" ht="21.6" x14ac:dyDescent="0.65">
      <c r="A206" s="195"/>
      <c r="B206" s="140">
        <v>203</v>
      </c>
      <c r="C206" s="2"/>
      <c r="D206" s="1"/>
      <c r="E206" s="3"/>
      <c r="F206" s="1"/>
      <c r="G206" s="141">
        <f>IF(Basic3456789101112131415161718192021[[#This Row],[نوع الخدمة]]="مخالفات", 50,
IF(Basic3456789101112131415161718192021[[#This Row],[نوع الخدمة]]="كاش ان",
    IF(F206&lt;=100, 18, IF(F206&lt;=250, 23, IF(F206&lt;=500, 35, IF(F206&lt;=1000, 40, F206*0.04)))),
IF(Basic3456789101112131415161718192021[[#This Row],[نوع الخدمة]]="كاش اوت",
    IF(F206&lt;=100, 15, IF(F206&lt;=250, 20, IF(F206&lt;=500, 30, IF(F206&lt;=1000, 35, F206*0.035)))),
0)))</f>
        <v>0</v>
      </c>
      <c r="H206" s="163">
        <f>IF(I206="مخالفات",50,Basic3456789101112131415161718192021[[#This Row],[قيمة الرسوم / العموله]]+Basic3456789101112131415161718192021[[#This Row],[قيمة الشحنه]])</f>
        <v>0</v>
      </c>
      <c r="I206" s="90"/>
      <c r="J206" s="142" t="str">
        <f t="shared" si="3"/>
        <v>12.5.2026</v>
      </c>
      <c r="L206" s="153">
        <v>195</v>
      </c>
      <c r="M206" s="92"/>
    </row>
    <row r="207" spans="1:13" ht="21.6" x14ac:dyDescent="0.65">
      <c r="A207" s="195"/>
      <c r="B207" s="140">
        <v>204</v>
      </c>
      <c r="C207" s="2"/>
      <c r="D207" s="1"/>
      <c r="E207" s="3"/>
      <c r="F207" s="1"/>
      <c r="G207" s="141">
        <f>IF(Basic3456789101112131415161718192021[[#This Row],[نوع الخدمة]]="مخالفات", 50,
IF(Basic3456789101112131415161718192021[[#This Row],[نوع الخدمة]]="كاش ان",
    IF(F207&lt;=100, 18, IF(F207&lt;=250, 23, IF(F207&lt;=500, 35, IF(F207&lt;=1000, 40, F207*0.04)))),
IF(Basic3456789101112131415161718192021[[#This Row],[نوع الخدمة]]="كاش اوت",
    IF(F207&lt;=100, 15, IF(F207&lt;=250, 20, IF(F207&lt;=500, 30, IF(F207&lt;=1000, 35, F207*0.035)))),
0)))</f>
        <v>0</v>
      </c>
      <c r="H207" s="163">
        <f>IF(I207="مخالفات",50,Basic3456789101112131415161718192021[[#This Row],[قيمة الرسوم / العموله]]+Basic3456789101112131415161718192021[[#This Row],[قيمة الشحنه]])</f>
        <v>0</v>
      </c>
      <c r="I207" s="90"/>
      <c r="J207" s="142" t="str">
        <f t="shared" si="3"/>
        <v>12.5.2026</v>
      </c>
      <c r="L207" s="153">
        <v>196</v>
      </c>
      <c r="M207" s="92"/>
    </row>
    <row r="208" spans="1:13" ht="21.6" x14ac:dyDescent="0.65">
      <c r="A208" s="195"/>
      <c r="B208" s="140">
        <v>205</v>
      </c>
      <c r="C208" s="2"/>
      <c r="D208" s="1"/>
      <c r="E208" s="3"/>
      <c r="F208" s="1"/>
      <c r="G208" s="141">
        <f>IF(Basic3456789101112131415161718192021[[#This Row],[نوع الخدمة]]="مخالفات", 50,
IF(Basic3456789101112131415161718192021[[#This Row],[نوع الخدمة]]="كاش ان",
    IF(F208&lt;=100, 18, IF(F208&lt;=250, 23, IF(F208&lt;=500, 35, IF(F208&lt;=1000, 40, F208*0.04)))),
IF(Basic3456789101112131415161718192021[[#This Row],[نوع الخدمة]]="كاش اوت",
    IF(F208&lt;=100, 15, IF(F208&lt;=250, 20, IF(F208&lt;=500, 30, IF(F208&lt;=1000, 35, F208*0.035)))),
0)))</f>
        <v>0</v>
      </c>
      <c r="H208" s="163">
        <f>IF(I208="مخالفات",50,Basic3456789101112131415161718192021[[#This Row],[قيمة الرسوم / العموله]]+Basic3456789101112131415161718192021[[#This Row],[قيمة الشحنه]])</f>
        <v>0</v>
      </c>
      <c r="I208" s="90"/>
      <c r="J208" s="142" t="str">
        <f t="shared" si="3"/>
        <v>12.5.2026</v>
      </c>
      <c r="L208" s="153">
        <v>197</v>
      </c>
      <c r="M208" s="92"/>
    </row>
    <row r="209" spans="1:13" ht="21.6" x14ac:dyDescent="0.65">
      <c r="A209" s="195"/>
      <c r="B209" s="144">
        <v>206</v>
      </c>
      <c r="C209" s="2"/>
      <c r="D209" s="1"/>
      <c r="E209" s="3"/>
      <c r="F209" s="1"/>
      <c r="G209" s="141">
        <f>IF(Basic3456789101112131415161718192021[[#This Row],[نوع الخدمة]]="مخالفات", 50,
IF(Basic3456789101112131415161718192021[[#This Row],[نوع الخدمة]]="كاش ان",
    IF(F209&lt;=100, 18, IF(F209&lt;=250, 23, IF(F209&lt;=500, 35, IF(F209&lt;=1000, 40, F209*0.04)))),
IF(Basic3456789101112131415161718192021[[#This Row],[نوع الخدمة]]="كاش اوت",
    IF(F209&lt;=100, 15, IF(F209&lt;=250, 20, IF(F209&lt;=500, 30, IF(F209&lt;=1000, 35, F209*0.035)))),
0)))</f>
        <v>0</v>
      </c>
      <c r="H209" s="163">
        <f>IF(I209="مخالفات",50,Basic3456789101112131415161718192021[[#This Row],[قيمة الرسوم / العموله]]+Basic3456789101112131415161718192021[[#This Row],[قيمة الشحنه]])</f>
        <v>0</v>
      </c>
      <c r="I209" s="90"/>
      <c r="J209" s="142" t="str">
        <f t="shared" si="3"/>
        <v>12.5.2026</v>
      </c>
      <c r="L209" s="153">
        <v>198</v>
      </c>
      <c r="M209" s="92"/>
    </row>
    <row r="210" spans="1:13" ht="21.6" x14ac:dyDescent="0.65">
      <c r="A210" s="195"/>
      <c r="B210" s="140">
        <v>207</v>
      </c>
      <c r="C210" s="2"/>
      <c r="D210" s="1"/>
      <c r="E210" s="3"/>
      <c r="F210" s="1"/>
      <c r="G210" s="141">
        <f>IF(Basic3456789101112131415161718192021[[#This Row],[نوع الخدمة]]="مخالفات", 50,
IF(Basic3456789101112131415161718192021[[#This Row],[نوع الخدمة]]="كاش ان",
    IF(F210&lt;=100, 18, IF(F210&lt;=250, 23, IF(F210&lt;=500, 35, IF(F210&lt;=1000, 40, F210*0.04)))),
IF(Basic3456789101112131415161718192021[[#This Row],[نوع الخدمة]]="كاش اوت",
    IF(F210&lt;=100, 15, IF(F210&lt;=250, 20, IF(F210&lt;=500, 30, IF(F210&lt;=1000, 35, F210*0.035)))),
0)))</f>
        <v>0</v>
      </c>
      <c r="H210" s="163">
        <f>IF(I210="مخالفات",50,Basic3456789101112131415161718192021[[#This Row],[قيمة الرسوم / العموله]]+Basic3456789101112131415161718192021[[#This Row],[قيمة الشحنه]])</f>
        <v>0</v>
      </c>
      <c r="I210" s="90"/>
      <c r="J210" s="142" t="str">
        <f t="shared" si="3"/>
        <v>12.5.2026</v>
      </c>
      <c r="L210" s="153">
        <v>199</v>
      </c>
      <c r="M210" s="92"/>
    </row>
    <row r="211" spans="1:13" ht="21.6" x14ac:dyDescent="0.65">
      <c r="A211" s="195"/>
      <c r="B211" s="140">
        <v>208</v>
      </c>
      <c r="C211" s="2"/>
      <c r="D211" s="1"/>
      <c r="E211" s="3"/>
      <c r="F211" s="1"/>
      <c r="G211" s="141">
        <f>IF(Basic3456789101112131415161718192021[[#This Row],[نوع الخدمة]]="مخالفات", 50,
IF(Basic3456789101112131415161718192021[[#This Row],[نوع الخدمة]]="كاش ان",
    IF(F211&lt;=100, 18, IF(F211&lt;=250, 23, IF(F211&lt;=500, 35, IF(F211&lt;=1000, 40, F211*0.04)))),
IF(Basic3456789101112131415161718192021[[#This Row],[نوع الخدمة]]="كاش اوت",
    IF(F211&lt;=100, 15, IF(F211&lt;=250, 20, IF(F211&lt;=500, 30, IF(F211&lt;=1000, 35, F211*0.035)))),
0)))</f>
        <v>0</v>
      </c>
      <c r="H211" s="163">
        <f>IF(I211="مخالفات",50,Basic3456789101112131415161718192021[[#This Row],[قيمة الرسوم / العموله]]+Basic3456789101112131415161718192021[[#This Row],[قيمة الشحنه]])</f>
        <v>0</v>
      </c>
      <c r="I211" s="90"/>
      <c r="J211" s="142" t="str">
        <f t="shared" si="3"/>
        <v>12.5.2026</v>
      </c>
      <c r="L211" s="153">
        <v>200</v>
      </c>
      <c r="M211" s="92"/>
    </row>
    <row r="212" spans="1:13" ht="21.6" x14ac:dyDescent="0.65">
      <c r="A212" s="195"/>
      <c r="B212" s="140">
        <v>209</v>
      </c>
      <c r="C212" s="2"/>
      <c r="D212" s="1"/>
      <c r="E212" s="3"/>
      <c r="F212" s="1"/>
      <c r="G212" s="141">
        <f>IF(Basic3456789101112131415161718192021[[#This Row],[نوع الخدمة]]="مخالفات", 50,
IF(Basic3456789101112131415161718192021[[#This Row],[نوع الخدمة]]="كاش ان",
    IF(F212&lt;=100, 18, IF(F212&lt;=250, 23, IF(F212&lt;=500, 35, IF(F212&lt;=1000, 40, F212*0.04)))),
IF(Basic3456789101112131415161718192021[[#This Row],[نوع الخدمة]]="كاش اوت",
    IF(F212&lt;=100, 15, IF(F212&lt;=250, 20, IF(F212&lt;=500, 30, IF(F212&lt;=1000, 35, F212*0.035)))),
0)))</f>
        <v>0</v>
      </c>
      <c r="H212" s="163">
        <f>IF(I212="مخالفات",50,Basic3456789101112131415161718192021[[#This Row],[قيمة الرسوم / العموله]]+Basic3456789101112131415161718192021[[#This Row],[قيمة الشحنه]])</f>
        <v>0</v>
      </c>
      <c r="I212" s="90"/>
      <c r="J212" s="142" t="str">
        <f t="shared" si="3"/>
        <v>12.5.2026</v>
      </c>
      <c r="L212" s="153">
        <v>201</v>
      </c>
      <c r="M212" s="92"/>
    </row>
    <row r="213" spans="1:13" ht="21.6" x14ac:dyDescent="0.65">
      <c r="A213" s="195"/>
      <c r="B213" s="144">
        <v>210</v>
      </c>
      <c r="C213" s="2"/>
      <c r="D213" s="1"/>
      <c r="E213" s="3"/>
      <c r="F213" s="1"/>
      <c r="G213" s="141">
        <f>IF(Basic3456789101112131415161718192021[[#This Row],[نوع الخدمة]]="مخالفات", 50,
IF(Basic3456789101112131415161718192021[[#This Row],[نوع الخدمة]]="كاش ان",
    IF(F213&lt;=100, 18, IF(F213&lt;=250, 23, IF(F213&lt;=500, 35, IF(F213&lt;=1000, 40, F213*0.04)))),
IF(Basic3456789101112131415161718192021[[#This Row],[نوع الخدمة]]="كاش اوت",
    IF(F213&lt;=100, 15, IF(F213&lt;=250, 20, IF(F213&lt;=500, 30, IF(F213&lt;=1000, 35, F213*0.035)))),
0)))</f>
        <v>0</v>
      </c>
      <c r="H213" s="163">
        <f>IF(I213="مخالفات",50,Basic3456789101112131415161718192021[[#This Row],[قيمة الرسوم / العموله]]+Basic3456789101112131415161718192021[[#This Row],[قيمة الشحنه]])</f>
        <v>0</v>
      </c>
      <c r="I213" s="90"/>
      <c r="J213" s="142" t="str">
        <f t="shared" si="3"/>
        <v>12.5.2026</v>
      </c>
      <c r="L213" s="153">
        <v>202</v>
      </c>
      <c r="M213" s="92"/>
    </row>
    <row r="214" spans="1:13" ht="21.6" x14ac:dyDescent="0.65">
      <c r="A214" s="195"/>
      <c r="B214" s="140">
        <v>211</v>
      </c>
      <c r="C214" s="2"/>
      <c r="D214" s="1"/>
      <c r="E214" s="3"/>
      <c r="F214" s="1"/>
      <c r="G214" s="141">
        <f>IF(Basic3456789101112131415161718192021[[#This Row],[نوع الخدمة]]="مخالفات", 50,
IF(Basic3456789101112131415161718192021[[#This Row],[نوع الخدمة]]="كاش ان",
    IF(F214&lt;=100, 18, IF(F214&lt;=250, 23, IF(F214&lt;=500, 35, IF(F214&lt;=1000, 40, F214*0.04)))),
IF(Basic3456789101112131415161718192021[[#This Row],[نوع الخدمة]]="كاش اوت",
    IF(F214&lt;=100, 15, IF(F214&lt;=250, 20, IF(F214&lt;=500, 30, IF(F214&lt;=1000, 35, F214*0.035)))),
0)))</f>
        <v>0</v>
      </c>
      <c r="H214" s="163">
        <f>IF(I214="مخالفات",50,Basic3456789101112131415161718192021[[#This Row],[قيمة الرسوم / العموله]]+Basic3456789101112131415161718192021[[#This Row],[قيمة الشحنه]])</f>
        <v>0</v>
      </c>
      <c r="I214" s="90"/>
      <c r="J214" s="142" t="str">
        <f t="shared" si="3"/>
        <v>12.5.2026</v>
      </c>
      <c r="L214" s="153">
        <v>203</v>
      </c>
      <c r="M214" s="92"/>
    </row>
    <row r="215" spans="1:13" ht="21.6" x14ac:dyDescent="0.65">
      <c r="A215" s="195"/>
      <c r="B215" s="140">
        <v>212</v>
      </c>
      <c r="C215" s="2"/>
      <c r="D215" s="1"/>
      <c r="E215" s="3"/>
      <c r="F215" s="1"/>
      <c r="G215" s="141">
        <f>IF(Basic3456789101112131415161718192021[[#This Row],[نوع الخدمة]]="مخالفات", 50,
IF(Basic3456789101112131415161718192021[[#This Row],[نوع الخدمة]]="كاش ان",
    IF(F215&lt;=100, 18, IF(F215&lt;=250, 23, IF(F215&lt;=500, 35, IF(F215&lt;=1000, 40, F215*0.04)))),
IF(Basic3456789101112131415161718192021[[#This Row],[نوع الخدمة]]="كاش اوت",
    IF(F215&lt;=100, 15, IF(F215&lt;=250, 20, IF(F215&lt;=500, 30, IF(F215&lt;=1000, 35, F215*0.035)))),
0)))</f>
        <v>0</v>
      </c>
      <c r="H215" s="163">
        <f>IF(I215="مخالفات",50,Basic3456789101112131415161718192021[[#This Row],[قيمة الرسوم / العموله]]+Basic3456789101112131415161718192021[[#This Row],[قيمة الشحنه]])</f>
        <v>0</v>
      </c>
      <c r="I215" s="90"/>
      <c r="J215" s="142" t="str">
        <f t="shared" si="3"/>
        <v>12.5.2026</v>
      </c>
      <c r="L215" s="153">
        <v>204</v>
      </c>
      <c r="M215" s="92"/>
    </row>
    <row r="216" spans="1:13" ht="21.6" x14ac:dyDescent="0.65">
      <c r="A216" s="195"/>
      <c r="B216" s="140">
        <v>213</v>
      </c>
      <c r="C216" s="2"/>
      <c r="D216" s="1"/>
      <c r="E216" s="3"/>
      <c r="F216" s="1"/>
      <c r="G216" s="141">
        <f>IF(Basic3456789101112131415161718192021[[#This Row],[نوع الخدمة]]="مخالفات", 50,
IF(Basic3456789101112131415161718192021[[#This Row],[نوع الخدمة]]="كاش ان",
    IF(F216&lt;=100, 18, IF(F216&lt;=250, 23, IF(F216&lt;=500, 35, IF(F216&lt;=1000, 40, F216*0.04)))),
IF(Basic3456789101112131415161718192021[[#This Row],[نوع الخدمة]]="كاش اوت",
    IF(F216&lt;=100, 15, IF(F216&lt;=250, 20, IF(F216&lt;=500, 30, IF(F216&lt;=1000, 35, F216*0.035)))),
0)))</f>
        <v>0</v>
      </c>
      <c r="H216" s="163">
        <f>IF(I216="مخالفات",50,Basic3456789101112131415161718192021[[#This Row],[قيمة الرسوم / العموله]]+Basic3456789101112131415161718192021[[#This Row],[قيمة الشحنه]])</f>
        <v>0</v>
      </c>
      <c r="I216" s="90"/>
      <c r="J216" s="142" t="str">
        <f t="shared" si="3"/>
        <v>12.5.2026</v>
      </c>
      <c r="L216" s="153">
        <v>205</v>
      </c>
      <c r="M216" s="92"/>
    </row>
    <row r="217" spans="1:13" ht="21.6" x14ac:dyDescent="0.65">
      <c r="A217" s="195"/>
      <c r="B217" s="144">
        <v>214</v>
      </c>
      <c r="C217" s="2"/>
      <c r="D217" s="1"/>
      <c r="E217" s="3"/>
      <c r="F217" s="1"/>
      <c r="G217" s="141">
        <f>IF(Basic3456789101112131415161718192021[[#This Row],[نوع الخدمة]]="مخالفات", 50,
IF(Basic3456789101112131415161718192021[[#This Row],[نوع الخدمة]]="كاش ان",
    IF(F217&lt;=100, 18, IF(F217&lt;=250, 23, IF(F217&lt;=500, 35, IF(F217&lt;=1000, 40, F217*0.04)))),
IF(Basic3456789101112131415161718192021[[#This Row],[نوع الخدمة]]="كاش اوت",
    IF(F217&lt;=100, 15, IF(F217&lt;=250, 20, IF(F217&lt;=500, 30, IF(F217&lt;=1000, 35, F217*0.035)))),
0)))</f>
        <v>0</v>
      </c>
      <c r="H217" s="163">
        <f>IF(I217="مخالفات",50,Basic3456789101112131415161718192021[[#This Row],[قيمة الرسوم / العموله]]+Basic3456789101112131415161718192021[[#This Row],[قيمة الشحنه]])</f>
        <v>0</v>
      </c>
      <c r="I217" s="90"/>
      <c r="J217" s="142" t="str">
        <f t="shared" si="3"/>
        <v>12.5.2026</v>
      </c>
      <c r="L217" s="153">
        <v>206</v>
      </c>
      <c r="M217" s="92"/>
    </row>
    <row r="218" spans="1:13" ht="21.6" x14ac:dyDescent="0.65">
      <c r="A218" s="195"/>
      <c r="B218" s="140">
        <v>215</v>
      </c>
      <c r="C218" s="2"/>
      <c r="D218" s="1"/>
      <c r="E218" s="3"/>
      <c r="F218" s="1"/>
      <c r="G218" s="141">
        <f>IF(Basic3456789101112131415161718192021[[#This Row],[نوع الخدمة]]="مخالفات", 50,
IF(Basic3456789101112131415161718192021[[#This Row],[نوع الخدمة]]="كاش ان",
    IF(F218&lt;=100, 18, IF(F218&lt;=250, 23, IF(F218&lt;=500, 35, IF(F218&lt;=1000, 40, F218*0.04)))),
IF(Basic3456789101112131415161718192021[[#This Row],[نوع الخدمة]]="كاش اوت",
    IF(F218&lt;=100, 15, IF(F218&lt;=250, 20, IF(F218&lt;=500, 30, IF(F218&lt;=1000, 35, F218*0.035)))),
0)))</f>
        <v>0</v>
      </c>
      <c r="H218" s="163">
        <f>IF(I218="مخالفات",50,Basic3456789101112131415161718192021[[#This Row],[قيمة الرسوم / العموله]]+Basic3456789101112131415161718192021[[#This Row],[قيمة الشحنه]])</f>
        <v>0</v>
      </c>
      <c r="I218" s="90"/>
      <c r="J218" s="142" t="str">
        <f t="shared" si="3"/>
        <v>12.5.2026</v>
      </c>
      <c r="L218" s="153">
        <v>207</v>
      </c>
      <c r="M218" s="92"/>
    </row>
    <row r="219" spans="1:13" ht="21.6" x14ac:dyDescent="0.65">
      <c r="A219" s="195"/>
      <c r="B219" s="140">
        <v>216</v>
      </c>
      <c r="C219" s="2"/>
      <c r="D219" s="1"/>
      <c r="E219" s="3"/>
      <c r="F219" s="1"/>
      <c r="G219" s="141">
        <f>IF(Basic3456789101112131415161718192021[[#This Row],[نوع الخدمة]]="مخالفات", 50,
IF(Basic3456789101112131415161718192021[[#This Row],[نوع الخدمة]]="كاش ان",
    IF(F219&lt;=100, 18, IF(F219&lt;=250, 23, IF(F219&lt;=500, 35, IF(F219&lt;=1000, 40, F219*0.04)))),
IF(Basic3456789101112131415161718192021[[#This Row],[نوع الخدمة]]="كاش اوت",
    IF(F219&lt;=100, 15, IF(F219&lt;=250, 20, IF(F219&lt;=500, 30, IF(F219&lt;=1000, 35, F219*0.035)))),
0)))</f>
        <v>0</v>
      </c>
      <c r="H219" s="163">
        <f>IF(I219="مخالفات",50,Basic3456789101112131415161718192021[[#This Row],[قيمة الرسوم / العموله]]+Basic3456789101112131415161718192021[[#This Row],[قيمة الشحنه]])</f>
        <v>0</v>
      </c>
      <c r="I219" s="90"/>
      <c r="J219" s="142" t="str">
        <f t="shared" si="3"/>
        <v>12.5.2026</v>
      </c>
      <c r="L219" s="153">
        <v>208</v>
      </c>
      <c r="M219" s="92"/>
    </row>
    <row r="220" spans="1:13" ht="21.6" x14ac:dyDescent="0.65">
      <c r="A220" s="195"/>
      <c r="B220" s="140">
        <v>217</v>
      </c>
      <c r="C220" s="2"/>
      <c r="D220" s="1"/>
      <c r="E220" s="3"/>
      <c r="F220" s="1"/>
      <c r="G220" s="141">
        <f>IF(Basic3456789101112131415161718192021[[#This Row],[نوع الخدمة]]="مخالفات", 50,
IF(Basic3456789101112131415161718192021[[#This Row],[نوع الخدمة]]="كاش ان",
    IF(F220&lt;=100, 18, IF(F220&lt;=250, 23, IF(F220&lt;=500, 35, IF(F220&lt;=1000, 40, F220*0.04)))),
IF(Basic3456789101112131415161718192021[[#This Row],[نوع الخدمة]]="كاش اوت",
    IF(F220&lt;=100, 15, IF(F220&lt;=250, 20, IF(F220&lt;=500, 30, IF(F220&lt;=1000, 35, F220*0.035)))),
0)))</f>
        <v>0</v>
      </c>
      <c r="H220" s="163">
        <f>IF(I220="مخالفات",50,Basic3456789101112131415161718192021[[#This Row],[قيمة الرسوم / العموله]]+Basic3456789101112131415161718192021[[#This Row],[قيمة الشحنه]])</f>
        <v>0</v>
      </c>
      <c r="I220" s="90"/>
      <c r="J220" s="142" t="str">
        <f t="shared" si="3"/>
        <v>12.5.2026</v>
      </c>
      <c r="L220" s="153">
        <v>209</v>
      </c>
      <c r="M220" s="92"/>
    </row>
    <row r="221" spans="1:13" ht="21.6" x14ac:dyDescent="0.65">
      <c r="A221" s="195"/>
      <c r="B221" s="144">
        <v>218</v>
      </c>
      <c r="C221" s="2"/>
      <c r="D221" s="1"/>
      <c r="E221" s="3"/>
      <c r="F221" s="1"/>
      <c r="G221" s="141">
        <f>IF(Basic3456789101112131415161718192021[[#This Row],[نوع الخدمة]]="مخالفات", 50,
IF(Basic3456789101112131415161718192021[[#This Row],[نوع الخدمة]]="كاش ان",
    IF(F221&lt;=100, 18, IF(F221&lt;=250, 23, IF(F221&lt;=500, 35, IF(F221&lt;=1000, 40, F221*0.04)))),
IF(Basic3456789101112131415161718192021[[#This Row],[نوع الخدمة]]="كاش اوت",
    IF(F221&lt;=100, 15, IF(F221&lt;=250, 20, IF(F221&lt;=500, 30, IF(F221&lt;=1000, 35, F221*0.035)))),
0)))</f>
        <v>0</v>
      </c>
      <c r="H221" s="163">
        <f>IF(I221="مخالفات",50,Basic3456789101112131415161718192021[[#This Row],[قيمة الرسوم / العموله]]+Basic3456789101112131415161718192021[[#This Row],[قيمة الشحنه]])</f>
        <v>0</v>
      </c>
      <c r="I221" s="90"/>
      <c r="J221" s="142" t="str">
        <f t="shared" si="3"/>
        <v>12.5.2026</v>
      </c>
      <c r="L221" s="153">
        <v>210</v>
      </c>
      <c r="M221" s="92"/>
    </row>
    <row r="222" spans="1:13" ht="21.6" x14ac:dyDescent="0.65">
      <c r="A222" s="195"/>
      <c r="B222" s="140">
        <v>219</v>
      </c>
      <c r="C222" s="2"/>
      <c r="D222" s="1"/>
      <c r="E222" s="3"/>
      <c r="F222" s="1"/>
      <c r="G222" s="141">
        <f>IF(Basic3456789101112131415161718192021[[#This Row],[نوع الخدمة]]="مخالفات", 50,
IF(Basic3456789101112131415161718192021[[#This Row],[نوع الخدمة]]="كاش ان",
    IF(F222&lt;=100, 18, IF(F222&lt;=250, 23, IF(F222&lt;=500, 35, IF(F222&lt;=1000, 40, F222*0.04)))),
IF(Basic3456789101112131415161718192021[[#This Row],[نوع الخدمة]]="كاش اوت",
    IF(F222&lt;=100, 15, IF(F222&lt;=250, 20, IF(F222&lt;=500, 30, IF(F222&lt;=1000, 35, F222*0.035)))),
0)))</f>
        <v>0</v>
      </c>
      <c r="H222" s="163">
        <f>IF(I222="مخالفات",50,Basic3456789101112131415161718192021[[#This Row],[قيمة الرسوم / العموله]]+Basic3456789101112131415161718192021[[#This Row],[قيمة الشحنه]])</f>
        <v>0</v>
      </c>
      <c r="I222" s="90"/>
      <c r="J222" s="142" t="str">
        <f t="shared" si="3"/>
        <v>12.5.2026</v>
      </c>
      <c r="L222" s="153">
        <v>211</v>
      </c>
      <c r="M222" s="92"/>
    </row>
    <row r="223" spans="1:13" ht="21.6" x14ac:dyDescent="0.65">
      <c r="A223" s="195"/>
      <c r="B223" s="140">
        <v>220</v>
      </c>
      <c r="C223" s="2"/>
      <c r="D223" s="1"/>
      <c r="E223" s="3"/>
      <c r="F223" s="1"/>
      <c r="G223" s="141">
        <f>IF(Basic3456789101112131415161718192021[[#This Row],[نوع الخدمة]]="مخالفات", 50,
IF(Basic3456789101112131415161718192021[[#This Row],[نوع الخدمة]]="كاش ان",
    IF(F223&lt;=100, 18, IF(F223&lt;=250, 23, IF(F223&lt;=500, 35, IF(F223&lt;=1000, 40, F223*0.04)))),
IF(Basic3456789101112131415161718192021[[#This Row],[نوع الخدمة]]="كاش اوت",
    IF(F223&lt;=100, 15, IF(F223&lt;=250, 20, IF(F223&lt;=500, 30, IF(F223&lt;=1000, 35, F223*0.035)))),
0)))</f>
        <v>0</v>
      </c>
      <c r="H223" s="163">
        <f>IF(I223="مخالفات",50,Basic3456789101112131415161718192021[[#This Row],[قيمة الرسوم / العموله]]+Basic3456789101112131415161718192021[[#This Row],[قيمة الشحنه]])</f>
        <v>0</v>
      </c>
      <c r="I223" s="90"/>
      <c r="J223" s="142" t="str">
        <f t="shared" si="3"/>
        <v>12.5.2026</v>
      </c>
      <c r="L223" s="153">
        <v>212</v>
      </c>
      <c r="M223" s="92"/>
    </row>
    <row r="224" spans="1:13" ht="21.6" x14ac:dyDescent="0.65">
      <c r="A224" s="195"/>
      <c r="B224" s="140">
        <v>221</v>
      </c>
      <c r="C224" s="2"/>
      <c r="D224" s="1"/>
      <c r="E224" s="3"/>
      <c r="F224" s="1"/>
      <c r="G224" s="141">
        <f>IF(Basic3456789101112131415161718192021[[#This Row],[نوع الخدمة]]="مخالفات", 50,
IF(Basic3456789101112131415161718192021[[#This Row],[نوع الخدمة]]="كاش ان",
    IF(F224&lt;=100, 18, IF(F224&lt;=250, 23, IF(F224&lt;=500, 35, IF(F224&lt;=1000, 40, F224*0.04)))),
IF(Basic3456789101112131415161718192021[[#This Row],[نوع الخدمة]]="كاش اوت",
    IF(F224&lt;=100, 15, IF(F224&lt;=250, 20, IF(F224&lt;=500, 30, IF(F224&lt;=1000, 35, F224*0.035)))),
0)))</f>
        <v>0</v>
      </c>
      <c r="H224" s="163">
        <f>IF(I224="مخالفات",50,Basic3456789101112131415161718192021[[#This Row],[قيمة الرسوم / العموله]]+Basic3456789101112131415161718192021[[#This Row],[قيمة الشحنه]])</f>
        <v>0</v>
      </c>
      <c r="I224" s="90"/>
      <c r="J224" s="142" t="str">
        <f t="shared" si="3"/>
        <v>12.5.2026</v>
      </c>
      <c r="L224" s="153">
        <v>213</v>
      </c>
      <c r="M224" s="92"/>
    </row>
    <row r="225" spans="1:13" ht="21.6" x14ac:dyDescent="0.65">
      <c r="A225" s="195"/>
      <c r="B225" s="144">
        <v>222</v>
      </c>
      <c r="C225" s="2"/>
      <c r="D225" s="1"/>
      <c r="E225" s="3"/>
      <c r="F225" s="1"/>
      <c r="G225" s="141">
        <f>IF(Basic3456789101112131415161718192021[[#This Row],[نوع الخدمة]]="مخالفات", 50,
IF(Basic3456789101112131415161718192021[[#This Row],[نوع الخدمة]]="كاش ان",
    IF(F225&lt;=100, 18, IF(F225&lt;=250, 23, IF(F225&lt;=500, 35, IF(F225&lt;=1000, 40, F225*0.04)))),
IF(Basic3456789101112131415161718192021[[#This Row],[نوع الخدمة]]="كاش اوت",
    IF(F225&lt;=100, 15, IF(F225&lt;=250, 20, IF(F225&lt;=500, 30, IF(F225&lt;=1000, 35, F225*0.035)))),
0)))</f>
        <v>0</v>
      </c>
      <c r="H225" s="163">
        <f>IF(I225="مخالفات",50,Basic3456789101112131415161718192021[[#This Row],[قيمة الرسوم / العموله]]+Basic3456789101112131415161718192021[[#This Row],[قيمة الشحنه]])</f>
        <v>0</v>
      </c>
      <c r="I225" s="90"/>
      <c r="J225" s="142" t="str">
        <f t="shared" si="3"/>
        <v>12.5.2026</v>
      </c>
      <c r="L225" s="153">
        <v>214</v>
      </c>
      <c r="M225" s="92"/>
    </row>
    <row r="226" spans="1:13" ht="21.6" x14ac:dyDescent="0.65">
      <c r="A226" s="195"/>
      <c r="B226" s="140">
        <v>223</v>
      </c>
      <c r="C226" s="4"/>
      <c r="D226" s="5"/>
      <c r="E226" s="6"/>
      <c r="F226" s="5"/>
      <c r="G226" s="141">
        <f>IF(Basic3456789101112131415161718192021[[#This Row],[نوع الخدمة]]="مخالفات", 50,
IF(Basic3456789101112131415161718192021[[#This Row],[نوع الخدمة]]="كاش ان",
    IF(F226&lt;=100, 18, IF(F226&lt;=250, 23, IF(F226&lt;=500, 35, IF(F226&lt;=1000, 40, F226*0.04)))),
IF(Basic3456789101112131415161718192021[[#This Row],[نوع الخدمة]]="كاش اوت",
    IF(F226&lt;=100, 15, IF(F226&lt;=250, 20, IF(F226&lt;=500, 30, IF(F226&lt;=1000, 35, F226*0.035)))),
0)))</f>
        <v>0</v>
      </c>
      <c r="H226" s="164">
        <f>IF(I226="مخالفات",50,Basic3456789101112131415161718192021[[#This Row],[قيمة الرسوم / العموله]]+Basic3456789101112131415161718192021[[#This Row],[قيمة الشحنه]])</f>
        <v>0</v>
      </c>
      <c r="I226" s="90"/>
      <c r="J226" s="142" t="str">
        <f t="shared" si="3"/>
        <v>12.5.2026</v>
      </c>
      <c r="L226" s="156">
        <v>215</v>
      </c>
      <c r="M226" s="93"/>
    </row>
  </sheetData>
  <sheetProtection algorithmName="SHA-512" hashValue="QDkfnhs02cgAUdWK7OW0HmEf3UqB4WjwYHNodHdTxokIqOum2A5NZPs+KDT6IfAHmYZSPI6kWmOBYnCjNj7teg==" saltValue="Kgy7B1+X/6uN4Uz0HF9e/Q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79" priority="12" operator="equal">
      <formula>$BH$10</formula>
    </cfRule>
    <cfRule type="cellIs" dxfId="78" priority="13" operator="equal">
      <formula>$BH$9</formula>
    </cfRule>
    <cfRule type="cellIs" dxfId="77" priority="14" operator="equal">
      <formula>$BH$8</formula>
    </cfRule>
  </conditionalFormatting>
  <conditionalFormatting sqref="P11">
    <cfRule type="cellIs" dxfId="76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{CDF4DA65-6F20-46ED-8621-1FA16A8A36CA}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{1F2A1672-4974-4980-9F2C-40A9EB6A053C}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{CFBB70E3-6036-4DCC-BAF5-CCDF0D3760C6}</x14:id>
        </ext>
      </extLst>
    </cfRule>
  </conditionalFormatting>
  <dataValidations count="2">
    <dataValidation type="textLength" operator="equal" allowBlank="1" showInputMessage="1" showErrorMessage="1" errorTitle="يجب إخال رقم IPN صحيح 13 رقم" sqref="C1:C1048576" xr:uid="{00000000-0002-0000-0B00-000000000000}">
      <formula1>13</formula1>
    </dataValidation>
    <dataValidation type="list" allowBlank="1" showInputMessage="1" showErrorMessage="1" sqref="I4:I226" xr:uid="{00000000-0002-0000-0B00-000001000000}">
      <formula1>$BH$8:$BH$10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DF4DA65-6F20-46ED-8621-1FA16A8A36CA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1F2A1672-4974-4980-9F2C-40A9EB6A053C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CFBB70E3-6036-4DCC-BAF5-CCDF0D3760C6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H226"/>
  <sheetViews>
    <sheetView showGridLines="0" showRowColHeaders="0" rightToLeft="1" topLeftCell="D1" zoomScale="80" zoomScaleNormal="80" workbookViewId="0">
      <selection activeCell="F23" sqref="F23"/>
    </sheetView>
  </sheetViews>
  <sheetFormatPr defaultColWidth="9.109375" defaultRowHeight="14.4" x14ac:dyDescent="0.3"/>
  <cols>
    <col min="1" max="1" width="3.5546875" style="124" customWidth="1"/>
    <col min="2" max="2" width="6.5546875" style="125" bestFit="1" customWidth="1"/>
    <col min="3" max="3" width="30.5546875" style="126" customWidth="1"/>
    <col min="4" max="4" width="15.6640625" style="124" customWidth="1"/>
    <col min="5" max="5" width="17.5546875" style="157" customWidth="1"/>
    <col min="6" max="6" width="12.88671875" style="124" bestFit="1" customWidth="1"/>
    <col min="7" max="7" width="19" style="124" bestFit="1" customWidth="1"/>
    <col min="8" max="8" width="19" style="124" customWidth="1"/>
    <col min="9" max="9" width="12.44140625" style="128" bestFit="1" customWidth="1"/>
    <col min="10" max="10" width="17.5546875" style="129" customWidth="1"/>
    <col min="11" max="11" width="3.5546875" style="124" customWidth="1"/>
    <col min="12" max="12" width="8.5546875" style="124" bestFit="1" customWidth="1"/>
    <col min="13" max="13" width="23" style="124" customWidth="1"/>
    <col min="14" max="14" width="8.33203125" style="124" bestFit="1" customWidth="1"/>
    <col min="15" max="15" width="26.5546875" style="124" bestFit="1" customWidth="1"/>
    <col min="16" max="16" width="14.44140625" style="124" customWidth="1"/>
    <col min="17" max="17" width="3.5546875" style="124" customWidth="1"/>
    <col min="18" max="19" width="17.109375" style="128" customWidth="1"/>
    <col min="20" max="20" width="11.5546875" style="128" bestFit="1" customWidth="1"/>
    <col min="21" max="21" width="10.5546875" style="128" bestFit="1" customWidth="1"/>
    <col min="22" max="22" width="10.109375" style="128" bestFit="1" customWidth="1"/>
    <col min="23" max="23" width="9.44140625" style="128" customWidth="1"/>
    <col min="24" max="24" width="12.6640625" style="128" customWidth="1"/>
    <col min="25" max="26" width="9.109375" style="128"/>
    <col min="27" max="16384" width="9.109375" style="124"/>
  </cols>
  <sheetData>
    <row r="1" spans="1:60" x14ac:dyDescent="0.3">
      <c r="E1" s="127">
        <f>Total!F5</f>
        <v>69</v>
      </c>
      <c r="F1" s="192" t="str">
        <f>Total!G5</f>
        <v>العبور</v>
      </c>
      <c r="G1" s="192"/>
      <c r="H1" s="192"/>
    </row>
    <row r="3" spans="1:60" ht="15.6" x14ac:dyDescent="0.3">
      <c r="B3" s="130" t="s">
        <v>0</v>
      </c>
      <c r="C3" s="131" t="s">
        <v>1</v>
      </c>
      <c r="D3" s="132" t="s">
        <v>2</v>
      </c>
      <c r="E3" s="133" t="s">
        <v>3</v>
      </c>
      <c r="F3" s="132" t="s">
        <v>4</v>
      </c>
      <c r="G3" s="132" t="s">
        <v>5</v>
      </c>
      <c r="H3" s="132" t="s">
        <v>76</v>
      </c>
      <c r="I3" s="132" t="s">
        <v>6</v>
      </c>
      <c r="J3" s="134" t="s">
        <v>7</v>
      </c>
      <c r="L3" s="135" t="s">
        <v>7</v>
      </c>
      <c r="M3" s="7" t="s">
        <v>98</v>
      </c>
      <c r="O3" s="137" t="s">
        <v>17</v>
      </c>
      <c r="P3" s="138">
        <f>M5+M6</f>
        <v>0</v>
      </c>
      <c r="T3" s="173"/>
      <c r="U3" s="173"/>
      <c r="V3" s="173"/>
      <c r="W3" s="173"/>
      <c r="X3" s="173"/>
    </row>
    <row r="4" spans="1:60" ht="21.6" x14ac:dyDescent="0.65">
      <c r="A4" s="195"/>
      <c r="B4" s="140">
        <v>1</v>
      </c>
      <c r="C4" s="8"/>
      <c r="D4" s="9"/>
      <c r="E4" s="10"/>
      <c r="F4" s="9"/>
      <c r="G4" s="141">
        <f>IF(Basic34567891011121314151617181920[[#This Row],[نوع الخدمة]]="مخالفات", 50,
IF(Basic34567891011121314151617181920[[#This Row],[نوع الخدمة]]="كاش ان",
    IF(F4&lt;=100, 18, IF(F4&lt;=250, 23, IF(F4&lt;=500, 35, IF(F4&lt;=1000, 40, F4*0.04)))),
IF(Basic34567891011121314151617181920[[#This Row],[نوع الخدمة]]="كاش اوت",
    IF(F4&lt;=100, 15, IF(F4&lt;=250, 20, IF(F4&lt;=500, 30, IF(F4&lt;=1000, 35, F4*0.035)))),
0)))</f>
        <v>0</v>
      </c>
      <c r="H4" s="162">
        <f>IF(I4="مخالفات",50,Basic34567891011121314151617181920[[#This Row],[قيمة الرسوم / العموله]]+Basic34567891011121314151617181920[[#This Row],[قيمة الشحنه]])</f>
        <v>0</v>
      </c>
      <c r="I4" s="90"/>
      <c r="J4" s="142" t="str">
        <f t="shared" ref="J4:J67" si="0">M$3</f>
        <v>13.5.2026</v>
      </c>
      <c r="L4" s="135" t="s">
        <v>26</v>
      </c>
      <c r="M4" s="90">
        <v>0</v>
      </c>
      <c r="O4" s="137" t="s">
        <v>18</v>
      </c>
      <c r="P4" s="138">
        <f>M4</f>
        <v>0</v>
      </c>
      <c r="S4" s="143" t="s">
        <v>22</v>
      </c>
      <c r="T4" s="143" t="s">
        <v>23</v>
      </c>
      <c r="U4" s="173"/>
      <c r="V4" s="173"/>
      <c r="W4" s="173"/>
    </row>
    <row r="5" spans="1:60" ht="21.6" x14ac:dyDescent="0.65">
      <c r="A5" s="195"/>
      <c r="B5" s="144">
        <v>2</v>
      </c>
      <c r="C5" s="8"/>
      <c r="D5" s="9"/>
      <c r="E5" s="10"/>
      <c r="F5" s="9"/>
      <c r="G5" s="141">
        <f>IF(Basic34567891011121314151617181920[[#This Row],[نوع الخدمة]]="مخالفات", 50,
IF(Basic34567891011121314151617181920[[#This Row],[نوع الخدمة]]="كاش ان",
    IF(F5&lt;=100, 18, IF(F5&lt;=250, 23, IF(F5&lt;=500, 35, IF(F5&lt;=1000, 40, F5*0.04)))),
IF(Basic34567891011121314151617181920[[#This Row],[نوع الخدمة]]="كاش اوت",
    IF(F5&lt;=100, 15, IF(F5&lt;=250, 20, IF(F5&lt;=500, 30, IF(F5&lt;=1000, 35, F5*0.035)))),
0)))</f>
        <v>0</v>
      </c>
      <c r="H5" s="162">
        <f>IF(I5="مخالفات",50,Basic34567891011121314151617181920[[#This Row],[قيمة الرسوم / العموله]]+Basic34567891011121314151617181920[[#This Row],[قيمة الشحنه]])</f>
        <v>0</v>
      </c>
      <c r="I5" s="90"/>
      <c r="J5" s="142" t="str">
        <f t="shared" si="0"/>
        <v>13.5.2026</v>
      </c>
      <c r="L5" s="135" t="s">
        <v>27</v>
      </c>
      <c r="M5" s="90"/>
      <c r="O5" s="137" t="s">
        <v>19</v>
      </c>
      <c r="P5" s="138">
        <f>SUMIF(Basic34567891011121314151617181920[نوع الخدمة],"كاش ان",Basic34567891011121314151617181920[قيمة الشحنه])</f>
        <v>0</v>
      </c>
      <c r="S5" s="145">
        <f>P5+P9+P12+P7</f>
        <v>0</v>
      </c>
      <c r="T5" s="145">
        <f>P3</f>
        <v>0</v>
      </c>
    </row>
    <row r="6" spans="1:60" ht="21.6" x14ac:dyDescent="0.65">
      <c r="A6" s="195"/>
      <c r="B6" s="140">
        <v>3</v>
      </c>
      <c r="C6" s="8"/>
      <c r="D6" s="9"/>
      <c r="E6" s="10"/>
      <c r="F6" s="9"/>
      <c r="G6" s="141">
        <f>IF(Basic34567891011121314151617181920[[#This Row],[نوع الخدمة]]="مخالفات", 50,
IF(Basic34567891011121314151617181920[[#This Row],[نوع الخدمة]]="كاش ان",
    IF(F6&lt;=100, 18, IF(F6&lt;=250, 23, IF(F6&lt;=500, 35, IF(F6&lt;=1000, 40, F6*0.04)))),
IF(Basic34567891011121314151617181920[[#This Row],[نوع الخدمة]]="كاش اوت",
    IF(F6&lt;=100, 15, IF(F6&lt;=250, 20, IF(F6&lt;=500, 30, IF(F6&lt;=1000, 35, F6*0.035)))),
0)))</f>
        <v>0</v>
      </c>
      <c r="H6" s="162">
        <f>IF(I6="مخالفات",50,Basic34567891011121314151617181920[[#This Row],[قيمة الرسوم / العموله]]+Basic34567891011121314151617181920[[#This Row],[قيمة الشحنه]])</f>
        <v>0</v>
      </c>
      <c r="I6" s="90"/>
      <c r="J6" s="142" t="str">
        <f t="shared" si="0"/>
        <v>13.5.2026</v>
      </c>
      <c r="L6" s="135" t="s">
        <v>28</v>
      </c>
      <c r="M6" s="90"/>
      <c r="O6" s="146" t="s">
        <v>12</v>
      </c>
      <c r="P6" s="138">
        <f>P3*150</f>
        <v>0</v>
      </c>
    </row>
    <row r="7" spans="1:60" ht="21.6" x14ac:dyDescent="0.65">
      <c r="A7" s="195"/>
      <c r="B7" s="140">
        <v>4</v>
      </c>
      <c r="C7" s="8"/>
      <c r="D7" s="9"/>
      <c r="E7" s="10"/>
      <c r="F7" s="9"/>
      <c r="G7" s="141">
        <f>IF(Basic34567891011121314151617181920[[#This Row],[نوع الخدمة]]="مخالفات", 50,
IF(Basic34567891011121314151617181920[[#This Row],[نوع الخدمة]]="كاش ان",
    IF(F7&lt;=100, 18, IF(F7&lt;=250, 23, IF(F7&lt;=500, 35, IF(F7&lt;=1000, 40, F7*0.04)))),
IF(Basic34567891011121314151617181920[[#This Row],[نوع الخدمة]]="كاش اوت",
    IF(F7&lt;=100, 15, IF(F7&lt;=250, 20, IF(F7&lt;=500, 30, IF(F7&lt;=1000, 35, F7*0.035)))),
0)))</f>
        <v>0</v>
      </c>
      <c r="H7" s="162">
        <f>IF(I7="مخالفات",50,Basic34567891011121314151617181920[[#This Row],[قيمة الرسوم / العموله]]+Basic34567891011121314151617181920[[#This Row],[قيمة الشحنه]])</f>
        <v>0</v>
      </c>
      <c r="I7" s="90"/>
      <c r="J7" s="142" t="str">
        <f t="shared" si="0"/>
        <v>13.5.2026</v>
      </c>
      <c r="L7" s="137" t="s">
        <v>11</v>
      </c>
      <c r="M7" s="165"/>
      <c r="O7" s="146" t="s">
        <v>75</v>
      </c>
      <c r="P7" s="138">
        <f>SUMIF(Basic34567891011121314151617181920[نوع الخدمة],"مخالفات",Basic34567891011121314151617181920[الاجمــــــــــالي])</f>
        <v>0</v>
      </c>
      <c r="R7" s="173"/>
      <c r="S7" s="173"/>
    </row>
    <row r="8" spans="1:60" ht="21.6" x14ac:dyDescent="0.65">
      <c r="A8" s="195"/>
      <c r="B8" s="140">
        <v>5</v>
      </c>
      <c r="C8" s="8"/>
      <c r="D8" s="9"/>
      <c r="E8" s="10"/>
      <c r="F8" s="9"/>
      <c r="G8" s="141">
        <f>IF(Basic34567891011121314151617181920[[#This Row],[نوع الخدمة]]="مخالفات", 50,
IF(Basic34567891011121314151617181920[[#This Row],[نوع الخدمة]]="كاش ان",
    IF(F8&lt;=100, 18, IF(F8&lt;=250, 23, IF(F8&lt;=500, 35, IF(F8&lt;=1000, 40, F8*0.04)))),
IF(Basic34567891011121314151617181920[[#This Row],[نوع الخدمة]]="كاش اوت",
    IF(F8&lt;=100, 15, IF(F8&lt;=250, 20, IF(F8&lt;=500, 30, IF(F8&lt;=1000, 35, F8*0.035)))),
0)))</f>
        <v>0</v>
      </c>
      <c r="H8" s="162">
        <f>IF(I8="مخالفات",50,Basic34567891011121314151617181920[[#This Row],[قيمة الرسوم / العموله]]+Basic34567891011121314151617181920[[#This Row],[قيمة الشحنه]])</f>
        <v>0</v>
      </c>
      <c r="I8" s="90"/>
      <c r="J8" s="142" t="str">
        <f t="shared" si="0"/>
        <v>13.5.2026</v>
      </c>
      <c r="L8" s="166" t="s">
        <v>79</v>
      </c>
      <c r="M8" s="167">
        <v>0</v>
      </c>
      <c r="O8" s="137" t="s">
        <v>11</v>
      </c>
      <c r="P8" s="138">
        <f>M7</f>
        <v>0</v>
      </c>
      <c r="R8" s="143" t="s">
        <v>72</v>
      </c>
      <c r="S8" s="143" t="s">
        <v>25</v>
      </c>
      <c r="T8" s="143" t="s">
        <v>24</v>
      </c>
      <c r="U8" s="143" t="s">
        <v>73</v>
      </c>
      <c r="V8" s="143" t="s">
        <v>25</v>
      </c>
      <c r="W8" s="143" t="s">
        <v>24</v>
      </c>
      <c r="BH8" s="148" t="s">
        <v>8</v>
      </c>
    </row>
    <row r="9" spans="1:60" ht="18" customHeight="1" x14ac:dyDescent="0.65">
      <c r="A9" s="195"/>
      <c r="B9" s="144">
        <v>6</v>
      </c>
      <c r="C9" s="8"/>
      <c r="D9" s="9"/>
      <c r="E9" s="10"/>
      <c r="F9" s="9"/>
      <c r="G9" s="141">
        <f>IF(Basic34567891011121314151617181920[[#This Row],[نوع الخدمة]]="مخالفات", 50,
IF(Basic34567891011121314151617181920[[#This Row],[نوع الخدمة]]="كاش ان",
    IF(F9&lt;=100, 18, IF(F9&lt;=250, 23, IF(F9&lt;=500, 35, IF(F9&lt;=1000, 40, F9*0.04)))),
IF(Basic34567891011121314151617181920[[#This Row],[نوع الخدمة]]="كاش اوت",
    IF(F9&lt;=100, 15, IF(F9&lt;=250, 20, IF(F9&lt;=500, 30, IF(F9&lt;=1000, 35, F9*0.035)))),
0)))</f>
        <v>0</v>
      </c>
      <c r="H9" s="162">
        <f>IF(I9="مخالفات",50,Basic34567891011121314151617181920[[#This Row],[قيمة الرسوم / العموله]]+Basic34567891011121314151617181920[[#This Row],[قيمة الشحنه]])</f>
        <v>0</v>
      </c>
      <c r="I9" s="90"/>
      <c r="J9" s="142" t="str">
        <f t="shared" si="0"/>
        <v>13.5.2026</v>
      </c>
      <c r="L9" s="166" t="s">
        <v>80</v>
      </c>
      <c r="M9" s="167">
        <v>0</v>
      </c>
      <c r="O9" s="137" t="s">
        <v>20</v>
      </c>
      <c r="P9" s="138">
        <f>SUMIF(Basic34567891011121314151617181920[نوع الخدمة],"كاش ان",Basic34567891011121314151617181920[قيمة الرسوم / العموله])</f>
        <v>0</v>
      </c>
      <c r="R9" s="149">
        <f>Total!H5/24</f>
        <v>29166.666666666668</v>
      </c>
      <c r="S9" s="149">
        <f>S5</f>
        <v>0</v>
      </c>
      <c r="T9" s="150">
        <f>S9/R9</f>
        <v>0</v>
      </c>
      <c r="U9" s="149">
        <f>Total!K5/24</f>
        <v>2.9166666666666665</v>
      </c>
      <c r="V9" s="149">
        <f>T5</f>
        <v>0</v>
      </c>
      <c r="W9" s="150">
        <f>V9/U9</f>
        <v>0</v>
      </c>
      <c r="BH9" s="148" t="s">
        <v>9</v>
      </c>
    </row>
    <row r="10" spans="1:60" ht="21.6" x14ac:dyDescent="0.65">
      <c r="A10" s="195"/>
      <c r="B10" s="140">
        <v>7</v>
      </c>
      <c r="C10" s="8"/>
      <c r="D10" s="9"/>
      <c r="E10" s="10"/>
      <c r="F10" s="9"/>
      <c r="G10" s="141">
        <f>IF(Basic34567891011121314151617181920[[#This Row],[نوع الخدمة]]="مخالفات", 50,
IF(Basic34567891011121314151617181920[[#This Row],[نوع الخدمة]]="كاش ان",
    IF(F10&lt;=100, 18, IF(F10&lt;=250, 23, IF(F10&lt;=500, 35, IF(F10&lt;=1000, 40, F10*0.04)))),
IF(Basic34567891011121314151617181920[[#This Row],[نوع الخدمة]]="كاش اوت",
    IF(F10&lt;=100, 15, IF(F10&lt;=250, 20, IF(F10&lt;=500, 30, IF(F10&lt;=1000, 35, F10*0.035)))),
0)))</f>
        <v>0</v>
      </c>
      <c r="H10" s="162">
        <f>IF(I10="مخالفات",50,Basic34567891011121314151617181920[[#This Row],[قيمة الرسوم / العموله]]+Basic34567891011121314151617181920[[#This Row],[قيمة الشحنه]])</f>
        <v>0</v>
      </c>
      <c r="I10" s="90"/>
      <c r="J10" s="142" t="str">
        <f t="shared" si="0"/>
        <v>13.5.2026</v>
      </c>
      <c r="O10" s="137" t="s">
        <v>16</v>
      </c>
      <c r="P10" s="138">
        <f>SUMIF(Basic34567891011121314151617181920[نوع الخدمة],"كاش اوت",Basic34567891011121314151617181920[قيمة الشحنه])</f>
        <v>0</v>
      </c>
      <c r="R10" s="191">
        <f>(W9+T9)/2</f>
        <v>0</v>
      </c>
      <c r="S10" s="191"/>
      <c r="T10" s="191"/>
      <c r="U10" s="191"/>
      <c r="V10" s="191"/>
      <c r="W10" s="191"/>
      <c r="BH10" s="148" t="s">
        <v>10</v>
      </c>
    </row>
    <row r="11" spans="1:60" ht="21.6" x14ac:dyDescent="0.65">
      <c r="A11" s="195"/>
      <c r="B11" s="140">
        <v>8</v>
      </c>
      <c r="C11" s="8"/>
      <c r="D11" s="9"/>
      <c r="E11" s="10"/>
      <c r="F11" s="9"/>
      <c r="G11" s="141">
        <f>IF(Basic34567891011121314151617181920[[#This Row],[نوع الخدمة]]="مخالفات", 50,
IF(Basic34567891011121314151617181920[[#This Row],[نوع الخدمة]]="كاش ان",
    IF(F11&lt;=100, 18, IF(F11&lt;=250, 23, IF(F11&lt;=500, 35, IF(F11&lt;=1000, 40, F11*0.04)))),
IF(Basic34567891011121314151617181920[[#This Row],[نوع الخدمة]]="كاش اوت",
    IF(F11&lt;=100, 15, IF(F11&lt;=250, 20, IF(F11&lt;=500, 30, IF(F11&lt;=1000, 35, F11*0.035)))),
0)))</f>
        <v>0</v>
      </c>
      <c r="H11" s="162">
        <f>IF(I11="مخالفات",50,Basic34567891011121314151617181920[[#This Row],[قيمة الرسوم / العموله]]+Basic34567891011121314151617181920[[#This Row],[قيمة الشحنه]])</f>
        <v>0</v>
      </c>
      <c r="I11" s="90"/>
      <c r="J11" s="142" t="str">
        <f t="shared" si="0"/>
        <v>13.5.2026</v>
      </c>
      <c r="L11" s="169" t="s">
        <v>77</v>
      </c>
      <c r="M11" s="168" t="s">
        <v>78</v>
      </c>
      <c r="O11" s="151" t="s">
        <v>21</v>
      </c>
      <c r="P11" s="152">
        <f>(P5+P6+P9+P7+P4)-P10-P8</f>
        <v>0</v>
      </c>
      <c r="T11" s="173"/>
    </row>
    <row r="12" spans="1:60" ht="21.6" x14ac:dyDescent="0.65">
      <c r="A12" s="195"/>
      <c r="B12" s="140">
        <v>9</v>
      </c>
      <c r="C12" s="8"/>
      <c r="D12" s="9"/>
      <c r="E12" s="10"/>
      <c r="F12" s="9"/>
      <c r="G12" s="141">
        <f>IF(Basic34567891011121314151617181920[[#This Row],[نوع الخدمة]]="مخالفات", 50,
IF(Basic34567891011121314151617181920[[#This Row],[نوع الخدمة]]="كاش ان",
    IF(F12&lt;=100, 18, IF(F12&lt;=250, 23, IF(F12&lt;=500, 35, IF(F12&lt;=1000, 40, F12*0.04)))),
IF(Basic34567891011121314151617181920[[#This Row],[نوع الخدمة]]="كاش اوت",
    IF(F12&lt;=100, 15, IF(F12&lt;=250, 20, IF(F12&lt;=500, 30, IF(F12&lt;=1000, 35, F12*0.035)))),
0)))</f>
        <v>0</v>
      </c>
      <c r="H12" s="162">
        <f>IF(I12="مخالفات",50,Basic34567891011121314151617181920[[#This Row],[قيمة الرسوم / العموله]]+Basic34567891011121314151617181920[[#This Row],[قيمة الشحنه]])</f>
        <v>0</v>
      </c>
      <c r="I12" s="90"/>
      <c r="J12" s="142" t="str">
        <f t="shared" si="0"/>
        <v>13.5.2026</v>
      </c>
      <c r="L12" s="153">
        <v>1</v>
      </c>
      <c r="M12" s="91"/>
      <c r="O12" s="137" t="s">
        <v>29</v>
      </c>
      <c r="P12" s="138">
        <f>SUMIF(Basic34567891011121314151617181920[نوع الخدمة],"كاش اوت",Basic34567891011121314151617181920[الاجمــــــــــالي])</f>
        <v>0</v>
      </c>
    </row>
    <row r="13" spans="1:60" ht="21.6" x14ac:dyDescent="0.65">
      <c r="A13" s="195"/>
      <c r="B13" s="144">
        <v>10</v>
      </c>
      <c r="C13" s="8"/>
      <c r="D13" s="9"/>
      <c r="E13" s="10"/>
      <c r="F13" s="9"/>
      <c r="G13" s="141">
        <f>IF(Basic34567891011121314151617181920[[#This Row],[نوع الخدمة]]="مخالفات", 50,
IF(Basic34567891011121314151617181920[[#This Row],[نوع الخدمة]]="كاش ان",
    IF(F13&lt;=100, 18, IF(F13&lt;=250, 23, IF(F13&lt;=500, 35, IF(F13&lt;=1000, 40, F13*0.04)))),
IF(Basic34567891011121314151617181920[[#This Row],[نوع الخدمة]]="كاش اوت",
    IF(F13&lt;=100, 15, IF(F13&lt;=250, 20, IF(F13&lt;=500, 30, IF(F13&lt;=1000, 35, F13*0.035)))),
0)))</f>
        <v>0</v>
      </c>
      <c r="H13" s="162">
        <f>IF(I13="مخالفات",50,Basic34567891011121314151617181920[[#This Row],[قيمة الرسوم / العموله]]+Basic34567891011121314151617181920[[#This Row],[قيمة الشحنه]])</f>
        <v>0</v>
      </c>
      <c r="I13" s="90"/>
      <c r="J13" s="142" t="str">
        <f t="shared" si="0"/>
        <v>13.5.2026</v>
      </c>
      <c r="L13" s="153">
        <v>2</v>
      </c>
      <c r="M13" s="92"/>
    </row>
    <row r="14" spans="1:60" ht="21.6" x14ac:dyDescent="0.65">
      <c r="A14" s="195"/>
      <c r="B14" s="140">
        <v>11</v>
      </c>
      <c r="C14" s="2"/>
      <c r="D14" s="1"/>
      <c r="E14" s="3"/>
      <c r="F14" s="1"/>
      <c r="G14" s="141">
        <f>IF(Basic34567891011121314151617181920[[#This Row],[نوع الخدمة]]="مخالفات", 50,
IF(Basic34567891011121314151617181920[[#This Row],[نوع الخدمة]]="كاش ان",
    IF(F14&lt;=100, 18, IF(F14&lt;=250, 23, IF(F14&lt;=500, 35, IF(F14&lt;=1000, 40, F14*0.04)))),
IF(Basic34567891011121314151617181920[[#This Row],[نوع الخدمة]]="كاش اوت",
    IF(F14&lt;=100, 15, IF(F14&lt;=250, 20, IF(F14&lt;=500, 30, IF(F14&lt;=1000, 35, F14*0.035)))),
0)))</f>
        <v>0</v>
      </c>
      <c r="H14" s="163">
        <f>IF(I14="مخالفات",50,Basic34567891011121314151617181920[[#This Row],[قيمة الرسوم / العموله]]+Basic34567891011121314151617181920[[#This Row],[قيمة الشحنه]])</f>
        <v>0</v>
      </c>
      <c r="I14" s="90"/>
      <c r="J14" s="142" t="str">
        <f t="shared" si="0"/>
        <v>13.5.2026</v>
      </c>
      <c r="L14" s="153">
        <v>3</v>
      </c>
      <c r="M14" s="92"/>
    </row>
    <row r="15" spans="1:60" ht="21.6" x14ac:dyDescent="0.65">
      <c r="A15" s="195"/>
      <c r="B15" s="140">
        <v>12</v>
      </c>
      <c r="C15" s="2"/>
      <c r="D15" s="1"/>
      <c r="E15" s="3"/>
      <c r="F15" s="1"/>
      <c r="G15" s="141">
        <f>IF(Basic34567891011121314151617181920[[#This Row],[نوع الخدمة]]="مخالفات", 50,
IF(Basic34567891011121314151617181920[[#This Row],[نوع الخدمة]]="كاش ان",
    IF(F15&lt;=100, 18, IF(F15&lt;=250, 23, IF(F15&lt;=500, 35, IF(F15&lt;=1000, 40, F15*0.04)))),
IF(Basic34567891011121314151617181920[[#This Row],[نوع الخدمة]]="كاش اوت",
    IF(F15&lt;=100, 15, IF(F15&lt;=250, 20, IF(F15&lt;=500, 30, IF(F15&lt;=1000, 35, F15*0.035)))),
0)))</f>
        <v>0</v>
      </c>
      <c r="H15" s="163">
        <f>IF(I15="مخالفات",50,Basic34567891011121314151617181920[[#This Row],[قيمة الرسوم / العموله]]+Basic34567891011121314151617181920[[#This Row],[قيمة الشحنه]])</f>
        <v>0</v>
      </c>
      <c r="I15" s="90"/>
      <c r="J15" s="142" t="str">
        <f t="shared" si="0"/>
        <v>13.5.2026</v>
      </c>
      <c r="L15" s="153">
        <v>4</v>
      </c>
      <c r="M15" s="92"/>
      <c r="O15" s="154" t="s">
        <v>10</v>
      </c>
      <c r="P15" s="155">
        <f>COUNTIF(Basic34567891011121314151617181920[نوع الخدمة],"مخالفات")</f>
        <v>0</v>
      </c>
    </row>
    <row r="16" spans="1:60" ht="21.6" x14ac:dyDescent="0.65">
      <c r="A16" s="195"/>
      <c r="B16" s="140">
        <v>13</v>
      </c>
      <c r="C16" s="2"/>
      <c r="D16" s="1"/>
      <c r="E16" s="3"/>
      <c r="F16" s="1"/>
      <c r="G16" s="141">
        <f>IF(Basic34567891011121314151617181920[[#This Row],[نوع الخدمة]]="مخالفات", 50,
IF(Basic34567891011121314151617181920[[#This Row],[نوع الخدمة]]="كاش ان",
    IF(F16&lt;=100, 18, IF(F16&lt;=250, 23, IF(F16&lt;=500, 35, IF(F16&lt;=1000, 40, F16*0.04)))),
IF(Basic34567891011121314151617181920[[#This Row],[نوع الخدمة]]="كاش اوت",
    IF(F16&lt;=100, 15, IF(F16&lt;=250, 20, IF(F16&lt;=500, 30, IF(F16&lt;=1000, 35, F16*0.035)))),
0)))</f>
        <v>0</v>
      </c>
      <c r="H16" s="163">
        <f>IF(I16="مخالفات",50,Basic34567891011121314151617181920[[#This Row],[قيمة الرسوم / العموله]]+Basic34567891011121314151617181920[[#This Row],[قيمة الشحنه]])</f>
        <v>0</v>
      </c>
      <c r="I16" s="90"/>
      <c r="J16" s="142" t="str">
        <f t="shared" si="0"/>
        <v>13.5.2026</v>
      </c>
      <c r="L16" s="153">
        <v>5</v>
      </c>
      <c r="M16" s="92"/>
      <c r="O16" s="154" t="s">
        <v>13</v>
      </c>
      <c r="P16" s="155">
        <f>COUNTIF(Basic34567891011121314151617181920[نوع الخدمة],"كاش ان")</f>
        <v>0</v>
      </c>
    </row>
    <row r="17" spans="1:21" ht="21.6" x14ac:dyDescent="0.65">
      <c r="A17" s="195"/>
      <c r="B17" s="144">
        <v>14</v>
      </c>
      <c r="C17" s="2"/>
      <c r="D17" s="1"/>
      <c r="E17" s="3"/>
      <c r="F17" s="1"/>
      <c r="G17" s="141">
        <f>IF(Basic34567891011121314151617181920[[#This Row],[نوع الخدمة]]="مخالفات", 50,
IF(Basic34567891011121314151617181920[[#This Row],[نوع الخدمة]]="كاش ان",
    IF(F17&lt;=100, 18, IF(F17&lt;=250, 23, IF(F17&lt;=500, 35, IF(F17&lt;=1000, 40, F17*0.04)))),
IF(Basic34567891011121314151617181920[[#This Row],[نوع الخدمة]]="كاش اوت",
    IF(F17&lt;=100, 15, IF(F17&lt;=250, 20, IF(F17&lt;=500, 30, IF(F17&lt;=1000, 35, F17*0.035)))),
0)))</f>
        <v>0</v>
      </c>
      <c r="H17" s="163">
        <f>IF(I17="مخالفات",50,Basic34567891011121314151617181920[[#This Row],[قيمة الرسوم / العموله]]+Basic34567891011121314151617181920[[#This Row],[قيمة الشحنه]])</f>
        <v>0</v>
      </c>
      <c r="I17" s="90"/>
      <c r="J17" s="142" t="str">
        <f t="shared" si="0"/>
        <v>13.5.2026</v>
      </c>
      <c r="L17" s="153">
        <v>6</v>
      </c>
      <c r="M17" s="92"/>
      <c r="O17" s="154" t="s">
        <v>14</v>
      </c>
      <c r="P17" s="155">
        <f>COUNTIF(Basic34567891011121314151617181920[نوع الخدمة],"كاش اوت")</f>
        <v>0</v>
      </c>
    </row>
    <row r="18" spans="1:21" ht="21.6" x14ac:dyDescent="0.65">
      <c r="A18" s="195"/>
      <c r="B18" s="140">
        <v>15</v>
      </c>
      <c r="C18" s="2"/>
      <c r="D18" s="1"/>
      <c r="E18" s="3"/>
      <c r="F18" s="1"/>
      <c r="G18" s="141">
        <f>IF(Basic34567891011121314151617181920[[#This Row],[نوع الخدمة]]="مخالفات", 50,
IF(Basic34567891011121314151617181920[[#This Row],[نوع الخدمة]]="كاش ان",
    IF(F18&lt;=100, 18, IF(F18&lt;=250, 23, IF(F18&lt;=500, 35, IF(F18&lt;=1000, 40, F18*0.04)))),
IF(Basic34567891011121314151617181920[[#This Row],[نوع الخدمة]]="كاش اوت",
    IF(F18&lt;=100, 15, IF(F18&lt;=250, 20, IF(F18&lt;=500, 30, IF(F18&lt;=1000, 35, F18*0.035)))),
0)))</f>
        <v>0</v>
      </c>
      <c r="H18" s="163">
        <f>IF(I18="مخالفات",50,Basic34567891011121314151617181920[[#This Row],[قيمة الرسوم / العموله]]+Basic34567891011121314151617181920[[#This Row],[قيمة الشحنه]])</f>
        <v>0</v>
      </c>
      <c r="I18" s="90"/>
      <c r="J18" s="142" t="str">
        <f t="shared" si="0"/>
        <v>13.5.2026</v>
      </c>
      <c r="L18" s="153">
        <v>7</v>
      </c>
      <c r="M18" s="92"/>
      <c r="O18" s="154" t="s">
        <v>15</v>
      </c>
      <c r="P18" s="155">
        <f>P16+P17</f>
        <v>0</v>
      </c>
    </row>
    <row r="19" spans="1:21" ht="21.6" x14ac:dyDescent="0.65">
      <c r="A19" s="195"/>
      <c r="B19" s="140">
        <v>16</v>
      </c>
      <c r="C19" s="2"/>
      <c r="D19" s="1"/>
      <c r="E19" s="3"/>
      <c r="F19" s="1"/>
      <c r="G19" s="141">
        <f>IF(Basic34567891011121314151617181920[[#This Row],[نوع الخدمة]]="مخالفات", 50,
IF(Basic34567891011121314151617181920[[#This Row],[نوع الخدمة]]="كاش ان",
    IF(F19&lt;=100, 18, IF(F19&lt;=250, 23, IF(F19&lt;=500, 35, IF(F19&lt;=1000, 40, F19*0.04)))),
IF(Basic34567891011121314151617181920[[#This Row],[نوع الخدمة]]="كاش اوت",
    IF(F19&lt;=100, 15, IF(F19&lt;=250, 20, IF(F19&lt;=500, 30, IF(F19&lt;=1000, 35, F19*0.035)))),
0)))</f>
        <v>0</v>
      </c>
      <c r="H19" s="163">
        <f>IF(I19="مخالفات",50,Basic34567891011121314151617181920[[#This Row],[قيمة الرسوم / العموله]]+Basic34567891011121314151617181920[[#This Row],[قيمة الشحنه]])</f>
        <v>0</v>
      </c>
      <c r="I19" s="90"/>
      <c r="J19" s="142" t="str">
        <f t="shared" si="0"/>
        <v>13.5.2026</v>
      </c>
      <c r="L19" s="153">
        <v>8</v>
      </c>
      <c r="M19" s="92"/>
    </row>
    <row r="20" spans="1:21" ht="21.6" x14ac:dyDescent="0.65">
      <c r="A20" s="195"/>
      <c r="B20" s="140">
        <v>17</v>
      </c>
      <c r="C20" s="2"/>
      <c r="D20" s="1"/>
      <c r="E20" s="3"/>
      <c r="F20" s="1"/>
      <c r="G20" s="141">
        <f>IF(Basic34567891011121314151617181920[[#This Row],[نوع الخدمة]]="مخالفات", 50,
IF(Basic34567891011121314151617181920[[#This Row],[نوع الخدمة]]="كاش ان",
    IF(F20&lt;=100, 18, IF(F20&lt;=250, 23, IF(F20&lt;=500, 35, IF(F20&lt;=1000, 40, F20*0.04)))),
IF(Basic34567891011121314151617181920[[#This Row],[نوع الخدمة]]="كاش اوت",
    IF(F20&lt;=100, 15, IF(F20&lt;=250, 20, IF(F20&lt;=500, 30, IF(F20&lt;=1000, 35, F20*0.035)))),
0)))</f>
        <v>0</v>
      </c>
      <c r="H20" s="163">
        <f>IF(I20="مخالفات",50,Basic34567891011121314151617181920[[#This Row],[قيمة الرسوم / العموله]]+Basic34567891011121314151617181920[[#This Row],[قيمة الشحنه]])</f>
        <v>0</v>
      </c>
      <c r="I20" s="90"/>
      <c r="J20" s="142" t="str">
        <f t="shared" si="0"/>
        <v>13.5.2026</v>
      </c>
      <c r="L20" s="153">
        <v>9</v>
      </c>
      <c r="M20" s="92"/>
      <c r="O20" s="193" t="s">
        <v>30</v>
      </c>
      <c r="P20" s="194"/>
    </row>
    <row r="21" spans="1:21" ht="21.6" x14ac:dyDescent="0.65">
      <c r="A21" s="195"/>
      <c r="B21" s="144">
        <v>18</v>
      </c>
      <c r="C21" s="2"/>
      <c r="D21" s="1"/>
      <c r="E21" s="3"/>
      <c r="F21" s="1"/>
      <c r="G21" s="141">
        <f>IF(Basic34567891011121314151617181920[[#This Row],[نوع الخدمة]]="مخالفات", 50,
IF(Basic34567891011121314151617181920[[#This Row],[نوع الخدمة]]="كاش ان",
    IF(F21&lt;=100, 18, IF(F21&lt;=250, 23, IF(F21&lt;=500, 35, IF(F21&lt;=1000, 40, F21*0.04)))),
IF(Basic34567891011121314151617181920[[#This Row],[نوع الخدمة]]="كاش اوت",
    IF(F21&lt;=100, 15, IF(F21&lt;=250, 20, IF(F21&lt;=500, 30, IF(F21&lt;=1000, 35, F21*0.035)))),
0)))</f>
        <v>0</v>
      </c>
      <c r="H21" s="163">
        <f>IF(I21="مخالفات",50,Basic34567891011121314151617181920[[#This Row],[قيمة الرسوم / العموله]]+Basic34567891011121314151617181920[[#This Row],[قيمة الشحنه]])</f>
        <v>0</v>
      </c>
      <c r="I21" s="90"/>
      <c r="J21" s="142" t="str">
        <f t="shared" si="0"/>
        <v>13.5.2026</v>
      </c>
      <c r="L21" s="153">
        <v>10</v>
      </c>
      <c r="M21" s="92"/>
      <c r="O21" s="196" t="s">
        <v>31</v>
      </c>
      <c r="P21" s="197"/>
    </row>
    <row r="22" spans="1:21" ht="21.6" x14ac:dyDescent="0.65">
      <c r="A22" s="195"/>
      <c r="B22" s="140">
        <v>19</v>
      </c>
      <c r="C22" s="2"/>
      <c r="D22" s="1"/>
      <c r="E22" s="3"/>
      <c r="F22" s="1"/>
      <c r="G22" s="141">
        <f>IF(Basic34567891011121314151617181920[[#This Row],[نوع الخدمة]]="مخالفات", 50,
IF(Basic34567891011121314151617181920[[#This Row],[نوع الخدمة]]="كاش ان",
    IF(F22&lt;=100, 18, IF(F22&lt;=250, 23, IF(F22&lt;=500, 35, IF(F22&lt;=1000, 40, F22*0.04)))),
IF(Basic34567891011121314151617181920[[#This Row],[نوع الخدمة]]="كاش اوت",
    IF(F22&lt;=100, 15, IF(F22&lt;=250, 20, IF(F22&lt;=500, 30, IF(F22&lt;=1000, 35, F22*0.035)))),
0)))</f>
        <v>0</v>
      </c>
      <c r="H22" s="163">
        <f>IF(I22="مخالفات",50,Basic34567891011121314151617181920[[#This Row],[قيمة الرسوم / العموله]]+Basic34567891011121314151617181920[[#This Row],[قيمة الشحنه]])</f>
        <v>0</v>
      </c>
      <c r="I22" s="90"/>
      <c r="J22" s="142" t="str">
        <f t="shared" si="0"/>
        <v>13.5.2026</v>
      </c>
      <c r="L22" s="153">
        <v>11</v>
      </c>
      <c r="M22" s="92"/>
      <c r="O22" s="147" t="s">
        <v>27</v>
      </c>
      <c r="P22" s="135">
        <f>M8+'12'!P28</f>
        <v>-4</v>
      </c>
    </row>
    <row r="23" spans="1:21" ht="21.6" x14ac:dyDescent="0.65">
      <c r="A23" s="195"/>
      <c r="B23" s="140">
        <v>20</v>
      </c>
      <c r="C23" s="2"/>
      <c r="D23" s="1"/>
      <c r="E23" s="3"/>
      <c r="F23" s="1"/>
      <c r="G23" s="141">
        <f>IF(Basic34567891011121314151617181920[[#This Row],[نوع الخدمة]]="مخالفات", 50,
IF(Basic34567891011121314151617181920[[#This Row],[نوع الخدمة]]="كاش ان",
    IF(F23&lt;=100, 18, IF(F23&lt;=250, 23, IF(F23&lt;=500, 35, IF(F23&lt;=1000, 40, F23*0.04)))),
IF(Basic34567891011121314151617181920[[#This Row],[نوع الخدمة]]="كاش اوت",
    IF(F23&lt;=100, 15, IF(F23&lt;=250, 20, IF(F23&lt;=500, 30, IF(F23&lt;=1000, 35, F23*0.035)))),
0)))</f>
        <v>0</v>
      </c>
      <c r="H23" s="163">
        <f>IF(I23="مخالفات",50,Basic34567891011121314151617181920[[#This Row],[قيمة الرسوم / العموله]]+Basic34567891011121314151617181920[[#This Row],[قيمة الشحنه]])</f>
        <v>0</v>
      </c>
      <c r="I23" s="90"/>
      <c r="J23" s="142" t="str">
        <f t="shared" si="0"/>
        <v>13.5.2026</v>
      </c>
      <c r="L23" s="153">
        <v>12</v>
      </c>
      <c r="M23" s="92"/>
      <c r="O23" s="147" t="s">
        <v>28</v>
      </c>
      <c r="P23" s="135">
        <f>M9+'12'!P29</f>
        <v>0</v>
      </c>
      <c r="T23" s="173"/>
      <c r="U23" s="173"/>
    </row>
    <row r="24" spans="1:21" ht="21.6" x14ac:dyDescent="0.65">
      <c r="A24" s="195"/>
      <c r="B24" s="140">
        <v>21</v>
      </c>
      <c r="C24" s="2"/>
      <c r="D24" s="1"/>
      <c r="E24" s="3"/>
      <c r="F24" s="1"/>
      <c r="G24" s="141">
        <f>IF(Basic34567891011121314151617181920[[#This Row],[نوع الخدمة]]="مخالفات", 50,
IF(Basic34567891011121314151617181920[[#This Row],[نوع الخدمة]]="كاش ان",
    IF(F24&lt;=100, 18, IF(F24&lt;=250, 23, IF(F24&lt;=500, 35, IF(F24&lt;=1000, 40, F24*0.04)))),
IF(Basic34567891011121314151617181920[[#This Row],[نوع الخدمة]]="كاش اوت",
    IF(F24&lt;=100, 15, IF(F24&lt;=250, 20, IF(F24&lt;=500, 30, IF(F24&lt;=1000, 35, F24*0.035)))),
0)))</f>
        <v>0</v>
      </c>
      <c r="H24" s="163">
        <f>IF(I24="مخالفات",50,Basic34567891011121314151617181920[[#This Row],[قيمة الرسوم / العموله]]+Basic34567891011121314151617181920[[#This Row],[قيمة الشحنه]])</f>
        <v>0</v>
      </c>
      <c r="I24" s="90"/>
      <c r="J24" s="142" t="str">
        <f t="shared" si="0"/>
        <v>13.5.2026</v>
      </c>
      <c r="L24" s="153">
        <v>13</v>
      </c>
      <c r="M24" s="92"/>
      <c r="O24" s="196" t="s">
        <v>32</v>
      </c>
      <c r="P24" s="197"/>
    </row>
    <row r="25" spans="1:21" ht="21.6" x14ac:dyDescent="0.65">
      <c r="A25" s="195"/>
      <c r="B25" s="144">
        <v>22</v>
      </c>
      <c r="C25" s="2"/>
      <c r="D25" s="1"/>
      <c r="E25" s="3"/>
      <c r="F25" s="1"/>
      <c r="G25" s="141">
        <f>IF(Basic34567891011121314151617181920[[#This Row],[نوع الخدمة]]="مخالفات", 50,
IF(Basic34567891011121314151617181920[[#This Row],[نوع الخدمة]]="كاش ان",
    IF(F25&lt;=100, 18, IF(F25&lt;=250, 23, IF(F25&lt;=500, 35, IF(F25&lt;=1000, 40, F25*0.04)))),
IF(Basic34567891011121314151617181920[[#This Row],[نوع الخدمة]]="كاش اوت",
    IF(F25&lt;=100, 15, IF(F25&lt;=250, 20, IF(F25&lt;=500, 30, IF(F25&lt;=1000, 35, F25*0.035)))),
0)))</f>
        <v>0</v>
      </c>
      <c r="H25" s="163">
        <f>IF(I25="مخالفات",50,Basic34567891011121314151617181920[[#This Row],[قيمة الرسوم / العموله]]+Basic34567891011121314151617181920[[#This Row],[قيمة الشحنه]])</f>
        <v>0</v>
      </c>
      <c r="I25" s="90"/>
      <c r="J25" s="142" t="str">
        <f t="shared" si="0"/>
        <v>13.5.2026</v>
      </c>
      <c r="L25" s="153">
        <v>14</v>
      </c>
      <c r="M25" s="92"/>
      <c r="O25" s="147" t="s">
        <v>27</v>
      </c>
      <c r="P25" s="135">
        <f>M5</f>
        <v>0</v>
      </c>
    </row>
    <row r="26" spans="1:21" ht="21.6" x14ac:dyDescent="0.65">
      <c r="A26" s="195"/>
      <c r="B26" s="140">
        <v>23</v>
      </c>
      <c r="C26" s="2"/>
      <c r="D26" s="1"/>
      <c r="E26" s="3"/>
      <c r="F26" s="1"/>
      <c r="G26" s="141">
        <f>IF(Basic34567891011121314151617181920[[#This Row],[نوع الخدمة]]="مخالفات", 50,
IF(Basic34567891011121314151617181920[[#This Row],[نوع الخدمة]]="كاش ان",
    IF(F26&lt;=100, 18, IF(F26&lt;=250, 23, IF(F26&lt;=500, 35, IF(F26&lt;=1000, 40, F26*0.04)))),
IF(Basic34567891011121314151617181920[[#This Row],[نوع الخدمة]]="كاش اوت",
    IF(F26&lt;=100, 15, IF(F26&lt;=250, 20, IF(F26&lt;=500, 30, IF(F26&lt;=1000, 35, F26*0.035)))),
0)))</f>
        <v>0</v>
      </c>
      <c r="H26" s="163">
        <f>IF(I26="مخالفات",50,Basic34567891011121314151617181920[[#This Row],[قيمة الرسوم / العموله]]+Basic34567891011121314151617181920[[#This Row],[قيمة الشحنه]])</f>
        <v>0</v>
      </c>
      <c r="I26" s="90"/>
      <c r="J26" s="142" t="str">
        <f t="shared" si="0"/>
        <v>13.5.2026</v>
      </c>
      <c r="L26" s="153">
        <v>15</v>
      </c>
      <c r="M26" s="92"/>
      <c r="O26" s="147" t="s">
        <v>28</v>
      </c>
      <c r="P26" s="135">
        <f>M6</f>
        <v>0</v>
      </c>
    </row>
    <row r="27" spans="1:21" ht="21.6" x14ac:dyDescent="0.65">
      <c r="A27" s="195"/>
      <c r="B27" s="140">
        <v>24</v>
      </c>
      <c r="C27" s="2"/>
      <c r="D27" s="1"/>
      <c r="E27" s="3"/>
      <c r="F27" s="1"/>
      <c r="G27" s="141">
        <f>IF(Basic34567891011121314151617181920[[#This Row],[نوع الخدمة]]="مخالفات", 50,
IF(Basic34567891011121314151617181920[[#This Row],[نوع الخدمة]]="كاش ان",
    IF(F27&lt;=100, 18, IF(F27&lt;=250, 23, IF(F27&lt;=500, 35, IF(F27&lt;=1000, 40, F27*0.04)))),
IF(Basic34567891011121314151617181920[[#This Row],[نوع الخدمة]]="كاش اوت",
    IF(F27&lt;=100, 15, IF(F27&lt;=250, 20, IF(F27&lt;=500, 30, IF(F27&lt;=1000, 35, F27*0.035)))),
0)))</f>
        <v>0</v>
      </c>
      <c r="H27" s="163">
        <f>IF(I27="مخالفات",50,Basic34567891011121314151617181920[[#This Row],[قيمة الرسوم / العموله]]+Basic34567891011121314151617181920[[#This Row],[قيمة الشحنه]])</f>
        <v>0</v>
      </c>
      <c r="I27" s="90"/>
      <c r="J27" s="142" t="str">
        <f t="shared" si="0"/>
        <v>13.5.2026</v>
      </c>
      <c r="L27" s="153">
        <v>16</v>
      </c>
      <c r="M27" s="92"/>
      <c r="O27" s="196" t="s">
        <v>33</v>
      </c>
      <c r="P27" s="197"/>
    </row>
    <row r="28" spans="1:21" ht="21.6" x14ac:dyDescent="0.65">
      <c r="A28" s="195"/>
      <c r="B28" s="140">
        <v>25</v>
      </c>
      <c r="C28" s="2"/>
      <c r="D28" s="1"/>
      <c r="E28" s="3"/>
      <c r="F28" s="1"/>
      <c r="G28" s="141">
        <f>IF(Basic34567891011121314151617181920[[#This Row],[نوع الخدمة]]="مخالفات", 50,
IF(Basic34567891011121314151617181920[[#This Row],[نوع الخدمة]]="كاش ان",
    IF(F28&lt;=100, 18, IF(F28&lt;=250, 23, IF(F28&lt;=500, 35, IF(F28&lt;=1000, 40, F28*0.04)))),
IF(Basic34567891011121314151617181920[[#This Row],[نوع الخدمة]]="كاش اوت",
    IF(F28&lt;=100, 15, IF(F28&lt;=250, 20, IF(F28&lt;=500, 30, IF(F28&lt;=1000, 35, F28*0.035)))),
0)))</f>
        <v>0</v>
      </c>
      <c r="H28" s="163">
        <f>IF(I28="مخالفات",50,Basic34567891011121314151617181920[[#This Row],[قيمة الرسوم / العموله]]+Basic34567891011121314151617181920[[#This Row],[قيمة الشحنه]])</f>
        <v>0</v>
      </c>
      <c r="I28" s="90"/>
      <c r="J28" s="142" t="str">
        <f t="shared" si="0"/>
        <v>13.5.2026</v>
      </c>
      <c r="L28" s="153">
        <v>17</v>
      </c>
      <c r="M28" s="92"/>
      <c r="O28" s="147" t="s">
        <v>27</v>
      </c>
      <c r="P28" s="135">
        <f>P22-P25</f>
        <v>-4</v>
      </c>
    </row>
    <row r="29" spans="1:21" ht="21.6" x14ac:dyDescent="0.65">
      <c r="A29" s="195"/>
      <c r="B29" s="144">
        <v>26</v>
      </c>
      <c r="C29" s="2"/>
      <c r="D29" s="1"/>
      <c r="E29" s="3"/>
      <c r="F29" s="1"/>
      <c r="G29" s="141">
        <f>IF(Basic34567891011121314151617181920[[#This Row],[نوع الخدمة]]="مخالفات", 50,
IF(Basic34567891011121314151617181920[[#This Row],[نوع الخدمة]]="كاش ان",
    IF(F29&lt;=100, 18, IF(F29&lt;=250, 23, IF(F29&lt;=500, 35, IF(F29&lt;=1000, 40, F29*0.04)))),
IF(Basic34567891011121314151617181920[[#This Row],[نوع الخدمة]]="كاش اوت",
    IF(F29&lt;=100, 15, IF(F29&lt;=250, 20, IF(F29&lt;=500, 30, IF(F29&lt;=1000, 35, F29*0.035)))),
0)))</f>
        <v>0</v>
      </c>
      <c r="H29" s="163">
        <f>IF(I29="مخالفات",50,Basic34567891011121314151617181920[[#This Row],[قيمة الرسوم / العموله]]+Basic34567891011121314151617181920[[#This Row],[قيمة الشحنه]])</f>
        <v>0</v>
      </c>
      <c r="I29" s="90"/>
      <c r="J29" s="142" t="str">
        <f t="shared" si="0"/>
        <v>13.5.2026</v>
      </c>
      <c r="L29" s="153">
        <v>18</v>
      </c>
      <c r="M29" s="92"/>
      <c r="O29" s="147" t="s">
        <v>28</v>
      </c>
      <c r="P29" s="135">
        <f>P23-P26</f>
        <v>0</v>
      </c>
    </row>
    <row r="30" spans="1:21" ht="21.6" x14ac:dyDescent="0.65">
      <c r="A30" s="195"/>
      <c r="B30" s="140">
        <v>27</v>
      </c>
      <c r="C30" s="2"/>
      <c r="D30" s="1"/>
      <c r="E30" s="3"/>
      <c r="F30" s="1"/>
      <c r="G30" s="141">
        <f>IF(Basic34567891011121314151617181920[[#This Row],[نوع الخدمة]]="مخالفات", 50,
IF(Basic34567891011121314151617181920[[#This Row],[نوع الخدمة]]="كاش ان",
    IF(F30&lt;=100, 18, IF(F30&lt;=250, 23, IF(F30&lt;=500, 35, IF(F30&lt;=1000, 40, F30*0.04)))),
IF(Basic34567891011121314151617181920[[#This Row],[نوع الخدمة]]="كاش اوت",
    IF(F30&lt;=100, 15, IF(F30&lt;=250, 20, IF(F30&lt;=500, 30, IF(F30&lt;=1000, 35, F30*0.035)))),
0)))</f>
        <v>0</v>
      </c>
      <c r="H30" s="163">
        <f>IF(I30="مخالفات",50,Basic34567891011121314151617181920[[#This Row],[قيمة الرسوم / العموله]]+Basic34567891011121314151617181920[[#This Row],[قيمة الشحنه]])</f>
        <v>0</v>
      </c>
      <c r="I30" s="90"/>
      <c r="J30" s="142" t="str">
        <f t="shared" si="0"/>
        <v>13.5.2026</v>
      </c>
      <c r="L30" s="153">
        <v>19</v>
      </c>
      <c r="M30" s="92"/>
    </row>
    <row r="31" spans="1:21" ht="21.6" x14ac:dyDescent="0.65">
      <c r="A31" s="195"/>
      <c r="B31" s="140">
        <v>28</v>
      </c>
      <c r="C31" s="2"/>
      <c r="D31" s="1"/>
      <c r="E31" s="3"/>
      <c r="F31" s="1"/>
      <c r="G31" s="141">
        <f>IF(Basic34567891011121314151617181920[[#This Row],[نوع الخدمة]]="مخالفات", 50,
IF(Basic34567891011121314151617181920[[#This Row],[نوع الخدمة]]="كاش ان",
    IF(F31&lt;=100, 18, IF(F31&lt;=250, 23, IF(F31&lt;=500, 35, IF(F31&lt;=1000, 40, F31*0.04)))),
IF(Basic34567891011121314151617181920[[#This Row],[نوع الخدمة]]="كاش اوت",
    IF(F31&lt;=100, 15, IF(F31&lt;=250, 20, IF(F31&lt;=500, 30, IF(F31&lt;=1000, 35, F31*0.035)))),
0)))</f>
        <v>0</v>
      </c>
      <c r="H31" s="163">
        <f>IF(I31="مخالفات",50,Basic34567891011121314151617181920[[#This Row],[قيمة الرسوم / العموله]]+Basic34567891011121314151617181920[[#This Row],[قيمة الشحنه]])</f>
        <v>0</v>
      </c>
      <c r="I31" s="90"/>
      <c r="J31" s="142" t="str">
        <f t="shared" si="0"/>
        <v>13.5.2026</v>
      </c>
      <c r="L31" s="153">
        <v>20</v>
      </c>
      <c r="M31" s="92"/>
    </row>
    <row r="32" spans="1:21" ht="21.6" x14ac:dyDescent="0.65">
      <c r="A32" s="195"/>
      <c r="B32" s="140">
        <v>29</v>
      </c>
      <c r="C32" s="2"/>
      <c r="D32" s="1"/>
      <c r="E32" s="3"/>
      <c r="F32" s="1"/>
      <c r="G32" s="141">
        <f>IF(Basic34567891011121314151617181920[[#This Row],[نوع الخدمة]]="مخالفات", 50,
IF(Basic34567891011121314151617181920[[#This Row],[نوع الخدمة]]="كاش ان",
    IF(F32&lt;=100, 18, IF(F32&lt;=250, 23, IF(F32&lt;=500, 35, IF(F32&lt;=1000, 40, F32*0.04)))),
IF(Basic34567891011121314151617181920[[#This Row],[نوع الخدمة]]="كاش اوت",
    IF(F32&lt;=100, 15, IF(F32&lt;=250, 20, IF(F32&lt;=500, 30, IF(F32&lt;=1000, 35, F32*0.035)))),
0)))</f>
        <v>0</v>
      </c>
      <c r="H32" s="163">
        <f>IF(I32="مخالفات",50,Basic34567891011121314151617181920[[#This Row],[قيمة الرسوم / العموله]]+Basic34567891011121314151617181920[[#This Row],[قيمة الشحنه]])</f>
        <v>0</v>
      </c>
      <c r="I32" s="90"/>
      <c r="J32" s="142" t="str">
        <f t="shared" si="0"/>
        <v>13.5.2026</v>
      </c>
      <c r="L32" s="153">
        <v>21</v>
      </c>
      <c r="M32" s="92"/>
    </row>
    <row r="33" spans="1:13" ht="21.6" x14ac:dyDescent="0.65">
      <c r="A33" s="195"/>
      <c r="B33" s="144">
        <v>30</v>
      </c>
      <c r="C33" s="2"/>
      <c r="D33" s="1"/>
      <c r="E33" s="3"/>
      <c r="F33" s="1"/>
      <c r="G33" s="141">
        <f>IF(Basic34567891011121314151617181920[[#This Row],[نوع الخدمة]]="مخالفات", 50,
IF(Basic34567891011121314151617181920[[#This Row],[نوع الخدمة]]="كاش ان",
    IF(F33&lt;=100, 18, IF(F33&lt;=250, 23, IF(F33&lt;=500, 35, IF(F33&lt;=1000, 40, F33*0.04)))),
IF(Basic34567891011121314151617181920[[#This Row],[نوع الخدمة]]="كاش اوت",
    IF(F33&lt;=100, 15, IF(F33&lt;=250, 20, IF(F33&lt;=500, 30, IF(F33&lt;=1000, 35, F33*0.035)))),
0)))</f>
        <v>0</v>
      </c>
      <c r="H33" s="163">
        <f>IF(I33="مخالفات",50,Basic34567891011121314151617181920[[#This Row],[قيمة الرسوم / العموله]]+Basic34567891011121314151617181920[[#This Row],[قيمة الشحنه]])</f>
        <v>0</v>
      </c>
      <c r="I33" s="90"/>
      <c r="J33" s="142" t="str">
        <f t="shared" si="0"/>
        <v>13.5.2026</v>
      </c>
      <c r="L33" s="153">
        <v>22</v>
      </c>
      <c r="M33" s="92"/>
    </row>
    <row r="34" spans="1:13" ht="21.6" x14ac:dyDescent="0.65">
      <c r="A34" s="195"/>
      <c r="B34" s="140">
        <v>31</v>
      </c>
      <c r="C34" s="2"/>
      <c r="D34" s="1"/>
      <c r="E34" s="3"/>
      <c r="F34" s="1"/>
      <c r="G34" s="141">
        <f>IF(Basic34567891011121314151617181920[[#This Row],[نوع الخدمة]]="مخالفات", 50,
IF(Basic34567891011121314151617181920[[#This Row],[نوع الخدمة]]="كاش ان",
    IF(F34&lt;=100, 18, IF(F34&lt;=250, 23, IF(F34&lt;=500, 35, IF(F34&lt;=1000, 40, F34*0.04)))),
IF(Basic34567891011121314151617181920[[#This Row],[نوع الخدمة]]="كاش اوت",
    IF(F34&lt;=100, 15, IF(F34&lt;=250, 20, IF(F34&lt;=500, 30, IF(F34&lt;=1000, 35, F34*0.035)))),
0)))</f>
        <v>0</v>
      </c>
      <c r="H34" s="163">
        <f>IF(I34="مخالفات",50,Basic34567891011121314151617181920[[#This Row],[قيمة الرسوم / العموله]]+Basic34567891011121314151617181920[[#This Row],[قيمة الشحنه]])</f>
        <v>0</v>
      </c>
      <c r="I34" s="90"/>
      <c r="J34" s="142" t="str">
        <f t="shared" si="0"/>
        <v>13.5.2026</v>
      </c>
      <c r="L34" s="153">
        <v>23</v>
      </c>
      <c r="M34" s="92"/>
    </row>
    <row r="35" spans="1:13" ht="21.6" x14ac:dyDescent="0.65">
      <c r="A35" s="195"/>
      <c r="B35" s="140">
        <v>32</v>
      </c>
      <c r="C35" s="2"/>
      <c r="D35" s="1"/>
      <c r="E35" s="3"/>
      <c r="F35" s="1"/>
      <c r="G35" s="141">
        <f>IF(Basic34567891011121314151617181920[[#This Row],[نوع الخدمة]]="مخالفات", 50,
IF(Basic34567891011121314151617181920[[#This Row],[نوع الخدمة]]="كاش ان",
    IF(F35&lt;=100, 18, IF(F35&lt;=250, 23, IF(F35&lt;=500, 35, IF(F35&lt;=1000, 40, F35*0.04)))),
IF(Basic34567891011121314151617181920[[#This Row],[نوع الخدمة]]="كاش اوت",
    IF(F35&lt;=100, 15, IF(F35&lt;=250, 20, IF(F35&lt;=500, 30, IF(F35&lt;=1000, 35, F35*0.035)))),
0)))</f>
        <v>0</v>
      </c>
      <c r="H35" s="163">
        <f>IF(I35="مخالفات",50,Basic34567891011121314151617181920[[#This Row],[قيمة الرسوم / العموله]]+Basic34567891011121314151617181920[[#This Row],[قيمة الشحنه]])</f>
        <v>0</v>
      </c>
      <c r="I35" s="90"/>
      <c r="J35" s="142" t="str">
        <f t="shared" si="0"/>
        <v>13.5.2026</v>
      </c>
      <c r="L35" s="153">
        <v>24</v>
      </c>
      <c r="M35" s="92"/>
    </row>
    <row r="36" spans="1:13" ht="21.6" x14ac:dyDescent="0.65">
      <c r="A36" s="195"/>
      <c r="B36" s="140">
        <v>33</v>
      </c>
      <c r="C36" s="2"/>
      <c r="D36" s="1"/>
      <c r="E36" s="3"/>
      <c r="F36" s="1"/>
      <c r="G36" s="141">
        <f>IF(Basic34567891011121314151617181920[[#This Row],[نوع الخدمة]]="مخالفات", 50,
IF(Basic34567891011121314151617181920[[#This Row],[نوع الخدمة]]="كاش ان",
    IF(F36&lt;=100, 18, IF(F36&lt;=250, 23, IF(F36&lt;=500, 35, IF(F36&lt;=1000, 40, F36*0.04)))),
IF(Basic34567891011121314151617181920[[#This Row],[نوع الخدمة]]="كاش اوت",
    IF(F36&lt;=100, 15, IF(F36&lt;=250, 20, IF(F36&lt;=500, 30, IF(F36&lt;=1000, 35, F36*0.035)))),
0)))</f>
        <v>0</v>
      </c>
      <c r="H36" s="163">
        <f>IF(I36="مخالفات",50,Basic34567891011121314151617181920[[#This Row],[قيمة الرسوم / العموله]]+Basic34567891011121314151617181920[[#This Row],[قيمة الشحنه]])</f>
        <v>0</v>
      </c>
      <c r="I36" s="90"/>
      <c r="J36" s="142" t="str">
        <f t="shared" si="0"/>
        <v>13.5.2026</v>
      </c>
      <c r="L36" s="153">
        <v>25</v>
      </c>
      <c r="M36" s="92"/>
    </row>
    <row r="37" spans="1:13" ht="21.6" x14ac:dyDescent="0.65">
      <c r="A37" s="195"/>
      <c r="B37" s="144">
        <v>34</v>
      </c>
      <c r="C37" s="2"/>
      <c r="D37" s="1"/>
      <c r="E37" s="3"/>
      <c r="F37" s="1"/>
      <c r="G37" s="141">
        <f>IF(Basic34567891011121314151617181920[[#This Row],[نوع الخدمة]]="مخالفات", 50,
IF(Basic34567891011121314151617181920[[#This Row],[نوع الخدمة]]="كاش ان",
    IF(F37&lt;=100, 18, IF(F37&lt;=250, 23, IF(F37&lt;=500, 35, IF(F37&lt;=1000, 40, F37*0.04)))),
IF(Basic34567891011121314151617181920[[#This Row],[نوع الخدمة]]="كاش اوت",
    IF(F37&lt;=100, 15, IF(F37&lt;=250, 20, IF(F37&lt;=500, 30, IF(F37&lt;=1000, 35, F37*0.035)))),
0)))</f>
        <v>0</v>
      </c>
      <c r="H37" s="163">
        <f>IF(I37="مخالفات",50,Basic34567891011121314151617181920[[#This Row],[قيمة الرسوم / العموله]]+Basic34567891011121314151617181920[[#This Row],[قيمة الشحنه]])</f>
        <v>0</v>
      </c>
      <c r="I37" s="90"/>
      <c r="J37" s="142" t="str">
        <f t="shared" si="0"/>
        <v>13.5.2026</v>
      </c>
      <c r="L37" s="153">
        <v>26</v>
      </c>
      <c r="M37" s="92"/>
    </row>
    <row r="38" spans="1:13" ht="21.6" x14ac:dyDescent="0.65">
      <c r="A38" s="195"/>
      <c r="B38" s="140">
        <v>35</v>
      </c>
      <c r="C38" s="2"/>
      <c r="D38" s="1"/>
      <c r="E38" s="3"/>
      <c r="F38" s="1"/>
      <c r="G38" s="141">
        <f>IF(Basic34567891011121314151617181920[[#This Row],[نوع الخدمة]]="مخالفات", 50,
IF(Basic34567891011121314151617181920[[#This Row],[نوع الخدمة]]="كاش ان",
    IF(F38&lt;=100, 18, IF(F38&lt;=250, 23, IF(F38&lt;=500, 35, IF(F38&lt;=1000, 40, F38*0.04)))),
IF(Basic34567891011121314151617181920[[#This Row],[نوع الخدمة]]="كاش اوت",
    IF(F38&lt;=100, 15, IF(F38&lt;=250, 20, IF(F38&lt;=500, 30, IF(F38&lt;=1000, 35, F38*0.035)))),
0)))</f>
        <v>0</v>
      </c>
      <c r="H38" s="163">
        <f>IF(I38="مخالفات",50,Basic34567891011121314151617181920[[#This Row],[قيمة الرسوم / العموله]]+Basic34567891011121314151617181920[[#This Row],[قيمة الشحنه]])</f>
        <v>0</v>
      </c>
      <c r="I38" s="90"/>
      <c r="J38" s="142" t="str">
        <f t="shared" si="0"/>
        <v>13.5.2026</v>
      </c>
      <c r="L38" s="153">
        <v>27</v>
      </c>
      <c r="M38" s="92"/>
    </row>
    <row r="39" spans="1:13" ht="21.6" x14ac:dyDescent="0.65">
      <c r="A39" s="195"/>
      <c r="B39" s="140">
        <v>36</v>
      </c>
      <c r="C39" s="2"/>
      <c r="D39" s="1"/>
      <c r="E39" s="3"/>
      <c r="F39" s="1"/>
      <c r="G39" s="141">
        <f>IF(Basic34567891011121314151617181920[[#This Row],[نوع الخدمة]]="مخالفات", 50,
IF(Basic34567891011121314151617181920[[#This Row],[نوع الخدمة]]="كاش ان",
    IF(F39&lt;=100, 18, IF(F39&lt;=250, 23, IF(F39&lt;=500, 35, IF(F39&lt;=1000, 40, F39*0.04)))),
IF(Basic34567891011121314151617181920[[#This Row],[نوع الخدمة]]="كاش اوت",
    IF(F39&lt;=100, 15, IF(F39&lt;=250, 20, IF(F39&lt;=500, 30, IF(F39&lt;=1000, 35, F39*0.035)))),
0)))</f>
        <v>0</v>
      </c>
      <c r="H39" s="163">
        <f>IF(I39="مخالفات",50,Basic34567891011121314151617181920[[#This Row],[قيمة الرسوم / العموله]]+Basic34567891011121314151617181920[[#This Row],[قيمة الشحنه]])</f>
        <v>0</v>
      </c>
      <c r="I39" s="90"/>
      <c r="J39" s="142" t="str">
        <f t="shared" si="0"/>
        <v>13.5.2026</v>
      </c>
      <c r="L39" s="153">
        <v>28</v>
      </c>
      <c r="M39" s="92"/>
    </row>
    <row r="40" spans="1:13" ht="21.6" x14ac:dyDescent="0.65">
      <c r="A40" s="195"/>
      <c r="B40" s="140">
        <v>37</v>
      </c>
      <c r="C40" s="2"/>
      <c r="D40" s="1"/>
      <c r="E40" s="3"/>
      <c r="F40" s="1"/>
      <c r="G40" s="141">
        <f>IF(Basic34567891011121314151617181920[[#This Row],[نوع الخدمة]]="مخالفات", 50,
IF(Basic34567891011121314151617181920[[#This Row],[نوع الخدمة]]="كاش ان",
    IF(F40&lt;=100, 18, IF(F40&lt;=250, 23, IF(F40&lt;=500, 35, IF(F40&lt;=1000, 40, F40*0.04)))),
IF(Basic34567891011121314151617181920[[#This Row],[نوع الخدمة]]="كاش اوت",
    IF(F40&lt;=100, 15, IF(F40&lt;=250, 20, IF(F40&lt;=500, 30, IF(F40&lt;=1000, 35, F40*0.035)))),
0)))</f>
        <v>0</v>
      </c>
      <c r="H40" s="163">
        <f>IF(I40="مخالفات",50,Basic34567891011121314151617181920[[#This Row],[قيمة الرسوم / العموله]]+Basic34567891011121314151617181920[[#This Row],[قيمة الشحنه]])</f>
        <v>0</v>
      </c>
      <c r="I40" s="90"/>
      <c r="J40" s="142" t="str">
        <f t="shared" si="0"/>
        <v>13.5.2026</v>
      </c>
      <c r="L40" s="153">
        <v>29</v>
      </c>
      <c r="M40" s="92"/>
    </row>
    <row r="41" spans="1:13" ht="21.6" x14ac:dyDescent="0.65">
      <c r="A41" s="195"/>
      <c r="B41" s="144">
        <v>38</v>
      </c>
      <c r="C41" s="2"/>
      <c r="D41" s="1"/>
      <c r="E41" s="3"/>
      <c r="F41" s="1"/>
      <c r="G41" s="141">
        <f>IF(Basic34567891011121314151617181920[[#This Row],[نوع الخدمة]]="مخالفات", 50,
IF(Basic34567891011121314151617181920[[#This Row],[نوع الخدمة]]="كاش ان",
    IF(F41&lt;=100, 18, IF(F41&lt;=250, 23, IF(F41&lt;=500, 35, IF(F41&lt;=1000, 40, F41*0.04)))),
IF(Basic34567891011121314151617181920[[#This Row],[نوع الخدمة]]="كاش اوت",
    IF(F41&lt;=100, 15, IF(F41&lt;=250, 20, IF(F41&lt;=500, 30, IF(F41&lt;=1000, 35, F41*0.035)))),
0)))</f>
        <v>0</v>
      </c>
      <c r="H41" s="163">
        <f>IF(I41="مخالفات",50,Basic34567891011121314151617181920[[#This Row],[قيمة الرسوم / العموله]]+Basic34567891011121314151617181920[[#This Row],[قيمة الشحنه]])</f>
        <v>0</v>
      </c>
      <c r="I41" s="90"/>
      <c r="J41" s="142" t="str">
        <f t="shared" si="0"/>
        <v>13.5.2026</v>
      </c>
      <c r="L41" s="153">
        <v>30</v>
      </c>
      <c r="M41" s="92"/>
    </row>
    <row r="42" spans="1:13" ht="21.6" x14ac:dyDescent="0.65">
      <c r="A42" s="195"/>
      <c r="B42" s="140">
        <v>39</v>
      </c>
      <c r="C42" s="2"/>
      <c r="D42" s="1"/>
      <c r="E42" s="3"/>
      <c r="F42" s="1"/>
      <c r="G42" s="141">
        <f>IF(Basic34567891011121314151617181920[[#This Row],[نوع الخدمة]]="مخالفات", 50,
IF(Basic34567891011121314151617181920[[#This Row],[نوع الخدمة]]="كاش ان",
    IF(F42&lt;=100, 18, IF(F42&lt;=250, 23, IF(F42&lt;=500, 35, IF(F42&lt;=1000, 40, F42*0.04)))),
IF(Basic34567891011121314151617181920[[#This Row],[نوع الخدمة]]="كاش اوت",
    IF(F42&lt;=100, 15, IF(F42&lt;=250, 20, IF(F42&lt;=500, 30, IF(F42&lt;=1000, 35, F42*0.035)))),
0)))</f>
        <v>0</v>
      </c>
      <c r="H42" s="163">
        <f>IF(I42="مخالفات",50,Basic34567891011121314151617181920[[#This Row],[قيمة الرسوم / العموله]]+Basic34567891011121314151617181920[[#This Row],[قيمة الشحنه]])</f>
        <v>0</v>
      </c>
      <c r="I42" s="90"/>
      <c r="J42" s="142" t="str">
        <f t="shared" si="0"/>
        <v>13.5.2026</v>
      </c>
      <c r="L42" s="153">
        <v>31</v>
      </c>
      <c r="M42" s="92"/>
    </row>
    <row r="43" spans="1:13" ht="21.6" x14ac:dyDescent="0.65">
      <c r="A43" s="195"/>
      <c r="B43" s="140">
        <v>40</v>
      </c>
      <c r="C43" s="2"/>
      <c r="D43" s="1"/>
      <c r="E43" s="3"/>
      <c r="F43" s="1"/>
      <c r="G43" s="141">
        <f>IF(Basic34567891011121314151617181920[[#This Row],[نوع الخدمة]]="مخالفات", 50,
IF(Basic34567891011121314151617181920[[#This Row],[نوع الخدمة]]="كاش ان",
    IF(F43&lt;=100, 18, IF(F43&lt;=250, 23, IF(F43&lt;=500, 35, IF(F43&lt;=1000, 40, F43*0.04)))),
IF(Basic34567891011121314151617181920[[#This Row],[نوع الخدمة]]="كاش اوت",
    IF(F43&lt;=100, 15, IF(F43&lt;=250, 20, IF(F43&lt;=500, 30, IF(F43&lt;=1000, 35, F43*0.035)))),
0)))</f>
        <v>0</v>
      </c>
      <c r="H43" s="163">
        <f>IF(I43="مخالفات",50,Basic34567891011121314151617181920[[#This Row],[قيمة الرسوم / العموله]]+Basic34567891011121314151617181920[[#This Row],[قيمة الشحنه]])</f>
        <v>0</v>
      </c>
      <c r="I43" s="90"/>
      <c r="J43" s="142" t="str">
        <f t="shared" si="0"/>
        <v>13.5.2026</v>
      </c>
      <c r="L43" s="153">
        <v>32</v>
      </c>
      <c r="M43" s="92"/>
    </row>
    <row r="44" spans="1:13" ht="21.6" x14ac:dyDescent="0.65">
      <c r="A44" s="195"/>
      <c r="B44" s="140">
        <v>41</v>
      </c>
      <c r="C44" s="2"/>
      <c r="D44" s="1"/>
      <c r="E44" s="3"/>
      <c r="F44" s="1"/>
      <c r="G44" s="141">
        <f>IF(Basic34567891011121314151617181920[[#This Row],[نوع الخدمة]]="مخالفات", 50,
IF(Basic34567891011121314151617181920[[#This Row],[نوع الخدمة]]="كاش ان",
    IF(F44&lt;=100, 18, IF(F44&lt;=250, 23, IF(F44&lt;=500, 35, IF(F44&lt;=1000, 40, F44*0.04)))),
IF(Basic34567891011121314151617181920[[#This Row],[نوع الخدمة]]="كاش اوت",
    IF(F44&lt;=100, 15, IF(F44&lt;=250, 20, IF(F44&lt;=500, 30, IF(F44&lt;=1000, 35, F44*0.035)))),
0)))</f>
        <v>0</v>
      </c>
      <c r="H44" s="163">
        <f>IF(I44="مخالفات",50,Basic34567891011121314151617181920[[#This Row],[قيمة الرسوم / العموله]]+Basic34567891011121314151617181920[[#This Row],[قيمة الشحنه]])</f>
        <v>0</v>
      </c>
      <c r="I44" s="90"/>
      <c r="J44" s="142" t="str">
        <f t="shared" si="0"/>
        <v>13.5.2026</v>
      </c>
      <c r="L44" s="153">
        <v>33</v>
      </c>
      <c r="M44" s="92"/>
    </row>
    <row r="45" spans="1:13" ht="21.6" x14ac:dyDescent="0.65">
      <c r="A45" s="195"/>
      <c r="B45" s="144">
        <v>42</v>
      </c>
      <c r="C45" s="2"/>
      <c r="D45" s="1"/>
      <c r="E45" s="3"/>
      <c r="F45" s="1"/>
      <c r="G45" s="141">
        <f>IF(Basic34567891011121314151617181920[[#This Row],[نوع الخدمة]]="مخالفات", 50,
IF(Basic34567891011121314151617181920[[#This Row],[نوع الخدمة]]="كاش ان",
    IF(F45&lt;=100, 18, IF(F45&lt;=250, 23, IF(F45&lt;=500, 35, IF(F45&lt;=1000, 40, F45*0.04)))),
IF(Basic34567891011121314151617181920[[#This Row],[نوع الخدمة]]="كاش اوت",
    IF(F45&lt;=100, 15, IF(F45&lt;=250, 20, IF(F45&lt;=500, 30, IF(F45&lt;=1000, 35, F45*0.035)))),
0)))</f>
        <v>0</v>
      </c>
      <c r="H45" s="163">
        <f>IF(I45="مخالفات",50,Basic34567891011121314151617181920[[#This Row],[قيمة الرسوم / العموله]]+Basic34567891011121314151617181920[[#This Row],[قيمة الشحنه]])</f>
        <v>0</v>
      </c>
      <c r="I45" s="90"/>
      <c r="J45" s="142" t="str">
        <f t="shared" si="0"/>
        <v>13.5.2026</v>
      </c>
      <c r="L45" s="153">
        <v>34</v>
      </c>
      <c r="M45" s="92"/>
    </row>
    <row r="46" spans="1:13" ht="21.6" x14ac:dyDescent="0.65">
      <c r="A46" s="195"/>
      <c r="B46" s="140">
        <v>43</v>
      </c>
      <c r="C46" s="2"/>
      <c r="D46" s="1"/>
      <c r="E46" s="3"/>
      <c r="F46" s="1"/>
      <c r="G46" s="141">
        <f>IF(Basic34567891011121314151617181920[[#This Row],[نوع الخدمة]]="مخالفات", 50,
IF(Basic34567891011121314151617181920[[#This Row],[نوع الخدمة]]="كاش ان",
    IF(F46&lt;=100, 18, IF(F46&lt;=250, 23, IF(F46&lt;=500, 35, IF(F46&lt;=1000, 40, F46*0.04)))),
IF(Basic34567891011121314151617181920[[#This Row],[نوع الخدمة]]="كاش اوت",
    IF(F46&lt;=100, 15, IF(F46&lt;=250, 20, IF(F46&lt;=500, 30, IF(F46&lt;=1000, 35, F46*0.035)))),
0)))</f>
        <v>0</v>
      </c>
      <c r="H46" s="163">
        <f>IF(I46="مخالفات",50,Basic34567891011121314151617181920[[#This Row],[قيمة الرسوم / العموله]]+Basic34567891011121314151617181920[[#This Row],[قيمة الشحنه]])</f>
        <v>0</v>
      </c>
      <c r="I46" s="90"/>
      <c r="J46" s="142" t="str">
        <f t="shared" si="0"/>
        <v>13.5.2026</v>
      </c>
      <c r="L46" s="153">
        <v>35</v>
      </c>
      <c r="M46" s="92"/>
    </row>
    <row r="47" spans="1:13" ht="21.6" x14ac:dyDescent="0.65">
      <c r="A47" s="195"/>
      <c r="B47" s="140">
        <v>44</v>
      </c>
      <c r="C47" s="2"/>
      <c r="D47" s="1"/>
      <c r="E47" s="3"/>
      <c r="F47" s="1"/>
      <c r="G47" s="141">
        <f>IF(Basic34567891011121314151617181920[[#This Row],[نوع الخدمة]]="مخالفات", 50,
IF(Basic34567891011121314151617181920[[#This Row],[نوع الخدمة]]="كاش ان",
    IF(F47&lt;=100, 18, IF(F47&lt;=250, 23, IF(F47&lt;=500, 35, IF(F47&lt;=1000, 40, F47*0.04)))),
IF(Basic34567891011121314151617181920[[#This Row],[نوع الخدمة]]="كاش اوت",
    IF(F47&lt;=100, 15, IF(F47&lt;=250, 20, IF(F47&lt;=500, 30, IF(F47&lt;=1000, 35, F47*0.035)))),
0)))</f>
        <v>0</v>
      </c>
      <c r="H47" s="163">
        <f>IF(I47="مخالفات",50,Basic34567891011121314151617181920[[#This Row],[قيمة الرسوم / العموله]]+Basic34567891011121314151617181920[[#This Row],[قيمة الشحنه]])</f>
        <v>0</v>
      </c>
      <c r="I47" s="90"/>
      <c r="J47" s="142" t="str">
        <f t="shared" si="0"/>
        <v>13.5.2026</v>
      </c>
      <c r="L47" s="153">
        <v>36</v>
      </c>
      <c r="M47" s="92"/>
    </row>
    <row r="48" spans="1:13" ht="21.6" x14ac:dyDescent="0.65">
      <c r="A48" s="195"/>
      <c r="B48" s="140">
        <v>45</v>
      </c>
      <c r="C48" s="2"/>
      <c r="D48" s="1"/>
      <c r="E48" s="3"/>
      <c r="F48" s="1"/>
      <c r="G48" s="141">
        <f>IF(Basic34567891011121314151617181920[[#This Row],[نوع الخدمة]]="مخالفات", 50,
IF(Basic34567891011121314151617181920[[#This Row],[نوع الخدمة]]="كاش ان",
    IF(F48&lt;=100, 18, IF(F48&lt;=250, 23, IF(F48&lt;=500, 35, IF(F48&lt;=1000, 40, F48*0.04)))),
IF(Basic34567891011121314151617181920[[#This Row],[نوع الخدمة]]="كاش اوت",
    IF(F48&lt;=100, 15, IF(F48&lt;=250, 20, IF(F48&lt;=500, 30, IF(F48&lt;=1000, 35, F48*0.035)))),
0)))</f>
        <v>0</v>
      </c>
      <c r="H48" s="163">
        <f>IF(I48="مخالفات",50,Basic34567891011121314151617181920[[#This Row],[قيمة الرسوم / العموله]]+Basic34567891011121314151617181920[[#This Row],[قيمة الشحنه]])</f>
        <v>0</v>
      </c>
      <c r="I48" s="90"/>
      <c r="J48" s="142" t="str">
        <f t="shared" si="0"/>
        <v>13.5.2026</v>
      </c>
      <c r="L48" s="153">
        <v>37</v>
      </c>
      <c r="M48" s="92"/>
    </row>
    <row r="49" spans="1:13" ht="21.6" x14ac:dyDescent="0.65">
      <c r="A49" s="195"/>
      <c r="B49" s="144">
        <v>46</v>
      </c>
      <c r="C49" s="2"/>
      <c r="D49" s="1"/>
      <c r="E49" s="3"/>
      <c r="F49" s="1"/>
      <c r="G49" s="141">
        <f>IF(Basic34567891011121314151617181920[[#This Row],[نوع الخدمة]]="مخالفات", 50,
IF(Basic34567891011121314151617181920[[#This Row],[نوع الخدمة]]="كاش ان",
    IF(F49&lt;=100, 18, IF(F49&lt;=250, 23, IF(F49&lt;=500, 35, IF(F49&lt;=1000, 40, F49*0.04)))),
IF(Basic34567891011121314151617181920[[#This Row],[نوع الخدمة]]="كاش اوت",
    IF(F49&lt;=100, 15, IF(F49&lt;=250, 20, IF(F49&lt;=500, 30, IF(F49&lt;=1000, 35, F49*0.035)))),
0)))</f>
        <v>0</v>
      </c>
      <c r="H49" s="163">
        <f>IF(I49="مخالفات",50,Basic34567891011121314151617181920[[#This Row],[قيمة الرسوم / العموله]]+Basic34567891011121314151617181920[[#This Row],[قيمة الشحنه]])</f>
        <v>0</v>
      </c>
      <c r="I49" s="90"/>
      <c r="J49" s="142" t="str">
        <f t="shared" si="0"/>
        <v>13.5.2026</v>
      </c>
      <c r="L49" s="153">
        <v>38</v>
      </c>
      <c r="M49" s="92"/>
    </row>
    <row r="50" spans="1:13" ht="21.6" x14ac:dyDescent="0.65">
      <c r="A50" s="195"/>
      <c r="B50" s="140">
        <v>47</v>
      </c>
      <c r="C50" s="2"/>
      <c r="D50" s="1"/>
      <c r="E50" s="3"/>
      <c r="F50" s="1"/>
      <c r="G50" s="141">
        <f>IF(Basic34567891011121314151617181920[[#This Row],[نوع الخدمة]]="مخالفات", 50,
IF(Basic34567891011121314151617181920[[#This Row],[نوع الخدمة]]="كاش ان",
    IF(F50&lt;=100, 18, IF(F50&lt;=250, 23, IF(F50&lt;=500, 35, IF(F50&lt;=1000, 40, F50*0.04)))),
IF(Basic34567891011121314151617181920[[#This Row],[نوع الخدمة]]="كاش اوت",
    IF(F50&lt;=100, 15, IF(F50&lt;=250, 20, IF(F50&lt;=500, 30, IF(F50&lt;=1000, 35, F50*0.035)))),
0)))</f>
        <v>0</v>
      </c>
      <c r="H50" s="163">
        <f>IF(I50="مخالفات",50,Basic34567891011121314151617181920[[#This Row],[قيمة الرسوم / العموله]]+Basic34567891011121314151617181920[[#This Row],[قيمة الشحنه]])</f>
        <v>0</v>
      </c>
      <c r="I50" s="90"/>
      <c r="J50" s="142" t="str">
        <f t="shared" si="0"/>
        <v>13.5.2026</v>
      </c>
      <c r="L50" s="153">
        <v>39</v>
      </c>
      <c r="M50" s="92"/>
    </row>
    <row r="51" spans="1:13" ht="21.6" x14ac:dyDescent="0.65">
      <c r="A51" s="195"/>
      <c r="B51" s="140">
        <v>48</v>
      </c>
      <c r="C51" s="2"/>
      <c r="D51" s="1"/>
      <c r="E51" s="3"/>
      <c r="F51" s="1"/>
      <c r="G51" s="141">
        <f>IF(Basic34567891011121314151617181920[[#This Row],[نوع الخدمة]]="مخالفات", 50,
IF(Basic34567891011121314151617181920[[#This Row],[نوع الخدمة]]="كاش ان",
    IF(F51&lt;=100, 18, IF(F51&lt;=250, 23, IF(F51&lt;=500, 35, IF(F51&lt;=1000, 40, F51*0.04)))),
IF(Basic34567891011121314151617181920[[#This Row],[نوع الخدمة]]="كاش اوت",
    IF(F51&lt;=100, 15, IF(F51&lt;=250, 20, IF(F51&lt;=500, 30, IF(F51&lt;=1000, 35, F51*0.035)))),
0)))</f>
        <v>0</v>
      </c>
      <c r="H51" s="163">
        <f>IF(I51="مخالفات",50,Basic34567891011121314151617181920[[#This Row],[قيمة الرسوم / العموله]]+Basic34567891011121314151617181920[[#This Row],[قيمة الشحنه]])</f>
        <v>0</v>
      </c>
      <c r="I51" s="90"/>
      <c r="J51" s="142" t="str">
        <f t="shared" si="0"/>
        <v>13.5.2026</v>
      </c>
      <c r="L51" s="153">
        <v>40</v>
      </c>
      <c r="M51" s="92"/>
    </row>
    <row r="52" spans="1:13" ht="21.6" x14ac:dyDescent="0.65">
      <c r="A52" s="195"/>
      <c r="B52" s="140">
        <v>49</v>
      </c>
      <c r="C52" s="2"/>
      <c r="D52" s="1"/>
      <c r="E52" s="3"/>
      <c r="F52" s="1"/>
      <c r="G52" s="141">
        <f>IF(Basic34567891011121314151617181920[[#This Row],[نوع الخدمة]]="مخالفات", 50,
IF(Basic34567891011121314151617181920[[#This Row],[نوع الخدمة]]="كاش ان",
    IF(F52&lt;=100, 18, IF(F52&lt;=250, 23, IF(F52&lt;=500, 35, IF(F52&lt;=1000, 40, F52*0.04)))),
IF(Basic34567891011121314151617181920[[#This Row],[نوع الخدمة]]="كاش اوت",
    IF(F52&lt;=100, 15, IF(F52&lt;=250, 20, IF(F52&lt;=500, 30, IF(F52&lt;=1000, 35, F52*0.035)))),
0)))</f>
        <v>0</v>
      </c>
      <c r="H52" s="163">
        <f>IF(I52="مخالفات",50,Basic34567891011121314151617181920[[#This Row],[قيمة الرسوم / العموله]]+Basic34567891011121314151617181920[[#This Row],[قيمة الشحنه]])</f>
        <v>0</v>
      </c>
      <c r="I52" s="90"/>
      <c r="J52" s="142" t="str">
        <f t="shared" si="0"/>
        <v>13.5.2026</v>
      </c>
      <c r="L52" s="153">
        <v>41</v>
      </c>
      <c r="M52" s="92"/>
    </row>
    <row r="53" spans="1:13" ht="21.6" x14ac:dyDescent="0.65">
      <c r="A53" s="195"/>
      <c r="B53" s="144">
        <v>50</v>
      </c>
      <c r="C53" s="2"/>
      <c r="D53" s="1"/>
      <c r="E53" s="3"/>
      <c r="F53" s="1"/>
      <c r="G53" s="141">
        <f>IF(Basic34567891011121314151617181920[[#This Row],[نوع الخدمة]]="مخالفات", 50,
IF(Basic34567891011121314151617181920[[#This Row],[نوع الخدمة]]="كاش ان",
    IF(F53&lt;=100, 18, IF(F53&lt;=250, 23, IF(F53&lt;=500, 35, IF(F53&lt;=1000, 40, F53*0.04)))),
IF(Basic34567891011121314151617181920[[#This Row],[نوع الخدمة]]="كاش اوت",
    IF(F53&lt;=100, 15, IF(F53&lt;=250, 20, IF(F53&lt;=500, 30, IF(F53&lt;=1000, 35, F53*0.035)))),
0)))</f>
        <v>0</v>
      </c>
      <c r="H53" s="163">
        <f>IF(I53="مخالفات",50,Basic34567891011121314151617181920[[#This Row],[قيمة الرسوم / العموله]]+Basic34567891011121314151617181920[[#This Row],[قيمة الشحنه]])</f>
        <v>0</v>
      </c>
      <c r="I53" s="90"/>
      <c r="J53" s="142" t="str">
        <f t="shared" si="0"/>
        <v>13.5.2026</v>
      </c>
      <c r="L53" s="153">
        <v>42</v>
      </c>
      <c r="M53" s="92"/>
    </row>
    <row r="54" spans="1:13" ht="21.6" x14ac:dyDescent="0.65">
      <c r="A54" s="195"/>
      <c r="B54" s="140">
        <v>51</v>
      </c>
      <c r="C54" s="2"/>
      <c r="D54" s="1"/>
      <c r="E54" s="3"/>
      <c r="F54" s="1"/>
      <c r="G54" s="141">
        <f>IF(Basic34567891011121314151617181920[[#This Row],[نوع الخدمة]]="مخالفات", 50,
IF(Basic34567891011121314151617181920[[#This Row],[نوع الخدمة]]="كاش ان",
    IF(F54&lt;=100, 18, IF(F54&lt;=250, 23, IF(F54&lt;=500, 35, IF(F54&lt;=1000, 40, F54*0.04)))),
IF(Basic34567891011121314151617181920[[#This Row],[نوع الخدمة]]="كاش اوت",
    IF(F54&lt;=100, 15, IF(F54&lt;=250, 20, IF(F54&lt;=500, 30, IF(F54&lt;=1000, 35, F54*0.035)))),
0)))</f>
        <v>0</v>
      </c>
      <c r="H54" s="163">
        <f>IF(I54="مخالفات",50,Basic34567891011121314151617181920[[#This Row],[قيمة الرسوم / العموله]]+Basic34567891011121314151617181920[[#This Row],[قيمة الشحنه]])</f>
        <v>0</v>
      </c>
      <c r="I54" s="90"/>
      <c r="J54" s="142" t="str">
        <f t="shared" si="0"/>
        <v>13.5.2026</v>
      </c>
      <c r="L54" s="153">
        <v>43</v>
      </c>
      <c r="M54" s="92"/>
    </row>
    <row r="55" spans="1:13" ht="21.6" x14ac:dyDescent="0.65">
      <c r="A55" s="195"/>
      <c r="B55" s="140">
        <v>52</v>
      </c>
      <c r="C55" s="2"/>
      <c r="D55" s="1"/>
      <c r="E55" s="3"/>
      <c r="F55" s="1"/>
      <c r="G55" s="141">
        <f>IF(Basic34567891011121314151617181920[[#This Row],[نوع الخدمة]]="مخالفات", 50,
IF(Basic34567891011121314151617181920[[#This Row],[نوع الخدمة]]="كاش ان",
    IF(F55&lt;=100, 18, IF(F55&lt;=250, 23, IF(F55&lt;=500, 35, IF(F55&lt;=1000, 40, F55*0.04)))),
IF(Basic34567891011121314151617181920[[#This Row],[نوع الخدمة]]="كاش اوت",
    IF(F55&lt;=100, 15, IF(F55&lt;=250, 20, IF(F55&lt;=500, 30, IF(F55&lt;=1000, 35, F55*0.035)))),
0)))</f>
        <v>0</v>
      </c>
      <c r="H55" s="163">
        <f>IF(I55="مخالفات",50,Basic34567891011121314151617181920[[#This Row],[قيمة الرسوم / العموله]]+Basic34567891011121314151617181920[[#This Row],[قيمة الشحنه]])</f>
        <v>0</v>
      </c>
      <c r="I55" s="90"/>
      <c r="J55" s="142" t="str">
        <f t="shared" si="0"/>
        <v>13.5.2026</v>
      </c>
      <c r="L55" s="153">
        <v>44</v>
      </c>
      <c r="M55" s="92"/>
    </row>
    <row r="56" spans="1:13" ht="21.6" x14ac:dyDescent="0.65">
      <c r="A56" s="195"/>
      <c r="B56" s="140">
        <v>53</v>
      </c>
      <c r="C56" s="2"/>
      <c r="D56" s="1"/>
      <c r="E56" s="3"/>
      <c r="F56" s="1"/>
      <c r="G56" s="141">
        <f>IF(Basic34567891011121314151617181920[[#This Row],[نوع الخدمة]]="مخالفات", 50,
IF(Basic34567891011121314151617181920[[#This Row],[نوع الخدمة]]="كاش ان",
    IF(F56&lt;=100, 18, IF(F56&lt;=250, 23, IF(F56&lt;=500, 35, IF(F56&lt;=1000, 40, F56*0.04)))),
IF(Basic34567891011121314151617181920[[#This Row],[نوع الخدمة]]="كاش اوت",
    IF(F56&lt;=100, 15, IF(F56&lt;=250, 20, IF(F56&lt;=500, 30, IF(F56&lt;=1000, 35, F56*0.035)))),
0)))</f>
        <v>0</v>
      </c>
      <c r="H56" s="163">
        <f>IF(I56="مخالفات",50,Basic34567891011121314151617181920[[#This Row],[قيمة الرسوم / العموله]]+Basic34567891011121314151617181920[[#This Row],[قيمة الشحنه]])</f>
        <v>0</v>
      </c>
      <c r="I56" s="90"/>
      <c r="J56" s="142" t="str">
        <f t="shared" si="0"/>
        <v>13.5.2026</v>
      </c>
      <c r="L56" s="153">
        <v>45</v>
      </c>
      <c r="M56" s="92"/>
    </row>
    <row r="57" spans="1:13" ht="21.6" x14ac:dyDescent="0.65">
      <c r="A57" s="195"/>
      <c r="B57" s="144">
        <v>54</v>
      </c>
      <c r="C57" s="2"/>
      <c r="D57" s="1"/>
      <c r="E57" s="3"/>
      <c r="F57" s="1"/>
      <c r="G57" s="141">
        <f>IF(Basic34567891011121314151617181920[[#This Row],[نوع الخدمة]]="مخالفات", 50,
IF(Basic34567891011121314151617181920[[#This Row],[نوع الخدمة]]="كاش ان",
    IF(F57&lt;=100, 18, IF(F57&lt;=250, 23, IF(F57&lt;=500, 35, IF(F57&lt;=1000, 40, F57*0.04)))),
IF(Basic34567891011121314151617181920[[#This Row],[نوع الخدمة]]="كاش اوت",
    IF(F57&lt;=100, 15, IF(F57&lt;=250, 20, IF(F57&lt;=500, 30, IF(F57&lt;=1000, 35, F57*0.035)))),
0)))</f>
        <v>0</v>
      </c>
      <c r="H57" s="163">
        <f>IF(I57="مخالفات",50,Basic34567891011121314151617181920[[#This Row],[قيمة الرسوم / العموله]]+Basic34567891011121314151617181920[[#This Row],[قيمة الشحنه]])</f>
        <v>0</v>
      </c>
      <c r="I57" s="90"/>
      <c r="J57" s="142" t="str">
        <f t="shared" si="0"/>
        <v>13.5.2026</v>
      </c>
      <c r="L57" s="153">
        <v>46</v>
      </c>
      <c r="M57" s="92"/>
    </row>
    <row r="58" spans="1:13" ht="21.6" x14ac:dyDescent="0.65">
      <c r="A58" s="195"/>
      <c r="B58" s="140">
        <v>55</v>
      </c>
      <c r="C58" s="2"/>
      <c r="D58" s="1"/>
      <c r="E58" s="3"/>
      <c r="F58" s="1"/>
      <c r="G58" s="141">
        <f>IF(Basic34567891011121314151617181920[[#This Row],[نوع الخدمة]]="مخالفات", 50,
IF(Basic34567891011121314151617181920[[#This Row],[نوع الخدمة]]="كاش ان",
    IF(F58&lt;=100, 18, IF(F58&lt;=250, 23, IF(F58&lt;=500, 35, IF(F58&lt;=1000, 40, F58*0.04)))),
IF(Basic34567891011121314151617181920[[#This Row],[نوع الخدمة]]="كاش اوت",
    IF(F58&lt;=100, 15, IF(F58&lt;=250, 20, IF(F58&lt;=500, 30, IF(F58&lt;=1000, 35, F58*0.035)))),
0)))</f>
        <v>0</v>
      </c>
      <c r="H58" s="163">
        <f>IF(I58="مخالفات",50,Basic34567891011121314151617181920[[#This Row],[قيمة الرسوم / العموله]]+Basic34567891011121314151617181920[[#This Row],[قيمة الشحنه]])</f>
        <v>0</v>
      </c>
      <c r="I58" s="90"/>
      <c r="J58" s="142" t="str">
        <f t="shared" si="0"/>
        <v>13.5.2026</v>
      </c>
      <c r="L58" s="153">
        <v>47</v>
      </c>
      <c r="M58" s="92"/>
    </row>
    <row r="59" spans="1:13" ht="21.6" x14ac:dyDescent="0.65">
      <c r="A59" s="195"/>
      <c r="B59" s="140">
        <v>56</v>
      </c>
      <c r="C59" s="2"/>
      <c r="D59" s="1"/>
      <c r="E59" s="3"/>
      <c r="F59" s="1"/>
      <c r="G59" s="141">
        <f>IF(Basic34567891011121314151617181920[[#This Row],[نوع الخدمة]]="مخالفات", 50,
IF(Basic34567891011121314151617181920[[#This Row],[نوع الخدمة]]="كاش ان",
    IF(F59&lt;=100, 18, IF(F59&lt;=250, 23, IF(F59&lt;=500, 35, IF(F59&lt;=1000, 40, F59*0.04)))),
IF(Basic34567891011121314151617181920[[#This Row],[نوع الخدمة]]="كاش اوت",
    IF(F59&lt;=100, 15, IF(F59&lt;=250, 20, IF(F59&lt;=500, 30, IF(F59&lt;=1000, 35, F59*0.035)))),
0)))</f>
        <v>0</v>
      </c>
      <c r="H59" s="163">
        <f>IF(I59="مخالفات",50,Basic34567891011121314151617181920[[#This Row],[قيمة الرسوم / العموله]]+Basic34567891011121314151617181920[[#This Row],[قيمة الشحنه]])</f>
        <v>0</v>
      </c>
      <c r="I59" s="90"/>
      <c r="J59" s="142" t="str">
        <f t="shared" si="0"/>
        <v>13.5.2026</v>
      </c>
      <c r="L59" s="153">
        <v>48</v>
      </c>
      <c r="M59" s="92"/>
    </row>
    <row r="60" spans="1:13" ht="21.6" x14ac:dyDescent="0.65">
      <c r="A60" s="195"/>
      <c r="B60" s="140">
        <v>57</v>
      </c>
      <c r="C60" s="2"/>
      <c r="D60" s="1"/>
      <c r="E60" s="3"/>
      <c r="F60" s="1"/>
      <c r="G60" s="141">
        <f>IF(Basic34567891011121314151617181920[[#This Row],[نوع الخدمة]]="مخالفات", 50,
IF(Basic34567891011121314151617181920[[#This Row],[نوع الخدمة]]="كاش ان",
    IF(F60&lt;=100, 18, IF(F60&lt;=250, 23, IF(F60&lt;=500, 35, IF(F60&lt;=1000, 40, F60*0.04)))),
IF(Basic34567891011121314151617181920[[#This Row],[نوع الخدمة]]="كاش اوت",
    IF(F60&lt;=100, 15, IF(F60&lt;=250, 20, IF(F60&lt;=500, 30, IF(F60&lt;=1000, 35, F60*0.035)))),
0)))</f>
        <v>0</v>
      </c>
      <c r="H60" s="163">
        <f>IF(I60="مخالفات",50,Basic34567891011121314151617181920[[#This Row],[قيمة الرسوم / العموله]]+Basic34567891011121314151617181920[[#This Row],[قيمة الشحنه]])</f>
        <v>0</v>
      </c>
      <c r="I60" s="90"/>
      <c r="J60" s="142" t="str">
        <f t="shared" si="0"/>
        <v>13.5.2026</v>
      </c>
      <c r="L60" s="153">
        <v>49</v>
      </c>
      <c r="M60" s="92"/>
    </row>
    <row r="61" spans="1:13" ht="21.6" x14ac:dyDescent="0.65">
      <c r="A61" s="195"/>
      <c r="B61" s="144">
        <v>58</v>
      </c>
      <c r="C61" s="2"/>
      <c r="D61" s="1"/>
      <c r="E61" s="3"/>
      <c r="F61" s="1"/>
      <c r="G61" s="141">
        <f>IF(Basic34567891011121314151617181920[[#This Row],[نوع الخدمة]]="مخالفات", 50,
IF(Basic34567891011121314151617181920[[#This Row],[نوع الخدمة]]="كاش ان",
    IF(F61&lt;=100, 18, IF(F61&lt;=250, 23, IF(F61&lt;=500, 35, IF(F61&lt;=1000, 40, F61*0.04)))),
IF(Basic34567891011121314151617181920[[#This Row],[نوع الخدمة]]="كاش اوت",
    IF(F61&lt;=100, 15, IF(F61&lt;=250, 20, IF(F61&lt;=500, 30, IF(F61&lt;=1000, 35, F61*0.035)))),
0)))</f>
        <v>0</v>
      </c>
      <c r="H61" s="163">
        <f>IF(I61="مخالفات",50,Basic34567891011121314151617181920[[#This Row],[قيمة الرسوم / العموله]]+Basic34567891011121314151617181920[[#This Row],[قيمة الشحنه]])</f>
        <v>0</v>
      </c>
      <c r="I61" s="90"/>
      <c r="J61" s="142" t="str">
        <f t="shared" si="0"/>
        <v>13.5.2026</v>
      </c>
      <c r="L61" s="153">
        <v>50</v>
      </c>
      <c r="M61" s="92"/>
    </row>
    <row r="62" spans="1:13" ht="21.6" x14ac:dyDescent="0.65">
      <c r="A62" s="195"/>
      <c r="B62" s="140">
        <v>59</v>
      </c>
      <c r="C62" s="2"/>
      <c r="D62" s="1"/>
      <c r="E62" s="3"/>
      <c r="F62" s="1"/>
      <c r="G62" s="141">
        <f>IF(Basic34567891011121314151617181920[[#This Row],[نوع الخدمة]]="مخالفات", 50,
IF(Basic34567891011121314151617181920[[#This Row],[نوع الخدمة]]="كاش ان",
    IF(F62&lt;=100, 18, IF(F62&lt;=250, 23, IF(F62&lt;=500, 35, IF(F62&lt;=1000, 40, F62*0.04)))),
IF(Basic34567891011121314151617181920[[#This Row],[نوع الخدمة]]="كاش اوت",
    IF(F62&lt;=100, 15, IF(F62&lt;=250, 20, IF(F62&lt;=500, 30, IF(F62&lt;=1000, 35, F62*0.035)))),
0)))</f>
        <v>0</v>
      </c>
      <c r="H62" s="163">
        <f>IF(I62="مخالفات",50,Basic34567891011121314151617181920[[#This Row],[قيمة الرسوم / العموله]]+Basic34567891011121314151617181920[[#This Row],[قيمة الشحنه]])</f>
        <v>0</v>
      </c>
      <c r="I62" s="90"/>
      <c r="J62" s="142" t="str">
        <f t="shared" si="0"/>
        <v>13.5.2026</v>
      </c>
      <c r="L62" s="153">
        <v>51</v>
      </c>
      <c r="M62" s="92"/>
    </row>
    <row r="63" spans="1:13" ht="21.6" x14ac:dyDescent="0.65">
      <c r="A63" s="195"/>
      <c r="B63" s="140">
        <v>60</v>
      </c>
      <c r="C63" s="2"/>
      <c r="D63" s="1"/>
      <c r="E63" s="3"/>
      <c r="F63" s="1"/>
      <c r="G63" s="141">
        <f>IF(Basic34567891011121314151617181920[[#This Row],[نوع الخدمة]]="مخالفات", 50,
IF(Basic34567891011121314151617181920[[#This Row],[نوع الخدمة]]="كاش ان",
    IF(F63&lt;=100, 18, IF(F63&lt;=250, 23, IF(F63&lt;=500, 35, IF(F63&lt;=1000, 40, F63*0.04)))),
IF(Basic34567891011121314151617181920[[#This Row],[نوع الخدمة]]="كاش اوت",
    IF(F63&lt;=100, 15, IF(F63&lt;=250, 20, IF(F63&lt;=500, 30, IF(F63&lt;=1000, 35, F63*0.035)))),
0)))</f>
        <v>0</v>
      </c>
      <c r="H63" s="163">
        <f>IF(I63="مخالفات",50,Basic34567891011121314151617181920[[#This Row],[قيمة الرسوم / العموله]]+Basic34567891011121314151617181920[[#This Row],[قيمة الشحنه]])</f>
        <v>0</v>
      </c>
      <c r="I63" s="90"/>
      <c r="J63" s="142" t="str">
        <f t="shared" si="0"/>
        <v>13.5.2026</v>
      </c>
      <c r="L63" s="153">
        <v>52</v>
      </c>
      <c r="M63" s="92"/>
    </row>
    <row r="64" spans="1:13" ht="21.6" x14ac:dyDescent="0.65">
      <c r="A64" s="195"/>
      <c r="B64" s="140">
        <v>61</v>
      </c>
      <c r="C64" s="2"/>
      <c r="D64" s="1"/>
      <c r="E64" s="3"/>
      <c r="F64" s="1"/>
      <c r="G64" s="141">
        <f>IF(Basic34567891011121314151617181920[[#This Row],[نوع الخدمة]]="مخالفات", 50,
IF(Basic34567891011121314151617181920[[#This Row],[نوع الخدمة]]="كاش ان",
    IF(F64&lt;=100, 18, IF(F64&lt;=250, 23, IF(F64&lt;=500, 35, IF(F64&lt;=1000, 40, F64*0.04)))),
IF(Basic34567891011121314151617181920[[#This Row],[نوع الخدمة]]="كاش اوت",
    IF(F64&lt;=100, 15, IF(F64&lt;=250, 20, IF(F64&lt;=500, 30, IF(F64&lt;=1000, 35, F64*0.035)))),
0)))</f>
        <v>0</v>
      </c>
      <c r="H64" s="163">
        <f>IF(I64="مخالفات",50,Basic34567891011121314151617181920[[#This Row],[قيمة الرسوم / العموله]]+Basic34567891011121314151617181920[[#This Row],[قيمة الشحنه]])</f>
        <v>0</v>
      </c>
      <c r="I64" s="90"/>
      <c r="J64" s="142" t="str">
        <f t="shared" si="0"/>
        <v>13.5.2026</v>
      </c>
      <c r="L64" s="153">
        <v>53</v>
      </c>
      <c r="M64" s="92"/>
    </row>
    <row r="65" spans="1:13" ht="21.6" x14ac:dyDescent="0.65">
      <c r="A65" s="195"/>
      <c r="B65" s="144">
        <v>62</v>
      </c>
      <c r="C65" s="2"/>
      <c r="D65" s="1"/>
      <c r="E65" s="3"/>
      <c r="F65" s="1"/>
      <c r="G65" s="141">
        <f>IF(Basic34567891011121314151617181920[[#This Row],[نوع الخدمة]]="مخالفات", 50,
IF(Basic34567891011121314151617181920[[#This Row],[نوع الخدمة]]="كاش ان",
    IF(F65&lt;=100, 18, IF(F65&lt;=250, 23, IF(F65&lt;=500, 35, IF(F65&lt;=1000, 40, F65*0.04)))),
IF(Basic34567891011121314151617181920[[#This Row],[نوع الخدمة]]="كاش اوت",
    IF(F65&lt;=100, 15, IF(F65&lt;=250, 20, IF(F65&lt;=500, 30, IF(F65&lt;=1000, 35, F65*0.035)))),
0)))</f>
        <v>0</v>
      </c>
      <c r="H65" s="163">
        <f>IF(I65="مخالفات",50,Basic34567891011121314151617181920[[#This Row],[قيمة الرسوم / العموله]]+Basic34567891011121314151617181920[[#This Row],[قيمة الشحنه]])</f>
        <v>0</v>
      </c>
      <c r="I65" s="90"/>
      <c r="J65" s="142" t="str">
        <f t="shared" si="0"/>
        <v>13.5.2026</v>
      </c>
      <c r="L65" s="153">
        <v>54</v>
      </c>
      <c r="M65" s="92"/>
    </row>
    <row r="66" spans="1:13" ht="21.6" x14ac:dyDescent="0.65">
      <c r="A66" s="195"/>
      <c r="B66" s="140">
        <v>63</v>
      </c>
      <c r="C66" s="2"/>
      <c r="D66" s="1"/>
      <c r="E66" s="3"/>
      <c r="F66" s="1"/>
      <c r="G66" s="141">
        <f>IF(Basic34567891011121314151617181920[[#This Row],[نوع الخدمة]]="مخالفات", 50,
IF(Basic34567891011121314151617181920[[#This Row],[نوع الخدمة]]="كاش ان",
    IF(F66&lt;=100, 18, IF(F66&lt;=250, 23, IF(F66&lt;=500, 35, IF(F66&lt;=1000, 40, F66*0.04)))),
IF(Basic34567891011121314151617181920[[#This Row],[نوع الخدمة]]="كاش اوت",
    IF(F66&lt;=100, 15, IF(F66&lt;=250, 20, IF(F66&lt;=500, 30, IF(F66&lt;=1000, 35, F66*0.035)))),
0)))</f>
        <v>0</v>
      </c>
      <c r="H66" s="163">
        <f>IF(I66="مخالفات",50,Basic34567891011121314151617181920[[#This Row],[قيمة الرسوم / العموله]]+Basic34567891011121314151617181920[[#This Row],[قيمة الشحنه]])</f>
        <v>0</v>
      </c>
      <c r="I66" s="90"/>
      <c r="J66" s="142" t="str">
        <f t="shared" si="0"/>
        <v>13.5.2026</v>
      </c>
      <c r="L66" s="153">
        <v>55</v>
      </c>
      <c r="M66" s="92"/>
    </row>
    <row r="67" spans="1:13" ht="21.6" x14ac:dyDescent="0.65">
      <c r="A67" s="195"/>
      <c r="B67" s="140">
        <v>64</v>
      </c>
      <c r="C67" s="2"/>
      <c r="D67" s="1"/>
      <c r="E67" s="3"/>
      <c r="F67" s="1"/>
      <c r="G67" s="141">
        <f>IF(Basic34567891011121314151617181920[[#This Row],[نوع الخدمة]]="مخالفات", 50,
IF(Basic34567891011121314151617181920[[#This Row],[نوع الخدمة]]="كاش ان",
    IF(F67&lt;=100, 18, IF(F67&lt;=250, 23, IF(F67&lt;=500, 35, IF(F67&lt;=1000, 40, F67*0.04)))),
IF(Basic34567891011121314151617181920[[#This Row],[نوع الخدمة]]="كاش اوت",
    IF(F67&lt;=100, 15, IF(F67&lt;=250, 20, IF(F67&lt;=500, 30, IF(F67&lt;=1000, 35, F67*0.035)))),
0)))</f>
        <v>0</v>
      </c>
      <c r="H67" s="163">
        <f>IF(I67="مخالفات",50,Basic34567891011121314151617181920[[#This Row],[قيمة الرسوم / العموله]]+Basic34567891011121314151617181920[[#This Row],[قيمة الشحنه]])</f>
        <v>0</v>
      </c>
      <c r="I67" s="90"/>
      <c r="J67" s="142" t="str">
        <f t="shared" si="0"/>
        <v>13.5.2026</v>
      </c>
      <c r="L67" s="153">
        <v>56</v>
      </c>
      <c r="M67" s="92"/>
    </row>
    <row r="68" spans="1:13" ht="21.6" x14ac:dyDescent="0.65">
      <c r="A68" s="195"/>
      <c r="B68" s="140">
        <v>65</v>
      </c>
      <c r="C68" s="2"/>
      <c r="D68" s="1"/>
      <c r="E68" s="3"/>
      <c r="F68" s="1"/>
      <c r="G68" s="141">
        <f>IF(Basic34567891011121314151617181920[[#This Row],[نوع الخدمة]]="مخالفات", 50,
IF(Basic34567891011121314151617181920[[#This Row],[نوع الخدمة]]="كاش ان",
    IF(F68&lt;=100, 18, IF(F68&lt;=250, 23, IF(F68&lt;=500, 35, IF(F68&lt;=1000, 40, F68*0.04)))),
IF(Basic34567891011121314151617181920[[#This Row],[نوع الخدمة]]="كاش اوت",
    IF(F68&lt;=100, 15, IF(F68&lt;=250, 20, IF(F68&lt;=500, 30, IF(F68&lt;=1000, 35, F68*0.035)))),
0)))</f>
        <v>0</v>
      </c>
      <c r="H68" s="163">
        <f>IF(I68="مخالفات",50,Basic34567891011121314151617181920[[#This Row],[قيمة الرسوم / العموله]]+Basic34567891011121314151617181920[[#This Row],[قيمة الشحنه]])</f>
        <v>0</v>
      </c>
      <c r="I68" s="90"/>
      <c r="J68" s="142" t="str">
        <f t="shared" ref="J68:J131" si="1">M$3</f>
        <v>13.5.2026</v>
      </c>
      <c r="L68" s="153">
        <v>57</v>
      </c>
      <c r="M68" s="92"/>
    </row>
    <row r="69" spans="1:13" ht="21.6" x14ac:dyDescent="0.65">
      <c r="A69" s="195"/>
      <c r="B69" s="144">
        <v>66</v>
      </c>
      <c r="C69" s="2"/>
      <c r="D69" s="1"/>
      <c r="E69" s="3"/>
      <c r="F69" s="1"/>
      <c r="G69" s="141">
        <f>IF(Basic34567891011121314151617181920[[#This Row],[نوع الخدمة]]="مخالفات", 50,
IF(Basic34567891011121314151617181920[[#This Row],[نوع الخدمة]]="كاش ان",
    IF(F69&lt;=100, 18, IF(F69&lt;=250, 23, IF(F69&lt;=500, 35, IF(F69&lt;=1000, 40, F69*0.04)))),
IF(Basic34567891011121314151617181920[[#This Row],[نوع الخدمة]]="كاش اوت",
    IF(F69&lt;=100, 15, IF(F69&lt;=250, 20, IF(F69&lt;=500, 30, IF(F69&lt;=1000, 35, F69*0.035)))),
0)))</f>
        <v>0</v>
      </c>
      <c r="H69" s="163">
        <f>IF(I69="مخالفات",50,Basic34567891011121314151617181920[[#This Row],[قيمة الرسوم / العموله]]+Basic34567891011121314151617181920[[#This Row],[قيمة الشحنه]])</f>
        <v>0</v>
      </c>
      <c r="I69" s="90"/>
      <c r="J69" s="142" t="str">
        <f t="shared" si="1"/>
        <v>13.5.2026</v>
      </c>
      <c r="L69" s="153">
        <v>58</v>
      </c>
      <c r="M69" s="92"/>
    </row>
    <row r="70" spans="1:13" ht="21.6" x14ac:dyDescent="0.65">
      <c r="A70" s="195"/>
      <c r="B70" s="140">
        <v>67</v>
      </c>
      <c r="C70" s="2"/>
      <c r="D70" s="1"/>
      <c r="E70" s="3"/>
      <c r="F70" s="1"/>
      <c r="G70" s="141">
        <f>IF(Basic34567891011121314151617181920[[#This Row],[نوع الخدمة]]="مخالفات", 50,
IF(Basic34567891011121314151617181920[[#This Row],[نوع الخدمة]]="كاش ان",
    IF(F70&lt;=100, 18, IF(F70&lt;=250, 23, IF(F70&lt;=500, 35, IF(F70&lt;=1000, 40, F70*0.04)))),
IF(Basic34567891011121314151617181920[[#This Row],[نوع الخدمة]]="كاش اوت",
    IF(F70&lt;=100, 15, IF(F70&lt;=250, 20, IF(F70&lt;=500, 30, IF(F70&lt;=1000, 35, F70*0.035)))),
0)))</f>
        <v>0</v>
      </c>
      <c r="H70" s="163">
        <f>IF(I70="مخالفات",50,Basic34567891011121314151617181920[[#This Row],[قيمة الرسوم / العموله]]+Basic34567891011121314151617181920[[#This Row],[قيمة الشحنه]])</f>
        <v>0</v>
      </c>
      <c r="I70" s="90"/>
      <c r="J70" s="142" t="str">
        <f t="shared" si="1"/>
        <v>13.5.2026</v>
      </c>
      <c r="L70" s="153">
        <v>59</v>
      </c>
      <c r="M70" s="92"/>
    </row>
    <row r="71" spans="1:13" ht="21.6" x14ac:dyDescent="0.65">
      <c r="A71" s="195"/>
      <c r="B71" s="140">
        <v>68</v>
      </c>
      <c r="C71" s="2"/>
      <c r="D71" s="1"/>
      <c r="E71" s="3"/>
      <c r="F71" s="1"/>
      <c r="G71" s="141">
        <f>IF(Basic34567891011121314151617181920[[#This Row],[نوع الخدمة]]="مخالفات", 50,
IF(Basic34567891011121314151617181920[[#This Row],[نوع الخدمة]]="كاش ان",
    IF(F71&lt;=100, 18, IF(F71&lt;=250, 23, IF(F71&lt;=500, 35, IF(F71&lt;=1000, 40, F71*0.04)))),
IF(Basic34567891011121314151617181920[[#This Row],[نوع الخدمة]]="كاش اوت",
    IF(F71&lt;=100, 15, IF(F71&lt;=250, 20, IF(F71&lt;=500, 30, IF(F71&lt;=1000, 35, F71*0.035)))),
0)))</f>
        <v>0</v>
      </c>
      <c r="H71" s="163">
        <f>IF(I71="مخالفات",50,Basic34567891011121314151617181920[[#This Row],[قيمة الرسوم / العموله]]+Basic34567891011121314151617181920[[#This Row],[قيمة الشحنه]])</f>
        <v>0</v>
      </c>
      <c r="I71" s="90"/>
      <c r="J71" s="142" t="str">
        <f t="shared" si="1"/>
        <v>13.5.2026</v>
      </c>
      <c r="L71" s="153">
        <v>60</v>
      </c>
      <c r="M71" s="92"/>
    </row>
    <row r="72" spans="1:13" ht="21.6" x14ac:dyDescent="0.65">
      <c r="A72" s="195"/>
      <c r="B72" s="140">
        <v>69</v>
      </c>
      <c r="C72" s="2"/>
      <c r="D72" s="1"/>
      <c r="E72" s="3"/>
      <c r="F72" s="1"/>
      <c r="G72" s="141">
        <f>IF(Basic34567891011121314151617181920[[#This Row],[نوع الخدمة]]="مخالفات", 50,
IF(Basic34567891011121314151617181920[[#This Row],[نوع الخدمة]]="كاش ان",
    IF(F72&lt;=100, 18, IF(F72&lt;=250, 23, IF(F72&lt;=500, 35, IF(F72&lt;=1000, 40, F72*0.04)))),
IF(Basic34567891011121314151617181920[[#This Row],[نوع الخدمة]]="كاش اوت",
    IF(F72&lt;=100, 15, IF(F72&lt;=250, 20, IF(F72&lt;=500, 30, IF(F72&lt;=1000, 35, F72*0.035)))),
0)))</f>
        <v>0</v>
      </c>
      <c r="H72" s="163">
        <f>IF(I72="مخالفات",50,Basic34567891011121314151617181920[[#This Row],[قيمة الرسوم / العموله]]+Basic34567891011121314151617181920[[#This Row],[قيمة الشحنه]])</f>
        <v>0</v>
      </c>
      <c r="I72" s="90"/>
      <c r="J72" s="142" t="str">
        <f t="shared" si="1"/>
        <v>13.5.2026</v>
      </c>
      <c r="L72" s="153">
        <v>61</v>
      </c>
      <c r="M72" s="92"/>
    </row>
    <row r="73" spans="1:13" ht="21.6" x14ac:dyDescent="0.65">
      <c r="A73" s="195"/>
      <c r="B73" s="144">
        <v>70</v>
      </c>
      <c r="C73" s="2"/>
      <c r="D73" s="1"/>
      <c r="E73" s="3"/>
      <c r="F73" s="1"/>
      <c r="G73" s="141">
        <f>IF(Basic34567891011121314151617181920[[#This Row],[نوع الخدمة]]="مخالفات", 50,
IF(Basic34567891011121314151617181920[[#This Row],[نوع الخدمة]]="كاش ان",
    IF(F73&lt;=100, 18, IF(F73&lt;=250, 23, IF(F73&lt;=500, 35, IF(F73&lt;=1000, 40, F73*0.04)))),
IF(Basic34567891011121314151617181920[[#This Row],[نوع الخدمة]]="كاش اوت",
    IF(F73&lt;=100, 15, IF(F73&lt;=250, 20, IF(F73&lt;=500, 30, IF(F73&lt;=1000, 35, F73*0.035)))),
0)))</f>
        <v>0</v>
      </c>
      <c r="H73" s="163">
        <f>IF(I73="مخالفات",50,Basic34567891011121314151617181920[[#This Row],[قيمة الرسوم / العموله]]+Basic34567891011121314151617181920[[#This Row],[قيمة الشحنه]])</f>
        <v>0</v>
      </c>
      <c r="I73" s="90"/>
      <c r="J73" s="142" t="str">
        <f t="shared" si="1"/>
        <v>13.5.2026</v>
      </c>
      <c r="L73" s="153">
        <v>62</v>
      </c>
      <c r="M73" s="92"/>
    </row>
    <row r="74" spans="1:13" ht="21.6" x14ac:dyDescent="0.65">
      <c r="A74" s="195"/>
      <c r="B74" s="140">
        <v>71</v>
      </c>
      <c r="C74" s="2"/>
      <c r="D74" s="1"/>
      <c r="E74" s="3"/>
      <c r="F74" s="1"/>
      <c r="G74" s="141">
        <f>IF(Basic34567891011121314151617181920[[#This Row],[نوع الخدمة]]="مخالفات", 50,
IF(Basic34567891011121314151617181920[[#This Row],[نوع الخدمة]]="كاش ان",
    IF(F74&lt;=100, 18, IF(F74&lt;=250, 23, IF(F74&lt;=500, 35, IF(F74&lt;=1000, 40, F74*0.04)))),
IF(Basic34567891011121314151617181920[[#This Row],[نوع الخدمة]]="كاش اوت",
    IF(F74&lt;=100, 15, IF(F74&lt;=250, 20, IF(F74&lt;=500, 30, IF(F74&lt;=1000, 35, F74*0.035)))),
0)))</f>
        <v>0</v>
      </c>
      <c r="H74" s="163">
        <f>IF(I74="مخالفات",50,Basic34567891011121314151617181920[[#This Row],[قيمة الرسوم / العموله]]+Basic34567891011121314151617181920[[#This Row],[قيمة الشحنه]])</f>
        <v>0</v>
      </c>
      <c r="I74" s="90"/>
      <c r="J74" s="142" t="str">
        <f t="shared" si="1"/>
        <v>13.5.2026</v>
      </c>
      <c r="L74" s="153">
        <v>63</v>
      </c>
      <c r="M74" s="92"/>
    </row>
    <row r="75" spans="1:13" ht="21.6" x14ac:dyDescent="0.65">
      <c r="A75" s="195"/>
      <c r="B75" s="140">
        <v>72</v>
      </c>
      <c r="C75" s="2"/>
      <c r="D75" s="1"/>
      <c r="E75" s="3"/>
      <c r="F75" s="1"/>
      <c r="G75" s="141">
        <f>IF(Basic34567891011121314151617181920[[#This Row],[نوع الخدمة]]="مخالفات", 50,
IF(Basic34567891011121314151617181920[[#This Row],[نوع الخدمة]]="كاش ان",
    IF(F75&lt;=100, 18, IF(F75&lt;=250, 23, IF(F75&lt;=500, 35, IF(F75&lt;=1000, 40, F75*0.04)))),
IF(Basic34567891011121314151617181920[[#This Row],[نوع الخدمة]]="كاش اوت",
    IF(F75&lt;=100, 15, IF(F75&lt;=250, 20, IF(F75&lt;=500, 30, IF(F75&lt;=1000, 35, F75*0.035)))),
0)))</f>
        <v>0</v>
      </c>
      <c r="H75" s="163">
        <f>IF(I75="مخالفات",50,Basic34567891011121314151617181920[[#This Row],[قيمة الرسوم / العموله]]+Basic34567891011121314151617181920[[#This Row],[قيمة الشحنه]])</f>
        <v>0</v>
      </c>
      <c r="I75" s="90"/>
      <c r="J75" s="142" t="str">
        <f t="shared" si="1"/>
        <v>13.5.2026</v>
      </c>
      <c r="L75" s="153">
        <v>64</v>
      </c>
      <c r="M75" s="92"/>
    </row>
    <row r="76" spans="1:13" ht="21.6" x14ac:dyDescent="0.65">
      <c r="A76" s="195"/>
      <c r="B76" s="140">
        <v>73</v>
      </c>
      <c r="C76" s="2"/>
      <c r="D76" s="1"/>
      <c r="E76" s="3"/>
      <c r="F76" s="1"/>
      <c r="G76" s="141">
        <f>IF(Basic34567891011121314151617181920[[#This Row],[نوع الخدمة]]="مخالفات", 50,
IF(Basic34567891011121314151617181920[[#This Row],[نوع الخدمة]]="كاش ان",
    IF(F76&lt;=100, 18, IF(F76&lt;=250, 23, IF(F76&lt;=500, 35, IF(F76&lt;=1000, 40, F76*0.04)))),
IF(Basic34567891011121314151617181920[[#This Row],[نوع الخدمة]]="كاش اوت",
    IF(F76&lt;=100, 15, IF(F76&lt;=250, 20, IF(F76&lt;=500, 30, IF(F76&lt;=1000, 35, F76*0.035)))),
0)))</f>
        <v>0</v>
      </c>
      <c r="H76" s="163">
        <f>IF(I76="مخالفات",50,Basic34567891011121314151617181920[[#This Row],[قيمة الرسوم / العموله]]+Basic34567891011121314151617181920[[#This Row],[قيمة الشحنه]])</f>
        <v>0</v>
      </c>
      <c r="I76" s="90"/>
      <c r="J76" s="142" t="str">
        <f t="shared" si="1"/>
        <v>13.5.2026</v>
      </c>
      <c r="L76" s="153">
        <v>65</v>
      </c>
      <c r="M76" s="92"/>
    </row>
    <row r="77" spans="1:13" ht="21.6" x14ac:dyDescent="0.65">
      <c r="A77" s="195"/>
      <c r="B77" s="144">
        <v>74</v>
      </c>
      <c r="C77" s="2"/>
      <c r="D77" s="1"/>
      <c r="E77" s="3"/>
      <c r="F77" s="1"/>
      <c r="G77" s="141">
        <f>IF(Basic34567891011121314151617181920[[#This Row],[نوع الخدمة]]="مخالفات", 50,
IF(Basic34567891011121314151617181920[[#This Row],[نوع الخدمة]]="كاش ان",
    IF(F77&lt;=100, 18, IF(F77&lt;=250, 23, IF(F77&lt;=500, 35, IF(F77&lt;=1000, 40, F77*0.04)))),
IF(Basic34567891011121314151617181920[[#This Row],[نوع الخدمة]]="كاش اوت",
    IF(F77&lt;=100, 15, IF(F77&lt;=250, 20, IF(F77&lt;=500, 30, IF(F77&lt;=1000, 35, F77*0.035)))),
0)))</f>
        <v>0</v>
      </c>
      <c r="H77" s="163">
        <f>IF(I77="مخالفات",50,Basic34567891011121314151617181920[[#This Row],[قيمة الرسوم / العموله]]+Basic34567891011121314151617181920[[#This Row],[قيمة الشحنه]])</f>
        <v>0</v>
      </c>
      <c r="I77" s="90"/>
      <c r="J77" s="142" t="str">
        <f t="shared" si="1"/>
        <v>13.5.2026</v>
      </c>
      <c r="L77" s="153">
        <v>66</v>
      </c>
      <c r="M77" s="92"/>
    </row>
    <row r="78" spans="1:13" ht="21.6" x14ac:dyDescent="0.65">
      <c r="A78" s="195"/>
      <c r="B78" s="140">
        <v>75</v>
      </c>
      <c r="C78" s="2"/>
      <c r="D78" s="1"/>
      <c r="E78" s="3"/>
      <c r="F78" s="1"/>
      <c r="G78" s="141">
        <f>IF(Basic34567891011121314151617181920[[#This Row],[نوع الخدمة]]="مخالفات", 50,
IF(Basic34567891011121314151617181920[[#This Row],[نوع الخدمة]]="كاش ان",
    IF(F78&lt;=100, 18, IF(F78&lt;=250, 23, IF(F78&lt;=500, 35, IF(F78&lt;=1000, 40, F78*0.04)))),
IF(Basic34567891011121314151617181920[[#This Row],[نوع الخدمة]]="كاش اوت",
    IF(F78&lt;=100, 15, IF(F78&lt;=250, 20, IF(F78&lt;=500, 30, IF(F78&lt;=1000, 35, F78*0.035)))),
0)))</f>
        <v>0</v>
      </c>
      <c r="H78" s="163">
        <f>IF(I78="مخالفات",50,Basic34567891011121314151617181920[[#This Row],[قيمة الرسوم / العموله]]+Basic34567891011121314151617181920[[#This Row],[قيمة الشحنه]])</f>
        <v>0</v>
      </c>
      <c r="I78" s="90"/>
      <c r="J78" s="142" t="str">
        <f t="shared" si="1"/>
        <v>13.5.2026</v>
      </c>
      <c r="L78" s="153">
        <v>67</v>
      </c>
      <c r="M78" s="92"/>
    </row>
    <row r="79" spans="1:13" ht="21.6" x14ac:dyDescent="0.65">
      <c r="A79" s="195"/>
      <c r="B79" s="140">
        <v>76</v>
      </c>
      <c r="C79" s="2"/>
      <c r="D79" s="1"/>
      <c r="E79" s="3"/>
      <c r="F79" s="1"/>
      <c r="G79" s="141">
        <f>IF(Basic34567891011121314151617181920[[#This Row],[نوع الخدمة]]="مخالفات", 50,
IF(Basic34567891011121314151617181920[[#This Row],[نوع الخدمة]]="كاش ان",
    IF(F79&lt;=100, 18, IF(F79&lt;=250, 23, IF(F79&lt;=500, 35, IF(F79&lt;=1000, 40, F79*0.04)))),
IF(Basic34567891011121314151617181920[[#This Row],[نوع الخدمة]]="كاش اوت",
    IF(F79&lt;=100, 15, IF(F79&lt;=250, 20, IF(F79&lt;=500, 30, IF(F79&lt;=1000, 35, F79*0.035)))),
0)))</f>
        <v>0</v>
      </c>
      <c r="H79" s="163">
        <f>IF(I79="مخالفات",50,Basic34567891011121314151617181920[[#This Row],[قيمة الرسوم / العموله]]+Basic34567891011121314151617181920[[#This Row],[قيمة الشحنه]])</f>
        <v>0</v>
      </c>
      <c r="I79" s="90"/>
      <c r="J79" s="142" t="str">
        <f t="shared" si="1"/>
        <v>13.5.2026</v>
      </c>
      <c r="L79" s="153">
        <v>68</v>
      </c>
      <c r="M79" s="92"/>
    </row>
    <row r="80" spans="1:13" ht="21.6" x14ac:dyDescent="0.65">
      <c r="A80" s="195"/>
      <c r="B80" s="140">
        <v>77</v>
      </c>
      <c r="C80" s="2"/>
      <c r="D80" s="1"/>
      <c r="E80" s="3"/>
      <c r="F80" s="1"/>
      <c r="G80" s="141">
        <f>IF(Basic34567891011121314151617181920[[#This Row],[نوع الخدمة]]="مخالفات", 50,
IF(Basic34567891011121314151617181920[[#This Row],[نوع الخدمة]]="كاش ان",
    IF(F80&lt;=100, 18, IF(F80&lt;=250, 23, IF(F80&lt;=500, 35, IF(F80&lt;=1000, 40, F80*0.04)))),
IF(Basic34567891011121314151617181920[[#This Row],[نوع الخدمة]]="كاش اوت",
    IF(F80&lt;=100, 15, IF(F80&lt;=250, 20, IF(F80&lt;=500, 30, IF(F80&lt;=1000, 35, F80*0.035)))),
0)))</f>
        <v>0</v>
      </c>
      <c r="H80" s="163">
        <f>IF(I80="مخالفات",50,Basic34567891011121314151617181920[[#This Row],[قيمة الرسوم / العموله]]+Basic34567891011121314151617181920[[#This Row],[قيمة الشحنه]])</f>
        <v>0</v>
      </c>
      <c r="I80" s="90"/>
      <c r="J80" s="142" t="str">
        <f t="shared" si="1"/>
        <v>13.5.2026</v>
      </c>
      <c r="L80" s="153">
        <v>69</v>
      </c>
      <c r="M80" s="92"/>
    </row>
    <row r="81" spans="1:13" ht="21.6" x14ac:dyDescent="0.65">
      <c r="A81" s="195"/>
      <c r="B81" s="144">
        <v>78</v>
      </c>
      <c r="C81" s="2"/>
      <c r="D81" s="1"/>
      <c r="E81" s="3"/>
      <c r="F81" s="1"/>
      <c r="G81" s="141">
        <f>IF(Basic34567891011121314151617181920[[#This Row],[نوع الخدمة]]="مخالفات", 50,
IF(Basic34567891011121314151617181920[[#This Row],[نوع الخدمة]]="كاش ان",
    IF(F81&lt;=100, 18, IF(F81&lt;=250, 23, IF(F81&lt;=500, 35, IF(F81&lt;=1000, 40, F81*0.04)))),
IF(Basic34567891011121314151617181920[[#This Row],[نوع الخدمة]]="كاش اوت",
    IF(F81&lt;=100, 15, IF(F81&lt;=250, 20, IF(F81&lt;=500, 30, IF(F81&lt;=1000, 35, F81*0.035)))),
0)))</f>
        <v>0</v>
      </c>
      <c r="H81" s="163">
        <f>IF(I81="مخالفات",50,Basic34567891011121314151617181920[[#This Row],[قيمة الرسوم / العموله]]+Basic34567891011121314151617181920[[#This Row],[قيمة الشحنه]])</f>
        <v>0</v>
      </c>
      <c r="I81" s="90"/>
      <c r="J81" s="142" t="str">
        <f t="shared" si="1"/>
        <v>13.5.2026</v>
      </c>
      <c r="L81" s="153">
        <v>70</v>
      </c>
      <c r="M81" s="92"/>
    </row>
    <row r="82" spans="1:13" ht="21.6" x14ac:dyDescent="0.65">
      <c r="A82" s="195"/>
      <c r="B82" s="140">
        <v>79</v>
      </c>
      <c r="C82" s="2"/>
      <c r="D82" s="1"/>
      <c r="E82" s="3"/>
      <c r="F82" s="1"/>
      <c r="G82" s="141">
        <f>IF(Basic34567891011121314151617181920[[#This Row],[نوع الخدمة]]="مخالفات", 50,
IF(Basic34567891011121314151617181920[[#This Row],[نوع الخدمة]]="كاش ان",
    IF(F82&lt;=100, 18, IF(F82&lt;=250, 23, IF(F82&lt;=500, 35, IF(F82&lt;=1000, 40, F82*0.04)))),
IF(Basic34567891011121314151617181920[[#This Row],[نوع الخدمة]]="كاش اوت",
    IF(F82&lt;=100, 15, IF(F82&lt;=250, 20, IF(F82&lt;=500, 30, IF(F82&lt;=1000, 35, F82*0.035)))),
0)))</f>
        <v>0</v>
      </c>
      <c r="H82" s="163">
        <f>IF(I82="مخالفات",50,Basic34567891011121314151617181920[[#This Row],[قيمة الرسوم / العموله]]+Basic34567891011121314151617181920[[#This Row],[قيمة الشحنه]])</f>
        <v>0</v>
      </c>
      <c r="I82" s="90"/>
      <c r="J82" s="142" t="str">
        <f t="shared" si="1"/>
        <v>13.5.2026</v>
      </c>
      <c r="L82" s="153">
        <v>71</v>
      </c>
      <c r="M82" s="92"/>
    </row>
    <row r="83" spans="1:13" ht="21.6" x14ac:dyDescent="0.65">
      <c r="A83" s="195"/>
      <c r="B83" s="140">
        <v>80</v>
      </c>
      <c r="C83" s="2"/>
      <c r="D83" s="1"/>
      <c r="E83" s="3"/>
      <c r="F83" s="1"/>
      <c r="G83" s="141">
        <f>IF(Basic34567891011121314151617181920[[#This Row],[نوع الخدمة]]="مخالفات", 50,
IF(Basic34567891011121314151617181920[[#This Row],[نوع الخدمة]]="كاش ان",
    IF(F83&lt;=100, 18, IF(F83&lt;=250, 23, IF(F83&lt;=500, 35, IF(F83&lt;=1000, 40, F83*0.04)))),
IF(Basic34567891011121314151617181920[[#This Row],[نوع الخدمة]]="كاش اوت",
    IF(F83&lt;=100, 15, IF(F83&lt;=250, 20, IF(F83&lt;=500, 30, IF(F83&lt;=1000, 35, F83*0.035)))),
0)))</f>
        <v>0</v>
      </c>
      <c r="H83" s="163">
        <f>IF(I83="مخالفات",50,Basic34567891011121314151617181920[[#This Row],[قيمة الرسوم / العموله]]+Basic34567891011121314151617181920[[#This Row],[قيمة الشحنه]])</f>
        <v>0</v>
      </c>
      <c r="I83" s="90"/>
      <c r="J83" s="142" t="str">
        <f t="shared" si="1"/>
        <v>13.5.2026</v>
      </c>
      <c r="L83" s="153">
        <v>72</v>
      </c>
      <c r="M83" s="92"/>
    </row>
    <row r="84" spans="1:13" ht="21.6" x14ac:dyDescent="0.65">
      <c r="A84" s="195"/>
      <c r="B84" s="140">
        <v>81</v>
      </c>
      <c r="C84" s="2"/>
      <c r="D84" s="1"/>
      <c r="E84" s="3"/>
      <c r="F84" s="1"/>
      <c r="G84" s="141">
        <f>IF(Basic34567891011121314151617181920[[#This Row],[نوع الخدمة]]="مخالفات", 50,
IF(Basic34567891011121314151617181920[[#This Row],[نوع الخدمة]]="كاش ان",
    IF(F84&lt;=100, 18, IF(F84&lt;=250, 23, IF(F84&lt;=500, 35, IF(F84&lt;=1000, 40, F84*0.04)))),
IF(Basic34567891011121314151617181920[[#This Row],[نوع الخدمة]]="كاش اوت",
    IF(F84&lt;=100, 15, IF(F84&lt;=250, 20, IF(F84&lt;=500, 30, IF(F84&lt;=1000, 35, F84*0.035)))),
0)))</f>
        <v>0</v>
      </c>
      <c r="H84" s="163">
        <f>IF(I84="مخالفات",50,Basic34567891011121314151617181920[[#This Row],[قيمة الرسوم / العموله]]+Basic34567891011121314151617181920[[#This Row],[قيمة الشحنه]])</f>
        <v>0</v>
      </c>
      <c r="I84" s="90"/>
      <c r="J84" s="142" t="str">
        <f t="shared" si="1"/>
        <v>13.5.2026</v>
      </c>
      <c r="L84" s="153">
        <v>73</v>
      </c>
      <c r="M84" s="92"/>
    </row>
    <row r="85" spans="1:13" ht="21.6" x14ac:dyDescent="0.65">
      <c r="A85" s="195"/>
      <c r="B85" s="144">
        <v>82</v>
      </c>
      <c r="C85" s="2"/>
      <c r="D85" s="1"/>
      <c r="E85" s="3"/>
      <c r="F85" s="1"/>
      <c r="G85" s="141">
        <f>IF(Basic34567891011121314151617181920[[#This Row],[نوع الخدمة]]="مخالفات", 50,
IF(Basic34567891011121314151617181920[[#This Row],[نوع الخدمة]]="كاش ان",
    IF(F85&lt;=100, 18, IF(F85&lt;=250, 23, IF(F85&lt;=500, 35, IF(F85&lt;=1000, 40, F85*0.04)))),
IF(Basic34567891011121314151617181920[[#This Row],[نوع الخدمة]]="كاش اوت",
    IF(F85&lt;=100, 15, IF(F85&lt;=250, 20, IF(F85&lt;=500, 30, IF(F85&lt;=1000, 35, F85*0.035)))),
0)))</f>
        <v>0</v>
      </c>
      <c r="H85" s="163">
        <f>IF(I85="مخالفات",50,Basic34567891011121314151617181920[[#This Row],[قيمة الرسوم / العموله]]+Basic34567891011121314151617181920[[#This Row],[قيمة الشحنه]])</f>
        <v>0</v>
      </c>
      <c r="I85" s="90"/>
      <c r="J85" s="142" t="str">
        <f t="shared" si="1"/>
        <v>13.5.2026</v>
      </c>
      <c r="L85" s="153">
        <v>74</v>
      </c>
      <c r="M85" s="92"/>
    </row>
    <row r="86" spans="1:13" ht="21.6" x14ac:dyDescent="0.65">
      <c r="A86" s="195"/>
      <c r="B86" s="140">
        <v>83</v>
      </c>
      <c r="C86" s="2"/>
      <c r="D86" s="1"/>
      <c r="E86" s="3"/>
      <c r="F86" s="1"/>
      <c r="G86" s="141">
        <f>IF(Basic34567891011121314151617181920[[#This Row],[نوع الخدمة]]="مخالفات", 50,
IF(Basic34567891011121314151617181920[[#This Row],[نوع الخدمة]]="كاش ان",
    IF(F86&lt;=100, 18, IF(F86&lt;=250, 23, IF(F86&lt;=500, 35, IF(F86&lt;=1000, 40, F86*0.04)))),
IF(Basic34567891011121314151617181920[[#This Row],[نوع الخدمة]]="كاش اوت",
    IF(F86&lt;=100, 15, IF(F86&lt;=250, 20, IF(F86&lt;=500, 30, IF(F86&lt;=1000, 35, F86*0.035)))),
0)))</f>
        <v>0</v>
      </c>
      <c r="H86" s="163">
        <f>IF(I86="مخالفات",50,Basic34567891011121314151617181920[[#This Row],[قيمة الرسوم / العموله]]+Basic34567891011121314151617181920[[#This Row],[قيمة الشحنه]])</f>
        <v>0</v>
      </c>
      <c r="I86" s="90"/>
      <c r="J86" s="142" t="str">
        <f t="shared" si="1"/>
        <v>13.5.2026</v>
      </c>
      <c r="L86" s="153">
        <v>75</v>
      </c>
      <c r="M86" s="92"/>
    </row>
    <row r="87" spans="1:13" ht="21.6" x14ac:dyDescent="0.65">
      <c r="A87" s="195"/>
      <c r="B87" s="140">
        <v>84</v>
      </c>
      <c r="C87" s="2"/>
      <c r="D87" s="1"/>
      <c r="E87" s="3"/>
      <c r="F87" s="1"/>
      <c r="G87" s="141">
        <f>IF(Basic34567891011121314151617181920[[#This Row],[نوع الخدمة]]="مخالفات", 50,
IF(Basic34567891011121314151617181920[[#This Row],[نوع الخدمة]]="كاش ان",
    IF(F87&lt;=100, 18, IF(F87&lt;=250, 23, IF(F87&lt;=500, 35, IF(F87&lt;=1000, 40, F87*0.04)))),
IF(Basic34567891011121314151617181920[[#This Row],[نوع الخدمة]]="كاش اوت",
    IF(F87&lt;=100, 15, IF(F87&lt;=250, 20, IF(F87&lt;=500, 30, IF(F87&lt;=1000, 35, F87*0.035)))),
0)))</f>
        <v>0</v>
      </c>
      <c r="H87" s="163">
        <f>IF(I87="مخالفات",50,Basic34567891011121314151617181920[[#This Row],[قيمة الرسوم / العموله]]+Basic34567891011121314151617181920[[#This Row],[قيمة الشحنه]])</f>
        <v>0</v>
      </c>
      <c r="I87" s="90"/>
      <c r="J87" s="142" t="str">
        <f t="shared" si="1"/>
        <v>13.5.2026</v>
      </c>
      <c r="L87" s="153">
        <v>76</v>
      </c>
      <c r="M87" s="92"/>
    </row>
    <row r="88" spans="1:13" ht="21.6" x14ac:dyDescent="0.65">
      <c r="A88" s="195"/>
      <c r="B88" s="140">
        <v>85</v>
      </c>
      <c r="C88" s="2"/>
      <c r="D88" s="1"/>
      <c r="E88" s="3"/>
      <c r="F88" s="1"/>
      <c r="G88" s="141">
        <f>IF(Basic34567891011121314151617181920[[#This Row],[نوع الخدمة]]="مخالفات", 50,
IF(Basic34567891011121314151617181920[[#This Row],[نوع الخدمة]]="كاش ان",
    IF(F88&lt;=100, 18, IF(F88&lt;=250, 23, IF(F88&lt;=500, 35, IF(F88&lt;=1000, 40, F88*0.04)))),
IF(Basic34567891011121314151617181920[[#This Row],[نوع الخدمة]]="كاش اوت",
    IF(F88&lt;=100, 15, IF(F88&lt;=250, 20, IF(F88&lt;=500, 30, IF(F88&lt;=1000, 35, F88*0.035)))),
0)))</f>
        <v>0</v>
      </c>
      <c r="H88" s="163">
        <f>IF(I88="مخالفات",50,Basic34567891011121314151617181920[[#This Row],[قيمة الرسوم / العموله]]+Basic34567891011121314151617181920[[#This Row],[قيمة الشحنه]])</f>
        <v>0</v>
      </c>
      <c r="I88" s="90"/>
      <c r="J88" s="142" t="str">
        <f t="shared" si="1"/>
        <v>13.5.2026</v>
      </c>
      <c r="L88" s="153">
        <v>77</v>
      </c>
      <c r="M88" s="92"/>
    </row>
    <row r="89" spans="1:13" ht="21.6" x14ac:dyDescent="0.65">
      <c r="A89" s="195"/>
      <c r="B89" s="144">
        <v>86</v>
      </c>
      <c r="C89" s="2"/>
      <c r="D89" s="1"/>
      <c r="E89" s="3"/>
      <c r="F89" s="1"/>
      <c r="G89" s="141">
        <f>IF(Basic34567891011121314151617181920[[#This Row],[نوع الخدمة]]="مخالفات", 50,
IF(Basic34567891011121314151617181920[[#This Row],[نوع الخدمة]]="كاش ان",
    IF(F89&lt;=100, 18, IF(F89&lt;=250, 23, IF(F89&lt;=500, 35, IF(F89&lt;=1000, 40, F89*0.04)))),
IF(Basic34567891011121314151617181920[[#This Row],[نوع الخدمة]]="كاش اوت",
    IF(F89&lt;=100, 15, IF(F89&lt;=250, 20, IF(F89&lt;=500, 30, IF(F89&lt;=1000, 35, F89*0.035)))),
0)))</f>
        <v>0</v>
      </c>
      <c r="H89" s="163">
        <f>IF(I89="مخالفات",50,Basic34567891011121314151617181920[[#This Row],[قيمة الرسوم / العموله]]+Basic34567891011121314151617181920[[#This Row],[قيمة الشحنه]])</f>
        <v>0</v>
      </c>
      <c r="I89" s="90"/>
      <c r="J89" s="142" t="str">
        <f t="shared" si="1"/>
        <v>13.5.2026</v>
      </c>
      <c r="L89" s="153">
        <v>78</v>
      </c>
      <c r="M89" s="92"/>
    </row>
    <row r="90" spans="1:13" ht="21.6" x14ac:dyDescent="0.65">
      <c r="A90" s="195"/>
      <c r="B90" s="140">
        <v>87</v>
      </c>
      <c r="C90" s="2"/>
      <c r="D90" s="1"/>
      <c r="E90" s="3"/>
      <c r="F90" s="1"/>
      <c r="G90" s="141">
        <f>IF(Basic34567891011121314151617181920[[#This Row],[نوع الخدمة]]="مخالفات", 50,
IF(Basic34567891011121314151617181920[[#This Row],[نوع الخدمة]]="كاش ان",
    IF(F90&lt;=100, 18, IF(F90&lt;=250, 23, IF(F90&lt;=500, 35, IF(F90&lt;=1000, 40, F90*0.04)))),
IF(Basic34567891011121314151617181920[[#This Row],[نوع الخدمة]]="كاش اوت",
    IF(F90&lt;=100, 15, IF(F90&lt;=250, 20, IF(F90&lt;=500, 30, IF(F90&lt;=1000, 35, F90*0.035)))),
0)))</f>
        <v>0</v>
      </c>
      <c r="H90" s="163">
        <f>IF(I90="مخالفات",50,Basic34567891011121314151617181920[[#This Row],[قيمة الرسوم / العموله]]+Basic34567891011121314151617181920[[#This Row],[قيمة الشحنه]])</f>
        <v>0</v>
      </c>
      <c r="I90" s="90"/>
      <c r="J90" s="142" t="str">
        <f t="shared" si="1"/>
        <v>13.5.2026</v>
      </c>
      <c r="L90" s="153">
        <v>79</v>
      </c>
      <c r="M90" s="92"/>
    </row>
    <row r="91" spans="1:13" ht="21.6" x14ac:dyDescent="0.65">
      <c r="A91" s="195"/>
      <c r="B91" s="140">
        <v>88</v>
      </c>
      <c r="C91" s="2"/>
      <c r="D91" s="1"/>
      <c r="E91" s="3"/>
      <c r="F91" s="1"/>
      <c r="G91" s="141">
        <f>IF(Basic34567891011121314151617181920[[#This Row],[نوع الخدمة]]="مخالفات", 50,
IF(Basic34567891011121314151617181920[[#This Row],[نوع الخدمة]]="كاش ان",
    IF(F91&lt;=100, 18, IF(F91&lt;=250, 23, IF(F91&lt;=500, 35, IF(F91&lt;=1000, 40, F91*0.04)))),
IF(Basic34567891011121314151617181920[[#This Row],[نوع الخدمة]]="كاش اوت",
    IF(F91&lt;=100, 15, IF(F91&lt;=250, 20, IF(F91&lt;=500, 30, IF(F91&lt;=1000, 35, F91*0.035)))),
0)))</f>
        <v>0</v>
      </c>
      <c r="H91" s="163">
        <f>IF(I91="مخالفات",50,Basic34567891011121314151617181920[[#This Row],[قيمة الرسوم / العموله]]+Basic34567891011121314151617181920[[#This Row],[قيمة الشحنه]])</f>
        <v>0</v>
      </c>
      <c r="I91" s="90"/>
      <c r="J91" s="142" t="str">
        <f t="shared" si="1"/>
        <v>13.5.2026</v>
      </c>
      <c r="L91" s="153">
        <v>80</v>
      </c>
      <c r="M91" s="92"/>
    </row>
    <row r="92" spans="1:13" ht="21.6" x14ac:dyDescent="0.65">
      <c r="A92" s="195"/>
      <c r="B92" s="140">
        <v>89</v>
      </c>
      <c r="C92" s="2"/>
      <c r="D92" s="1"/>
      <c r="E92" s="3"/>
      <c r="F92" s="1"/>
      <c r="G92" s="141">
        <f>IF(Basic34567891011121314151617181920[[#This Row],[نوع الخدمة]]="مخالفات", 50,
IF(Basic34567891011121314151617181920[[#This Row],[نوع الخدمة]]="كاش ان",
    IF(F92&lt;=100, 18, IF(F92&lt;=250, 23, IF(F92&lt;=500, 35, IF(F92&lt;=1000, 40, F92*0.04)))),
IF(Basic34567891011121314151617181920[[#This Row],[نوع الخدمة]]="كاش اوت",
    IF(F92&lt;=100, 15, IF(F92&lt;=250, 20, IF(F92&lt;=500, 30, IF(F92&lt;=1000, 35, F92*0.035)))),
0)))</f>
        <v>0</v>
      </c>
      <c r="H92" s="163">
        <f>IF(I92="مخالفات",50,Basic34567891011121314151617181920[[#This Row],[قيمة الرسوم / العموله]]+Basic34567891011121314151617181920[[#This Row],[قيمة الشحنه]])</f>
        <v>0</v>
      </c>
      <c r="I92" s="90"/>
      <c r="J92" s="142" t="str">
        <f t="shared" si="1"/>
        <v>13.5.2026</v>
      </c>
      <c r="L92" s="153">
        <v>81</v>
      </c>
      <c r="M92" s="92"/>
    </row>
    <row r="93" spans="1:13" ht="21.6" x14ac:dyDescent="0.65">
      <c r="A93" s="195"/>
      <c r="B93" s="144">
        <v>90</v>
      </c>
      <c r="C93" s="2"/>
      <c r="D93" s="1"/>
      <c r="E93" s="3"/>
      <c r="F93" s="1"/>
      <c r="G93" s="141">
        <f>IF(Basic34567891011121314151617181920[[#This Row],[نوع الخدمة]]="مخالفات", 50,
IF(Basic34567891011121314151617181920[[#This Row],[نوع الخدمة]]="كاش ان",
    IF(F93&lt;=100, 18, IF(F93&lt;=250, 23, IF(F93&lt;=500, 35, IF(F93&lt;=1000, 40, F93*0.04)))),
IF(Basic34567891011121314151617181920[[#This Row],[نوع الخدمة]]="كاش اوت",
    IF(F93&lt;=100, 15, IF(F93&lt;=250, 20, IF(F93&lt;=500, 30, IF(F93&lt;=1000, 35, F93*0.035)))),
0)))</f>
        <v>0</v>
      </c>
      <c r="H93" s="163">
        <f>IF(I93="مخالفات",50,Basic34567891011121314151617181920[[#This Row],[قيمة الرسوم / العموله]]+Basic34567891011121314151617181920[[#This Row],[قيمة الشحنه]])</f>
        <v>0</v>
      </c>
      <c r="I93" s="90"/>
      <c r="J93" s="142" t="str">
        <f t="shared" si="1"/>
        <v>13.5.2026</v>
      </c>
      <c r="L93" s="153">
        <v>82</v>
      </c>
      <c r="M93" s="92"/>
    </row>
    <row r="94" spans="1:13" ht="21.6" x14ac:dyDescent="0.65">
      <c r="A94" s="195"/>
      <c r="B94" s="140">
        <v>91</v>
      </c>
      <c r="C94" s="2"/>
      <c r="D94" s="1"/>
      <c r="E94" s="3"/>
      <c r="F94" s="1"/>
      <c r="G94" s="141">
        <f>IF(Basic34567891011121314151617181920[[#This Row],[نوع الخدمة]]="مخالفات", 50,
IF(Basic34567891011121314151617181920[[#This Row],[نوع الخدمة]]="كاش ان",
    IF(F94&lt;=100, 18, IF(F94&lt;=250, 23, IF(F94&lt;=500, 35, IF(F94&lt;=1000, 40, F94*0.04)))),
IF(Basic34567891011121314151617181920[[#This Row],[نوع الخدمة]]="كاش اوت",
    IF(F94&lt;=100, 15, IF(F94&lt;=250, 20, IF(F94&lt;=500, 30, IF(F94&lt;=1000, 35, F94*0.035)))),
0)))</f>
        <v>0</v>
      </c>
      <c r="H94" s="163">
        <f>IF(I94="مخالفات",50,Basic34567891011121314151617181920[[#This Row],[قيمة الرسوم / العموله]]+Basic34567891011121314151617181920[[#This Row],[قيمة الشحنه]])</f>
        <v>0</v>
      </c>
      <c r="I94" s="90"/>
      <c r="J94" s="142" t="str">
        <f t="shared" si="1"/>
        <v>13.5.2026</v>
      </c>
      <c r="L94" s="153">
        <v>83</v>
      </c>
      <c r="M94" s="92"/>
    </row>
    <row r="95" spans="1:13" ht="21.6" x14ac:dyDescent="0.65">
      <c r="A95" s="195"/>
      <c r="B95" s="140">
        <v>92</v>
      </c>
      <c r="C95" s="2"/>
      <c r="D95" s="1"/>
      <c r="E95" s="3"/>
      <c r="F95" s="1"/>
      <c r="G95" s="141">
        <f>IF(Basic34567891011121314151617181920[[#This Row],[نوع الخدمة]]="مخالفات", 50,
IF(Basic34567891011121314151617181920[[#This Row],[نوع الخدمة]]="كاش ان",
    IF(F95&lt;=100, 18, IF(F95&lt;=250, 23, IF(F95&lt;=500, 35, IF(F95&lt;=1000, 40, F95*0.04)))),
IF(Basic34567891011121314151617181920[[#This Row],[نوع الخدمة]]="كاش اوت",
    IF(F95&lt;=100, 15, IF(F95&lt;=250, 20, IF(F95&lt;=500, 30, IF(F95&lt;=1000, 35, F95*0.035)))),
0)))</f>
        <v>0</v>
      </c>
      <c r="H95" s="163">
        <f>IF(I95="مخالفات",50,Basic34567891011121314151617181920[[#This Row],[قيمة الرسوم / العموله]]+Basic34567891011121314151617181920[[#This Row],[قيمة الشحنه]])</f>
        <v>0</v>
      </c>
      <c r="I95" s="90"/>
      <c r="J95" s="142" t="str">
        <f t="shared" si="1"/>
        <v>13.5.2026</v>
      </c>
      <c r="L95" s="153">
        <v>84</v>
      </c>
      <c r="M95" s="92"/>
    </row>
    <row r="96" spans="1:13" ht="21.6" x14ac:dyDescent="0.65">
      <c r="A96" s="195"/>
      <c r="B96" s="140">
        <v>93</v>
      </c>
      <c r="C96" s="2"/>
      <c r="D96" s="1"/>
      <c r="E96" s="3"/>
      <c r="F96" s="1"/>
      <c r="G96" s="141">
        <f>IF(Basic34567891011121314151617181920[[#This Row],[نوع الخدمة]]="مخالفات", 50,
IF(Basic34567891011121314151617181920[[#This Row],[نوع الخدمة]]="كاش ان",
    IF(F96&lt;=100, 18, IF(F96&lt;=250, 23, IF(F96&lt;=500, 35, IF(F96&lt;=1000, 40, F96*0.04)))),
IF(Basic34567891011121314151617181920[[#This Row],[نوع الخدمة]]="كاش اوت",
    IF(F96&lt;=100, 15, IF(F96&lt;=250, 20, IF(F96&lt;=500, 30, IF(F96&lt;=1000, 35, F96*0.035)))),
0)))</f>
        <v>0</v>
      </c>
      <c r="H96" s="163">
        <f>IF(I96="مخالفات",50,Basic34567891011121314151617181920[[#This Row],[قيمة الرسوم / العموله]]+Basic34567891011121314151617181920[[#This Row],[قيمة الشحنه]])</f>
        <v>0</v>
      </c>
      <c r="I96" s="90"/>
      <c r="J96" s="142" t="str">
        <f t="shared" si="1"/>
        <v>13.5.2026</v>
      </c>
      <c r="L96" s="153">
        <v>85</v>
      </c>
      <c r="M96" s="92"/>
    </row>
    <row r="97" spans="1:13" ht="21.6" x14ac:dyDescent="0.65">
      <c r="A97" s="195"/>
      <c r="B97" s="144">
        <v>94</v>
      </c>
      <c r="C97" s="2"/>
      <c r="D97" s="1"/>
      <c r="E97" s="3"/>
      <c r="F97" s="1"/>
      <c r="G97" s="141">
        <f>IF(Basic34567891011121314151617181920[[#This Row],[نوع الخدمة]]="مخالفات", 50,
IF(Basic34567891011121314151617181920[[#This Row],[نوع الخدمة]]="كاش ان",
    IF(F97&lt;=100, 18, IF(F97&lt;=250, 23, IF(F97&lt;=500, 35, IF(F97&lt;=1000, 40, F97*0.04)))),
IF(Basic34567891011121314151617181920[[#This Row],[نوع الخدمة]]="كاش اوت",
    IF(F97&lt;=100, 15, IF(F97&lt;=250, 20, IF(F97&lt;=500, 30, IF(F97&lt;=1000, 35, F97*0.035)))),
0)))</f>
        <v>0</v>
      </c>
      <c r="H97" s="163">
        <f>IF(I97="مخالفات",50,Basic34567891011121314151617181920[[#This Row],[قيمة الرسوم / العموله]]+Basic34567891011121314151617181920[[#This Row],[قيمة الشحنه]])</f>
        <v>0</v>
      </c>
      <c r="I97" s="90"/>
      <c r="J97" s="142" t="str">
        <f t="shared" si="1"/>
        <v>13.5.2026</v>
      </c>
      <c r="L97" s="153">
        <v>86</v>
      </c>
      <c r="M97" s="92"/>
    </row>
    <row r="98" spans="1:13" ht="21.6" x14ac:dyDescent="0.65">
      <c r="A98" s="195"/>
      <c r="B98" s="140">
        <v>95</v>
      </c>
      <c r="C98" s="2"/>
      <c r="D98" s="1"/>
      <c r="E98" s="3"/>
      <c r="F98" s="1"/>
      <c r="G98" s="141">
        <f>IF(Basic34567891011121314151617181920[[#This Row],[نوع الخدمة]]="مخالفات", 50,
IF(Basic34567891011121314151617181920[[#This Row],[نوع الخدمة]]="كاش ان",
    IF(F98&lt;=100, 18, IF(F98&lt;=250, 23, IF(F98&lt;=500, 35, IF(F98&lt;=1000, 40, F98*0.04)))),
IF(Basic34567891011121314151617181920[[#This Row],[نوع الخدمة]]="كاش اوت",
    IF(F98&lt;=100, 15, IF(F98&lt;=250, 20, IF(F98&lt;=500, 30, IF(F98&lt;=1000, 35, F98*0.035)))),
0)))</f>
        <v>0</v>
      </c>
      <c r="H98" s="163">
        <f>IF(I98="مخالفات",50,Basic34567891011121314151617181920[[#This Row],[قيمة الرسوم / العموله]]+Basic34567891011121314151617181920[[#This Row],[قيمة الشحنه]])</f>
        <v>0</v>
      </c>
      <c r="I98" s="90"/>
      <c r="J98" s="142" t="str">
        <f t="shared" si="1"/>
        <v>13.5.2026</v>
      </c>
      <c r="L98" s="153">
        <v>87</v>
      </c>
      <c r="M98" s="92"/>
    </row>
    <row r="99" spans="1:13" ht="21.6" x14ac:dyDescent="0.65">
      <c r="A99" s="195"/>
      <c r="B99" s="140">
        <v>96</v>
      </c>
      <c r="C99" s="2"/>
      <c r="D99" s="1"/>
      <c r="E99" s="3"/>
      <c r="F99" s="1"/>
      <c r="G99" s="141">
        <f>IF(Basic34567891011121314151617181920[[#This Row],[نوع الخدمة]]="مخالفات", 50,
IF(Basic34567891011121314151617181920[[#This Row],[نوع الخدمة]]="كاش ان",
    IF(F99&lt;=100, 18, IF(F99&lt;=250, 23, IF(F99&lt;=500, 35, IF(F99&lt;=1000, 40, F99*0.04)))),
IF(Basic34567891011121314151617181920[[#This Row],[نوع الخدمة]]="كاش اوت",
    IF(F99&lt;=100, 15, IF(F99&lt;=250, 20, IF(F99&lt;=500, 30, IF(F99&lt;=1000, 35, F99*0.035)))),
0)))</f>
        <v>0</v>
      </c>
      <c r="H99" s="163">
        <f>IF(I99="مخالفات",50,Basic34567891011121314151617181920[[#This Row],[قيمة الرسوم / العموله]]+Basic34567891011121314151617181920[[#This Row],[قيمة الشحنه]])</f>
        <v>0</v>
      </c>
      <c r="I99" s="90"/>
      <c r="J99" s="142" t="str">
        <f t="shared" si="1"/>
        <v>13.5.2026</v>
      </c>
      <c r="L99" s="153">
        <v>88</v>
      </c>
      <c r="M99" s="92"/>
    </row>
    <row r="100" spans="1:13" ht="21.6" x14ac:dyDescent="0.65">
      <c r="A100" s="195"/>
      <c r="B100" s="140">
        <v>97</v>
      </c>
      <c r="C100" s="2"/>
      <c r="D100" s="1"/>
      <c r="E100" s="3"/>
      <c r="F100" s="1"/>
      <c r="G100" s="141">
        <f>IF(Basic34567891011121314151617181920[[#This Row],[نوع الخدمة]]="مخالفات", 50,
IF(Basic34567891011121314151617181920[[#This Row],[نوع الخدمة]]="كاش ان",
    IF(F100&lt;=100, 18, IF(F100&lt;=250, 23, IF(F100&lt;=500, 35, IF(F100&lt;=1000, 40, F100*0.04)))),
IF(Basic34567891011121314151617181920[[#This Row],[نوع الخدمة]]="كاش اوت",
    IF(F100&lt;=100, 15, IF(F100&lt;=250, 20, IF(F100&lt;=500, 30, IF(F100&lt;=1000, 35, F100*0.035)))),
0)))</f>
        <v>0</v>
      </c>
      <c r="H100" s="163">
        <f>IF(I100="مخالفات",50,Basic34567891011121314151617181920[[#This Row],[قيمة الرسوم / العموله]]+Basic34567891011121314151617181920[[#This Row],[قيمة الشحنه]])</f>
        <v>0</v>
      </c>
      <c r="I100" s="90"/>
      <c r="J100" s="142" t="str">
        <f t="shared" si="1"/>
        <v>13.5.2026</v>
      </c>
      <c r="L100" s="153">
        <v>89</v>
      </c>
      <c r="M100" s="92"/>
    </row>
    <row r="101" spans="1:13" ht="21.6" x14ac:dyDescent="0.65">
      <c r="A101" s="195"/>
      <c r="B101" s="144">
        <v>98</v>
      </c>
      <c r="C101" s="2"/>
      <c r="D101" s="1"/>
      <c r="E101" s="3"/>
      <c r="F101" s="1"/>
      <c r="G101" s="141">
        <f>IF(Basic34567891011121314151617181920[[#This Row],[نوع الخدمة]]="مخالفات", 50,
IF(Basic34567891011121314151617181920[[#This Row],[نوع الخدمة]]="كاش ان",
    IF(F101&lt;=100, 18, IF(F101&lt;=250, 23, IF(F101&lt;=500, 35, IF(F101&lt;=1000, 40, F101*0.04)))),
IF(Basic34567891011121314151617181920[[#This Row],[نوع الخدمة]]="كاش اوت",
    IF(F101&lt;=100, 15, IF(F101&lt;=250, 20, IF(F101&lt;=500, 30, IF(F101&lt;=1000, 35, F101*0.035)))),
0)))</f>
        <v>0</v>
      </c>
      <c r="H101" s="163">
        <f>IF(I101="مخالفات",50,Basic34567891011121314151617181920[[#This Row],[قيمة الرسوم / العموله]]+Basic34567891011121314151617181920[[#This Row],[قيمة الشحنه]])</f>
        <v>0</v>
      </c>
      <c r="I101" s="90"/>
      <c r="J101" s="142" t="str">
        <f t="shared" si="1"/>
        <v>13.5.2026</v>
      </c>
      <c r="L101" s="153">
        <v>90</v>
      </c>
      <c r="M101" s="92"/>
    </row>
    <row r="102" spans="1:13" ht="21.6" x14ac:dyDescent="0.65">
      <c r="A102" s="195"/>
      <c r="B102" s="140">
        <v>99</v>
      </c>
      <c r="C102" s="2"/>
      <c r="D102" s="1"/>
      <c r="E102" s="3"/>
      <c r="F102" s="1"/>
      <c r="G102" s="141">
        <f>IF(Basic34567891011121314151617181920[[#This Row],[نوع الخدمة]]="مخالفات", 50,
IF(Basic34567891011121314151617181920[[#This Row],[نوع الخدمة]]="كاش ان",
    IF(F102&lt;=100, 18, IF(F102&lt;=250, 23, IF(F102&lt;=500, 35, IF(F102&lt;=1000, 40, F102*0.04)))),
IF(Basic34567891011121314151617181920[[#This Row],[نوع الخدمة]]="كاش اوت",
    IF(F102&lt;=100, 15, IF(F102&lt;=250, 20, IF(F102&lt;=500, 30, IF(F102&lt;=1000, 35, F102*0.035)))),
0)))</f>
        <v>0</v>
      </c>
      <c r="H102" s="163">
        <f>IF(I102="مخالفات",50,Basic34567891011121314151617181920[[#This Row],[قيمة الرسوم / العموله]]+Basic34567891011121314151617181920[[#This Row],[قيمة الشحنه]])</f>
        <v>0</v>
      </c>
      <c r="I102" s="90"/>
      <c r="J102" s="142" t="str">
        <f t="shared" si="1"/>
        <v>13.5.2026</v>
      </c>
      <c r="L102" s="153">
        <v>91</v>
      </c>
      <c r="M102" s="92"/>
    </row>
    <row r="103" spans="1:13" ht="21.6" x14ac:dyDescent="0.65">
      <c r="A103" s="195"/>
      <c r="B103" s="140">
        <v>100</v>
      </c>
      <c r="C103" s="2"/>
      <c r="D103" s="1"/>
      <c r="E103" s="3"/>
      <c r="F103" s="1"/>
      <c r="G103" s="141">
        <f>IF(Basic34567891011121314151617181920[[#This Row],[نوع الخدمة]]="مخالفات", 50,
IF(Basic34567891011121314151617181920[[#This Row],[نوع الخدمة]]="كاش ان",
    IF(F103&lt;=100, 18, IF(F103&lt;=250, 23, IF(F103&lt;=500, 35, IF(F103&lt;=1000, 40, F103*0.04)))),
IF(Basic34567891011121314151617181920[[#This Row],[نوع الخدمة]]="كاش اوت",
    IF(F103&lt;=100, 15, IF(F103&lt;=250, 20, IF(F103&lt;=500, 30, IF(F103&lt;=1000, 35, F103*0.035)))),
0)))</f>
        <v>0</v>
      </c>
      <c r="H103" s="163">
        <f>IF(I103="مخالفات",50,Basic34567891011121314151617181920[[#This Row],[قيمة الرسوم / العموله]]+Basic34567891011121314151617181920[[#This Row],[قيمة الشحنه]])</f>
        <v>0</v>
      </c>
      <c r="I103" s="90"/>
      <c r="J103" s="142" t="str">
        <f t="shared" si="1"/>
        <v>13.5.2026</v>
      </c>
      <c r="L103" s="153">
        <v>92</v>
      </c>
      <c r="M103" s="92"/>
    </row>
    <row r="104" spans="1:13" ht="21.6" x14ac:dyDescent="0.65">
      <c r="A104" s="195"/>
      <c r="B104" s="140">
        <v>101</v>
      </c>
      <c r="C104" s="2"/>
      <c r="D104" s="1"/>
      <c r="E104" s="3"/>
      <c r="F104" s="1"/>
      <c r="G104" s="141">
        <f>IF(Basic34567891011121314151617181920[[#This Row],[نوع الخدمة]]="مخالفات", 50,
IF(Basic34567891011121314151617181920[[#This Row],[نوع الخدمة]]="كاش ان",
    IF(F104&lt;=100, 18, IF(F104&lt;=250, 23, IF(F104&lt;=500, 35, IF(F104&lt;=1000, 40, F104*0.04)))),
IF(Basic34567891011121314151617181920[[#This Row],[نوع الخدمة]]="كاش اوت",
    IF(F104&lt;=100, 15, IF(F104&lt;=250, 20, IF(F104&lt;=500, 30, IF(F104&lt;=1000, 35, F104*0.035)))),
0)))</f>
        <v>0</v>
      </c>
      <c r="H104" s="163">
        <f>IF(I104="مخالفات",50,Basic34567891011121314151617181920[[#This Row],[قيمة الرسوم / العموله]]+Basic34567891011121314151617181920[[#This Row],[قيمة الشحنه]])</f>
        <v>0</v>
      </c>
      <c r="I104" s="90"/>
      <c r="J104" s="142" t="str">
        <f t="shared" si="1"/>
        <v>13.5.2026</v>
      </c>
      <c r="L104" s="153">
        <v>93</v>
      </c>
      <c r="M104" s="92"/>
    </row>
    <row r="105" spans="1:13" ht="21.6" x14ac:dyDescent="0.65">
      <c r="A105" s="195"/>
      <c r="B105" s="144">
        <v>102</v>
      </c>
      <c r="C105" s="2"/>
      <c r="D105" s="1"/>
      <c r="E105" s="3"/>
      <c r="F105" s="1"/>
      <c r="G105" s="141">
        <f>IF(Basic34567891011121314151617181920[[#This Row],[نوع الخدمة]]="مخالفات", 50,
IF(Basic34567891011121314151617181920[[#This Row],[نوع الخدمة]]="كاش ان",
    IF(F105&lt;=100, 18, IF(F105&lt;=250, 23, IF(F105&lt;=500, 35, IF(F105&lt;=1000, 40, F105*0.04)))),
IF(Basic34567891011121314151617181920[[#This Row],[نوع الخدمة]]="كاش اوت",
    IF(F105&lt;=100, 15, IF(F105&lt;=250, 20, IF(F105&lt;=500, 30, IF(F105&lt;=1000, 35, F105*0.035)))),
0)))</f>
        <v>0</v>
      </c>
      <c r="H105" s="163">
        <f>IF(I105="مخالفات",50,Basic34567891011121314151617181920[[#This Row],[قيمة الرسوم / العموله]]+Basic34567891011121314151617181920[[#This Row],[قيمة الشحنه]])</f>
        <v>0</v>
      </c>
      <c r="I105" s="90"/>
      <c r="J105" s="142" t="str">
        <f t="shared" si="1"/>
        <v>13.5.2026</v>
      </c>
      <c r="L105" s="153">
        <v>94</v>
      </c>
      <c r="M105" s="92"/>
    </row>
    <row r="106" spans="1:13" ht="21.6" x14ac:dyDescent="0.65">
      <c r="A106" s="195"/>
      <c r="B106" s="140">
        <v>103</v>
      </c>
      <c r="C106" s="2"/>
      <c r="D106" s="1"/>
      <c r="E106" s="3"/>
      <c r="F106" s="1"/>
      <c r="G106" s="141">
        <f>IF(Basic34567891011121314151617181920[[#This Row],[نوع الخدمة]]="مخالفات", 50,
IF(Basic34567891011121314151617181920[[#This Row],[نوع الخدمة]]="كاش ان",
    IF(F106&lt;=100, 18, IF(F106&lt;=250, 23, IF(F106&lt;=500, 35, IF(F106&lt;=1000, 40, F106*0.04)))),
IF(Basic34567891011121314151617181920[[#This Row],[نوع الخدمة]]="كاش اوت",
    IF(F106&lt;=100, 15, IF(F106&lt;=250, 20, IF(F106&lt;=500, 30, IF(F106&lt;=1000, 35, F106*0.035)))),
0)))</f>
        <v>0</v>
      </c>
      <c r="H106" s="163">
        <f>IF(I106="مخالفات",50,Basic34567891011121314151617181920[[#This Row],[قيمة الرسوم / العموله]]+Basic34567891011121314151617181920[[#This Row],[قيمة الشحنه]])</f>
        <v>0</v>
      </c>
      <c r="I106" s="90"/>
      <c r="J106" s="142" t="str">
        <f t="shared" si="1"/>
        <v>13.5.2026</v>
      </c>
      <c r="L106" s="153">
        <v>95</v>
      </c>
      <c r="M106" s="92"/>
    </row>
    <row r="107" spans="1:13" ht="21.6" x14ac:dyDescent="0.65">
      <c r="A107" s="195"/>
      <c r="B107" s="140">
        <v>104</v>
      </c>
      <c r="C107" s="2"/>
      <c r="D107" s="1"/>
      <c r="E107" s="3"/>
      <c r="F107" s="1"/>
      <c r="G107" s="141">
        <f>IF(Basic34567891011121314151617181920[[#This Row],[نوع الخدمة]]="مخالفات", 50,
IF(Basic34567891011121314151617181920[[#This Row],[نوع الخدمة]]="كاش ان",
    IF(F107&lt;=100, 18, IF(F107&lt;=250, 23, IF(F107&lt;=500, 35, IF(F107&lt;=1000, 40, F107*0.04)))),
IF(Basic34567891011121314151617181920[[#This Row],[نوع الخدمة]]="كاش اوت",
    IF(F107&lt;=100, 15, IF(F107&lt;=250, 20, IF(F107&lt;=500, 30, IF(F107&lt;=1000, 35, F107*0.035)))),
0)))</f>
        <v>0</v>
      </c>
      <c r="H107" s="163">
        <f>IF(I107="مخالفات",50,Basic34567891011121314151617181920[[#This Row],[قيمة الرسوم / العموله]]+Basic34567891011121314151617181920[[#This Row],[قيمة الشحنه]])</f>
        <v>0</v>
      </c>
      <c r="I107" s="90"/>
      <c r="J107" s="142" t="str">
        <f t="shared" si="1"/>
        <v>13.5.2026</v>
      </c>
      <c r="L107" s="153">
        <v>96</v>
      </c>
      <c r="M107" s="92"/>
    </row>
    <row r="108" spans="1:13" ht="21.6" x14ac:dyDescent="0.65">
      <c r="A108" s="195"/>
      <c r="B108" s="140">
        <v>105</v>
      </c>
      <c r="C108" s="2"/>
      <c r="D108" s="1"/>
      <c r="E108" s="3"/>
      <c r="F108" s="1"/>
      <c r="G108" s="141">
        <f>IF(Basic34567891011121314151617181920[[#This Row],[نوع الخدمة]]="مخالفات", 50,
IF(Basic34567891011121314151617181920[[#This Row],[نوع الخدمة]]="كاش ان",
    IF(F108&lt;=100, 18, IF(F108&lt;=250, 23, IF(F108&lt;=500, 35, IF(F108&lt;=1000, 40, F108*0.04)))),
IF(Basic34567891011121314151617181920[[#This Row],[نوع الخدمة]]="كاش اوت",
    IF(F108&lt;=100, 15, IF(F108&lt;=250, 20, IF(F108&lt;=500, 30, IF(F108&lt;=1000, 35, F108*0.035)))),
0)))</f>
        <v>0</v>
      </c>
      <c r="H108" s="163">
        <f>IF(I108="مخالفات",50,Basic34567891011121314151617181920[[#This Row],[قيمة الرسوم / العموله]]+Basic34567891011121314151617181920[[#This Row],[قيمة الشحنه]])</f>
        <v>0</v>
      </c>
      <c r="I108" s="90"/>
      <c r="J108" s="142" t="str">
        <f t="shared" si="1"/>
        <v>13.5.2026</v>
      </c>
      <c r="L108" s="153">
        <v>97</v>
      </c>
      <c r="M108" s="92"/>
    </row>
    <row r="109" spans="1:13" ht="21.6" x14ac:dyDescent="0.65">
      <c r="A109" s="195"/>
      <c r="B109" s="144">
        <v>106</v>
      </c>
      <c r="C109" s="2"/>
      <c r="D109" s="1"/>
      <c r="E109" s="3"/>
      <c r="F109" s="1"/>
      <c r="G109" s="141">
        <f>IF(Basic34567891011121314151617181920[[#This Row],[نوع الخدمة]]="مخالفات", 50,
IF(Basic34567891011121314151617181920[[#This Row],[نوع الخدمة]]="كاش ان",
    IF(F109&lt;=100, 18, IF(F109&lt;=250, 23, IF(F109&lt;=500, 35, IF(F109&lt;=1000, 40, F109*0.04)))),
IF(Basic34567891011121314151617181920[[#This Row],[نوع الخدمة]]="كاش اوت",
    IF(F109&lt;=100, 15, IF(F109&lt;=250, 20, IF(F109&lt;=500, 30, IF(F109&lt;=1000, 35, F109*0.035)))),
0)))</f>
        <v>0</v>
      </c>
      <c r="H109" s="163">
        <f>IF(I109="مخالفات",50,Basic34567891011121314151617181920[[#This Row],[قيمة الرسوم / العموله]]+Basic34567891011121314151617181920[[#This Row],[قيمة الشحنه]])</f>
        <v>0</v>
      </c>
      <c r="I109" s="90"/>
      <c r="J109" s="142" t="str">
        <f t="shared" si="1"/>
        <v>13.5.2026</v>
      </c>
      <c r="L109" s="153">
        <v>98</v>
      </c>
      <c r="M109" s="92"/>
    </row>
    <row r="110" spans="1:13" ht="21.6" x14ac:dyDescent="0.65">
      <c r="A110" s="195"/>
      <c r="B110" s="140">
        <v>107</v>
      </c>
      <c r="C110" s="2"/>
      <c r="D110" s="1"/>
      <c r="E110" s="3"/>
      <c r="F110" s="1"/>
      <c r="G110" s="141">
        <f>IF(Basic34567891011121314151617181920[[#This Row],[نوع الخدمة]]="مخالفات", 50,
IF(Basic34567891011121314151617181920[[#This Row],[نوع الخدمة]]="كاش ان",
    IF(F110&lt;=100, 18, IF(F110&lt;=250, 23, IF(F110&lt;=500, 35, IF(F110&lt;=1000, 40, F110*0.04)))),
IF(Basic34567891011121314151617181920[[#This Row],[نوع الخدمة]]="كاش اوت",
    IF(F110&lt;=100, 15, IF(F110&lt;=250, 20, IF(F110&lt;=500, 30, IF(F110&lt;=1000, 35, F110*0.035)))),
0)))</f>
        <v>0</v>
      </c>
      <c r="H110" s="163">
        <f>IF(I110="مخالفات",50,Basic34567891011121314151617181920[[#This Row],[قيمة الرسوم / العموله]]+Basic34567891011121314151617181920[[#This Row],[قيمة الشحنه]])</f>
        <v>0</v>
      </c>
      <c r="I110" s="90"/>
      <c r="J110" s="142" t="str">
        <f t="shared" si="1"/>
        <v>13.5.2026</v>
      </c>
      <c r="L110" s="153">
        <v>99</v>
      </c>
      <c r="M110" s="92"/>
    </row>
    <row r="111" spans="1:13" ht="21.6" x14ac:dyDescent="0.65">
      <c r="A111" s="195"/>
      <c r="B111" s="140">
        <v>108</v>
      </c>
      <c r="C111" s="2"/>
      <c r="D111" s="1"/>
      <c r="E111" s="3"/>
      <c r="F111" s="1"/>
      <c r="G111" s="141">
        <f>IF(Basic34567891011121314151617181920[[#This Row],[نوع الخدمة]]="مخالفات", 50,
IF(Basic34567891011121314151617181920[[#This Row],[نوع الخدمة]]="كاش ان",
    IF(F111&lt;=100, 18, IF(F111&lt;=250, 23, IF(F111&lt;=500, 35, IF(F111&lt;=1000, 40, F111*0.04)))),
IF(Basic34567891011121314151617181920[[#This Row],[نوع الخدمة]]="كاش اوت",
    IF(F111&lt;=100, 15, IF(F111&lt;=250, 20, IF(F111&lt;=500, 30, IF(F111&lt;=1000, 35, F111*0.035)))),
0)))</f>
        <v>0</v>
      </c>
      <c r="H111" s="163">
        <f>IF(I111="مخالفات",50,Basic34567891011121314151617181920[[#This Row],[قيمة الرسوم / العموله]]+Basic34567891011121314151617181920[[#This Row],[قيمة الشحنه]])</f>
        <v>0</v>
      </c>
      <c r="I111" s="90"/>
      <c r="J111" s="142" t="str">
        <f t="shared" si="1"/>
        <v>13.5.2026</v>
      </c>
      <c r="L111" s="153">
        <v>100</v>
      </c>
      <c r="M111" s="92"/>
    </row>
    <row r="112" spans="1:13" ht="21.6" x14ac:dyDescent="0.65">
      <c r="A112" s="195"/>
      <c r="B112" s="140">
        <v>109</v>
      </c>
      <c r="C112" s="2"/>
      <c r="D112" s="1"/>
      <c r="E112" s="3"/>
      <c r="F112" s="1"/>
      <c r="G112" s="141">
        <f>IF(Basic34567891011121314151617181920[[#This Row],[نوع الخدمة]]="مخالفات", 50,
IF(Basic34567891011121314151617181920[[#This Row],[نوع الخدمة]]="كاش ان",
    IF(F112&lt;=100, 18, IF(F112&lt;=250, 23, IF(F112&lt;=500, 35, IF(F112&lt;=1000, 40, F112*0.04)))),
IF(Basic34567891011121314151617181920[[#This Row],[نوع الخدمة]]="كاش اوت",
    IF(F112&lt;=100, 15, IF(F112&lt;=250, 20, IF(F112&lt;=500, 30, IF(F112&lt;=1000, 35, F112*0.035)))),
0)))</f>
        <v>0</v>
      </c>
      <c r="H112" s="163">
        <f>IF(I112="مخالفات",50,Basic34567891011121314151617181920[[#This Row],[قيمة الرسوم / العموله]]+Basic34567891011121314151617181920[[#This Row],[قيمة الشحنه]])</f>
        <v>0</v>
      </c>
      <c r="I112" s="90"/>
      <c r="J112" s="142" t="str">
        <f t="shared" si="1"/>
        <v>13.5.2026</v>
      </c>
      <c r="L112" s="153">
        <v>101</v>
      </c>
      <c r="M112" s="92"/>
    </row>
    <row r="113" spans="1:13" ht="21.6" x14ac:dyDescent="0.65">
      <c r="A113" s="195"/>
      <c r="B113" s="144">
        <v>110</v>
      </c>
      <c r="C113" s="2"/>
      <c r="D113" s="1"/>
      <c r="E113" s="3"/>
      <c r="F113" s="1"/>
      <c r="G113" s="141">
        <f>IF(Basic34567891011121314151617181920[[#This Row],[نوع الخدمة]]="مخالفات", 50,
IF(Basic34567891011121314151617181920[[#This Row],[نوع الخدمة]]="كاش ان",
    IF(F113&lt;=100, 18, IF(F113&lt;=250, 23, IF(F113&lt;=500, 35, IF(F113&lt;=1000, 40, F113*0.04)))),
IF(Basic34567891011121314151617181920[[#This Row],[نوع الخدمة]]="كاش اوت",
    IF(F113&lt;=100, 15, IF(F113&lt;=250, 20, IF(F113&lt;=500, 30, IF(F113&lt;=1000, 35, F113*0.035)))),
0)))</f>
        <v>0</v>
      </c>
      <c r="H113" s="163">
        <f>IF(I113="مخالفات",50,Basic34567891011121314151617181920[[#This Row],[قيمة الرسوم / العموله]]+Basic34567891011121314151617181920[[#This Row],[قيمة الشحنه]])</f>
        <v>0</v>
      </c>
      <c r="I113" s="90"/>
      <c r="J113" s="142" t="str">
        <f t="shared" si="1"/>
        <v>13.5.2026</v>
      </c>
      <c r="L113" s="153">
        <v>102</v>
      </c>
      <c r="M113" s="92"/>
    </row>
    <row r="114" spans="1:13" ht="21.6" x14ac:dyDescent="0.65">
      <c r="A114" s="195"/>
      <c r="B114" s="140">
        <v>111</v>
      </c>
      <c r="C114" s="2"/>
      <c r="D114" s="1"/>
      <c r="E114" s="3"/>
      <c r="F114" s="1"/>
      <c r="G114" s="141">
        <f>IF(Basic34567891011121314151617181920[[#This Row],[نوع الخدمة]]="مخالفات", 50,
IF(Basic34567891011121314151617181920[[#This Row],[نوع الخدمة]]="كاش ان",
    IF(F114&lt;=100, 18, IF(F114&lt;=250, 23, IF(F114&lt;=500, 35, IF(F114&lt;=1000, 40, F114*0.04)))),
IF(Basic34567891011121314151617181920[[#This Row],[نوع الخدمة]]="كاش اوت",
    IF(F114&lt;=100, 15, IF(F114&lt;=250, 20, IF(F114&lt;=500, 30, IF(F114&lt;=1000, 35, F114*0.035)))),
0)))</f>
        <v>0</v>
      </c>
      <c r="H114" s="163">
        <f>IF(I114="مخالفات",50,Basic34567891011121314151617181920[[#This Row],[قيمة الرسوم / العموله]]+Basic34567891011121314151617181920[[#This Row],[قيمة الشحنه]])</f>
        <v>0</v>
      </c>
      <c r="I114" s="90"/>
      <c r="J114" s="142" t="str">
        <f t="shared" si="1"/>
        <v>13.5.2026</v>
      </c>
      <c r="L114" s="153">
        <v>103</v>
      </c>
      <c r="M114" s="92"/>
    </row>
    <row r="115" spans="1:13" ht="21.6" x14ac:dyDescent="0.65">
      <c r="A115" s="195"/>
      <c r="B115" s="140">
        <v>112</v>
      </c>
      <c r="C115" s="2"/>
      <c r="D115" s="1"/>
      <c r="E115" s="3"/>
      <c r="F115" s="1"/>
      <c r="G115" s="141">
        <f>IF(Basic34567891011121314151617181920[[#This Row],[نوع الخدمة]]="مخالفات", 50,
IF(Basic34567891011121314151617181920[[#This Row],[نوع الخدمة]]="كاش ان",
    IF(F115&lt;=100, 18, IF(F115&lt;=250, 23, IF(F115&lt;=500, 35, IF(F115&lt;=1000, 40, F115*0.04)))),
IF(Basic34567891011121314151617181920[[#This Row],[نوع الخدمة]]="كاش اوت",
    IF(F115&lt;=100, 15, IF(F115&lt;=250, 20, IF(F115&lt;=500, 30, IF(F115&lt;=1000, 35, F115*0.035)))),
0)))</f>
        <v>0</v>
      </c>
      <c r="H115" s="163">
        <f>IF(I115="مخالفات",50,Basic34567891011121314151617181920[[#This Row],[قيمة الرسوم / العموله]]+Basic34567891011121314151617181920[[#This Row],[قيمة الشحنه]])</f>
        <v>0</v>
      </c>
      <c r="I115" s="90"/>
      <c r="J115" s="142" t="str">
        <f t="shared" si="1"/>
        <v>13.5.2026</v>
      </c>
      <c r="L115" s="153">
        <v>104</v>
      </c>
      <c r="M115" s="92"/>
    </row>
    <row r="116" spans="1:13" ht="21.6" x14ac:dyDescent="0.65">
      <c r="A116" s="195"/>
      <c r="B116" s="140">
        <v>113</v>
      </c>
      <c r="C116" s="2"/>
      <c r="D116" s="1"/>
      <c r="E116" s="3"/>
      <c r="F116" s="1"/>
      <c r="G116" s="141">
        <f>IF(Basic34567891011121314151617181920[[#This Row],[نوع الخدمة]]="مخالفات", 50,
IF(Basic34567891011121314151617181920[[#This Row],[نوع الخدمة]]="كاش ان",
    IF(F116&lt;=100, 18, IF(F116&lt;=250, 23, IF(F116&lt;=500, 35, IF(F116&lt;=1000, 40, F116*0.04)))),
IF(Basic34567891011121314151617181920[[#This Row],[نوع الخدمة]]="كاش اوت",
    IF(F116&lt;=100, 15, IF(F116&lt;=250, 20, IF(F116&lt;=500, 30, IF(F116&lt;=1000, 35, F116*0.035)))),
0)))</f>
        <v>0</v>
      </c>
      <c r="H116" s="163">
        <f>IF(I116="مخالفات",50,Basic34567891011121314151617181920[[#This Row],[قيمة الرسوم / العموله]]+Basic34567891011121314151617181920[[#This Row],[قيمة الشحنه]])</f>
        <v>0</v>
      </c>
      <c r="I116" s="90"/>
      <c r="J116" s="142" t="str">
        <f t="shared" si="1"/>
        <v>13.5.2026</v>
      </c>
      <c r="L116" s="153">
        <v>105</v>
      </c>
      <c r="M116" s="92"/>
    </row>
    <row r="117" spans="1:13" ht="21.6" x14ac:dyDescent="0.65">
      <c r="A117" s="195"/>
      <c r="B117" s="144">
        <v>114</v>
      </c>
      <c r="C117" s="2"/>
      <c r="D117" s="1"/>
      <c r="E117" s="3"/>
      <c r="F117" s="1"/>
      <c r="G117" s="141">
        <f>IF(Basic34567891011121314151617181920[[#This Row],[نوع الخدمة]]="مخالفات", 50,
IF(Basic34567891011121314151617181920[[#This Row],[نوع الخدمة]]="كاش ان",
    IF(F117&lt;=100, 18, IF(F117&lt;=250, 23, IF(F117&lt;=500, 35, IF(F117&lt;=1000, 40, F117*0.04)))),
IF(Basic34567891011121314151617181920[[#This Row],[نوع الخدمة]]="كاش اوت",
    IF(F117&lt;=100, 15, IF(F117&lt;=250, 20, IF(F117&lt;=500, 30, IF(F117&lt;=1000, 35, F117*0.035)))),
0)))</f>
        <v>0</v>
      </c>
      <c r="H117" s="163">
        <f>IF(I117="مخالفات",50,Basic34567891011121314151617181920[[#This Row],[قيمة الرسوم / العموله]]+Basic34567891011121314151617181920[[#This Row],[قيمة الشحنه]])</f>
        <v>0</v>
      </c>
      <c r="I117" s="90"/>
      <c r="J117" s="142" t="str">
        <f t="shared" si="1"/>
        <v>13.5.2026</v>
      </c>
      <c r="L117" s="153">
        <v>106</v>
      </c>
      <c r="M117" s="92"/>
    </row>
    <row r="118" spans="1:13" ht="21.6" x14ac:dyDescent="0.65">
      <c r="A118" s="195"/>
      <c r="B118" s="140">
        <v>115</v>
      </c>
      <c r="C118" s="2"/>
      <c r="D118" s="1"/>
      <c r="E118" s="3"/>
      <c r="F118" s="1"/>
      <c r="G118" s="141">
        <f>IF(Basic34567891011121314151617181920[[#This Row],[نوع الخدمة]]="مخالفات", 50,
IF(Basic34567891011121314151617181920[[#This Row],[نوع الخدمة]]="كاش ان",
    IF(F118&lt;=100, 18, IF(F118&lt;=250, 23, IF(F118&lt;=500, 35, IF(F118&lt;=1000, 40, F118*0.04)))),
IF(Basic34567891011121314151617181920[[#This Row],[نوع الخدمة]]="كاش اوت",
    IF(F118&lt;=100, 15, IF(F118&lt;=250, 20, IF(F118&lt;=500, 30, IF(F118&lt;=1000, 35, F118*0.035)))),
0)))</f>
        <v>0</v>
      </c>
      <c r="H118" s="163">
        <f>IF(I118="مخالفات",50,Basic34567891011121314151617181920[[#This Row],[قيمة الرسوم / العموله]]+Basic34567891011121314151617181920[[#This Row],[قيمة الشحنه]])</f>
        <v>0</v>
      </c>
      <c r="I118" s="90"/>
      <c r="J118" s="142" t="str">
        <f t="shared" si="1"/>
        <v>13.5.2026</v>
      </c>
      <c r="L118" s="153">
        <v>107</v>
      </c>
      <c r="M118" s="92"/>
    </row>
    <row r="119" spans="1:13" ht="21.6" x14ac:dyDescent="0.65">
      <c r="A119" s="195"/>
      <c r="B119" s="140">
        <v>116</v>
      </c>
      <c r="C119" s="2"/>
      <c r="D119" s="1"/>
      <c r="E119" s="3"/>
      <c r="F119" s="1"/>
      <c r="G119" s="141">
        <f>IF(Basic34567891011121314151617181920[[#This Row],[نوع الخدمة]]="مخالفات", 50,
IF(Basic34567891011121314151617181920[[#This Row],[نوع الخدمة]]="كاش ان",
    IF(F119&lt;=100, 18, IF(F119&lt;=250, 23, IF(F119&lt;=500, 35, IF(F119&lt;=1000, 40, F119*0.04)))),
IF(Basic34567891011121314151617181920[[#This Row],[نوع الخدمة]]="كاش اوت",
    IF(F119&lt;=100, 15, IF(F119&lt;=250, 20, IF(F119&lt;=500, 30, IF(F119&lt;=1000, 35, F119*0.035)))),
0)))</f>
        <v>0</v>
      </c>
      <c r="H119" s="163">
        <f>IF(I119="مخالفات",50,Basic34567891011121314151617181920[[#This Row],[قيمة الرسوم / العموله]]+Basic34567891011121314151617181920[[#This Row],[قيمة الشحنه]])</f>
        <v>0</v>
      </c>
      <c r="I119" s="90"/>
      <c r="J119" s="142" t="str">
        <f t="shared" si="1"/>
        <v>13.5.2026</v>
      </c>
      <c r="L119" s="153">
        <v>108</v>
      </c>
      <c r="M119" s="92"/>
    </row>
    <row r="120" spans="1:13" ht="21.6" x14ac:dyDescent="0.65">
      <c r="A120" s="195"/>
      <c r="B120" s="140">
        <v>117</v>
      </c>
      <c r="C120" s="2"/>
      <c r="D120" s="1"/>
      <c r="E120" s="3"/>
      <c r="F120" s="1"/>
      <c r="G120" s="141">
        <f>IF(Basic34567891011121314151617181920[[#This Row],[نوع الخدمة]]="مخالفات", 50,
IF(Basic34567891011121314151617181920[[#This Row],[نوع الخدمة]]="كاش ان",
    IF(F120&lt;=100, 18, IF(F120&lt;=250, 23, IF(F120&lt;=500, 35, IF(F120&lt;=1000, 40, F120*0.04)))),
IF(Basic34567891011121314151617181920[[#This Row],[نوع الخدمة]]="كاش اوت",
    IF(F120&lt;=100, 15, IF(F120&lt;=250, 20, IF(F120&lt;=500, 30, IF(F120&lt;=1000, 35, F120*0.035)))),
0)))</f>
        <v>0</v>
      </c>
      <c r="H120" s="163">
        <f>IF(I120="مخالفات",50,Basic34567891011121314151617181920[[#This Row],[قيمة الرسوم / العموله]]+Basic34567891011121314151617181920[[#This Row],[قيمة الشحنه]])</f>
        <v>0</v>
      </c>
      <c r="I120" s="90"/>
      <c r="J120" s="142" t="str">
        <f t="shared" si="1"/>
        <v>13.5.2026</v>
      </c>
      <c r="L120" s="153">
        <v>109</v>
      </c>
      <c r="M120" s="92"/>
    </row>
    <row r="121" spans="1:13" ht="21.6" x14ac:dyDescent="0.65">
      <c r="A121" s="195"/>
      <c r="B121" s="144">
        <v>118</v>
      </c>
      <c r="C121" s="2"/>
      <c r="D121" s="1"/>
      <c r="E121" s="3"/>
      <c r="F121" s="1"/>
      <c r="G121" s="141">
        <f>IF(Basic34567891011121314151617181920[[#This Row],[نوع الخدمة]]="مخالفات", 50,
IF(Basic34567891011121314151617181920[[#This Row],[نوع الخدمة]]="كاش ان",
    IF(F121&lt;=100, 18, IF(F121&lt;=250, 23, IF(F121&lt;=500, 35, IF(F121&lt;=1000, 40, F121*0.04)))),
IF(Basic34567891011121314151617181920[[#This Row],[نوع الخدمة]]="كاش اوت",
    IF(F121&lt;=100, 15, IF(F121&lt;=250, 20, IF(F121&lt;=500, 30, IF(F121&lt;=1000, 35, F121*0.035)))),
0)))</f>
        <v>0</v>
      </c>
      <c r="H121" s="163">
        <f>IF(I121="مخالفات",50,Basic34567891011121314151617181920[[#This Row],[قيمة الرسوم / العموله]]+Basic34567891011121314151617181920[[#This Row],[قيمة الشحنه]])</f>
        <v>0</v>
      </c>
      <c r="I121" s="90"/>
      <c r="J121" s="142" t="str">
        <f t="shared" si="1"/>
        <v>13.5.2026</v>
      </c>
      <c r="L121" s="153">
        <v>110</v>
      </c>
      <c r="M121" s="92"/>
    </row>
    <row r="122" spans="1:13" ht="21.6" x14ac:dyDescent="0.65">
      <c r="A122" s="195"/>
      <c r="B122" s="140">
        <v>119</v>
      </c>
      <c r="C122" s="2"/>
      <c r="D122" s="1"/>
      <c r="E122" s="3"/>
      <c r="F122" s="1"/>
      <c r="G122" s="141">
        <f>IF(Basic34567891011121314151617181920[[#This Row],[نوع الخدمة]]="مخالفات", 50,
IF(Basic34567891011121314151617181920[[#This Row],[نوع الخدمة]]="كاش ان",
    IF(F122&lt;=100, 18, IF(F122&lt;=250, 23, IF(F122&lt;=500, 35, IF(F122&lt;=1000, 40, F122*0.04)))),
IF(Basic34567891011121314151617181920[[#This Row],[نوع الخدمة]]="كاش اوت",
    IF(F122&lt;=100, 15, IF(F122&lt;=250, 20, IF(F122&lt;=500, 30, IF(F122&lt;=1000, 35, F122*0.035)))),
0)))</f>
        <v>0</v>
      </c>
      <c r="H122" s="163">
        <f>IF(I122="مخالفات",50,Basic34567891011121314151617181920[[#This Row],[قيمة الرسوم / العموله]]+Basic34567891011121314151617181920[[#This Row],[قيمة الشحنه]])</f>
        <v>0</v>
      </c>
      <c r="I122" s="90"/>
      <c r="J122" s="142" t="str">
        <f t="shared" si="1"/>
        <v>13.5.2026</v>
      </c>
      <c r="L122" s="153">
        <v>111</v>
      </c>
      <c r="M122" s="92"/>
    </row>
    <row r="123" spans="1:13" ht="21.6" x14ac:dyDescent="0.65">
      <c r="A123" s="195"/>
      <c r="B123" s="140">
        <v>120</v>
      </c>
      <c r="C123" s="2"/>
      <c r="D123" s="1"/>
      <c r="E123" s="3"/>
      <c r="F123" s="1"/>
      <c r="G123" s="141">
        <f>IF(Basic34567891011121314151617181920[[#This Row],[نوع الخدمة]]="مخالفات", 50,
IF(Basic34567891011121314151617181920[[#This Row],[نوع الخدمة]]="كاش ان",
    IF(F123&lt;=100, 18, IF(F123&lt;=250, 23, IF(F123&lt;=500, 35, IF(F123&lt;=1000, 40, F123*0.04)))),
IF(Basic34567891011121314151617181920[[#This Row],[نوع الخدمة]]="كاش اوت",
    IF(F123&lt;=100, 15, IF(F123&lt;=250, 20, IF(F123&lt;=500, 30, IF(F123&lt;=1000, 35, F123*0.035)))),
0)))</f>
        <v>0</v>
      </c>
      <c r="H123" s="163">
        <f>IF(I123="مخالفات",50,Basic34567891011121314151617181920[[#This Row],[قيمة الرسوم / العموله]]+Basic34567891011121314151617181920[[#This Row],[قيمة الشحنه]])</f>
        <v>0</v>
      </c>
      <c r="I123" s="90"/>
      <c r="J123" s="142" t="str">
        <f t="shared" si="1"/>
        <v>13.5.2026</v>
      </c>
      <c r="L123" s="153">
        <v>112</v>
      </c>
      <c r="M123" s="92"/>
    </row>
    <row r="124" spans="1:13" ht="21.6" x14ac:dyDescent="0.65">
      <c r="A124" s="195"/>
      <c r="B124" s="140">
        <v>121</v>
      </c>
      <c r="C124" s="2"/>
      <c r="D124" s="1"/>
      <c r="E124" s="3"/>
      <c r="F124" s="1"/>
      <c r="G124" s="141">
        <f>IF(Basic34567891011121314151617181920[[#This Row],[نوع الخدمة]]="مخالفات", 50,
IF(Basic34567891011121314151617181920[[#This Row],[نوع الخدمة]]="كاش ان",
    IF(F124&lt;=100, 18, IF(F124&lt;=250, 23, IF(F124&lt;=500, 35, IF(F124&lt;=1000, 40, F124*0.04)))),
IF(Basic34567891011121314151617181920[[#This Row],[نوع الخدمة]]="كاش اوت",
    IF(F124&lt;=100, 15, IF(F124&lt;=250, 20, IF(F124&lt;=500, 30, IF(F124&lt;=1000, 35, F124*0.035)))),
0)))</f>
        <v>0</v>
      </c>
      <c r="H124" s="163">
        <f>IF(I124="مخالفات",50,Basic34567891011121314151617181920[[#This Row],[قيمة الرسوم / العموله]]+Basic34567891011121314151617181920[[#This Row],[قيمة الشحنه]])</f>
        <v>0</v>
      </c>
      <c r="I124" s="90"/>
      <c r="J124" s="142" t="str">
        <f t="shared" si="1"/>
        <v>13.5.2026</v>
      </c>
      <c r="L124" s="153">
        <v>113</v>
      </c>
      <c r="M124" s="92"/>
    </row>
    <row r="125" spans="1:13" ht="21.6" x14ac:dyDescent="0.65">
      <c r="A125" s="195"/>
      <c r="B125" s="144">
        <v>122</v>
      </c>
      <c r="C125" s="2"/>
      <c r="D125" s="1"/>
      <c r="E125" s="3"/>
      <c r="F125" s="1"/>
      <c r="G125" s="141">
        <f>IF(Basic34567891011121314151617181920[[#This Row],[نوع الخدمة]]="مخالفات", 50,
IF(Basic34567891011121314151617181920[[#This Row],[نوع الخدمة]]="كاش ان",
    IF(F125&lt;=100, 18, IF(F125&lt;=250, 23, IF(F125&lt;=500, 35, IF(F125&lt;=1000, 40, F125*0.04)))),
IF(Basic34567891011121314151617181920[[#This Row],[نوع الخدمة]]="كاش اوت",
    IF(F125&lt;=100, 15, IF(F125&lt;=250, 20, IF(F125&lt;=500, 30, IF(F125&lt;=1000, 35, F125*0.035)))),
0)))</f>
        <v>0</v>
      </c>
      <c r="H125" s="163">
        <f>IF(I125="مخالفات",50,Basic34567891011121314151617181920[[#This Row],[قيمة الرسوم / العموله]]+Basic34567891011121314151617181920[[#This Row],[قيمة الشحنه]])</f>
        <v>0</v>
      </c>
      <c r="I125" s="90"/>
      <c r="J125" s="142" t="str">
        <f t="shared" si="1"/>
        <v>13.5.2026</v>
      </c>
      <c r="L125" s="153">
        <v>114</v>
      </c>
      <c r="M125" s="92"/>
    </row>
    <row r="126" spans="1:13" ht="21.6" x14ac:dyDescent="0.65">
      <c r="A126" s="195"/>
      <c r="B126" s="140">
        <v>123</v>
      </c>
      <c r="C126" s="2"/>
      <c r="D126" s="1"/>
      <c r="E126" s="3"/>
      <c r="F126" s="1"/>
      <c r="G126" s="141">
        <f>IF(Basic34567891011121314151617181920[[#This Row],[نوع الخدمة]]="مخالفات", 50,
IF(Basic34567891011121314151617181920[[#This Row],[نوع الخدمة]]="كاش ان",
    IF(F126&lt;=100, 18, IF(F126&lt;=250, 23, IF(F126&lt;=500, 35, IF(F126&lt;=1000, 40, F126*0.04)))),
IF(Basic34567891011121314151617181920[[#This Row],[نوع الخدمة]]="كاش اوت",
    IF(F126&lt;=100, 15, IF(F126&lt;=250, 20, IF(F126&lt;=500, 30, IF(F126&lt;=1000, 35, F126*0.035)))),
0)))</f>
        <v>0</v>
      </c>
      <c r="H126" s="163">
        <f>IF(I126="مخالفات",50,Basic34567891011121314151617181920[[#This Row],[قيمة الرسوم / العموله]]+Basic34567891011121314151617181920[[#This Row],[قيمة الشحنه]])</f>
        <v>0</v>
      </c>
      <c r="I126" s="90"/>
      <c r="J126" s="142" t="str">
        <f t="shared" si="1"/>
        <v>13.5.2026</v>
      </c>
      <c r="L126" s="153">
        <v>115</v>
      </c>
      <c r="M126" s="92"/>
    </row>
    <row r="127" spans="1:13" ht="21.6" x14ac:dyDescent="0.65">
      <c r="A127" s="195"/>
      <c r="B127" s="140">
        <v>124</v>
      </c>
      <c r="C127" s="2"/>
      <c r="D127" s="1"/>
      <c r="E127" s="3"/>
      <c r="F127" s="1"/>
      <c r="G127" s="141">
        <f>IF(Basic34567891011121314151617181920[[#This Row],[نوع الخدمة]]="مخالفات", 50,
IF(Basic34567891011121314151617181920[[#This Row],[نوع الخدمة]]="كاش ان",
    IF(F127&lt;=100, 18, IF(F127&lt;=250, 23, IF(F127&lt;=500, 35, IF(F127&lt;=1000, 40, F127*0.04)))),
IF(Basic34567891011121314151617181920[[#This Row],[نوع الخدمة]]="كاش اوت",
    IF(F127&lt;=100, 15, IF(F127&lt;=250, 20, IF(F127&lt;=500, 30, IF(F127&lt;=1000, 35, F127*0.035)))),
0)))</f>
        <v>0</v>
      </c>
      <c r="H127" s="163">
        <f>IF(I127="مخالفات",50,Basic34567891011121314151617181920[[#This Row],[قيمة الرسوم / العموله]]+Basic34567891011121314151617181920[[#This Row],[قيمة الشحنه]])</f>
        <v>0</v>
      </c>
      <c r="I127" s="90"/>
      <c r="J127" s="142" t="str">
        <f t="shared" si="1"/>
        <v>13.5.2026</v>
      </c>
      <c r="L127" s="153">
        <v>116</v>
      </c>
      <c r="M127" s="92"/>
    </row>
    <row r="128" spans="1:13" ht="21.6" x14ac:dyDescent="0.65">
      <c r="A128" s="195"/>
      <c r="B128" s="140">
        <v>125</v>
      </c>
      <c r="C128" s="2"/>
      <c r="D128" s="1"/>
      <c r="E128" s="3"/>
      <c r="F128" s="1"/>
      <c r="G128" s="141">
        <f>IF(Basic34567891011121314151617181920[[#This Row],[نوع الخدمة]]="مخالفات", 50,
IF(Basic34567891011121314151617181920[[#This Row],[نوع الخدمة]]="كاش ان",
    IF(F128&lt;=100, 18, IF(F128&lt;=250, 23, IF(F128&lt;=500, 35, IF(F128&lt;=1000, 40, F128*0.04)))),
IF(Basic34567891011121314151617181920[[#This Row],[نوع الخدمة]]="كاش اوت",
    IF(F128&lt;=100, 15, IF(F128&lt;=250, 20, IF(F128&lt;=500, 30, IF(F128&lt;=1000, 35, F128*0.035)))),
0)))</f>
        <v>0</v>
      </c>
      <c r="H128" s="163">
        <f>IF(I128="مخالفات",50,Basic34567891011121314151617181920[[#This Row],[قيمة الرسوم / العموله]]+Basic34567891011121314151617181920[[#This Row],[قيمة الشحنه]])</f>
        <v>0</v>
      </c>
      <c r="I128" s="90"/>
      <c r="J128" s="142" t="str">
        <f t="shared" si="1"/>
        <v>13.5.2026</v>
      </c>
      <c r="L128" s="153">
        <v>117</v>
      </c>
      <c r="M128" s="92"/>
    </row>
    <row r="129" spans="1:13" ht="21.6" x14ac:dyDescent="0.65">
      <c r="A129" s="195"/>
      <c r="B129" s="144">
        <v>126</v>
      </c>
      <c r="C129" s="2"/>
      <c r="D129" s="1"/>
      <c r="E129" s="3"/>
      <c r="F129" s="1"/>
      <c r="G129" s="141">
        <f>IF(Basic34567891011121314151617181920[[#This Row],[نوع الخدمة]]="مخالفات", 50,
IF(Basic34567891011121314151617181920[[#This Row],[نوع الخدمة]]="كاش ان",
    IF(F129&lt;=100, 18, IF(F129&lt;=250, 23, IF(F129&lt;=500, 35, IF(F129&lt;=1000, 40, F129*0.04)))),
IF(Basic34567891011121314151617181920[[#This Row],[نوع الخدمة]]="كاش اوت",
    IF(F129&lt;=100, 15, IF(F129&lt;=250, 20, IF(F129&lt;=500, 30, IF(F129&lt;=1000, 35, F129*0.035)))),
0)))</f>
        <v>0</v>
      </c>
      <c r="H129" s="163">
        <f>IF(I129="مخالفات",50,Basic34567891011121314151617181920[[#This Row],[قيمة الرسوم / العموله]]+Basic34567891011121314151617181920[[#This Row],[قيمة الشحنه]])</f>
        <v>0</v>
      </c>
      <c r="I129" s="90"/>
      <c r="J129" s="142" t="str">
        <f t="shared" si="1"/>
        <v>13.5.2026</v>
      </c>
      <c r="L129" s="153">
        <v>118</v>
      </c>
      <c r="M129" s="92"/>
    </row>
    <row r="130" spans="1:13" ht="21.6" x14ac:dyDescent="0.65">
      <c r="A130" s="195"/>
      <c r="B130" s="140">
        <v>127</v>
      </c>
      <c r="C130" s="2"/>
      <c r="D130" s="1"/>
      <c r="E130" s="3"/>
      <c r="F130" s="1"/>
      <c r="G130" s="141">
        <f>IF(Basic34567891011121314151617181920[[#This Row],[نوع الخدمة]]="مخالفات", 50,
IF(Basic34567891011121314151617181920[[#This Row],[نوع الخدمة]]="كاش ان",
    IF(F130&lt;=100, 18, IF(F130&lt;=250, 23, IF(F130&lt;=500, 35, IF(F130&lt;=1000, 40, F130*0.04)))),
IF(Basic34567891011121314151617181920[[#This Row],[نوع الخدمة]]="كاش اوت",
    IF(F130&lt;=100, 15, IF(F130&lt;=250, 20, IF(F130&lt;=500, 30, IF(F130&lt;=1000, 35, F130*0.035)))),
0)))</f>
        <v>0</v>
      </c>
      <c r="H130" s="163">
        <f>IF(I130="مخالفات",50,Basic34567891011121314151617181920[[#This Row],[قيمة الرسوم / العموله]]+Basic34567891011121314151617181920[[#This Row],[قيمة الشحنه]])</f>
        <v>0</v>
      </c>
      <c r="I130" s="90"/>
      <c r="J130" s="142" t="str">
        <f t="shared" si="1"/>
        <v>13.5.2026</v>
      </c>
      <c r="L130" s="153">
        <v>119</v>
      </c>
      <c r="M130" s="92"/>
    </row>
    <row r="131" spans="1:13" ht="21.6" x14ac:dyDescent="0.65">
      <c r="A131" s="195"/>
      <c r="B131" s="140">
        <v>128</v>
      </c>
      <c r="C131" s="2"/>
      <c r="D131" s="1"/>
      <c r="E131" s="3"/>
      <c r="F131" s="1"/>
      <c r="G131" s="141">
        <f>IF(Basic34567891011121314151617181920[[#This Row],[نوع الخدمة]]="مخالفات", 50,
IF(Basic34567891011121314151617181920[[#This Row],[نوع الخدمة]]="كاش ان",
    IF(F131&lt;=100, 18, IF(F131&lt;=250, 23, IF(F131&lt;=500, 35, IF(F131&lt;=1000, 40, F131*0.04)))),
IF(Basic34567891011121314151617181920[[#This Row],[نوع الخدمة]]="كاش اوت",
    IF(F131&lt;=100, 15, IF(F131&lt;=250, 20, IF(F131&lt;=500, 30, IF(F131&lt;=1000, 35, F131*0.035)))),
0)))</f>
        <v>0</v>
      </c>
      <c r="H131" s="163">
        <f>IF(I131="مخالفات",50,Basic34567891011121314151617181920[[#This Row],[قيمة الرسوم / العموله]]+Basic34567891011121314151617181920[[#This Row],[قيمة الشحنه]])</f>
        <v>0</v>
      </c>
      <c r="I131" s="90"/>
      <c r="J131" s="142" t="str">
        <f t="shared" si="1"/>
        <v>13.5.2026</v>
      </c>
      <c r="L131" s="153">
        <v>120</v>
      </c>
      <c r="M131" s="92"/>
    </row>
    <row r="132" spans="1:13" ht="21.6" x14ac:dyDescent="0.65">
      <c r="A132" s="195"/>
      <c r="B132" s="140">
        <v>129</v>
      </c>
      <c r="C132" s="2"/>
      <c r="D132" s="1"/>
      <c r="E132" s="3"/>
      <c r="F132" s="1"/>
      <c r="G132" s="141">
        <f>IF(Basic34567891011121314151617181920[[#This Row],[نوع الخدمة]]="مخالفات", 50,
IF(Basic34567891011121314151617181920[[#This Row],[نوع الخدمة]]="كاش ان",
    IF(F132&lt;=100, 18, IF(F132&lt;=250, 23, IF(F132&lt;=500, 35, IF(F132&lt;=1000, 40, F132*0.04)))),
IF(Basic34567891011121314151617181920[[#This Row],[نوع الخدمة]]="كاش اوت",
    IF(F132&lt;=100, 15, IF(F132&lt;=250, 20, IF(F132&lt;=500, 30, IF(F132&lt;=1000, 35, F132*0.035)))),
0)))</f>
        <v>0</v>
      </c>
      <c r="H132" s="163">
        <f>IF(I132="مخالفات",50,Basic34567891011121314151617181920[[#This Row],[قيمة الرسوم / العموله]]+Basic34567891011121314151617181920[[#This Row],[قيمة الشحنه]])</f>
        <v>0</v>
      </c>
      <c r="I132" s="90"/>
      <c r="J132" s="142" t="str">
        <f t="shared" ref="J132:J195" si="2">M$3</f>
        <v>13.5.2026</v>
      </c>
      <c r="L132" s="153">
        <v>121</v>
      </c>
      <c r="M132" s="92"/>
    </row>
    <row r="133" spans="1:13" ht="21.6" x14ac:dyDescent="0.65">
      <c r="A133" s="195"/>
      <c r="B133" s="144">
        <v>130</v>
      </c>
      <c r="C133" s="2"/>
      <c r="D133" s="1"/>
      <c r="E133" s="3"/>
      <c r="F133" s="1"/>
      <c r="G133" s="141">
        <f>IF(Basic34567891011121314151617181920[[#This Row],[نوع الخدمة]]="مخالفات", 50,
IF(Basic34567891011121314151617181920[[#This Row],[نوع الخدمة]]="كاش ان",
    IF(F133&lt;=100, 18, IF(F133&lt;=250, 23, IF(F133&lt;=500, 35, IF(F133&lt;=1000, 40, F133*0.04)))),
IF(Basic34567891011121314151617181920[[#This Row],[نوع الخدمة]]="كاش اوت",
    IF(F133&lt;=100, 15, IF(F133&lt;=250, 20, IF(F133&lt;=500, 30, IF(F133&lt;=1000, 35, F133*0.035)))),
0)))</f>
        <v>0</v>
      </c>
      <c r="H133" s="163">
        <f>IF(I133="مخالفات",50,Basic34567891011121314151617181920[[#This Row],[قيمة الرسوم / العموله]]+Basic34567891011121314151617181920[[#This Row],[قيمة الشحنه]])</f>
        <v>0</v>
      </c>
      <c r="I133" s="90"/>
      <c r="J133" s="142" t="str">
        <f t="shared" si="2"/>
        <v>13.5.2026</v>
      </c>
      <c r="L133" s="153">
        <v>122</v>
      </c>
      <c r="M133" s="92"/>
    </row>
    <row r="134" spans="1:13" ht="21.6" x14ac:dyDescent="0.65">
      <c r="A134" s="195"/>
      <c r="B134" s="140">
        <v>131</v>
      </c>
      <c r="C134" s="2"/>
      <c r="D134" s="1"/>
      <c r="E134" s="3"/>
      <c r="F134" s="1"/>
      <c r="G134" s="141">
        <f>IF(Basic34567891011121314151617181920[[#This Row],[نوع الخدمة]]="مخالفات", 50,
IF(Basic34567891011121314151617181920[[#This Row],[نوع الخدمة]]="كاش ان",
    IF(F134&lt;=100, 18, IF(F134&lt;=250, 23, IF(F134&lt;=500, 35, IF(F134&lt;=1000, 40, F134*0.04)))),
IF(Basic34567891011121314151617181920[[#This Row],[نوع الخدمة]]="كاش اوت",
    IF(F134&lt;=100, 15, IF(F134&lt;=250, 20, IF(F134&lt;=500, 30, IF(F134&lt;=1000, 35, F134*0.035)))),
0)))</f>
        <v>0</v>
      </c>
      <c r="H134" s="163">
        <f>IF(I134="مخالفات",50,Basic34567891011121314151617181920[[#This Row],[قيمة الرسوم / العموله]]+Basic34567891011121314151617181920[[#This Row],[قيمة الشحنه]])</f>
        <v>0</v>
      </c>
      <c r="I134" s="90"/>
      <c r="J134" s="142" t="str">
        <f t="shared" si="2"/>
        <v>13.5.2026</v>
      </c>
      <c r="L134" s="153">
        <v>123</v>
      </c>
      <c r="M134" s="92"/>
    </row>
    <row r="135" spans="1:13" ht="21.6" x14ac:dyDescent="0.65">
      <c r="A135" s="195"/>
      <c r="B135" s="140">
        <v>132</v>
      </c>
      <c r="C135" s="2"/>
      <c r="D135" s="1"/>
      <c r="E135" s="3"/>
      <c r="F135" s="1"/>
      <c r="G135" s="141">
        <f>IF(Basic34567891011121314151617181920[[#This Row],[نوع الخدمة]]="مخالفات", 50,
IF(Basic34567891011121314151617181920[[#This Row],[نوع الخدمة]]="كاش ان",
    IF(F135&lt;=100, 18, IF(F135&lt;=250, 23, IF(F135&lt;=500, 35, IF(F135&lt;=1000, 40, F135*0.04)))),
IF(Basic34567891011121314151617181920[[#This Row],[نوع الخدمة]]="كاش اوت",
    IF(F135&lt;=100, 15, IF(F135&lt;=250, 20, IF(F135&lt;=500, 30, IF(F135&lt;=1000, 35, F135*0.035)))),
0)))</f>
        <v>0</v>
      </c>
      <c r="H135" s="163">
        <f>IF(I135="مخالفات",50,Basic34567891011121314151617181920[[#This Row],[قيمة الرسوم / العموله]]+Basic34567891011121314151617181920[[#This Row],[قيمة الشحنه]])</f>
        <v>0</v>
      </c>
      <c r="I135" s="90"/>
      <c r="J135" s="142" t="str">
        <f t="shared" si="2"/>
        <v>13.5.2026</v>
      </c>
      <c r="L135" s="153">
        <v>124</v>
      </c>
      <c r="M135" s="92"/>
    </row>
    <row r="136" spans="1:13" ht="21.6" x14ac:dyDescent="0.65">
      <c r="A136" s="195"/>
      <c r="B136" s="140">
        <v>133</v>
      </c>
      <c r="C136" s="2"/>
      <c r="D136" s="1"/>
      <c r="E136" s="3"/>
      <c r="F136" s="1"/>
      <c r="G136" s="141">
        <f>IF(Basic34567891011121314151617181920[[#This Row],[نوع الخدمة]]="مخالفات", 50,
IF(Basic34567891011121314151617181920[[#This Row],[نوع الخدمة]]="كاش ان",
    IF(F136&lt;=100, 18, IF(F136&lt;=250, 23, IF(F136&lt;=500, 35, IF(F136&lt;=1000, 40, F136*0.04)))),
IF(Basic34567891011121314151617181920[[#This Row],[نوع الخدمة]]="كاش اوت",
    IF(F136&lt;=100, 15, IF(F136&lt;=250, 20, IF(F136&lt;=500, 30, IF(F136&lt;=1000, 35, F136*0.035)))),
0)))</f>
        <v>0</v>
      </c>
      <c r="H136" s="163">
        <f>IF(I136="مخالفات",50,Basic34567891011121314151617181920[[#This Row],[قيمة الرسوم / العموله]]+Basic34567891011121314151617181920[[#This Row],[قيمة الشحنه]])</f>
        <v>0</v>
      </c>
      <c r="I136" s="90"/>
      <c r="J136" s="142" t="str">
        <f t="shared" si="2"/>
        <v>13.5.2026</v>
      </c>
      <c r="L136" s="153">
        <v>125</v>
      </c>
      <c r="M136" s="92"/>
    </row>
    <row r="137" spans="1:13" ht="21.6" x14ac:dyDescent="0.65">
      <c r="A137" s="195"/>
      <c r="B137" s="144">
        <v>134</v>
      </c>
      <c r="C137" s="2"/>
      <c r="D137" s="1"/>
      <c r="E137" s="3"/>
      <c r="F137" s="1"/>
      <c r="G137" s="141">
        <f>IF(Basic34567891011121314151617181920[[#This Row],[نوع الخدمة]]="مخالفات", 50,
IF(Basic34567891011121314151617181920[[#This Row],[نوع الخدمة]]="كاش ان",
    IF(F137&lt;=100, 18, IF(F137&lt;=250, 23, IF(F137&lt;=500, 35, IF(F137&lt;=1000, 40, F137*0.04)))),
IF(Basic34567891011121314151617181920[[#This Row],[نوع الخدمة]]="كاش اوت",
    IF(F137&lt;=100, 15, IF(F137&lt;=250, 20, IF(F137&lt;=500, 30, IF(F137&lt;=1000, 35, F137*0.035)))),
0)))</f>
        <v>0</v>
      </c>
      <c r="H137" s="163">
        <f>IF(I137="مخالفات",50,Basic34567891011121314151617181920[[#This Row],[قيمة الرسوم / العموله]]+Basic34567891011121314151617181920[[#This Row],[قيمة الشحنه]])</f>
        <v>0</v>
      </c>
      <c r="I137" s="90"/>
      <c r="J137" s="142" t="str">
        <f t="shared" si="2"/>
        <v>13.5.2026</v>
      </c>
      <c r="L137" s="153">
        <v>126</v>
      </c>
      <c r="M137" s="92"/>
    </row>
    <row r="138" spans="1:13" ht="21.6" x14ac:dyDescent="0.65">
      <c r="A138" s="195"/>
      <c r="B138" s="140">
        <v>135</v>
      </c>
      <c r="C138" s="2"/>
      <c r="D138" s="1"/>
      <c r="E138" s="3"/>
      <c r="F138" s="1"/>
      <c r="G138" s="141">
        <f>IF(Basic34567891011121314151617181920[[#This Row],[نوع الخدمة]]="مخالفات", 50,
IF(Basic34567891011121314151617181920[[#This Row],[نوع الخدمة]]="كاش ان",
    IF(F138&lt;=100, 18, IF(F138&lt;=250, 23, IF(F138&lt;=500, 35, IF(F138&lt;=1000, 40, F138*0.04)))),
IF(Basic34567891011121314151617181920[[#This Row],[نوع الخدمة]]="كاش اوت",
    IF(F138&lt;=100, 15, IF(F138&lt;=250, 20, IF(F138&lt;=500, 30, IF(F138&lt;=1000, 35, F138*0.035)))),
0)))</f>
        <v>0</v>
      </c>
      <c r="H138" s="163">
        <f>IF(I138="مخالفات",50,Basic34567891011121314151617181920[[#This Row],[قيمة الرسوم / العموله]]+Basic34567891011121314151617181920[[#This Row],[قيمة الشحنه]])</f>
        <v>0</v>
      </c>
      <c r="I138" s="90"/>
      <c r="J138" s="142" t="str">
        <f t="shared" si="2"/>
        <v>13.5.2026</v>
      </c>
      <c r="L138" s="153">
        <v>127</v>
      </c>
      <c r="M138" s="92"/>
    </row>
    <row r="139" spans="1:13" ht="21.6" x14ac:dyDescent="0.65">
      <c r="A139" s="195"/>
      <c r="B139" s="140">
        <v>136</v>
      </c>
      <c r="C139" s="2"/>
      <c r="D139" s="1"/>
      <c r="E139" s="3"/>
      <c r="F139" s="1"/>
      <c r="G139" s="141">
        <f>IF(Basic34567891011121314151617181920[[#This Row],[نوع الخدمة]]="مخالفات", 50,
IF(Basic34567891011121314151617181920[[#This Row],[نوع الخدمة]]="كاش ان",
    IF(F139&lt;=100, 18, IF(F139&lt;=250, 23, IF(F139&lt;=500, 35, IF(F139&lt;=1000, 40, F139*0.04)))),
IF(Basic34567891011121314151617181920[[#This Row],[نوع الخدمة]]="كاش اوت",
    IF(F139&lt;=100, 15, IF(F139&lt;=250, 20, IF(F139&lt;=500, 30, IF(F139&lt;=1000, 35, F139*0.035)))),
0)))</f>
        <v>0</v>
      </c>
      <c r="H139" s="163">
        <f>IF(I139="مخالفات",50,Basic34567891011121314151617181920[[#This Row],[قيمة الرسوم / العموله]]+Basic34567891011121314151617181920[[#This Row],[قيمة الشحنه]])</f>
        <v>0</v>
      </c>
      <c r="I139" s="90"/>
      <c r="J139" s="142" t="str">
        <f t="shared" si="2"/>
        <v>13.5.2026</v>
      </c>
      <c r="L139" s="153">
        <v>128</v>
      </c>
      <c r="M139" s="92"/>
    </row>
    <row r="140" spans="1:13" ht="21.6" x14ac:dyDescent="0.65">
      <c r="A140" s="195"/>
      <c r="B140" s="140">
        <v>137</v>
      </c>
      <c r="C140" s="2"/>
      <c r="D140" s="1"/>
      <c r="E140" s="3"/>
      <c r="F140" s="1"/>
      <c r="G140" s="141">
        <f>IF(Basic34567891011121314151617181920[[#This Row],[نوع الخدمة]]="مخالفات", 50,
IF(Basic34567891011121314151617181920[[#This Row],[نوع الخدمة]]="كاش ان",
    IF(F140&lt;=100, 18, IF(F140&lt;=250, 23, IF(F140&lt;=500, 35, IF(F140&lt;=1000, 40, F140*0.04)))),
IF(Basic34567891011121314151617181920[[#This Row],[نوع الخدمة]]="كاش اوت",
    IF(F140&lt;=100, 15, IF(F140&lt;=250, 20, IF(F140&lt;=500, 30, IF(F140&lt;=1000, 35, F140*0.035)))),
0)))</f>
        <v>0</v>
      </c>
      <c r="H140" s="163">
        <f>IF(I140="مخالفات",50,Basic34567891011121314151617181920[[#This Row],[قيمة الرسوم / العموله]]+Basic34567891011121314151617181920[[#This Row],[قيمة الشحنه]])</f>
        <v>0</v>
      </c>
      <c r="I140" s="90"/>
      <c r="J140" s="142" t="str">
        <f t="shared" si="2"/>
        <v>13.5.2026</v>
      </c>
      <c r="L140" s="153">
        <v>129</v>
      </c>
      <c r="M140" s="92"/>
    </row>
    <row r="141" spans="1:13" ht="21.6" x14ac:dyDescent="0.65">
      <c r="A141" s="195"/>
      <c r="B141" s="144">
        <v>138</v>
      </c>
      <c r="C141" s="2"/>
      <c r="D141" s="1"/>
      <c r="E141" s="3"/>
      <c r="F141" s="1"/>
      <c r="G141" s="141">
        <f>IF(Basic34567891011121314151617181920[[#This Row],[نوع الخدمة]]="مخالفات", 50,
IF(Basic34567891011121314151617181920[[#This Row],[نوع الخدمة]]="كاش ان",
    IF(F141&lt;=100, 18, IF(F141&lt;=250, 23, IF(F141&lt;=500, 35, IF(F141&lt;=1000, 40, F141*0.04)))),
IF(Basic34567891011121314151617181920[[#This Row],[نوع الخدمة]]="كاش اوت",
    IF(F141&lt;=100, 15, IF(F141&lt;=250, 20, IF(F141&lt;=500, 30, IF(F141&lt;=1000, 35, F141*0.035)))),
0)))</f>
        <v>0</v>
      </c>
      <c r="H141" s="163">
        <f>IF(I141="مخالفات",50,Basic34567891011121314151617181920[[#This Row],[قيمة الرسوم / العموله]]+Basic34567891011121314151617181920[[#This Row],[قيمة الشحنه]])</f>
        <v>0</v>
      </c>
      <c r="I141" s="90"/>
      <c r="J141" s="142" t="str">
        <f t="shared" si="2"/>
        <v>13.5.2026</v>
      </c>
      <c r="L141" s="153">
        <v>130</v>
      </c>
      <c r="M141" s="92"/>
    </row>
    <row r="142" spans="1:13" ht="21.6" x14ac:dyDescent="0.65">
      <c r="A142" s="195"/>
      <c r="B142" s="140">
        <v>139</v>
      </c>
      <c r="C142" s="2"/>
      <c r="D142" s="1"/>
      <c r="E142" s="3"/>
      <c r="F142" s="1"/>
      <c r="G142" s="141">
        <f>IF(Basic34567891011121314151617181920[[#This Row],[نوع الخدمة]]="مخالفات", 50,
IF(Basic34567891011121314151617181920[[#This Row],[نوع الخدمة]]="كاش ان",
    IF(F142&lt;=100, 18, IF(F142&lt;=250, 23, IF(F142&lt;=500, 35, IF(F142&lt;=1000, 40, F142*0.04)))),
IF(Basic34567891011121314151617181920[[#This Row],[نوع الخدمة]]="كاش اوت",
    IF(F142&lt;=100, 15, IF(F142&lt;=250, 20, IF(F142&lt;=500, 30, IF(F142&lt;=1000, 35, F142*0.035)))),
0)))</f>
        <v>0</v>
      </c>
      <c r="H142" s="163">
        <f>IF(I142="مخالفات",50,Basic34567891011121314151617181920[[#This Row],[قيمة الرسوم / العموله]]+Basic34567891011121314151617181920[[#This Row],[قيمة الشحنه]])</f>
        <v>0</v>
      </c>
      <c r="I142" s="90"/>
      <c r="J142" s="142" t="str">
        <f t="shared" si="2"/>
        <v>13.5.2026</v>
      </c>
      <c r="L142" s="153">
        <v>131</v>
      </c>
      <c r="M142" s="92"/>
    </row>
    <row r="143" spans="1:13" ht="21.6" x14ac:dyDescent="0.65">
      <c r="A143" s="195"/>
      <c r="B143" s="140">
        <v>140</v>
      </c>
      <c r="C143" s="2"/>
      <c r="D143" s="1"/>
      <c r="E143" s="3"/>
      <c r="F143" s="1"/>
      <c r="G143" s="141">
        <f>IF(Basic34567891011121314151617181920[[#This Row],[نوع الخدمة]]="مخالفات", 50,
IF(Basic34567891011121314151617181920[[#This Row],[نوع الخدمة]]="كاش ان",
    IF(F143&lt;=100, 18, IF(F143&lt;=250, 23, IF(F143&lt;=500, 35, IF(F143&lt;=1000, 40, F143*0.04)))),
IF(Basic34567891011121314151617181920[[#This Row],[نوع الخدمة]]="كاش اوت",
    IF(F143&lt;=100, 15, IF(F143&lt;=250, 20, IF(F143&lt;=500, 30, IF(F143&lt;=1000, 35, F143*0.035)))),
0)))</f>
        <v>0</v>
      </c>
      <c r="H143" s="163">
        <f>IF(I143="مخالفات",50,Basic34567891011121314151617181920[[#This Row],[قيمة الرسوم / العموله]]+Basic34567891011121314151617181920[[#This Row],[قيمة الشحنه]])</f>
        <v>0</v>
      </c>
      <c r="I143" s="90"/>
      <c r="J143" s="142" t="str">
        <f t="shared" si="2"/>
        <v>13.5.2026</v>
      </c>
      <c r="L143" s="153">
        <v>132</v>
      </c>
      <c r="M143" s="92"/>
    </row>
    <row r="144" spans="1:13" ht="21.6" x14ac:dyDescent="0.65">
      <c r="A144" s="195"/>
      <c r="B144" s="140">
        <v>141</v>
      </c>
      <c r="C144" s="2"/>
      <c r="D144" s="1"/>
      <c r="E144" s="3"/>
      <c r="F144" s="1"/>
      <c r="G144" s="141">
        <f>IF(Basic34567891011121314151617181920[[#This Row],[نوع الخدمة]]="مخالفات", 50,
IF(Basic34567891011121314151617181920[[#This Row],[نوع الخدمة]]="كاش ان",
    IF(F144&lt;=100, 18, IF(F144&lt;=250, 23, IF(F144&lt;=500, 35, IF(F144&lt;=1000, 40, F144*0.04)))),
IF(Basic34567891011121314151617181920[[#This Row],[نوع الخدمة]]="كاش اوت",
    IF(F144&lt;=100, 15, IF(F144&lt;=250, 20, IF(F144&lt;=500, 30, IF(F144&lt;=1000, 35, F144*0.035)))),
0)))</f>
        <v>0</v>
      </c>
      <c r="H144" s="163">
        <f>IF(I144="مخالفات",50,Basic34567891011121314151617181920[[#This Row],[قيمة الرسوم / العموله]]+Basic34567891011121314151617181920[[#This Row],[قيمة الشحنه]])</f>
        <v>0</v>
      </c>
      <c r="I144" s="90"/>
      <c r="J144" s="142" t="str">
        <f t="shared" si="2"/>
        <v>13.5.2026</v>
      </c>
      <c r="L144" s="153">
        <v>133</v>
      </c>
      <c r="M144" s="92"/>
    </row>
    <row r="145" spans="1:13" ht="21.6" x14ac:dyDescent="0.65">
      <c r="A145" s="195"/>
      <c r="B145" s="144">
        <v>142</v>
      </c>
      <c r="C145" s="2"/>
      <c r="D145" s="1"/>
      <c r="E145" s="3"/>
      <c r="F145" s="1"/>
      <c r="G145" s="141">
        <f>IF(Basic34567891011121314151617181920[[#This Row],[نوع الخدمة]]="مخالفات", 50,
IF(Basic34567891011121314151617181920[[#This Row],[نوع الخدمة]]="كاش ان",
    IF(F145&lt;=100, 18, IF(F145&lt;=250, 23, IF(F145&lt;=500, 35, IF(F145&lt;=1000, 40, F145*0.04)))),
IF(Basic34567891011121314151617181920[[#This Row],[نوع الخدمة]]="كاش اوت",
    IF(F145&lt;=100, 15, IF(F145&lt;=250, 20, IF(F145&lt;=500, 30, IF(F145&lt;=1000, 35, F145*0.035)))),
0)))</f>
        <v>0</v>
      </c>
      <c r="H145" s="163">
        <f>IF(I145="مخالفات",50,Basic34567891011121314151617181920[[#This Row],[قيمة الرسوم / العموله]]+Basic34567891011121314151617181920[[#This Row],[قيمة الشحنه]])</f>
        <v>0</v>
      </c>
      <c r="I145" s="90"/>
      <c r="J145" s="142" t="str">
        <f t="shared" si="2"/>
        <v>13.5.2026</v>
      </c>
      <c r="L145" s="153">
        <v>134</v>
      </c>
      <c r="M145" s="92"/>
    </row>
    <row r="146" spans="1:13" ht="21.6" x14ac:dyDescent="0.65">
      <c r="A146" s="195"/>
      <c r="B146" s="140">
        <v>143</v>
      </c>
      <c r="C146" s="2"/>
      <c r="D146" s="1"/>
      <c r="E146" s="3"/>
      <c r="F146" s="1"/>
      <c r="G146" s="141">
        <f>IF(Basic34567891011121314151617181920[[#This Row],[نوع الخدمة]]="مخالفات", 50,
IF(Basic34567891011121314151617181920[[#This Row],[نوع الخدمة]]="كاش ان",
    IF(F146&lt;=100, 18, IF(F146&lt;=250, 23, IF(F146&lt;=500, 35, IF(F146&lt;=1000, 40, F146*0.04)))),
IF(Basic34567891011121314151617181920[[#This Row],[نوع الخدمة]]="كاش اوت",
    IF(F146&lt;=100, 15, IF(F146&lt;=250, 20, IF(F146&lt;=500, 30, IF(F146&lt;=1000, 35, F146*0.035)))),
0)))</f>
        <v>0</v>
      </c>
      <c r="H146" s="163">
        <f>IF(I146="مخالفات",50,Basic34567891011121314151617181920[[#This Row],[قيمة الرسوم / العموله]]+Basic34567891011121314151617181920[[#This Row],[قيمة الشحنه]])</f>
        <v>0</v>
      </c>
      <c r="I146" s="90"/>
      <c r="J146" s="142" t="str">
        <f t="shared" si="2"/>
        <v>13.5.2026</v>
      </c>
      <c r="L146" s="153">
        <v>135</v>
      </c>
      <c r="M146" s="92"/>
    </row>
    <row r="147" spans="1:13" ht="21.6" x14ac:dyDescent="0.65">
      <c r="A147" s="195"/>
      <c r="B147" s="140">
        <v>144</v>
      </c>
      <c r="C147" s="2"/>
      <c r="D147" s="1"/>
      <c r="E147" s="3"/>
      <c r="F147" s="1"/>
      <c r="G147" s="141">
        <f>IF(Basic34567891011121314151617181920[[#This Row],[نوع الخدمة]]="مخالفات", 50,
IF(Basic34567891011121314151617181920[[#This Row],[نوع الخدمة]]="كاش ان",
    IF(F147&lt;=100, 18, IF(F147&lt;=250, 23, IF(F147&lt;=500, 35, IF(F147&lt;=1000, 40, F147*0.04)))),
IF(Basic34567891011121314151617181920[[#This Row],[نوع الخدمة]]="كاش اوت",
    IF(F147&lt;=100, 15, IF(F147&lt;=250, 20, IF(F147&lt;=500, 30, IF(F147&lt;=1000, 35, F147*0.035)))),
0)))</f>
        <v>0</v>
      </c>
      <c r="H147" s="163">
        <f>IF(I147="مخالفات",50,Basic34567891011121314151617181920[[#This Row],[قيمة الرسوم / العموله]]+Basic34567891011121314151617181920[[#This Row],[قيمة الشحنه]])</f>
        <v>0</v>
      </c>
      <c r="I147" s="90"/>
      <c r="J147" s="142" t="str">
        <f t="shared" si="2"/>
        <v>13.5.2026</v>
      </c>
      <c r="L147" s="153">
        <v>136</v>
      </c>
      <c r="M147" s="92"/>
    </row>
    <row r="148" spans="1:13" ht="21.6" x14ac:dyDescent="0.65">
      <c r="A148" s="195"/>
      <c r="B148" s="140">
        <v>145</v>
      </c>
      <c r="C148" s="2"/>
      <c r="D148" s="1"/>
      <c r="E148" s="3"/>
      <c r="F148" s="1"/>
      <c r="G148" s="141">
        <f>IF(Basic34567891011121314151617181920[[#This Row],[نوع الخدمة]]="مخالفات", 50,
IF(Basic34567891011121314151617181920[[#This Row],[نوع الخدمة]]="كاش ان",
    IF(F148&lt;=100, 18, IF(F148&lt;=250, 23, IF(F148&lt;=500, 35, IF(F148&lt;=1000, 40, F148*0.04)))),
IF(Basic34567891011121314151617181920[[#This Row],[نوع الخدمة]]="كاش اوت",
    IF(F148&lt;=100, 15, IF(F148&lt;=250, 20, IF(F148&lt;=500, 30, IF(F148&lt;=1000, 35, F148*0.035)))),
0)))</f>
        <v>0</v>
      </c>
      <c r="H148" s="163">
        <f>IF(I148="مخالفات",50,Basic34567891011121314151617181920[[#This Row],[قيمة الرسوم / العموله]]+Basic34567891011121314151617181920[[#This Row],[قيمة الشحنه]])</f>
        <v>0</v>
      </c>
      <c r="I148" s="90"/>
      <c r="J148" s="142" t="str">
        <f t="shared" si="2"/>
        <v>13.5.2026</v>
      </c>
      <c r="L148" s="153">
        <v>137</v>
      </c>
      <c r="M148" s="92"/>
    </row>
    <row r="149" spans="1:13" ht="21.6" x14ac:dyDescent="0.65">
      <c r="A149" s="195"/>
      <c r="B149" s="144">
        <v>146</v>
      </c>
      <c r="C149" s="2"/>
      <c r="D149" s="1"/>
      <c r="E149" s="3"/>
      <c r="F149" s="1"/>
      <c r="G149" s="141">
        <f>IF(Basic34567891011121314151617181920[[#This Row],[نوع الخدمة]]="مخالفات", 50,
IF(Basic34567891011121314151617181920[[#This Row],[نوع الخدمة]]="كاش ان",
    IF(F149&lt;=100, 18, IF(F149&lt;=250, 23, IF(F149&lt;=500, 35, IF(F149&lt;=1000, 40, F149*0.04)))),
IF(Basic34567891011121314151617181920[[#This Row],[نوع الخدمة]]="كاش اوت",
    IF(F149&lt;=100, 15, IF(F149&lt;=250, 20, IF(F149&lt;=500, 30, IF(F149&lt;=1000, 35, F149*0.035)))),
0)))</f>
        <v>0</v>
      </c>
      <c r="H149" s="163">
        <f>IF(I149="مخالفات",50,Basic34567891011121314151617181920[[#This Row],[قيمة الرسوم / العموله]]+Basic34567891011121314151617181920[[#This Row],[قيمة الشحنه]])</f>
        <v>0</v>
      </c>
      <c r="I149" s="90"/>
      <c r="J149" s="142" t="str">
        <f t="shared" si="2"/>
        <v>13.5.2026</v>
      </c>
      <c r="L149" s="153">
        <v>138</v>
      </c>
      <c r="M149" s="92"/>
    </row>
    <row r="150" spans="1:13" ht="21.6" x14ac:dyDescent="0.65">
      <c r="A150" s="195"/>
      <c r="B150" s="140">
        <v>147</v>
      </c>
      <c r="C150" s="2"/>
      <c r="D150" s="1"/>
      <c r="E150" s="3"/>
      <c r="F150" s="1"/>
      <c r="G150" s="141">
        <f>IF(Basic34567891011121314151617181920[[#This Row],[نوع الخدمة]]="مخالفات", 50,
IF(Basic34567891011121314151617181920[[#This Row],[نوع الخدمة]]="كاش ان",
    IF(F150&lt;=100, 18, IF(F150&lt;=250, 23, IF(F150&lt;=500, 35, IF(F150&lt;=1000, 40, F150*0.04)))),
IF(Basic34567891011121314151617181920[[#This Row],[نوع الخدمة]]="كاش اوت",
    IF(F150&lt;=100, 15, IF(F150&lt;=250, 20, IF(F150&lt;=500, 30, IF(F150&lt;=1000, 35, F150*0.035)))),
0)))</f>
        <v>0</v>
      </c>
      <c r="H150" s="163">
        <f>IF(I150="مخالفات",50,Basic34567891011121314151617181920[[#This Row],[قيمة الرسوم / العموله]]+Basic34567891011121314151617181920[[#This Row],[قيمة الشحنه]])</f>
        <v>0</v>
      </c>
      <c r="I150" s="90"/>
      <c r="J150" s="142" t="str">
        <f t="shared" si="2"/>
        <v>13.5.2026</v>
      </c>
      <c r="L150" s="153">
        <v>139</v>
      </c>
      <c r="M150" s="92"/>
    </row>
    <row r="151" spans="1:13" ht="21.6" x14ac:dyDescent="0.65">
      <c r="A151" s="195"/>
      <c r="B151" s="140">
        <v>148</v>
      </c>
      <c r="C151" s="2"/>
      <c r="D151" s="1"/>
      <c r="E151" s="3"/>
      <c r="F151" s="1"/>
      <c r="G151" s="141">
        <f>IF(Basic34567891011121314151617181920[[#This Row],[نوع الخدمة]]="مخالفات", 50,
IF(Basic34567891011121314151617181920[[#This Row],[نوع الخدمة]]="كاش ان",
    IF(F151&lt;=100, 18, IF(F151&lt;=250, 23, IF(F151&lt;=500, 35, IF(F151&lt;=1000, 40, F151*0.04)))),
IF(Basic34567891011121314151617181920[[#This Row],[نوع الخدمة]]="كاش اوت",
    IF(F151&lt;=100, 15, IF(F151&lt;=250, 20, IF(F151&lt;=500, 30, IF(F151&lt;=1000, 35, F151*0.035)))),
0)))</f>
        <v>0</v>
      </c>
      <c r="H151" s="163">
        <f>IF(I151="مخالفات",50,Basic34567891011121314151617181920[[#This Row],[قيمة الرسوم / العموله]]+Basic34567891011121314151617181920[[#This Row],[قيمة الشحنه]])</f>
        <v>0</v>
      </c>
      <c r="I151" s="90"/>
      <c r="J151" s="142" t="str">
        <f t="shared" si="2"/>
        <v>13.5.2026</v>
      </c>
      <c r="L151" s="153">
        <v>140</v>
      </c>
      <c r="M151" s="92"/>
    </row>
    <row r="152" spans="1:13" ht="21.6" x14ac:dyDescent="0.65">
      <c r="A152" s="195"/>
      <c r="B152" s="140">
        <v>149</v>
      </c>
      <c r="C152" s="2"/>
      <c r="D152" s="1"/>
      <c r="E152" s="3"/>
      <c r="F152" s="1"/>
      <c r="G152" s="141">
        <f>IF(Basic34567891011121314151617181920[[#This Row],[نوع الخدمة]]="مخالفات", 50,
IF(Basic34567891011121314151617181920[[#This Row],[نوع الخدمة]]="كاش ان",
    IF(F152&lt;=100, 18, IF(F152&lt;=250, 23, IF(F152&lt;=500, 35, IF(F152&lt;=1000, 40, F152*0.04)))),
IF(Basic34567891011121314151617181920[[#This Row],[نوع الخدمة]]="كاش اوت",
    IF(F152&lt;=100, 15, IF(F152&lt;=250, 20, IF(F152&lt;=500, 30, IF(F152&lt;=1000, 35, F152*0.035)))),
0)))</f>
        <v>0</v>
      </c>
      <c r="H152" s="163">
        <f>IF(I152="مخالفات",50,Basic34567891011121314151617181920[[#This Row],[قيمة الرسوم / العموله]]+Basic34567891011121314151617181920[[#This Row],[قيمة الشحنه]])</f>
        <v>0</v>
      </c>
      <c r="I152" s="90"/>
      <c r="J152" s="142" t="str">
        <f t="shared" si="2"/>
        <v>13.5.2026</v>
      </c>
      <c r="L152" s="153">
        <v>141</v>
      </c>
      <c r="M152" s="92"/>
    </row>
    <row r="153" spans="1:13" ht="21.6" x14ac:dyDescent="0.65">
      <c r="A153" s="195"/>
      <c r="B153" s="144">
        <v>150</v>
      </c>
      <c r="C153" s="2"/>
      <c r="D153" s="1"/>
      <c r="E153" s="3"/>
      <c r="F153" s="1"/>
      <c r="G153" s="141">
        <f>IF(Basic34567891011121314151617181920[[#This Row],[نوع الخدمة]]="مخالفات", 50,
IF(Basic34567891011121314151617181920[[#This Row],[نوع الخدمة]]="كاش ان",
    IF(F153&lt;=100, 18, IF(F153&lt;=250, 23, IF(F153&lt;=500, 35, IF(F153&lt;=1000, 40, F153*0.04)))),
IF(Basic34567891011121314151617181920[[#This Row],[نوع الخدمة]]="كاش اوت",
    IF(F153&lt;=100, 15, IF(F153&lt;=250, 20, IF(F153&lt;=500, 30, IF(F153&lt;=1000, 35, F153*0.035)))),
0)))</f>
        <v>0</v>
      </c>
      <c r="H153" s="163">
        <f>IF(I153="مخالفات",50,Basic34567891011121314151617181920[[#This Row],[قيمة الرسوم / العموله]]+Basic34567891011121314151617181920[[#This Row],[قيمة الشحنه]])</f>
        <v>0</v>
      </c>
      <c r="I153" s="90"/>
      <c r="J153" s="142" t="str">
        <f t="shared" si="2"/>
        <v>13.5.2026</v>
      </c>
      <c r="L153" s="153">
        <v>142</v>
      </c>
      <c r="M153" s="92"/>
    </row>
    <row r="154" spans="1:13" ht="21.6" x14ac:dyDescent="0.65">
      <c r="A154" s="195"/>
      <c r="B154" s="140">
        <v>151</v>
      </c>
      <c r="C154" s="2"/>
      <c r="D154" s="1"/>
      <c r="E154" s="3"/>
      <c r="F154" s="1"/>
      <c r="G154" s="141">
        <f>IF(Basic34567891011121314151617181920[[#This Row],[نوع الخدمة]]="مخالفات", 50,
IF(Basic34567891011121314151617181920[[#This Row],[نوع الخدمة]]="كاش ان",
    IF(F154&lt;=100, 18, IF(F154&lt;=250, 23, IF(F154&lt;=500, 35, IF(F154&lt;=1000, 40, F154*0.04)))),
IF(Basic34567891011121314151617181920[[#This Row],[نوع الخدمة]]="كاش اوت",
    IF(F154&lt;=100, 15, IF(F154&lt;=250, 20, IF(F154&lt;=500, 30, IF(F154&lt;=1000, 35, F154*0.035)))),
0)))</f>
        <v>0</v>
      </c>
      <c r="H154" s="163">
        <f>IF(I154="مخالفات",50,Basic34567891011121314151617181920[[#This Row],[قيمة الرسوم / العموله]]+Basic34567891011121314151617181920[[#This Row],[قيمة الشحنه]])</f>
        <v>0</v>
      </c>
      <c r="I154" s="90"/>
      <c r="J154" s="142" t="str">
        <f t="shared" si="2"/>
        <v>13.5.2026</v>
      </c>
      <c r="L154" s="153">
        <v>143</v>
      </c>
      <c r="M154" s="92"/>
    </row>
    <row r="155" spans="1:13" ht="21.6" x14ac:dyDescent="0.65">
      <c r="A155" s="195"/>
      <c r="B155" s="140">
        <v>152</v>
      </c>
      <c r="C155" s="2"/>
      <c r="D155" s="1"/>
      <c r="E155" s="3"/>
      <c r="F155" s="1"/>
      <c r="G155" s="141">
        <f>IF(Basic34567891011121314151617181920[[#This Row],[نوع الخدمة]]="مخالفات", 50,
IF(Basic34567891011121314151617181920[[#This Row],[نوع الخدمة]]="كاش ان",
    IF(F155&lt;=100, 18, IF(F155&lt;=250, 23, IF(F155&lt;=500, 35, IF(F155&lt;=1000, 40, F155*0.04)))),
IF(Basic34567891011121314151617181920[[#This Row],[نوع الخدمة]]="كاش اوت",
    IF(F155&lt;=100, 15, IF(F155&lt;=250, 20, IF(F155&lt;=500, 30, IF(F155&lt;=1000, 35, F155*0.035)))),
0)))</f>
        <v>0</v>
      </c>
      <c r="H155" s="163">
        <f>IF(I155="مخالفات",50,Basic34567891011121314151617181920[[#This Row],[قيمة الرسوم / العموله]]+Basic34567891011121314151617181920[[#This Row],[قيمة الشحنه]])</f>
        <v>0</v>
      </c>
      <c r="I155" s="90"/>
      <c r="J155" s="142" t="str">
        <f t="shared" si="2"/>
        <v>13.5.2026</v>
      </c>
      <c r="L155" s="153">
        <v>144</v>
      </c>
      <c r="M155" s="92"/>
    </row>
    <row r="156" spans="1:13" ht="21.6" x14ac:dyDescent="0.65">
      <c r="A156" s="195"/>
      <c r="B156" s="140">
        <v>153</v>
      </c>
      <c r="C156" s="2"/>
      <c r="D156" s="1"/>
      <c r="E156" s="3"/>
      <c r="F156" s="1"/>
      <c r="G156" s="141">
        <f>IF(Basic34567891011121314151617181920[[#This Row],[نوع الخدمة]]="مخالفات", 50,
IF(Basic34567891011121314151617181920[[#This Row],[نوع الخدمة]]="كاش ان",
    IF(F156&lt;=100, 18, IF(F156&lt;=250, 23, IF(F156&lt;=500, 35, IF(F156&lt;=1000, 40, F156*0.04)))),
IF(Basic34567891011121314151617181920[[#This Row],[نوع الخدمة]]="كاش اوت",
    IF(F156&lt;=100, 15, IF(F156&lt;=250, 20, IF(F156&lt;=500, 30, IF(F156&lt;=1000, 35, F156*0.035)))),
0)))</f>
        <v>0</v>
      </c>
      <c r="H156" s="163">
        <f>IF(I156="مخالفات",50,Basic34567891011121314151617181920[[#This Row],[قيمة الرسوم / العموله]]+Basic34567891011121314151617181920[[#This Row],[قيمة الشحنه]])</f>
        <v>0</v>
      </c>
      <c r="I156" s="90"/>
      <c r="J156" s="142" t="str">
        <f t="shared" si="2"/>
        <v>13.5.2026</v>
      </c>
      <c r="L156" s="153">
        <v>145</v>
      </c>
      <c r="M156" s="92"/>
    </row>
    <row r="157" spans="1:13" ht="21.6" x14ac:dyDescent="0.65">
      <c r="A157" s="195"/>
      <c r="B157" s="144">
        <v>154</v>
      </c>
      <c r="C157" s="2"/>
      <c r="D157" s="1"/>
      <c r="E157" s="3"/>
      <c r="F157" s="1"/>
      <c r="G157" s="141">
        <f>IF(Basic34567891011121314151617181920[[#This Row],[نوع الخدمة]]="مخالفات", 50,
IF(Basic34567891011121314151617181920[[#This Row],[نوع الخدمة]]="كاش ان",
    IF(F157&lt;=100, 18, IF(F157&lt;=250, 23, IF(F157&lt;=500, 35, IF(F157&lt;=1000, 40, F157*0.04)))),
IF(Basic34567891011121314151617181920[[#This Row],[نوع الخدمة]]="كاش اوت",
    IF(F157&lt;=100, 15, IF(F157&lt;=250, 20, IF(F157&lt;=500, 30, IF(F157&lt;=1000, 35, F157*0.035)))),
0)))</f>
        <v>0</v>
      </c>
      <c r="H157" s="163">
        <f>IF(I157="مخالفات",50,Basic34567891011121314151617181920[[#This Row],[قيمة الرسوم / العموله]]+Basic34567891011121314151617181920[[#This Row],[قيمة الشحنه]])</f>
        <v>0</v>
      </c>
      <c r="I157" s="90"/>
      <c r="J157" s="142" t="str">
        <f t="shared" si="2"/>
        <v>13.5.2026</v>
      </c>
      <c r="L157" s="153">
        <v>146</v>
      </c>
      <c r="M157" s="92"/>
    </row>
    <row r="158" spans="1:13" ht="21.6" x14ac:dyDescent="0.65">
      <c r="A158" s="195"/>
      <c r="B158" s="140">
        <v>155</v>
      </c>
      <c r="C158" s="2"/>
      <c r="D158" s="1"/>
      <c r="E158" s="3"/>
      <c r="F158" s="1"/>
      <c r="G158" s="141">
        <f>IF(Basic34567891011121314151617181920[[#This Row],[نوع الخدمة]]="مخالفات", 50,
IF(Basic34567891011121314151617181920[[#This Row],[نوع الخدمة]]="كاش ان",
    IF(F158&lt;=100, 18, IF(F158&lt;=250, 23, IF(F158&lt;=500, 35, IF(F158&lt;=1000, 40, F158*0.04)))),
IF(Basic34567891011121314151617181920[[#This Row],[نوع الخدمة]]="كاش اوت",
    IF(F158&lt;=100, 15, IF(F158&lt;=250, 20, IF(F158&lt;=500, 30, IF(F158&lt;=1000, 35, F158*0.035)))),
0)))</f>
        <v>0</v>
      </c>
      <c r="H158" s="163">
        <f>IF(I158="مخالفات",50,Basic34567891011121314151617181920[[#This Row],[قيمة الرسوم / العموله]]+Basic34567891011121314151617181920[[#This Row],[قيمة الشحنه]])</f>
        <v>0</v>
      </c>
      <c r="I158" s="90"/>
      <c r="J158" s="142" t="str">
        <f t="shared" si="2"/>
        <v>13.5.2026</v>
      </c>
      <c r="L158" s="153">
        <v>147</v>
      </c>
      <c r="M158" s="92"/>
    </row>
    <row r="159" spans="1:13" ht="21.6" x14ac:dyDescent="0.65">
      <c r="A159" s="195"/>
      <c r="B159" s="140">
        <v>156</v>
      </c>
      <c r="C159" s="2"/>
      <c r="D159" s="1"/>
      <c r="E159" s="3"/>
      <c r="F159" s="1"/>
      <c r="G159" s="141">
        <f>IF(Basic34567891011121314151617181920[[#This Row],[نوع الخدمة]]="مخالفات", 50,
IF(Basic34567891011121314151617181920[[#This Row],[نوع الخدمة]]="كاش ان",
    IF(F159&lt;=100, 18, IF(F159&lt;=250, 23, IF(F159&lt;=500, 35, IF(F159&lt;=1000, 40, F159*0.04)))),
IF(Basic34567891011121314151617181920[[#This Row],[نوع الخدمة]]="كاش اوت",
    IF(F159&lt;=100, 15, IF(F159&lt;=250, 20, IF(F159&lt;=500, 30, IF(F159&lt;=1000, 35, F159*0.035)))),
0)))</f>
        <v>0</v>
      </c>
      <c r="H159" s="163">
        <f>IF(I159="مخالفات",50,Basic34567891011121314151617181920[[#This Row],[قيمة الرسوم / العموله]]+Basic34567891011121314151617181920[[#This Row],[قيمة الشحنه]])</f>
        <v>0</v>
      </c>
      <c r="I159" s="90"/>
      <c r="J159" s="142" t="str">
        <f t="shared" si="2"/>
        <v>13.5.2026</v>
      </c>
      <c r="L159" s="153">
        <v>148</v>
      </c>
      <c r="M159" s="92"/>
    </row>
    <row r="160" spans="1:13" ht="21.6" x14ac:dyDescent="0.65">
      <c r="A160" s="195"/>
      <c r="B160" s="140">
        <v>157</v>
      </c>
      <c r="C160" s="2"/>
      <c r="D160" s="1"/>
      <c r="E160" s="3"/>
      <c r="F160" s="1"/>
      <c r="G160" s="141">
        <f>IF(Basic34567891011121314151617181920[[#This Row],[نوع الخدمة]]="مخالفات", 50,
IF(Basic34567891011121314151617181920[[#This Row],[نوع الخدمة]]="كاش ان",
    IF(F160&lt;=100, 18, IF(F160&lt;=250, 23, IF(F160&lt;=500, 35, IF(F160&lt;=1000, 40, F160*0.04)))),
IF(Basic34567891011121314151617181920[[#This Row],[نوع الخدمة]]="كاش اوت",
    IF(F160&lt;=100, 15, IF(F160&lt;=250, 20, IF(F160&lt;=500, 30, IF(F160&lt;=1000, 35, F160*0.035)))),
0)))</f>
        <v>0</v>
      </c>
      <c r="H160" s="163">
        <f>IF(I160="مخالفات",50,Basic34567891011121314151617181920[[#This Row],[قيمة الرسوم / العموله]]+Basic34567891011121314151617181920[[#This Row],[قيمة الشحنه]])</f>
        <v>0</v>
      </c>
      <c r="I160" s="90"/>
      <c r="J160" s="142" t="str">
        <f t="shared" si="2"/>
        <v>13.5.2026</v>
      </c>
      <c r="L160" s="153">
        <v>149</v>
      </c>
      <c r="M160" s="92"/>
    </row>
    <row r="161" spans="1:13" ht="21.6" x14ac:dyDescent="0.65">
      <c r="A161" s="195"/>
      <c r="B161" s="144">
        <v>158</v>
      </c>
      <c r="C161" s="2"/>
      <c r="D161" s="1"/>
      <c r="E161" s="3"/>
      <c r="F161" s="1"/>
      <c r="G161" s="141">
        <f>IF(Basic34567891011121314151617181920[[#This Row],[نوع الخدمة]]="مخالفات", 50,
IF(Basic34567891011121314151617181920[[#This Row],[نوع الخدمة]]="كاش ان",
    IF(F161&lt;=100, 18, IF(F161&lt;=250, 23, IF(F161&lt;=500, 35, IF(F161&lt;=1000, 40, F161*0.04)))),
IF(Basic34567891011121314151617181920[[#This Row],[نوع الخدمة]]="كاش اوت",
    IF(F161&lt;=100, 15, IF(F161&lt;=250, 20, IF(F161&lt;=500, 30, IF(F161&lt;=1000, 35, F161*0.035)))),
0)))</f>
        <v>0</v>
      </c>
      <c r="H161" s="163">
        <f>IF(I161="مخالفات",50,Basic34567891011121314151617181920[[#This Row],[قيمة الرسوم / العموله]]+Basic34567891011121314151617181920[[#This Row],[قيمة الشحنه]])</f>
        <v>0</v>
      </c>
      <c r="I161" s="90"/>
      <c r="J161" s="142" t="str">
        <f t="shared" si="2"/>
        <v>13.5.2026</v>
      </c>
      <c r="L161" s="153">
        <v>150</v>
      </c>
      <c r="M161" s="92"/>
    </row>
    <row r="162" spans="1:13" ht="21.6" x14ac:dyDescent="0.65">
      <c r="A162" s="195"/>
      <c r="B162" s="140">
        <v>159</v>
      </c>
      <c r="C162" s="2"/>
      <c r="D162" s="1"/>
      <c r="E162" s="3"/>
      <c r="F162" s="1"/>
      <c r="G162" s="141">
        <f>IF(Basic34567891011121314151617181920[[#This Row],[نوع الخدمة]]="مخالفات", 50,
IF(Basic34567891011121314151617181920[[#This Row],[نوع الخدمة]]="كاش ان",
    IF(F162&lt;=100, 18, IF(F162&lt;=250, 23, IF(F162&lt;=500, 35, IF(F162&lt;=1000, 40, F162*0.04)))),
IF(Basic34567891011121314151617181920[[#This Row],[نوع الخدمة]]="كاش اوت",
    IF(F162&lt;=100, 15, IF(F162&lt;=250, 20, IF(F162&lt;=500, 30, IF(F162&lt;=1000, 35, F162*0.035)))),
0)))</f>
        <v>0</v>
      </c>
      <c r="H162" s="163">
        <f>IF(I162="مخالفات",50,Basic34567891011121314151617181920[[#This Row],[قيمة الرسوم / العموله]]+Basic34567891011121314151617181920[[#This Row],[قيمة الشحنه]])</f>
        <v>0</v>
      </c>
      <c r="I162" s="90"/>
      <c r="J162" s="142" t="str">
        <f t="shared" si="2"/>
        <v>13.5.2026</v>
      </c>
      <c r="L162" s="153">
        <v>151</v>
      </c>
      <c r="M162" s="92"/>
    </row>
    <row r="163" spans="1:13" ht="21.6" x14ac:dyDescent="0.65">
      <c r="A163" s="195"/>
      <c r="B163" s="140">
        <v>160</v>
      </c>
      <c r="C163" s="2"/>
      <c r="D163" s="1"/>
      <c r="E163" s="3"/>
      <c r="F163" s="1"/>
      <c r="G163" s="141">
        <f>IF(Basic34567891011121314151617181920[[#This Row],[نوع الخدمة]]="مخالفات", 50,
IF(Basic34567891011121314151617181920[[#This Row],[نوع الخدمة]]="كاش ان",
    IF(F163&lt;=100, 18, IF(F163&lt;=250, 23, IF(F163&lt;=500, 35, IF(F163&lt;=1000, 40, F163*0.04)))),
IF(Basic34567891011121314151617181920[[#This Row],[نوع الخدمة]]="كاش اوت",
    IF(F163&lt;=100, 15, IF(F163&lt;=250, 20, IF(F163&lt;=500, 30, IF(F163&lt;=1000, 35, F163*0.035)))),
0)))</f>
        <v>0</v>
      </c>
      <c r="H163" s="163">
        <f>IF(I163="مخالفات",50,Basic34567891011121314151617181920[[#This Row],[قيمة الرسوم / العموله]]+Basic34567891011121314151617181920[[#This Row],[قيمة الشحنه]])</f>
        <v>0</v>
      </c>
      <c r="I163" s="90"/>
      <c r="J163" s="142" t="str">
        <f t="shared" si="2"/>
        <v>13.5.2026</v>
      </c>
      <c r="L163" s="153">
        <v>152</v>
      </c>
      <c r="M163" s="92"/>
    </row>
    <row r="164" spans="1:13" ht="21.6" x14ac:dyDescent="0.65">
      <c r="A164" s="195"/>
      <c r="B164" s="140">
        <v>161</v>
      </c>
      <c r="C164" s="2"/>
      <c r="D164" s="1"/>
      <c r="E164" s="3"/>
      <c r="F164" s="1"/>
      <c r="G164" s="141">
        <f>IF(Basic34567891011121314151617181920[[#This Row],[نوع الخدمة]]="مخالفات", 50,
IF(Basic34567891011121314151617181920[[#This Row],[نوع الخدمة]]="كاش ان",
    IF(F164&lt;=100, 18, IF(F164&lt;=250, 23, IF(F164&lt;=500, 35, IF(F164&lt;=1000, 40, F164*0.04)))),
IF(Basic34567891011121314151617181920[[#This Row],[نوع الخدمة]]="كاش اوت",
    IF(F164&lt;=100, 15, IF(F164&lt;=250, 20, IF(F164&lt;=500, 30, IF(F164&lt;=1000, 35, F164*0.035)))),
0)))</f>
        <v>0</v>
      </c>
      <c r="H164" s="163">
        <f>IF(I164="مخالفات",50,Basic34567891011121314151617181920[[#This Row],[قيمة الرسوم / العموله]]+Basic34567891011121314151617181920[[#This Row],[قيمة الشحنه]])</f>
        <v>0</v>
      </c>
      <c r="I164" s="90"/>
      <c r="J164" s="142" t="str">
        <f t="shared" si="2"/>
        <v>13.5.2026</v>
      </c>
      <c r="L164" s="153">
        <v>153</v>
      </c>
      <c r="M164" s="92"/>
    </row>
    <row r="165" spans="1:13" ht="21.6" x14ac:dyDescent="0.65">
      <c r="A165" s="195"/>
      <c r="B165" s="144">
        <v>162</v>
      </c>
      <c r="C165" s="2"/>
      <c r="D165" s="1"/>
      <c r="E165" s="3"/>
      <c r="F165" s="1"/>
      <c r="G165" s="141">
        <f>IF(Basic34567891011121314151617181920[[#This Row],[نوع الخدمة]]="مخالفات", 50,
IF(Basic34567891011121314151617181920[[#This Row],[نوع الخدمة]]="كاش ان",
    IF(F165&lt;=100, 18, IF(F165&lt;=250, 23, IF(F165&lt;=500, 35, IF(F165&lt;=1000, 40, F165*0.04)))),
IF(Basic34567891011121314151617181920[[#This Row],[نوع الخدمة]]="كاش اوت",
    IF(F165&lt;=100, 15, IF(F165&lt;=250, 20, IF(F165&lt;=500, 30, IF(F165&lt;=1000, 35, F165*0.035)))),
0)))</f>
        <v>0</v>
      </c>
      <c r="H165" s="163">
        <f>IF(I165="مخالفات",50,Basic34567891011121314151617181920[[#This Row],[قيمة الرسوم / العموله]]+Basic34567891011121314151617181920[[#This Row],[قيمة الشحنه]])</f>
        <v>0</v>
      </c>
      <c r="I165" s="90"/>
      <c r="J165" s="142" t="str">
        <f t="shared" si="2"/>
        <v>13.5.2026</v>
      </c>
      <c r="L165" s="153">
        <v>154</v>
      </c>
      <c r="M165" s="92"/>
    </row>
    <row r="166" spans="1:13" ht="21.6" x14ac:dyDescent="0.65">
      <c r="A166" s="195"/>
      <c r="B166" s="140">
        <v>163</v>
      </c>
      <c r="C166" s="2"/>
      <c r="D166" s="1"/>
      <c r="E166" s="3"/>
      <c r="F166" s="1"/>
      <c r="G166" s="141">
        <f>IF(Basic34567891011121314151617181920[[#This Row],[نوع الخدمة]]="مخالفات", 50,
IF(Basic34567891011121314151617181920[[#This Row],[نوع الخدمة]]="كاش ان",
    IF(F166&lt;=100, 18, IF(F166&lt;=250, 23, IF(F166&lt;=500, 35, IF(F166&lt;=1000, 40, F166*0.04)))),
IF(Basic34567891011121314151617181920[[#This Row],[نوع الخدمة]]="كاش اوت",
    IF(F166&lt;=100, 15, IF(F166&lt;=250, 20, IF(F166&lt;=500, 30, IF(F166&lt;=1000, 35, F166*0.035)))),
0)))</f>
        <v>0</v>
      </c>
      <c r="H166" s="163">
        <f>IF(I166="مخالفات",50,Basic34567891011121314151617181920[[#This Row],[قيمة الرسوم / العموله]]+Basic34567891011121314151617181920[[#This Row],[قيمة الشحنه]])</f>
        <v>0</v>
      </c>
      <c r="I166" s="90"/>
      <c r="J166" s="142" t="str">
        <f t="shared" si="2"/>
        <v>13.5.2026</v>
      </c>
      <c r="L166" s="153">
        <v>155</v>
      </c>
      <c r="M166" s="92"/>
    </row>
    <row r="167" spans="1:13" ht="21.6" x14ac:dyDescent="0.65">
      <c r="A167" s="195"/>
      <c r="B167" s="140">
        <v>164</v>
      </c>
      <c r="C167" s="2"/>
      <c r="D167" s="1"/>
      <c r="E167" s="3"/>
      <c r="F167" s="1"/>
      <c r="G167" s="141">
        <f>IF(Basic34567891011121314151617181920[[#This Row],[نوع الخدمة]]="مخالفات", 50,
IF(Basic34567891011121314151617181920[[#This Row],[نوع الخدمة]]="كاش ان",
    IF(F167&lt;=100, 18, IF(F167&lt;=250, 23, IF(F167&lt;=500, 35, IF(F167&lt;=1000, 40, F167*0.04)))),
IF(Basic34567891011121314151617181920[[#This Row],[نوع الخدمة]]="كاش اوت",
    IF(F167&lt;=100, 15, IF(F167&lt;=250, 20, IF(F167&lt;=500, 30, IF(F167&lt;=1000, 35, F167*0.035)))),
0)))</f>
        <v>0</v>
      </c>
      <c r="H167" s="163">
        <f>IF(I167="مخالفات",50,Basic34567891011121314151617181920[[#This Row],[قيمة الرسوم / العموله]]+Basic34567891011121314151617181920[[#This Row],[قيمة الشحنه]])</f>
        <v>0</v>
      </c>
      <c r="I167" s="90"/>
      <c r="J167" s="142" t="str">
        <f t="shared" si="2"/>
        <v>13.5.2026</v>
      </c>
      <c r="L167" s="153">
        <v>156</v>
      </c>
      <c r="M167" s="92"/>
    </row>
    <row r="168" spans="1:13" ht="21.6" x14ac:dyDescent="0.65">
      <c r="A168" s="195"/>
      <c r="B168" s="140">
        <v>165</v>
      </c>
      <c r="C168" s="2"/>
      <c r="D168" s="1"/>
      <c r="E168" s="3"/>
      <c r="F168" s="1"/>
      <c r="G168" s="141">
        <f>IF(Basic34567891011121314151617181920[[#This Row],[نوع الخدمة]]="مخالفات", 50,
IF(Basic34567891011121314151617181920[[#This Row],[نوع الخدمة]]="كاش ان",
    IF(F168&lt;=100, 18, IF(F168&lt;=250, 23, IF(F168&lt;=500, 35, IF(F168&lt;=1000, 40, F168*0.04)))),
IF(Basic34567891011121314151617181920[[#This Row],[نوع الخدمة]]="كاش اوت",
    IF(F168&lt;=100, 15, IF(F168&lt;=250, 20, IF(F168&lt;=500, 30, IF(F168&lt;=1000, 35, F168*0.035)))),
0)))</f>
        <v>0</v>
      </c>
      <c r="H168" s="163">
        <f>IF(I168="مخالفات",50,Basic34567891011121314151617181920[[#This Row],[قيمة الرسوم / العموله]]+Basic34567891011121314151617181920[[#This Row],[قيمة الشحنه]])</f>
        <v>0</v>
      </c>
      <c r="I168" s="90"/>
      <c r="J168" s="142" t="str">
        <f t="shared" si="2"/>
        <v>13.5.2026</v>
      </c>
      <c r="L168" s="153">
        <v>157</v>
      </c>
      <c r="M168" s="92"/>
    </row>
    <row r="169" spans="1:13" ht="21.6" x14ac:dyDescent="0.65">
      <c r="A169" s="195"/>
      <c r="B169" s="144">
        <v>166</v>
      </c>
      <c r="C169" s="2"/>
      <c r="D169" s="1"/>
      <c r="E169" s="3"/>
      <c r="F169" s="1"/>
      <c r="G169" s="141">
        <f>IF(Basic34567891011121314151617181920[[#This Row],[نوع الخدمة]]="مخالفات", 50,
IF(Basic34567891011121314151617181920[[#This Row],[نوع الخدمة]]="كاش ان",
    IF(F169&lt;=100, 18, IF(F169&lt;=250, 23, IF(F169&lt;=500, 35, IF(F169&lt;=1000, 40, F169*0.04)))),
IF(Basic34567891011121314151617181920[[#This Row],[نوع الخدمة]]="كاش اوت",
    IF(F169&lt;=100, 15, IF(F169&lt;=250, 20, IF(F169&lt;=500, 30, IF(F169&lt;=1000, 35, F169*0.035)))),
0)))</f>
        <v>0</v>
      </c>
      <c r="H169" s="163">
        <f>IF(I169="مخالفات",50,Basic34567891011121314151617181920[[#This Row],[قيمة الرسوم / العموله]]+Basic34567891011121314151617181920[[#This Row],[قيمة الشحنه]])</f>
        <v>0</v>
      </c>
      <c r="I169" s="90"/>
      <c r="J169" s="142" t="str">
        <f t="shared" si="2"/>
        <v>13.5.2026</v>
      </c>
      <c r="L169" s="153">
        <v>158</v>
      </c>
      <c r="M169" s="92"/>
    </row>
    <row r="170" spans="1:13" ht="21.6" x14ac:dyDescent="0.65">
      <c r="A170" s="195"/>
      <c r="B170" s="140">
        <v>167</v>
      </c>
      <c r="C170" s="2"/>
      <c r="D170" s="1"/>
      <c r="E170" s="3"/>
      <c r="F170" s="1"/>
      <c r="G170" s="141">
        <f>IF(Basic34567891011121314151617181920[[#This Row],[نوع الخدمة]]="مخالفات", 50,
IF(Basic34567891011121314151617181920[[#This Row],[نوع الخدمة]]="كاش ان",
    IF(F170&lt;=100, 18, IF(F170&lt;=250, 23, IF(F170&lt;=500, 35, IF(F170&lt;=1000, 40, F170*0.04)))),
IF(Basic34567891011121314151617181920[[#This Row],[نوع الخدمة]]="كاش اوت",
    IF(F170&lt;=100, 15, IF(F170&lt;=250, 20, IF(F170&lt;=500, 30, IF(F170&lt;=1000, 35, F170*0.035)))),
0)))</f>
        <v>0</v>
      </c>
      <c r="H170" s="163">
        <f>IF(I170="مخالفات",50,Basic34567891011121314151617181920[[#This Row],[قيمة الرسوم / العموله]]+Basic34567891011121314151617181920[[#This Row],[قيمة الشحنه]])</f>
        <v>0</v>
      </c>
      <c r="I170" s="90"/>
      <c r="J170" s="142" t="str">
        <f t="shared" si="2"/>
        <v>13.5.2026</v>
      </c>
      <c r="L170" s="153">
        <v>159</v>
      </c>
      <c r="M170" s="92"/>
    </row>
    <row r="171" spans="1:13" ht="21.6" x14ac:dyDescent="0.65">
      <c r="A171" s="195"/>
      <c r="B171" s="140">
        <v>168</v>
      </c>
      <c r="C171" s="2"/>
      <c r="D171" s="1"/>
      <c r="E171" s="3"/>
      <c r="F171" s="1"/>
      <c r="G171" s="141">
        <f>IF(Basic34567891011121314151617181920[[#This Row],[نوع الخدمة]]="مخالفات", 50,
IF(Basic34567891011121314151617181920[[#This Row],[نوع الخدمة]]="كاش ان",
    IF(F171&lt;=100, 18, IF(F171&lt;=250, 23, IF(F171&lt;=500, 35, IF(F171&lt;=1000, 40, F171*0.04)))),
IF(Basic34567891011121314151617181920[[#This Row],[نوع الخدمة]]="كاش اوت",
    IF(F171&lt;=100, 15, IF(F171&lt;=250, 20, IF(F171&lt;=500, 30, IF(F171&lt;=1000, 35, F171*0.035)))),
0)))</f>
        <v>0</v>
      </c>
      <c r="H171" s="163">
        <f>IF(I171="مخالفات",50,Basic34567891011121314151617181920[[#This Row],[قيمة الرسوم / العموله]]+Basic34567891011121314151617181920[[#This Row],[قيمة الشحنه]])</f>
        <v>0</v>
      </c>
      <c r="I171" s="90"/>
      <c r="J171" s="142" t="str">
        <f t="shared" si="2"/>
        <v>13.5.2026</v>
      </c>
      <c r="L171" s="153">
        <v>160</v>
      </c>
      <c r="M171" s="92"/>
    </row>
    <row r="172" spans="1:13" ht="21.6" x14ac:dyDescent="0.65">
      <c r="A172" s="195"/>
      <c r="B172" s="140">
        <v>169</v>
      </c>
      <c r="C172" s="2"/>
      <c r="D172" s="1"/>
      <c r="E172" s="3"/>
      <c r="F172" s="1"/>
      <c r="G172" s="141">
        <f>IF(Basic34567891011121314151617181920[[#This Row],[نوع الخدمة]]="مخالفات", 50,
IF(Basic34567891011121314151617181920[[#This Row],[نوع الخدمة]]="كاش ان",
    IF(F172&lt;=100, 18, IF(F172&lt;=250, 23, IF(F172&lt;=500, 35, IF(F172&lt;=1000, 40, F172*0.04)))),
IF(Basic34567891011121314151617181920[[#This Row],[نوع الخدمة]]="كاش اوت",
    IF(F172&lt;=100, 15, IF(F172&lt;=250, 20, IF(F172&lt;=500, 30, IF(F172&lt;=1000, 35, F172*0.035)))),
0)))</f>
        <v>0</v>
      </c>
      <c r="H172" s="163">
        <f>IF(I172="مخالفات",50,Basic34567891011121314151617181920[[#This Row],[قيمة الرسوم / العموله]]+Basic34567891011121314151617181920[[#This Row],[قيمة الشحنه]])</f>
        <v>0</v>
      </c>
      <c r="I172" s="90"/>
      <c r="J172" s="142" t="str">
        <f t="shared" si="2"/>
        <v>13.5.2026</v>
      </c>
      <c r="L172" s="153">
        <v>161</v>
      </c>
      <c r="M172" s="92"/>
    </row>
    <row r="173" spans="1:13" ht="21.6" x14ac:dyDescent="0.65">
      <c r="A173" s="195"/>
      <c r="B173" s="144">
        <v>170</v>
      </c>
      <c r="C173" s="2"/>
      <c r="D173" s="1"/>
      <c r="E173" s="3"/>
      <c r="F173" s="1"/>
      <c r="G173" s="141">
        <f>IF(Basic34567891011121314151617181920[[#This Row],[نوع الخدمة]]="مخالفات", 50,
IF(Basic34567891011121314151617181920[[#This Row],[نوع الخدمة]]="كاش ان",
    IF(F173&lt;=100, 18, IF(F173&lt;=250, 23, IF(F173&lt;=500, 35, IF(F173&lt;=1000, 40, F173*0.04)))),
IF(Basic34567891011121314151617181920[[#This Row],[نوع الخدمة]]="كاش اوت",
    IF(F173&lt;=100, 15, IF(F173&lt;=250, 20, IF(F173&lt;=500, 30, IF(F173&lt;=1000, 35, F173*0.035)))),
0)))</f>
        <v>0</v>
      </c>
      <c r="H173" s="163">
        <f>IF(I173="مخالفات",50,Basic34567891011121314151617181920[[#This Row],[قيمة الرسوم / العموله]]+Basic34567891011121314151617181920[[#This Row],[قيمة الشحنه]])</f>
        <v>0</v>
      </c>
      <c r="I173" s="90"/>
      <c r="J173" s="142" t="str">
        <f t="shared" si="2"/>
        <v>13.5.2026</v>
      </c>
      <c r="L173" s="153">
        <v>162</v>
      </c>
      <c r="M173" s="92"/>
    </row>
    <row r="174" spans="1:13" ht="21.6" x14ac:dyDescent="0.65">
      <c r="A174" s="195"/>
      <c r="B174" s="140">
        <v>171</v>
      </c>
      <c r="C174" s="2"/>
      <c r="D174" s="1"/>
      <c r="E174" s="3"/>
      <c r="F174" s="1"/>
      <c r="G174" s="141">
        <f>IF(Basic34567891011121314151617181920[[#This Row],[نوع الخدمة]]="مخالفات", 50,
IF(Basic34567891011121314151617181920[[#This Row],[نوع الخدمة]]="كاش ان",
    IF(F174&lt;=100, 18, IF(F174&lt;=250, 23, IF(F174&lt;=500, 35, IF(F174&lt;=1000, 40, F174*0.04)))),
IF(Basic34567891011121314151617181920[[#This Row],[نوع الخدمة]]="كاش اوت",
    IF(F174&lt;=100, 15, IF(F174&lt;=250, 20, IF(F174&lt;=500, 30, IF(F174&lt;=1000, 35, F174*0.035)))),
0)))</f>
        <v>0</v>
      </c>
      <c r="H174" s="163">
        <f>IF(I174="مخالفات",50,Basic34567891011121314151617181920[[#This Row],[قيمة الرسوم / العموله]]+Basic34567891011121314151617181920[[#This Row],[قيمة الشحنه]])</f>
        <v>0</v>
      </c>
      <c r="I174" s="90"/>
      <c r="J174" s="142" t="str">
        <f t="shared" si="2"/>
        <v>13.5.2026</v>
      </c>
      <c r="L174" s="153">
        <v>163</v>
      </c>
      <c r="M174" s="92"/>
    </row>
    <row r="175" spans="1:13" ht="21.6" x14ac:dyDescent="0.65">
      <c r="A175" s="195"/>
      <c r="B175" s="140">
        <v>172</v>
      </c>
      <c r="C175" s="2"/>
      <c r="D175" s="1"/>
      <c r="E175" s="3"/>
      <c r="F175" s="1"/>
      <c r="G175" s="141">
        <f>IF(Basic34567891011121314151617181920[[#This Row],[نوع الخدمة]]="مخالفات", 50,
IF(Basic34567891011121314151617181920[[#This Row],[نوع الخدمة]]="كاش ان",
    IF(F175&lt;=100, 18, IF(F175&lt;=250, 23, IF(F175&lt;=500, 35, IF(F175&lt;=1000, 40, F175*0.04)))),
IF(Basic34567891011121314151617181920[[#This Row],[نوع الخدمة]]="كاش اوت",
    IF(F175&lt;=100, 15, IF(F175&lt;=250, 20, IF(F175&lt;=500, 30, IF(F175&lt;=1000, 35, F175*0.035)))),
0)))</f>
        <v>0</v>
      </c>
      <c r="H175" s="163">
        <f>IF(I175="مخالفات",50,Basic34567891011121314151617181920[[#This Row],[قيمة الرسوم / العموله]]+Basic34567891011121314151617181920[[#This Row],[قيمة الشحنه]])</f>
        <v>0</v>
      </c>
      <c r="I175" s="90"/>
      <c r="J175" s="142" t="str">
        <f t="shared" si="2"/>
        <v>13.5.2026</v>
      </c>
      <c r="L175" s="153">
        <v>164</v>
      </c>
      <c r="M175" s="92"/>
    </row>
    <row r="176" spans="1:13" ht="21.6" x14ac:dyDescent="0.65">
      <c r="A176" s="195"/>
      <c r="B176" s="140">
        <v>173</v>
      </c>
      <c r="C176" s="2"/>
      <c r="D176" s="1"/>
      <c r="E176" s="3"/>
      <c r="F176" s="1"/>
      <c r="G176" s="141">
        <f>IF(Basic34567891011121314151617181920[[#This Row],[نوع الخدمة]]="مخالفات", 50,
IF(Basic34567891011121314151617181920[[#This Row],[نوع الخدمة]]="كاش ان",
    IF(F176&lt;=100, 18, IF(F176&lt;=250, 23, IF(F176&lt;=500, 35, IF(F176&lt;=1000, 40, F176*0.04)))),
IF(Basic34567891011121314151617181920[[#This Row],[نوع الخدمة]]="كاش اوت",
    IF(F176&lt;=100, 15, IF(F176&lt;=250, 20, IF(F176&lt;=500, 30, IF(F176&lt;=1000, 35, F176*0.035)))),
0)))</f>
        <v>0</v>
      </c>
      <c r="H176" s="163">
        <f>IF(I176="مخالفات",50,Basic34567891011121314151617181920[[#This Row],[قيمة الرسوم / العموله]]+Basic34567891011121314151617181920[[#This Row],[قيمة الشحنه]])</f>
        <v>0</v>
      </c>
      <c r="I176" s="90"/>
      <c r="J176" s="142" t="str">
        <f t="shared" si="2"/>
        <v>13.5.2026</v>
      </c>
      <c r="L176" s="153">
        <v>165</v>
      </c>
      <c r="M176" s="92"/>
    </row>
    <row r="177" spans="1:13" ht="21.6" x14ac:dyDescent="0.65">
      <c r="A177" s="195"/>
      <c r="B177" s="144">
        <v>174</v>
      </c>
      <c r="C177" s="2"/>
      <c r="D177" s="1"/>
      <c r="E177" s="3"/>
      <c r="F177" s="1"/>
      <c r="G177" s="141">
        <f>IF(Basic34567891011121314151617181920[[#This Row],[نوع الخدمة]]="مخالفات", 50,
IF(Basic34567891011121314151617181920[[#This Row],[نوع الخدمة]]="كاش ان",
    IF(F177&lt;=100, 18, IF(F177&lt;=250, 23, IF(F177&lt;=500, 35, IF(F177&lt;=1000, 40, F177*0.04)))),
IF(Basic34567891011121314151617181920[[#This Row],[نوع الخدمة]]="كاش اوت",
    IF(F177&lt;=100, 15, IF(F177&lt;=250, 20, IF(F177&lt;=500, 30, IF(F177&lt;=1000, 35, F177*0.035)))),
0)))</f>
        <v>0</v>
      </c>
      <c r="H177" s="163">
        <f>IF(I177="مخالفات",50,Basic34567891011121314151617181920[[#This Row],[قيمة الرسوم / العموله]]+Basic34567891011121314151617181920[[#This Row],[قيمة الشحنه]])</f>
        <v>0</v>
      </c>
      <c r="I177" s="90"/>
      <c r="J177" s="142" t="str">
        <f t="shared" si="2"/>
        <v>13.5.2026</v>
      </c>
      <c r="L177" s="153">
        <v>166</v>
      </c>
      <c r="M177" s="92"/>
    </row>
    <row r="178" spans="1:13" ht="21.6" x14ac:dyDescent="0.65">
      <c r="A178" s="195"/>
      <c r="B178" s="140">
        <v>175</v>
      </c>
      <c r="C178" s="2"/>
      <c r="D178" s="1"/>
      <c r="E178" s="3"/>
      <c r="F178" s="1"/>
      <c r="G178" s="141">
        <f>IF(Basic34567891011121314151617181920[[#This Row],[نوع الخدمة]]="مخالفات", 50,
IF(Basic34567891011121314151617181920[[#This Row],[نوع الخدمة]]="كاش ان",
    IF(F178&lt;=100, 18, IF(F178&lt;=250, 23, IF(F178&lt;=500, 35, IF(F178&lt;=1000, 40, F178*0.04)))),
IF(Basic34567891011121314151617181920[[#This Row],[نوع الخدمة]]="كاش اوت",
    IF(F178&lt;=100, 15, IF(F178&lt;=250, 20, IF(F178&lt;=500, 30, IF(F178&lt;=1000, 35, F178*0.035)))),
0)))</f>
        <v>0</v>
      </c>
      <c r="H178" s="163">
        <f>IF(I178="مخالفات",50,Basic34567891011121314151617181920[[#This Row],[قيمة الرسوم / العموله]]+Basic34567891011121314151617181920[[#This Row],[قيمة الشحنه]])</f>
        <v>0</v>
      </c>
      <c r="I178" s="90"/>
      <c r="J178" s="142" t="str">
        <f t="shared" si="2"/>
        <v>13.5.2026</v>
      </c>
      <c r="L178" s="153">
        <v>167</v>
      </c>
      <c r="M178" s="92"/>
    </row>
    <row r="179" spans="1:13" ht="21.6" x14ac:dyDescent="0.65">
      <c r="A179" s="195"/>
      <c r="B179" s="140">
        <v>176</v>
      </c>
      <c r="C179" s="2"/>
      <c r="D179" s="1"/>
      <c r="E179" s="3"/>
      <c r="F179" s="1"/>
      <c r="G179" s="141">
        <f>IF(Basic34567891011121314151617181920[[#This Row],[نوع الخدمة]]="مخالفات", 50,
IF(Basic34567891011121314151617181920[[#This Row],[نوع الخدمة]]="كاش ان",
    IF(F179&lt;=100, 18, IF(F179&lt;=250, 23, IF(F179&lt;=500, 35, IF(F179&lt;=1000, 40, F179*0.04)))),
IF(Basic34567891011121314151617181920[[#This Row],[نوع الخدمة]]="كاش اوت",
    IF(F179&lt;=100, 15, IF(F179&lt;=250, 20, IF(F179&lt;=500, 30, IF(F179&lt;=1000, 35, F179*0.035)))),
0)))</f>
        <v>0</v>
      </c>
      <c r="H179" s="163">
        <f>IF(I179="مخالفات",50,Basic34567891011121314151617181920[[#This Row],[قيمة الرسوم / العموله]]+Basic34567891011121314151617181920[[#This Row],[قيمة الشحنه]])</f>
        <v>0</v>
      </c>
      <c r="I179" s="90"/>
      <c r="J179" s="142" t="str">
        <f t="shared" si="2"/>
        <v>13.5.2026</v>
      </c>
      <c r="L179" s="153">
        <v>168</v>
      </c>
      <c r="M179" s="92"/>
    </row>
    <row r="180" spans="1:13" ht="21.6" x14ac:dyDescent="0.65">
      <c r="A180" s="195"/>
      <c r="B180" s="140">
        <v>177</v>
      </c>
      <c r="C180" s="2"/>
      <c r="D180" s="1"/>
      <c r="E180" s="3"/>
      <c r="F180" s="1"/>
      <c r="G180" s="141">
        <f>IF(Basic34567891011121314151617181920[[#This Row],[نوع الخدمة]]="مخالفات", 50,
IF(Basic34567891011121314151617181920[[#This Row],[نوع الخدمة]]="كاش ان",
    IF(F180&lt;=100, 18, IF(F180&lt;=250, 23, IF(F180&lt;=500, 35, IF(F180&lt;=1000, 40, F180*0.04)))),
IF(Basic34567891011121314151617181920[[#This Row],[نوع الخدمة]]="كاش اوت",
    IF(F180&lt;=100, 15, IF(F180&lt;=250, 20, IF(F180&lt;=500, 30, IF(F180&lt;=1000, 35, F180*0.035)))),
0)))</f>
        <v>0</v>
      </c>
      <c r="H180" s="163">
        <f>IF(I180="مخالفات",50,Basic34567891011121314151617181920[[#This Row],[قيمة الرسوم / العموله]]+Basic34567891011121314151617181920[[#This Row],[قيمة الشحنه]])</f>
        <v>0</v>
      </c>
      <c r="I180" s="90"/>
      <c r="J180" s="142" t="str">
        <f t="shared" si="2"/>
        <v>13.5.2026</v>
      </c>
      <c r="L180" s="153">
        <v>169</v>
      </c>
      <c r="M180" s="92"/>
    </row>
    <row r="181" spans="1:13" ht="21.6" x14ac:dyDescent="0.65">
      <c r="A181" s="195"/>
      <c r="B181" s="144">
        <v>178</v>
      </c>
      <c r="C181" s="2"/>
      <c r="D181" s="1"/>
      <c r="E181" s="3"/>
      <c r="F181" s="1"/>
      <c r="G181" s="141">
        <f>IF(Basic34567891011121314151617181920[[#This Row],[نوع الخدمة]]="مخالفات", 50,
IF(Basic34567891011121314151617181920[[#This Row],[نوع الخدمة]]="كاش ان",
    IF(F181&lt;=100, 18, IF(F181&lt;=250, 23, IF(F181&lt;=500, 35, IF(F181&lt;=1000, 40, F181*0.04)))),
IF(Basic34567891011121314151617181920[[#This Row],[نوع الخدمة]]="كاش اوت",
    IF(F181&lt;=100, 15, IF(F181&lt;=250, 20, IF(F181&lt;=500, 30, IF(F181&lt;=1000, 35, F181*0.035)))),
0)))</f>
        <v>0</v>
      </c>
      <c r="H181" s="163">
        <f>IF(I181="مخالفات",50,Basic34567891011121314151617181920[[#This Row],[قيمة الرسوم / العموله]]+Basic34567891011121314151617181920[[#This Row],[قيمة الشحنه]])</f>
        <v>0</v>
      </c>
      <c r="I181" s="90"/>
      <c r="J181" s="142" t="str">
        <f t="shared" si="2"/>
        <v>13.5.2026</v>
      </c>
      <c r="L181" s="153">
        <v>170</v>
      </c>
      <c r="M181" s="92"/>
    </row>
    <row r="182" spans="1:13" ht="21.6" x14ac:dyDescent="0.65">
      <c r="A182" s="195"/>
      <c r="B182" s="140">
        <v>179</v>
      </c>
      <c r="C182" s="2"/>
      <c r="D182" s="1"/>
      <c r="E182" s="3"/>
      <c r="F182" s="1"/>
      <c r="G182" s="141">
        <f>IF(Basic34567891011121314151617181920[[#This Row],[نوع الخدمة]]="مخالفات", 50,
IF(Basic34567891011121314151617181920[[#This Row],[نوع الخدمة]]="كاش ان",
    IF(F182&lt;=100, 18, IF(F182&lt;=250, 23, IF(F182&lt;=500, 35, IF(F182&lt;=1000, 40, F182*0.04)))),
IF(Basic34567891011121314151617181920[[#This Row],[نوع الخدمة]]="كاش اوت",
    IF(F182&lt;=100, 15, IF(F182&lt;=250, 20, IF(F182&lt;=500, 30, IF(F182&lt;=1000, 35, F182*0.035)))),
0)))</f>
        <v>0</v>
      </c>
      <c r="H182" s="163">
        <f>IF(I182="مخالفات",50,Basic34567891011121314151617181920[[#This Row],[قيمة الرسوم / العموله]]+Basic34567891011121314151617181920[[#This Row],[قيمة الشحنه]])</f>
        <v>0</v>
      </c>
      <c r="I182" s="90"/>
      <c r="J182" s="142" t="str">
        <f t="shared" si="2"/>
        <v>13.5.2026</v>
      </c>
      <c r="L182" s="153">
        <v>171</v>
      </c>
      <c r="M182" s="92"/>
    </row>
    <row r="183" spans="1:13" ht="21.6" x14ac:dyDescent="0.65">
      <c r="A183" s="195"/>
      <c r="B183" s="140">
        <v>180</v>
      </c>
      <c r="C183" s="2"/>
      <c r="D183" s="1"/>
      <c r="E183" s="3"/>
      <c r="F183" s="1"/>
      <c r="G183" s="141">
        <f>IF(Basic34567891011121314151617181920[[#This Row],[نوع الخدمة]]="مخالفات", 50,
IF(Basic34567891011121314151617181920[[#This Row],[نوع الخدمة]]="كاش ان",
    IF(F183&lt;=100, 18, IF(F183&lt;=250, 23, IF(F183&lt;=500, 35, IF(F183&lt;=1000, 40, F183*0.04)))),
IF(Basic34567891011121314151617181920[[#This Row],[نوع الخدمة]]="كاش اوت",
    IF(F183&lt;=100, 15, IF(F183&lt;=250, 20, IF(F183&lt;=500, 30, IF(F183&lt;=1000, 35, F183*0.035)))),
0)))</f>
        <v>0</v>
      </c>
      <c r="H183" s="163">
        <f>IF(I183="مخالفات",50,Basic34567891011121314151617181920[[#This Row],[قيمة الرسوم / العموله]]+Basic34567891011121314151617181920[[#This Row],[قيمة الشحنه]])</f>
        <v>0</v>
      </c>
      <c r="I183" s="90"/>
      <c r="J183" s="142" t="str">
        <f t="shared" si="2"/>
        <v>13.5.2026</v>
      </c>
      <c r="L183" s="153">
        <v>172</v>
      </c>
      <c r="M183" s="92"/>
    </row>
    <row r="184" spans="1:13" ht="21.6" x14ac:dyDescent="0.65">
      <c r="A184" s="195"/>
      <c r="B184" s="140">
        <v>181</v>
      </c>
      <c r="C184" s="2"/>
      <c r="D184" s="1"/>
      <c r="E184" s="3"/>
      <c r="F184" s="1"/>
      <c r="G184" s="141">
        <f>IF(Basic34567891011121314151617181920[[#This Row],[نوع الخدمة]]="مخالفات", 50,
IF(Basic34567891011121314151617181920[[#This Row],[نوع الخدمة]]="كاش ان",
    IF(F184&lt;=100, 18, IF(F184&lt;=250, 23, IF(F184&lt;=500, 35, IF(F184&lt;=1000, 40, F184*0.04)))),
IF(Basic34567891011121314151617181920[[#This Row],[نوع الخدمة]]="كاش اوت",
    IF(F184&lt;=100, 15, IF(F184&lt;=250, 20, IF(F184&lt;=500, 30, IF(F184&lt;=1000, 35, F184*0.035)))),
0)))</f>
        <v>0</v>
      </c>
      <c r="H184" s="163">
        <f>IF(I184="مخالفات",50,Basic34567891011121314151617181920[[#This Row],[قيمة الرسوم / العموله]]+Basic34567891011121314151617181920[[#This Row],[قيمة الشحنه]])</f>
        <v>0</v>
      </c>
      <c r="I184" s="90"/>
      <c r="J184" s="142" t="str">
        <f t="shared" si="2"/>
        <v>13.5.2026</v>
      </c>
      <c r="L184" s="153">
        <v>173</v>
      </c>
      <c r="M184" s="92"/>
    </row>
    <row r="185" spans="1:13" ht="21.6" x14ac:dyDescent="0.65">
      <c r="A185" s="195"/>
      <c r="B185" s="144">
        <v>182</v>
      </c>
      <c r="C185" s="2"/>
      <c r="D185" s="1"/>
      <c r="E185" s="3"/>
      <c r="F185" s="1"/>
      <c r="G185" s="141">
        <f>IF(Basic34567891011121314151617181920[[#This Row],[نوع الخدمة]]="مخالفات", 50,
IF(Basic34567891011121314151617181920[[#This Row],[نوع الخدمة]]="كاش ان",
    IF(F185&lt;=100, 18, IF(F185&lt;=250, 23, IF(F185&lt;=500, 35, IF(F185&lt;=1000, 40, F185*0.04)))),
IF(Basic34567891011121314151617181920[[#This Row],[نوع الخدمة]]="كاش اوت",
    IF(F185&lt;=100, 15, IF(F185&lt;=250, 20, IF(F185&lt;=500, 30, IF(F185&lt;=1000, 35, F185*0.035)))),
0)))</f>
        <v>0</v>
      </c>
      <c r="H185" s="163">
        <f>IF(I185="مخالفات",50,Basic34567891011121314151617181920[[#This Row],[قيمة الرسوم / العموله]]+Basic34567891011121314151617181920[[#This Row],[قيمة الشحنه]])</f>
        <v>0</v>
      </c>
      <c r="I185" s="90"/>
      <c r="J185" s="142" t="str">
        <f t="shared" si="2"/>
        <v>13.5.2026</v>
      </c>
      <c r="L185" s="153">
        <v>174</v>
      </c>
      <c r="M185" s="92"/>
    </row>
    <row r="186" spans="1:13" ht="21.6" x14ac:dyDescent="0.65">
      <c r="A186" s="195"/>
      <c r="B186" s="140">
        <v>183</v>
      </c>
      <c r="C186" s="2"/>
      <c r="D186" s="1"/>
      <c r="E186" s="3"/>
      <c r="F186" s="1"/>
      <c r="G186" s="141">
        <f>IF(Basic34567891011121314151617181920[[#This Row],[نوع الخدمة]]="مخالفات", 50,
IF(Basic34567891011121314151617181920[[#This Row],[نوع الخدمة]]="كاش ان",
    IF(F186&lt;=100, 18, IF(F186&lt;=250, 23, IF(F186&lt;=500, 35, IF(F186&lt;=1000, 40, F186*0.04)))),
IF(Basic34567891011121314151617181920[[#This Row],[نوع الخدمة]]="كاش اوت",
    IF(F186&lt;=100, 15, IF(F186&lt;=250, 20, IF(F186&lt;=500, 30, IF(F186&lt;=1000, 35, F186*0.035)))),
0)))</f>
        <v>0</v>
      </c>
      <c r="H186" s="163">
        <f>IF(I186="مخالفات",50,Basic34567891011121314151617181920[[#This Row],[قيمة الرسوم / العموله]]+Basic34567891011121314151617181920[[#This Row],[قيمة الشحنه]])</f>
        <v>0</v>
      </c>
      <c r="I186" s="90"/>
      <c r="J186" s="142" t="str">
        <f t="shared" si="2"/>
        <v>13.5.2026</v>
      </c>
      <c r="L186" s="153">
        <v>175</v>
      </c>
      <c r="M186" s="92"/>
    </row>
    <row r="187" spans="1:13" ht="21.6" x14ac:dyDescent="0.65">
      <c r="A187" s="195"/>
      <c r="B187" s="140">
        <v>184</v>
      </c>
      <c r="C187" s="2"/>
      <c r="D187" s="1"/>
      <c r="E187" s="3"/>
      <c r="F187" s="1"/>
      <c r="G187" s="141">
        <f>IF(Basic34567891011121314151617181920[[#This Row],[نوع الخدمة]]="مخالفات", 50,
IF(Basic34567891011121314151617181920[[#This Row],[نوع الخدمة]]="كاش ان",
    IF(F187&lt;=100, 18, IF(F187&lt;=250, 23, IF(F187&lt;=500, 35, IF(F187&lt;=1000, 40, F187*0.04)))),
IF(Basic34567891011121314151617181920[[#This Row],[نوع الخدمة]]="كاش اوت",
    IF(F187&lt;=100, 15, IF(F187&lt;=250, 20, IF(F187&lt;=500, 30, IF(F187&lt;=1000, 35, F187*0.035)))),
0)))</f>
        <v>0</v>
      </c>
      <c r="H187" s="163">
        <f>IF(I187="مخالفات",50,Basic34567891011121314151617181920[[#This Row],[قيمة الرسوم / العموله]]+Basic34567891011121314151617181920[[#This Row],[قيمة الشحنه]])</f>
        <v>0</v>
      </c>
      <c r="I187" s="90"/>
      <c r="J187" s="142" t="str">
        <f t="shared" si="2"/>
        <v>13.5.2026</v>
      </c>
      <c r="L187" s="153">
        <v>176</v>
      </c>
      <c r="M187" s="92"/>
    </row>
    <row r="188" spans="1:13" ht="21.6" x14ac:dyDescent="0.65">
      <c r="A188" s="195"/>
      <c r="B188" s="140">
        <v>185</v>
      </c>
      <c r="C188" s="2"/>
      <c r="D188" s="1"/>
      <c r="E188" s="3"/>
      <c r="F188" s="1"/>
      <c r="G188" s="141">
        <f>IF(Basic34567891011121314151617181920[[#This Row],[نوع الخدمة]]="مخالفات", 50,
IF(Basic34567891011121314151617181920[[#This Row],[نوع الخدمة]]="كاش ان",
    IF(F188&lt;=100, 18, IF(F188&lt;=250, 23, IF(F188&lt;=500, 35, IF(F188&lt;=1000, 40, F188*0.04)))),
IF(Basic34567891011121314151617181920[[#This Row],[نوع الخدمة]]="كاش اوت",
    IF(F188&lt;=100, 15, IF(F188&lt;=250, 20, IF(F188&lt;=500, 30, IF(F188&lt;=1000, 35, F188*0.035)))),
0)))</f>
        <v>0</v>
      </c>
      <c r="H188" s="163">
        <f>IF(I188="مخالفات",50,Basic34567891011121314151617181920[[#This Row],[قيمة الرسوم / العموله]]+Basic34567891011121314151617181920[[#This Row],[قيمة الشحنه]])</f>
        <v>0</v>
      </c>
      <c r="I188" s="90"/>
      <c r="J188" s="142" t="str">
        <f t="shared" si="2"/>
        <v>13.5.2026</v>
      </c>
      <c r="L188" s="153">
        <v>177</v>
      </c>
      <c r="M188" s="92"/>
    </row>
    <row r="189" spans="1:13" ht="21.6" x14ac:dyDescent="0.65">
      <c r="A189" s="195"/>
      <c r="B189" s="144">
        <v>186</v>
      </c>
      <c r="C189" s="2"/>
      <c r="D189" s="1"/>
      <c r="E189" s="3"/>
      <c r="F189" s="1"/>
      <c r="G189" s="141">
        <f>IF(Basic34567891011121314151617181920[[#This Row],[نوع الخدمة]]="مخالفات", 50,
IF(Basic34567891011121314151617181920[[#This Row],[نوع الخدمة]]="كاش ان",
    IF(F189&lt;=100, 18, IF(F189&lt;=250, 23, IF(F189&lt;=500, 35, IF(F189&lt;=1000, 40, F189*0.04)))),
IF(Basic34567891011121314151617181920[[#This Row],[نوع الخدمة]]="كاش اوت",
    IF(F189&lt;=100, 15, IF(F189&lt;=250, 20, IF(F189&lt;=500, 30, IF(F189&lt;=1000, 35, F189*0.035)))),
0)))</f>
        <v>0</v>
      </c>
      <c r="H189" s="163">
        <f>IF(I189="مخالفات",50,Basic34567891011121314151617181920[[#This Row],[قيمة الرسوم / العموله]]+Basic34567891011121314151617181920[[#This Row],[قيمة الشحنه]])</f>
        <v>0</v>
      </c>
      <c r="I189" s="90"/>
      <c r="J189" s="142" t="str">
        <f t="shared" si="2"/>
        <v>13.5.2026</v>
      </c>
      <c r="L189" s="153">
        <v>178</v>
      </c>
      <c r="M189" s="92"/>
    </row>
    <row r="190" spans="1:13" ht="21.6" x14ac:dyDescent="0.65">
      <c r="A190" s="195"/>
      <c r="B190" s="140">
        <v>187</v>
      </c>
      <c r="C190" s="2"/>
      <c r="D190" s="1"/>
      <c r="E190" s="3"/>
      <c r="F190" s="1"/>
      <c r="G190" s="141">
        <f>IF(Basic34567891011121314151617181920[[#This Row],[نوع الخدمة]]="مخالفات", 50,
IF(Basic34567891011121314151617181920[[#This Row],[نوع الخدمة]]="كاش ان",
    IF(F190&lt;=100, 18, IF(F190&lt;=250, 23, IF(F190&lt;=500, 35, IF(F190&lt;=1000, 40, F190*0.04)))),
IF(Basic34567891011121314151617181920[[#This Row],[نوع الخدمة]]="كاش اوت",
    IF(F190&lt;=100, 15, IF(F190&lt;=250, 20, IF(F190&lt;=500, 30, IF(F190&lt;=1000, 35, F190*0.035)))),
0)))</f>
        <v>0</v>
      </c>
      <c r="H190" s="163">
        <f>IF(I190="مخالفات",50,Basic34567891011121314151617181920[[#This Row],[قيمة الرسوم / العموله]]+Basic34567891011121314151617181920[[#This Row],[قيمة الشحنه]])</f>
        <v>0</v>
      </c>
      <c r="I190" s="90"/>
      <c r="J190" s="142" t="str">
        <f t="shared" si="2"/>
        <v>13.5.2026</v>
      </c>
      <c r="L190" s="153">
        <v>179</v>
      </c>
      <c r="M190" s="92"/>
    </row>
    <row r="191" spans="1:13" ht="21.6" x14ac:dyDescent="0.65">
      <c r="A191" s="195"/>
      <c r="B191" s="140">
        <v>188</v>
      </c>
      <c r="C191" s="2"/>
      <c r="D191" s="1"/>
      <c r="E191" s="3"/>
      <c r="F191" s="1"/>
      <c r="G191" s="141">
        <f>IF(Basic34567891011121314151617181920[[#This Row],[نوع الخدمة]]="مخالفات", 50,
IF(Basic34567891011121314151617181920[[#This Row],[نوع الخدمة]]="كاش ان",
    IF(F191&lt;=100, 18, IF(F191&lt;=250, 23, IF(F191&lt;=500, 35, IF(F191&lt;=1000, 40, F191*0.04)))),
IF(Basic34567891011121314151617181920[[#This Row],[نوع الخدمة]]="كاش اوت",
    IF(F191&lt;=100, 15, IF(F191&lt;=250, 20, IF(F191&lt;=500, 30, IF(F191&lt;=1000, 35, F191*0.035)))),
0)))</f>
        <v>0</v>
      </c>
      <c r="H191" s="163">
        <f>IF(I191="مخالفات",50,Basic34567891011121314151617181920[[#This Row],[قيمة الرسوم / العموله]]+Basic34567891011121314151617181920[[#This Row],[قيمة الشحنه]])</f>
        <v>0</v>
      </c>
      <c r="I191" s="90"/>
      <c r="J191" s="142" t="str">
        <f t="shared" si="2"/>
        <v>13.5.2026</v>
      </c>
      <c r="L191" s="153">
        <v>180</v>
      </c>
      <c r="M191" s="92"/>
    </row>
    <row r="192" spans="1:13" ht="21.6" x14ac:dyDescent="0.65">
      <c r="A192" s="195"/>
      <c r="B192" s="140">
        <v>189</v>
      </c>
      <c r="C192" s="2"/>
      <c r="D192" s="1"/>
      <c r="E192" s="3"/>
      <c r="F192" s="1"/>
      <c r="G192" s="141">
        <f>IF(Basic34567891011121314151617181920[[#This Row],[نوع الخدمة]]="مخالفات", 50,
IF(Basic34567891011121314151617181920[[#This Row],[نوع الخدمة]]="كاش ان",
    IF(F192&lt;=100, 18, IF(F192&lt;=250, 23, IF(F192&lt;=500, 35, IF(F192&lt;=1000, 40, F192*0.04)))),
IF(Basic34567891011121314151617181920[[#This Row],[نوع الخدمة]]="كاش اوت",
    IF(F192&lt;=100, 15, IF(F192&lt;=250, 20, IF(F192&lt;=500, 30, IF(F192&lt;=1000, 35, F192*0.035)))),
0)))</f>
        <v>0</v>
      </c>
      <c r="H192" s="163">
        <f>IF(I192="مخالفات",50,Basic34567891011121314151617181920[[#This Row],[قيمة الرسوم / العموله]]+Basic34567891011121314151617181920[[#This Row],[قيمة الشحنه]])</f>
        <v>0</v>
      </c>
      <c r="I192" s="90"/>
      <c r="J192" s="142" t="str">
        <f t="shared" si="2"/>
        <v>13.5.2026</v>
      </c>
      <c r="L192" s="153">
        <v>181</v>
      </c>
      <c r="M192" s="92"/>
    </row>
    <row r="193" spans="1:13" ht="21.6" x14ac:dyDescent="0.65">
      <c r="A193" s="195"/>
      <c r="B193" s="144">
        <v>190</v>
      </c>
      <c r="C193" s="2"/>
      <c r="D193" s="1"/>
      <c r="E193" s="3"/>
      <c r="F193" s="1"/>
      <c r="G193" s="141">
        <f>IF(Basic34567891011121314151617181920[[#This Row],[نوع الخدمة]]="مخالفات", 50,
IF(Basic34567891011121314151617181920[[#This Row],[نوع الخدمة]]="كاش ان",
    IF(F193&lt;=100, 18, IF(F193&lt;=250, 23, IF(F193&lt;=500, 35, IF(F193&lt;=1000, 40, F193*0.04)))),
IF(Basic34567891011121314151617181920[[#This Row],[نوع الخدمة]]="كاش اوت",
    IF(F193&lt;=100, 15, IF(F193&lt;=250, 20, IF(F193&lt;=500, 30, IF(F193&lt;=1000, 35, F193*0.035)))),
0)))</f>
        <v>0</v>
      </c>
      <c r="H193" s="163">
        <f>IF(I193="مخالفات",50,Basic34567891011121314151617181920[[#This Row],[قيمة الرسوم / العموله]]+Basic34567891011121314151617181920[[#This Row],[قيمة الشحنه]])</f>
        <v>0</v>
      </c>
      <c r="I193" s="90"/>
      <c r="J193" s="142" t="str">
        <f t="shared" si="2"/>
        <v>13.5.2026</v>
      </c>
      <c r="L193" s="153">
        <v>182</v>
      </c>
      <c r="M193" s="92"/>
    </row>
    <row r="194" spans="1:13" ht="21.6" x14ac:dyDescent="0.65">
      <c r="A194" s="195"/>
      <c r="B194" s="140">
        <v>191</v>
      </c>
      <c r="C194" s="2"/>
      <c r="D194" s="1"/>
      <c r="E194" s="3"/>
      <c r="F194" s="1"/>
      <c r="G194" s="141">
        <f>IF(Basic34567891011121314151617181920[[#This Row],[نوع الخدمة]]="مخالفات", 50,
IF(Basic34567891011121314151617181920[[#This Row],[نوع الخدمة]]="كاش ان",
    IF(F194&lt;=100, 18, IF(F194&lt;=250, 23, IF(F194&lt;=500, 35, IF(F194&lt;=1000, 40, F194*0.04)))),
IF(Basic34567891011121314151617181920[[#This Row],[نوع الخدمة]]="كاش اوت",
    IF(F194&lt;=100, 15, IF(F194&lt;=250, 20, IF(F194&lt;=500, 30, IF(F194&lt;=1000, 35, F194*0.035)))),
0)))</f>
        <v>0</v>
      </c>
      <c r="H194" s="163">
        <f>IF(I194="مخالفات",50,Basic34567891011121314151617181920[[#This Row],[قيمة الرسوم / العموله]]+Basic34567891011121314151617181920[[#This Row],[قيمة الشحنه]])</f>
        <v>0</v>
      </c>
      <c r="I194" s="90"/>
      <c r="J194" s="142" t="str">
        <f t="shared" si="2"/>
        <v>13.5.2026</v>
      </c>
      <c r="L194" s="153">
        <v>183</v>
      </c>
      <c r="M194" s="92"/>
    </row>
    <row r="195" spans="1:13" ht="21.6" x14ac:dyDescent="0.65">
      <c r="A195" s="195"/>
      <c r="B195" s="140">
        <v>192</v>
      </c>
      <c r="C195" s="2"/>
      <c r="D195" s="1"/>
      <c r="E195" s="3"/>
      <c r="F195" s="1"/>
      <c r="G195" s="141">
        <f>IF(Basic34567891011121314151617181920[[#This Row],[نوع الخدمة]]="مخالفات", 50,
IF(Basic34567891011121314151617181920[[#This Row],[نوع الخدمة]]="كاش ان",
    IF(F195&lt;=100, 18, IF(F195&lt;=250, 23, IF(F195&lt;=500, 35, IF(F195&lt;=1000, 40, F195*0.04)))),
IF(Basic34567891011121314151617181920[[#This Row],[نوع الخدمة]]="كاش اوت",
    IF(F195&lt;=100, 15, IF(F195&lt;=250, 20, IF(F195&lt;=500, 30, IF(F195&lt;=1000, 35, F195*0.035)))),
0)))</f>
        <v>0</v>
      </c>
      <c r="H195" s="163">
        <f>IF(I195="مخالفات",50,Basic34567891011121314151617181920[[#This Row],[قيمة الرسوم / العموله]]+Basic34567891011121314151617181920[[#This Row],[قيمة الشحنه]])</f>
        <v>0</v>
      </c>
      <c r="I195" s="90"/>
      <c r="J195" s="142" t="str">
        <f t="shared" si="2"/>
        <v>13.5.2026</v>
      </c>
      <c r="L195" s="153">
        <v>184</v>
      </c>
      <c r="M195" s="92"/>
    </row>
    <row r="196" spans="1:13" ht="21.6" x14ac:dyDescent="0.65">
      <c r="A196" s="195"/>
      <c r="B196" s="140">
        <v>193</v>
      </c>
      <c r="C196" s="2"/>
      <c r="D196" s="1"/>
      <c r="E196" s="3"/>
      <c r="F196" s="1"/>
      <c r="G196" s="141">
        <f>IF(Basic34567891011121314151617181920[[#This Row],[نوع الخدمة]]="مخالفات", 50,
IF(Basic34567891011121314151617181920[[#This Row],[نوع الخدمة]]="كاش ان",
    IF(F196&lt;=100, 18, IF(F196&lt;=250, 23, IF(F196&lt;=500, 35, IF(F196&lt;=1000, 40, F196*0.04)))),
IF(Basic34567891011121314151617181920[[#This Row],[نوع الخدمة]]="كاش اوت",
    IF(F196&lt;=100, 15, IF(F196&lt;=250, 20, IF(F196&lt;=500, 30, IF(F196&lt;=1000, 35, F196*0.035)))),
0)))</f>
        <v>0</v>
      </c>
      <c r="H196" s="163">
        <f>IF(I196="مخالفات",50,Basic34567891011121314151617181920[[#This Row],[قيمة الرسوم / العموله]]+Basic34567891011121314151617181920[[#This Row],[قيمة الشحنه]])</f>
        <v>0</v>
      </c>
      <c r="I196" s="90"/>
      <c r="J196" s="142" t="str">
        <f t="shared" ref="J196:J226" si="3">M$3</f>
        <v>13.5.2026</v>
      </c>
      <c r="L196" s="153">
        <v>185</v>
      </c>
      <c r="M196" s="92"/>
    </row>
    <row r="197" spans="1:13" ht="21.6" x14ac:dyDescent="0.65">
      <c r="A197" s="195"/>
      <c r="B197" s="144">
        <v>194</v>
      </c>
      <c r="C197" s="2"/>
      <c r="D197" s="1"/>
      <c r="E197" s="3"/>
      <c r="F197" s="1"/>
      <c r="G197" s="141">
        <f>IF(Basic34567891011121314151617181920[[#This Row],[نوع الخدمة]]="مخالفات", 50,
IF(Basic34567891011121314151617181920[[#This Row],[نوع الخدمة]]="كاش ان",
    IF(F197&lt;=100, 18, IF(F197&lt;=250, 23, IF(F197&lt;=500, 35, IF(F197&lt;=1000, 40, F197*0.04)))),
IF(Basic34567891011121314151617181920[[#This Row],[نوع الخدمة]]="كاش اوت",
    IF(F197&lt;=100, 15, IF(F197&lt;=250, 20, IF(F197&lt;=500, 30, IF(F197&lt;=1000, 35, F197*0.035)))),
0)))</f>
        <v>0</v>
      </c>
      <c r="H197" s="163">
        <f>IF(I197="مخالفات",50,Basic34567891011121314151617181920[[#This Row],[قيمة الرسوم / العموله]]+Basic34567891011121314151617181920[[#This Row],[قيمة الشحنه]])</f>
        <v>0</v>
      </c>
      <c r="I197" s="90"/>
      <c r="J197" s="142" t="str">
        <f t="shared" si="3"/>
        <v>13.5.2026</v>
      </c>
      <c r="L197" s="153">
        <v>186</v>
      </c>
      <c r="M197" s="92"/>
    </row>
    <row r="198" spans="1:13" ht="21.6" x14ac:dyDescent="0.65">
      <c r="A198" s="195"/>
      <c r="B198" s="140">
        <v>195</v>
      </c>
      <c r="C198" s="2"/>
      <c r="D198" s="1"/>
      <c r="E198" s="3"/>
      <c r="F198" s="1"/>
      <c r="G198" s="141">
        <f>IF(Basic34567891011121314151617181920[[#This Row],[نوع الخدمة]]="مخالفات", 50,
IF(Basic34567891011121314151617181920[[#This Row],[نوع الخدمة]]="كاش ان",
    IF(F198&lt;=100, 18, IF(F198&lt;=250, 23, IF(F198&lt;=500, 35, IF(F198&lt;=1000, 40, F198*0.04)))),
IF(Basic34567891011121314151617181920[[#This Row],[نوع الخدمة]]="كاش اوت",
    IF(F198&lt;=100, 15, IF(F198&lt;=250, 20, IF(F198&lt;=500, 30, IF(F198&lt;=1000, 35, F198*0.035)))),
0)))</f>
        <v>0</v>
      </c>
      <c r="H198" s="163">
        <f>IF(I198="مخالفات",50,Basic34567891011121314151617181920[[#This Row],[قيمة الرسوم / العموله]]+Basic34567891011121314151617181920[[#This Row],[قيمة الشحنه]])</f>
        <v>0</v>
      </c>
      <c r="I198" s="90"/>
      <c r="J198" s="142" t="str">
        <f t="shared" si="3"/>
        <v>13.5.2026</v>
      </c>
      <c r="L198" s="153">
        <v>187</v>
      </c>
      <c r="M198" s="92"/>
    </row>
    <row r="199" spans="1:13" ht="21.6" x14ac:dyDescent="0.65">
      <c r="A199" s="195"/>
      <c r="B199" s="140">
        <v>196</v>
      </c>
      <c r="C199" s="2"/>
      <c r="D199" s="1"/>
      <c r="E199" s="3"/>
      <c r="F199" s="1"/>
      <c r="G199" s="141">
        <f>IF(Basic34567891011121314151617181920[[#This Row],[نوع الخدمة]]="مخالفات", 50,
IF(Basic34567891011121314151617181920[[#This Row],[نوع الخدمة]]="كاش ان",
    IF(F199&lt;=100, 18, IF(F199&lt;=250, 23, IF(F199&lt;=500, 35, IF(F199&lt;=1000, 40, F199*0.04)))),
IF(Basic34567891011121314151617181920[[#This Row],[نوع الخدمة]]="كاش اوت",
    IF(F199&lt;=100, 15, IF(F199&lt;=250, 20, IF(F199&lt;=500, 30, IF(F199&lt;=1000, 35, F199*0.035)))),
0)))</f>
        <v>0</v>
      </c>
      <c r="H199" s="163">
        <f>IF(I199="مخالفات",50,Basic34567891011121314151617181920[[#This Row],[قيمة الرسوم / العموله]]+Basic34567891011121314151617181920[[#This Row],[قيمة الشحنه]])</f>
        <v>0</v>
      </c>
      <c r="I199" s="90"/>
      <c r="J199" s="142" t="str">
        <f t="shared" si="3"/>
        <v>13.5.2026</v>
      </c>
      <c r="L199" s="153">
        <v>188</v>
      </c>
      <c r="M199" s="92"/>
    </row>
    <row r="200" spans="1:13" ht="21.6" x14ac:dyDescent="0.65">
      <c r="A200" s="195"/>
      <c r="B200" s="140">
        <v>197</v>
      </c>
      <c r="C200" s="2"/>
      <c r="D200" s="1"/>
      <c r="E200" s="3"/>
      <c r="F200" s="1"/>
      <c r="G200" s="141">
        <f>IF(Basic34567891011121314151617181920[[#This Row],[نوع الخدمة]]="مخالفات", 50,
IF(Basic34567891011121314151617181920[[#This Row],[نوع الخدمة]]="كاش ان",
    IF(F200&lt;=100, 18, IF(F200&lt;=250, 23, IF(F200&lt;=500, 35, IF(F200&lt;=1000, 40, F200*0.04)))),
IF(Basic34567891011121314151617181920[[#This Row],[نوع الخدمة]]="كاش اوت",
    IF(F200&lt;=100, 15, IF(F200&lt;=250, 20, IF(F200&lt;=500, 30, IF(F200&lt;=1000, 35, F200*0.035)))),
0)))</f>
        <v>0</v>
      </c>
      <c r="H200" s="163">
        <f>IF(I200="مخالفات",50,Basic34567891011121314151617181920[[#This Row],[قيمة الرسوم / العموله]]+Basic34567891011121314151617181920[[#This Row],[قيمة الشحنه]])</f>
        <v>0</v>
      </c>
      <c r="I200" s="90"/>
      <c r="J200" s="142" t="str">
        <f t="shared" si="3"/>
        <v>13.5.2026</v>
      </c>
      <c r="L200" s="153">
        <v>189</v>
      </c>
      <c r="M200" s="92"/>
    </row>
    <row r="201" spans="1:13" ht="21.6" x14ac:dyDescent="0.65">
      <c r="A201" s="195"/>
      <c r="B201" s="144">
        <v>198</v>
      </c>
      <c r="C201" s="2"/>
      <c r="D201" s="1"/>
      <c r="E201" s="3"/>
      <c r="F201" s="1"/>
      <c r="G201" s="141">
        <f>IF(Basic34567891011121314151617181920[[#This Row],[نوع الخدمة]]="مخالفات", 50,
IF(Basic34567891011121314151617181920[[#This Row],[نوع الخدمة]]="كاش ان",
    IF(F201&lt;=100, 18, IF(F201&lt;=250, 23, IF(F201&lt;=500, 35, IF(F201&lt;=1000, 40, F201*0.04)))),
IF(Basic34567891011121314151617181920[[#This Row],[نوع الخدمة]]="كاش اوت",
    IF(F201&lt;=100, 15, IF(F201&lt;=250, 20, IF(F201&lt;=500, 30, IF(F201&lt;=1000, 35, F201*0.035)))),
0)))</f>
        <v>0</v>
      </c>
      <c r="H201" s="163">
        <f>IF(I201="مخالفات",50,Basic34567891011121314151617181920[[#This Row],[قيمة الرسوم / العموله]]+Basic34567891011121314151617181920[[#This Row],[قيمة الشحنه]])</f>
        <v>0</v>
      </c>
      <c r="I201" s="90"/>
      <c r="J201" s="142" t="str">
        <f t="shared" si="3"/>
        <v>13.5.2026</v>
      </c>
      <c r="L201" s="153">
        <v>190</v>
      </c>
      <c r="M201" s="92"/>
    </row>
    <row r="202" spans="1:13" ht="21.6" x14ac:dyDescent="0.65">
      <c r="A202" s="195"/>
      <c r="B202" s="140">
        <v>199</v>
      </c>
      <c r="C202" s="2"/>
      <c r="D202" s="1"/>
      <c r="E202" s="3"/>
      <c r="F202" s="1"/>
      <c r="G202" s="141">
        <f>IF(Basic34567891011121314151617181920[[#This Row],[نوع الخدمة]]="مخالفات", 50,
IF(Basic34567891011121314151617181920[[#This Row],[نوع الخدمة]]="كاش ان",
    IF(F202&lt;=100, 18, IF(F202&lt;=250, 23, IF(F202&lt;=500, 35, IF(F202&lt;=1000, 40, F202*0.04)))),
IF(Basic34567891011121314151617181920[[#This Row],[نوع الخدمة]]="كاش اوت",
    IF(F202&lt;=100, 15, IF(F202&lt;=250, 20, IF(F202&lt;=500, 30, IF(F202&lt;=1000, 35, F202*0.035)))),
0)))</f>
        <v>0</v>
      </c>
      <c r="H202" s="163">
        <f>IF(I202="مخالفات",50,Basic34567891011121314151617181920[[#This Row],[قيمة الرسوم / العموله]]+Basic34567891011121314151617181920[[#This Row],[قيمة الشحنه]])</f>
        <v>0</v>
      </c>
      <c r="I202" s="90"/>
      <c r="J202" s="142" t="str">
        <f t="shared" si="3"/>
        <v>13.5.2026</v>
      </c>
      <c r="L202" s="153">
        <v>191</v>
      </c>
      <c r="M202" s="92"/>
    </row>
    <row r="203" spans="1:13" ht="21.6" x14ac:dyDescent="0.65">
      <c r="A203" s="195"/>
      <c r="B203" s="140">
        <v>200</v>
      </c>
      <c r="C203" s="2"/>
      <c r="D203" s="1"/>
      <c r="E203" s="3"/>
      <c r="F203" s="1"/>
      <c r="G203" s="141">
        <f>IF(Basic34567891011121314151617181920[[#This Row],[نوع الخدمة]]="مخالفات", 50,
IF(Basic34567891011121314151617181920[[#This Row],[نوع الخدمة]]="كاش ان",
    IF(F203&lt;=100, 18, IF(F203&lt;=250, 23, IF(F203&lt;=500, 35, IF(F203&lt;=1000, 40, F203*0.04)))),
IF(Basic34567891011121314151617181920[[#This Row],[نوع الخدمة]]="كاش اوت",
    IF(F203&lt;=100, 15, IF(F203&lt;=250, 20, IF(F203&lt;=500, 30, IF(F203&lt;=1000, 35, F203*0.035)))),
0)))</f>
        <v>0</v>
      </c>
      <c r="H203" s="163">
        <f>IF(I203="مخالفات",50,Basic34567891011121314151617181920[[#This Row],[قيمة الرسوم / العموله]]+Basic34567891011121314151617181920[[#This Row],[قيمة الشحنه]])</f>
        <v>0</v>
      </c>
      <c r="I203" s="90"/>
      <c r="J203" s="142" t="str">
        <f t="shared" si="3"/>
        <v>13.5.2026</v>
      </c>
      <c r="L203" s="153">
        <v>192</v>
      </c>
      <c r="M203" s="92"/>
    </row>
    <row r="204" spans="1:13" ht="21.6" x14ac:dyDescent="0.65">
      <c r="A204" s="195"/>
      <c r="B204" s="140">
        <v>201</v>
      </c>
      <c r="C204" s="2"/>
      <c r="D204" s="1"/>
      <c r="E204" s="3"/>
      <c r="F204" s="1"/>
      <c r="G204" s="141">
        <f>IF(Basic34567891011121314151617181920[[#This Row],[نوع الخدمة]]="مخالفات", 50,
IF(Basic34567891011121314151617181920[[#This Row],[نوع الخدمة]]="كاش ان",
    IF(F204&lt;=100, 18, IF(F204&lt;=250, 23, IF(F204&lt;=500, 35, IF(F204&lt;=1000, 40, F204*0.04)))),
IF(Basic34567891011121314151617181920[[#This Row],[نوع الخدمة]]="كاش اوت",
    IF(F204&lt;=100, 15, IF(F204&lt;=250, 20, IF(F204&lt;=500, 30, IF(F204&lt;=1000, 35, F204*0.035)))),
0)))</f>
        <v>0</v>
      </c>
      <c r="H204" s="163">
        <f>IF(I204="مخالفات",50,Basic34567891011121314151617181920[[#This Row],[قيمة الرسوم / العموله]]+Basic34567891011121314151617181920[[#This Row],[قيمة الشحنه]])</f>
        <v>0</v>
      </c>
      <c r="I204" s="90"/>
      <c r="J204" s="142" t="str">
        <f t="shared" si="3"/>
        <v>13.5.2026</v>
      </c>
      <c r="L204" s="153">
        <v>193</v>
      </c>
      <c r="M204" s="92"/>
    </row>
    <row r="205" spans="1:13" ht="21.6" x14ac:dyDescent="0.65">
      <c r="A205" s="195"/>
      <c r="B205" s="144">
        <v>202</v>
      </c>
      <c r="C205" s="2"/>
      <c r="D205" s="1"/>
      <c r="E205" s="3"/>
      <c r="F205" s="1"/>
      <c r="G205" s="141">
        <f>IF(Basic34567891011121314151617181920[[#This Row],[نوع الخدمة]]="مخالفات", 50,
IF(Basic34567891011121314151617181920[[#This Row],[نوع الخدمة]]="كاش ان",
    IF(F205&lt;=100, 18, IF(F205&lt;=250, 23, IF(F205&lt;=500, 35, IF(F205&lt;=1000, 40, F205*0.04)))),
IF(Basic34567891011121314151617181920[[#This Row],[نوع الخدمة]]="كاش اوت",
    IF(F205&lt;=100, 15, IF(F205&lt;=250, 20, IF(F205&lt;=500, 30, IF(F205&lt;=1000, 35, F205*0.035)))),
0)))</f>
        <v>0</v>
      </c>
      <c r="H205" s="163">
        <f>IF(I205="مخالفات",50,Basic34567891011121314151617181920[[#This Row],[قيمة الرسوم / العموله]]+Basic34567891011121314151617181920[[#This Row],[قيمة الشحنه]])</f>
        <v>0</v>
      </c>
      <c r="I205" s="90"/>
      <c r="J205" s="142" t="str">
        <f t="shared" si="3"/>
        <v>13.5.2026</v>
      </c>
      <c r="L205" s="153">
        <v>194</v>
      </c>
      <c r="M205" s="92"/>
    </row>
    <row r="206" spans="1:13" ht="21.6" x14ac:dyDescent="0.65">
      <c r="A206" s="195"/>
      <c r="B206" s="140">
        <v>203</v>
      </c>
      <c r="C206" s="2"/>
      <c r="D206" s="1"/>
      <c r="E206" s="3"/>
      <c r="F206" s="1"/>
      <c r="G206" s="141">
        <f>IF(Basic34567891011121314151617181920[[#This Row],[نوع الخدمة]]="مخالفات", 50,
IF(Basic34567891011121314151617181920[[#This Row],[نوع الخدمة]]="كاش ان",
    IF(F206&lt;=100, 18, IF(F206&lt;=250, 23, IF(F206&lt;=500, 35, IF(F206&lt;=1000, 40, F206*0.04)))),
IF(Basic34567891011121314151617181920[[#This Row],[نوع الخدمة]]="كاش اوت",
    IF(F206&lt;=100, 15, IF(F206&lt;=250, 20, IF(F206&lt;=500, 30, IF(F206&lt;=1000, 35, F206*0.035)))),
0)))</f>
        <v>0</v>
      </c>
      <c r="H206" s="163">
        <f>IF(I206="مخالفات",50,Basic34567891011121314151617181920[[#This Row],[قيمة الرسوم / العموله]]+Basic34567891011121314151617181920[[#This Row],[قيمة الشحنه]])</f>
        <v>0</v>
      </c>
      <c r="I206" s="90"/>
      <c r="J206" s="142" t="str">
        <f t="shared" si="3"/>
        <v>13.5.2026</v>
      </c>
      <c r="L206" s="153">
        <v>195</v>
      </c>
      <c r="M206" s="92"/>
    </row>
    <row r="207" spans="1:13" ht="21.6" x14ac:dyDescent="0.65">
      <c r="A207" s="195"/>
      <c r="B207" s="140">
        <v>204</v>
      </c>
      <c r="C207" s="2"/>
      <c r="D207" s="1"/>
      <c r="E207" s="3"/>
      <c r="F207" s="1"/>
      <c r="G207" s="141">
        <f>IF(Basic34567891011121314151617181920[[#This Row],[نوع الخدمة]]="مخالفات", 50,
IF(Basic34567891011121314151617181920[[#This Row],[نوع الخدمة]]="كاش ان",
    IF(F207&lt;=100, 18, IF(F207&lt;=250, 23, IF(F207&lt;=500, 35, IF(F207&lt;=1000, 40, F207*0.04)))),
IF(Basic34567891011121314151617181920[[#This Row],[نوع الخدمة]]="كاش اوت",
    IF(F207&lt;=100, 15, IF(F207&lt;=250, 20, IF(F207&lt;=500, 30, IF(F207&lt;=1000, 35, F207*0.035)))),
0)))</f>
        <v>0</v>
      </c>
      <c r="H207" s="163">
        <f>IF(I207="مخالفات",50,Basic34567891011121314151617181920[[#This Row],[قيمة الرسوم / العموله]]+Basic34567891011121314151617181920[[#This Row],[قيمة الشحنه]])</f>
        <v>0</v>
      </c>
      <c r="I207" s="90"/>
      <c r="J207" s="142" t="str">
        <f t="shared" si="3"/>
        <v>13.5.2026</v>
      </c>
      <c r="L207" s="153">
        <v>196</v>
      </c>
      <c r="M207" s="92"/>
    </row>
    <row r="208" spans="1:13" ht="21.6" x14ac:dyDescent="0.65">
      <c r="A208" s="195"/>
      <c r="B208" s="140">
        <v>205</v>
      </c>
      <c r="C208" s="2"/>
      <c r="D208" s="1"/>
      <c r="E208" s="3"/>
      <c r="F208" s="1"/>
      <c r="G208" s="141">
        <f>IF(Basic34567891011121314151617181920[[#This Row],[نوع الخدمة]]="مخالفات", 50,
IF(Basic34567891011121314151617181920[[#This Row],[نوع الخدمة]]="كاش ان",
    IF(F208&lt;=100, 18, IF(F208&lt;=250, 23, IF(F208&lt;=500, 35, IF(F208&lt;=1000, 40, F208*0.04)))),
IF(Basic34567891011121314151617181920[[#This Row],[نوع الخدمة]]="كاش اوت",
    IF(F208&lt;=100, 15, IF(F208&lt;=250, 20, IF(F208&lt;=500, 30, IF(F208&lt;=1000, 35, F208*0.035)))),
0)))</f>
        <v>0</v>
      </c>
      <c r="H208" s="163">
        <f>IF(I208="مخالفات",50,Basic34567891011121314151617181920[[#This Row],[قيمة الرسوم / العموله]]+Basic34567891011121314151617181920[[#This Row],[قيمة الشحنه]])</f>
        <v>0</v>
      </c>
      <c r="I208" s="90"/>
      <c r="J208" s="142" t="str">
        <f t="shared" si="3"/>
        <v>13.5.2026</v>
      </c>
      <c r="L208" s="153">
        <v>197</v>
      </c>
      <c r="M208" s="92"/>
    </row>
    <row r="209" spans="1:13" ht="21.6" x14ac:dyDescent="0.65">
      <c r="A209" s="195"/>
      <c r="B209" s="144">
        <v>206</v>
      </c>
      <c r="C209" s="2"/>
      <c r="D209" s="1"/>
      <c r="E209" s="3"/>
      <c r="F209" s="1"/>
      <c r="G209" s="141">
        <f>IF(Basic34567891011121314151617181920[[#This Row],[نوع الخدمة]]="مخالفات", 50,
IF(Basic34567891011121314151617181920[[#This Row],[نوع الخدمة]]="كاش ان",
    IF(F209&lt;=100, 18, IF(F209&lt;=250, 23, IF(F209&lt;=500, 35, IF(F209&lt;=1000, 40, F209*0.04)))),
IF(Basic34567891011121314151617181920[[#This Row],[نوع الخدمة]]="كاش اوت",
    IF(F209&lt;=100, 15, IF(F209&lt;=250, 20, IF(F209&lt;=500, 30, IF(F209&lt;=1000, 35, F209*0.035)))),
0)))</f>
        <v>0</v>
      </c>
      <c r="H209" s="163">
        <f>IF(I209="مخالفات",50,Basic34567891011121314151617181920[[#This Row],[قيمة الرسوم / العموله]]+Basic34567891011121314151617181920[[#This Row],[قيمة الشحنه]])</f>
        <v>0</v>
      </c>
      <c r="I209" s="90"/>
      <c r="J209" s="142" t="str">
        <f t="shared" si="3"/>
        <v>13.5.2026</v>
      </c>
      <c r="L209" s="153">
        <v>198</v>
      </c>
      <c r="M209" s="92"/>
    </row>
    <row r="210" spans="1:13" ht="21.6" x14ac:dyDescent="0.65">
      <c r="A210" s="195"/>
      <c r="B210" s="140">
        <v>207</v>
      </c>
      <c r="C210" s="2"/>
      <c r="D210" s="1"/>
      <c r="E210" s="3"/>
      <c r="F210" s="1"/>
      <c r="G210" s="141">
        <f>IF(Basic34567891011121314151617181920[[#This Row],[نوع الخدمة]]="مخالفات", 50,
IF(Basic34567891011121314151617181920[[#This Row],[نوع الخدمة]]="كاش ان",
    IF(F210&lt;=100, 18, IF(F210&lt;=250, 23, IF(F210&lt;=500, 35, IF(F210&lt;=1000, 40, F210*0.04)))),
IF(Basic34567891011121314151617181920[[#This Row],[نوع الخدمة]]="كاش اوت",
    IF(F210&lt;=100, 15, IF(F210&lt;=250, 20, IF(F210&lt;=500, 30, IF(F210&lt;=1000, 35, F210*0.035)))),
0)))</f>
        <v>0</v>
      </c>
      <c r="H210" s="163">
        <f>IF(I210="مخالفات",50,Basic34567891011121314151617181920[[#This Row],[قيمة الرسوم / العموله]]+Basic34567891011121314151617181920[[#This Row],[قيمة الشحنه]])</f>
        <v>0</v>
      </c>
      <c r="I210" s="90"/>
      <c r="J210" s="142" t="str">
        <f t="shared" si="3"/>
        <v>13.5.2026</v>
      </c>
      <c r="L210" s="153">
        <v>199</v>
      </c>
      <c r="M210" s="92"/>
    </row>
    <row r="211" spans="1:13" ht="21.6" x14ac:dyDescent="0.65">
      <c r="A211" s="195"/>
      <c r="B211" s="140">
        <v>208</v>
      </c>
      <c r="C211" s="2"/>
      <c r="D211" s="1"/>
      <c r="E211" s="3"/>
      <c r="F211" s="1"/>
      <c r="G211" s="141">
        <f>IF(Basic34567891011121314151617181920[[#This Row],[نوع الخدمة]]="مخالفات", 50,
IF(Basic34567891011121314151617181920[[#This Row],[نوع الخدمة]]="كاش ان",
    IF(F211&lt;=100, 18, IF(F211&lt;=250, 23, IF(F211&lt;=500, 35, IF(F211&lt;=1000, 40, F211*0.04)))),
IF(Basic34567891011121314151617181920[[#This Row],[نوع الخدمة]]="كاش اوت",
    IF(F211&lt;=100, 15, IF(F211&lt;=250, 20, IF(F211&lt;=500, 30, IF(F211&lt;=1000, 35, F211*0.035)))),
0)))</f>
        <v>0</v>
      </c>
      <c r="H211" s="163">
        <f>IF(I211="مخالفات",50,Basic34567891011121314151617181920[[#This Row],[قيمة الرسوم / العموله]]+Basic34567891011121314151617181920[[#This Row],[قيمة الشحنه]])</f>
        <v>0</v>
      </c>
      <c r="I211" s="90"/>
      <c r="J211" s="142" t="str">
        <f t="shared" si="3"/>
        <v>13.5.2026</v>
      </c>
      <c r="L211" s="153">
        <v>200</v>
      </c>
      <c r="M211" s="92"/>
    </row>
    <row r="212" spans="1:13" ht="21.6" x14ac:dyDescent="0.65">
      <c r="A212" s="195"/>
      <c r="B212" s="140">
        <v>209</v>
      </c>
      <c r="C212" s="2"/>
      <c r="D212" s="1"/>
      <c r="E212" s="3"/>
      <c r="F212" s="1"/>
      <c r="G212" s="141">
        <f>IF(Basic34567891011121314151617181920[[#This Row],[نوع الخدمة]]="مخالفات", 50,
IF(Basic34567891011121314151617181920[[#This Row],[نوع الخدمة]]="كاش ان",
    IF(F212&lt;=100, 18, IF(F212&lt;=250, 23, IF(F212&lt;=500, 35, IF(F212&lt;=1000, 40, F212*0.04)))),
IF(Basic34567891011121314151617181920[[#This Row],[نوع الخدمة]]="كاش اوت",
    IF(F212&lt;=100, 15, IF(F212&lt;=250, 20, IF(F212&lt;=500, 30, IF(F212&lt;=1000, 35, F212*0.035)))),
0)))</f>
        <v>0</v>
      </c>
      <c r="H212" s="163">
        <f>IF(I212="مخالفات",50,Basic34567891011121314151617181920[[#This Row],[قيمة الرسوم / العموله]]+Basic34567891011121314151617181920[[#This Row],[قيمة الشحنه]])</f>
        <v>0</v>
      </c>
      <c r="I212" s="90"/>
      <c r="J212" s="142" t="str">
        <f t="shared" si="3"/>
        <v>13.5.2026</v>
      </c>
      <c r="L212" s="153">
        <v>201</v>
      </c>
      <c r="M212" s="92"/>
    </row>
    <row r="213" spans="1:13" ht="21.6" x14ac:dyDescent="0.65">
      <c r="A213" s="195"/>
      <c r="B213" s="144">
        <v>210</v>
      </c>
      <c r="C213" s="2"/>
      <c r="D213" s="1"/>
      <c r="E213" s="3"/>
      <c r="F213" s="1"/>
      <c r="G213" s="141">
        <f>IF(Basic34567891011121314151617181920[[#This Row],[نوع الخدمة]]="مخالفات", 50,
IF(Basic34567891011121314151617181920[[#This Row],[نوع الخدمة]]="كاش ان",
    IF(F213&lt;=100, 18, IF(F213&lt;=250, 23, IF(F213&lt;=500, 35, IF(F213&lt;=1000, 40, F213*0.04)))),
IF(Basic34567891011121314151617181920[[#This Row],[نوع الخدمة]]="كاش اوت",
    IF(F213&lt;=100, 15, IF(F213&lt;=250, 20, IF(F213&lt;=500, 30, IF(F213&lt;=1000, 35, F213*0.035)))),
0)))</f>
        <v>0</v>
      </c>
      <c r="H213" s="163">
        <f>IF(I213="مخالفات",50,Basic34567891011121314151617181920[[#This Row],[قيمة الرسوم / العموله]]+Basic34567891011121314151617181920[[#This Row],[قيمة الشحنه]])</f>
        <v>0</v>
      </c>
      <c r="I213" s="90"/>
      <c r="J213" s="142" t="str">
        <f t="shared" si="3"/>
        <v>13.5.2026</v>
      </c>
      <c r="L213" s="153">
        <v>202</v>
      </c>
      <c r="M213" s="92"/>
    </row>
    <row r="214" spans="1:13" ht="21.6" x14ac:dyDescent="0.65">
      <c r="A214" s="195"/>
      <c r="B214" s="140">
        <v>211</v>
      </c>
      <c r="C214" s="2"/>
      <c r="D214" s="1"/>
      <c r="E214" s="3"/>
      <c r="F214" s="1"/>
      <c r="G214" s="141">
        <f>IF(Basic34567891011121314151617181920[[#This Row],[نوع الخدمة]]="مخالفات", 50,
IF(Basic34567891011121314151617181920[[#This Row],[نوع الخدمة]]="كاش ان",
    IF(F214&lt;=100, 18, IF(F214&lt;=250, 23, IF(F214&lt;=500, 35, IF(F214&lt;=1000, 40, F214*0.04)))),
IF(Basic34567891011121314151617181920[[#This Row],[نوع الخدمة]]="كاش اوت",
    IF(F214&lt;=100, 15, IF(F214&lt;=250, 20, IF(F214&lt;=500, 30, IF(F214&lt;=1000, 35, F214*0.035)))),
0)))</f>
        <v>0</v>
      </c>
      <c r="H214" s="163">
        <f>IF(I214="مخالفات",50,Basic34567891011121314151617181920[[#This Row],[قيمة الرسوم / العموله]]+Basic34567891011121314151617181920[[#This Row],[قيمة الشحنه]])</f>
        <v>0</v>
      </c>
      <c r="I214" s="90"/>
      <c r="J214" s="142" t="str">
        <f t="shared" si="3"/>
        <v>13.5.2026</v>
      </c>
      <c r="L214" s="153">
        <v>203</v>
      </c>
      <c r="M214" s="92"/>
    </row>
    <row r="215" spans="1:13" ht="21.6" x14ac:dyDescent="0.65">
      <c r="A215" s="195"/>
      <c r="B215" s="140">
        <v>212</v>
      </c>
      <c r="C215" s="2"/>
      <c r="D215" s="1"/>
      <c r="E215" s="3"/>
      <c r="F215" s="1"/>
      <c r="G215" s="141">
        <f>IF(Basic34567891011121314151617181920[[#This Row],[نوع الخدمة]]="مخالفات", 50,
IF(Basic34567891011121314151617181920[[#This Row],[نوع الخدمة]]="كاش ان",
    IF(F215&lt;=100, 18, IF(F215&lt;=250, 23, IF(F215&lt;=500, 35, IF(F215&lt;=1000, 40, F215*0.04)))),
IF(Basic34567891011121314151617181920[[#This Row],[نوع الخدمة]]="كاش اوت",
    IF(F215&lt;=100, 15, IF(F215&lt;=250, 20, IF(F215&lt;=500, 30, IF(F215&lt;=1000, 35, F215*0.035)))),
0)))</f>
        <v>0</v>
      </c>
      <c r="H215" s="163">
        <f>IF(I215="مخالفات",50,Basic34567891011121314151617181920[[#This Row],[قيمة الرسوم / العموله]]+Basic34567891011121314151617181920[[#This Row],[قيمة الشحنه]])</f>
        <v>0</v>
      </c>
      <c r="I215" s="90"/>
      <c r="J215" s="142" t="str">
        <f t="shared" si="3"/>
        <v>13.5.2026</v>
      </c>
      <c r="L215" s="153">
        <v>204</v>
      </c>
      <c r="M215" s="92"/>
    </row>
    <row r="216" spans="1:13" ht="21.6" x14ac:dyDescent="0.65">
      <c r="A216" s="195"/>
      <c r="B216" s="140">
        <v>213</v>
      </c>
      <c r="C216" s="2"/>
      <c r="D216" s="1"/>
      <c r="E216" s="3"/>
      <c r="F216" s="1"/>
      <c r="G216" s="141">
        <f>IF(Basic34567891011121314151617181920[[#This Row],[نوع الخدمة]]="مخالفات", 50,
IF(Basic34567891011121314151617181920[[#This Row],[نوع الخدمة]]="كاش ان",
    IF(F216&lt;=100, 18, IF(F216&lt;=250, 23, IF(F216&lt;=500, 35, IF(F216&lt;=1000, 40, F216*0.04)))),
IF(Basic34567891011121314151617181920[[#This Row],[نوع الخدمة]]="كاش اوت",
    IF(F216&lt;=100, 15, IF(F216&lt;=250, 20, IF(F216&lt;=500, 30, IF(F216&lt;=1000, 35, F216*0.035)))),
0)))</f>
        <v>0</v>
      </c>
      <c r="H216" s="163">
        <f>IF(I216="مخالفات",50,Basic34567891011121314151617181920[[#This Row],[قيمة الرسوم / العموله]]+Basic34567891011121314151617181920[[#This Row],[قيمة الشحنه]])</f>
        <v>0</v>
      </c>
      <c r="I216" s="90"/>
      <c r="J216" s="142" t="str">
        <f t="shared" si="3"/>
        <v>13.5.2026</v>
      </c>
      <c r="L216" s="153">
        <v>205</v>
      </c>
      <c r="M216" s="92"/>
    </row>
    <row r="217" spans="1:13" ht="21.6" x14ac:dyDescent="0.65">
      <c r="A217" s="195"/>
      <c r="B217" s="144">
        <v>214</v>
      </c>
      <c r="C217" s="2"/>
      <c r="D217" s="1"/>
      <c r="E217" s="3"/>
      <c r="F217" s="1"/>
      <c r="G217" s="141">
        <f>IF(Basic34567891011121314151617181920[[#This Row],[نوع الخدمة]]="مخالفات", 50,
IF(Basic34567891011121314151617181920[[#This Row],[نوع الخدمة]]="كاش ان",
    IF(F217&lt;=100, 18, IF(F217&lt;=250, 23, IF(F217&lt;=500, 35, IF(F217&lt;=1000, 40, F217*0.04)))),
IF(Basic34567891011121314151617181920[[#This Row],[نوع الخدمة]]="كاش اوت",
    IF(F217&lt;=100, 15, IF(F217&lt;=250, 20, IF(F217&lt;=500, 30, IF(F217&lt;=1000, 35, F217*0.035)))),
0)))</f>
        <v>0</v>
      </c>
      <c r="H217" s="163">
        <f>IF(I217="مخالفات",50,Basic34567891011121314151617181920[[#This Row],[قيمة الرسوم / العموله]]+Basic34567891011121314151617181920[[#This Row],[قيمة الشحنه]])</f>
        <v>0</v>
      </c>
      <c r="I217" s="90"/>
      <c r="J217" s="142" t="str">
        <f t="shared" si="3"/>
        <v>13.5.2026</v>
      </c>
      <c r="L217" s="153">
        <v>206</v>
      </c>
      <c r="M217" s="92"/>
    </row>
    <row r="218" spans="1:13" ht="21.6" x14ac:dyDescent="0.65">
      <c r="A218" s="195"/>
      <c r="B218" s="140">
        <v>215</v>
      </c>
      <c r="C218" s="2"/>
      <c r="D218" s="1"/>
      <c r="E218" s="3"/>
      <c r="F218" s="1"/>
      <c r="G218" s="141">
        <f>IF(Basic34567891011121314151617181920[[#This Row],[نوع الخدمة]]="مخالفات", 50,
IF(Basic34567891011121314151617181920[[#This Row],[نوع الخدمة]]="كاش ان",
    IF(F218&lt;=100, 18, IF(F218&lt;=250, 23, IF(F218&lt;=500, 35, IF(F218&lt;=1000, 40, F218*0.04)))),
IF(Basic34567891011121314151617181920[[#This Row],[نوع الخدمة]]="كاش اوت",
    IF(F218&lt;=100, 15, IF(F218&lt;=250, 20, IF(F218&lt;=500, 30, IF(F218&lt;=1000, 35, F218*0.035)))),
0)))</f>
        <v>0</v>
      </c>
      <c r="H218" s="163">
        <f>IF(I218="مخالفات",50,Basic34567891011121314151617181920[[#This Row],[قيمة الرسوم / العموله]]+Basic34567891011121314151617181920[[#This Row],[قيمة الشحنه]])</f>
        <v>0</v>
      </c>
      <c r="I218" s="90"/>
      <c r="J218" s="142" t="str">
        <f t="shared" si="3"/>
        <v>13.5.2026</v>
      </c>
      <c r="L218" s="153">
        <v>207</v>
      </c>
      <c r="M218" s="92"/>
    </row>
    <row r="219" spans="1:13" ht="21.6" x14ac:dyDescent="0.65">
      <c r="A219" s="195"/>
      <c r="B219" s="140">
        <v>216</v>
      </c>
      <c r="C219" s="2"/>
      <c r="D219" s="1"/>
      <c r="E219" s="3"/>
      <c r="F219" s="1"/>
      <c r="G219" s="141">
        <f>IF(Basic34567891011121314151617181920[[#This Row],[نوع الخدمة]]="مخالفات", 50,
IF(Basic34567891011121314151617181920[[#This Row],[نوع الخدمة]]="كاش ان",
    IF(F219&lt;=100, 18, IF(F219&lt;=250, 23, IF(F219&lt;=500, 35, IF(F219&lt;=1000, 40, F219*0.04)))),
IF(Basic34567891011121314151617181920[[#This Row],[نوع الخدمة]]="كاش اوت",
    IF(F219&lt;=100, 15, IF(F219&lt;=250, 20, IF(F219&lt;=500, 30, IF(F219&lt;=1000, 35, F219*0.035)))),
0)))</f>
        <v>0</v>
      </c>
      <c r="H219" s="163">
        <f>IF(I219="مخالفات",50,Basic34567891011121314151617181920[[#This Row],[قيمة الرسوم / العموله]]+Basic34567891011121314151617181920[[#This Row],[قيمة الشحنه]])</f>
        <v>0</v>
      </c>
      <c r="I219" s="90"/>
      <c r="J219" s="142" t="str">
        <f t="shared" si="3"/>
        <v>13.5.2026</v>
      </c>
      <c r="L219" s="153">
        <v>208</v>
      </c>
      <c r="M219" s="92"/>
    </row>
    <row r="220" spans="1:13" ht="21.6" x14ac:dyDescent="0.65">
      <c r="A220" s="195"/>
      <c r="B220" s="140">
        <v>217</v>
      </c>
      <c r="C220" s="2"/>
      <c r="D220" s="1"/>
      <c r="E220" s="3"/>
      <c r="F220" s="1"/>
      <c r="G220" s="141">
        <f>IF(Basic34567891011121314151617181920[[#This Row],[نوع الخدمة]]="مخالفات", 50,
IF(Basic34567891011121314151617181920[[#This Row],[نوع الخدمة]]="كاش ان",
    IF(F220&lt;=100, 18, IF(F220&lt;=250, 23, IF(F220&lt;=500, 35, IF(F220&lt;=1000, 40, F220*0.04)))),
IF(Basic34567891011121314151617181920[[#This Row],[نوع الخدمة]]="كاش اوت",
    IF(F220&lt;=100, 15, IF(F220&lt;=250, 20, IF(F220&lt;=500, 30, IF(F220&lt;=1000, 35, F220*0.035)))),
0)))</f>
        <v>0</v>
      </c>
      <c r="H220" s="163">
        <f>IF(I220="مخالفات",50,Basic34567891011121314151617181920[[#This Row],[قيمة الرسوم / العموله]]+Basic34567891011121314151617181920[[#This Row],[قيمة الشحنه]])</f>
        <v>0</v>
      </c>
      <c r="I220" s="90"/>
      <c r="J220" s="142" t="str">
        <f t="shared" si="3"/>
        <v>13.5.2026</v>
      </c>
      <c r="L220" s="153">
        <v>209</v>
      </c>
      <c r="M220" s="92"/>
    </row>
    <row r="221" spans="1:13" ht="21.6" x14ac:dyDescent="0.65">
      <c r="A221" s="195"/>
      <c r="B221" s="144">
        <v>218</v>
      </c>
      <c r="C221" s="2"/>
      <c r="D221" s="1"/>
      <c r="E221" s="3"/>
      <c r="F221" s="1"/>
      <c r="G221" s="141">
        <f>IF(Basic34567891011121314151617181920[[#This Row],[نوع الخدمة]]="مخالفات", 50,
IF(Basic34567891011121314151617181920[[#This Row],[نوع الخدمة]]="كاش ان",
    IF(F221&lt;=100, 18, IF(F221&lt;=250, 23, IF(F221&lt;=500, 35, IF(F221&lt;=1000, 40, F221*0.04)))),
IF(Basic34567891011121314151617181920[[#This Row],[نوع الخدمة]]="كاش اوت",
    IF(F221&lt;=100, 15, IF(F221&lt;=250, 20, IF(F221&lt;=500, 30, IF(F221&lt;=1000, 35, F221*0.035)))),
0)))</f>
        <v>0</v>
      </c>
      <c r="H221" s="163">
        <f>IF(I221="مخالفات",50,Basic34567891011121314151617181920[[#This Row],[قيمة الرسوم / العموله]]+Basic34567891011121314151617181920[[#This Row],[قيمة الشحنه]])</f>
        <v>0</v>
      </c>
      <c r="I221" s="90"/>
      <c r="J221" s="142" t="str">
        <f t="shared" si="3"/>
        <v>13.5.2026</v>
      </c>
      <c r="L221" s="153">
        <v>210</v>
      </c>
      <c r="M221" s="92"/>
    </row>
    <row r="222" spans="1:13" ht="21.6" x14ac:dyDescent="0.65">
      <c r="A222" s="195"/>
      <c r="B222" s="140">
        <v>219</v>
      </c>
      <c r="C222" s="2"/>
      <c r="D222" s="1"/>
      <c r="E222" s="3"/>
      <c r="F222" s="1"/>
      <c r="G222" s="141">
        <f>IF(Basic34567891011121314151617181920[[#This Row],[نوع الخدمة]]="مخالفات", 50,
IF(Basic34567891011121314151617181920[[#This Row],[نوع الخدمة]]="كاش ان",
    IF(F222&lt;=100, 18, IF(F222&lt;=250, 23, IF(F222&lt;=500, 35, IF(F222&lt;=1000, 40, F222*0.04)))),
IF(Basic34567891011121314151617181920[[#This Row],[نوع الخدمة]]="كاش اوت",
    IF(F222&lt;=100, 15, IF(F222&lt;=250, 20, IF(F222&lt;=500, 30, IF(F222&lt;=1000, 35, F222*0.035)))),
0)))</f>
        <v>0</v>
      </c>
      <c r="H222" s="163">
        <f>IF(I222="مخالفات",50,Basic34567891011121314151617181920[[#This Row],[قيمة الرسوم / العموله]]+Basic34567891011121314151617181920[[#This Row],[قيمة الشحنه]])</f>
        <v>0</v>
      </c>
      <c r="I222" s="90"/>
      <c r="J222" s="142" t="str">
        <f t="shared" si="3"/>
        <v>13.5.2026</v>
      </c>
      <c r="L222" s="153">
        <v>211</v>
      </c>
      <c r="M222" s="92"/>
    </row>
    <row r="223" spans="1:13" ht="21.6" x14ac:dyDescent="0.65">
      <c r="A223" s="195"/>
      <c r="B223" s="140">
        <v>220</v>
      </c>
      <c r="C223" s="2"/>
      <c r="D223" s="1"/>
      <c r="E223" s="3"/>
      <c r="F223" s="1"/>
      <c r="G223" s="141">
        <f>IF(Basic34567891011121314151617181920[[#This Row],[نوع الخدمة]]="مخالفات", 50,
IF(Basic34567891011121314151617181920[[#This Row],[نوع الخدمة]]="كاش ان",
    IF(F223&lt;=100, 18, IF(F223&lt;=250, 23, IF(F223&lt;=500, 35, IF(F223&lt;=1000, 40, F223*0.04)))),
IF(Basic34567891011121314151617181920[[#This Row],[نوع الخدمة]]="كاش اوت",
    IF(F223&lt;=100, 15, IF(F223&lt;=250, 20, IF(F223&lt;=500, 30, IF(F223&lt;=1000, 35, F223*0.035)))),
0)))</f>
        <v>0</v>
      </c>
      <c r="H223" s="163">
        <f>IF(I223="مخالفات",50,Basic34567891011121314151617181920[[#This Row],[قيمة الرسوم / العموله]]+Basic34567891011121314151617181920[[#This Row],[قيمة الشحنه]])</f>
        <v>0</v>
      </c>
      <c r="I223" s="90"/>
      <c r="J223" s="142" t="str">
        <f t="shared" si="3"/>
        <v>13.5.2026</v>
      </c>
      <c r="L223" s="153">
        <v>212</v>
      </c>
      <c r="M223" s="92"/>
    </row>
    <row r="224" spans="1:13" ht="21.6" x14ac:dyDescent="0.65">
      <c r="A224" s="195"/>
      <c r="B224" s="140">
        <v>221</v>
      </c>
      <c r="C224" s="2"/>
      <c r="D224" s="1"/>
      <c r="E224" s="3"/>
      <c r="F224" s="1"/>
      <c r="G224" s="141">
        <f>IF(Basic34567891011121314151617181920[[#This Row],[نوع الخدمة]]="مخالفات", 50,
IF(Basic34567891011121314151617181920[[#This Row],[نوع الخدمة]]="كاش ان",
    IF(F224&lt;=100, 18, IF(F224&lt;=250, 23, IF(F224&lt;=500, 35, IF(F224&lt;=1000, 40, F224*0.04)))),
IF(Basic34567891011121314151617181920[[#This Row],[نوع الخدمة]]="كاش اوت",
    IF(F224&lt;=100, 15, IF(F224&lt;=250, 20, IF(F224&lt;=500, 30, IF(F224&lt;=1000, 35, F224*0.035)))),
0)))</f>
        <v>0</v>
      </c>
      <c r="H224" s="163">
        <f>IF(I224="مخالفات",50,Basic34567891011121314151617181920[[#This Row],[قيمة الرسوم / العموله]]+Basic34567891011121314151617181920[[#This Row],[قيمة الشحنه]])</f>
        <v>0</v>
      </c>
      <c r="I224" s="90"/>
      <c r="J224" s="142" t="str">
        <f t="shared" si="3"/>
        <v>13.5.2026</v>
      </c>
      <c r="L224" s="153">
        <v>213</v>
      </c>
      <c r="M224" s="92"/>
    </row>
    <row r="225" spans="1:13" ht="21.6" x14ac:dyDescent="0.65">
      <c r="A225" s="195"/>
      <c r="B225" s="144">
        <v>222</v>
      </c>
      <c r="C225" s="2"/>
      <c r="D225" s="1"/>
      <c r="E225" s="3"/>
      <c r="F225" s="1"/>
      <c r="G225" s="141">
        <f>IF(Basic34567891011121314151617181920[[#This Row],[نوع الخدمة]]="مخالفات", 50,
IF(Basic34567891011121314151617181920[[#This Row],[نوع الخدمة]]="كاش ان",
    IF(F225&lt;=100, 18, IF(F225&lt;=250, 23, IF(F225&lt;=500, 35, IF(F225&lt;=1000, 40, F225*0.04)))),
IF(Basic34567891011121314151617181920[[#This Row],[نوع الخدمة]]="كاش اوت",
    IF(F225&lt;=100, 15, IF(F225&lt;=250, 20, IF(F225&lt;=500, 30, IF(F225&lt;=1000, 35, F225*0.035)))),
0)))</f>
        <v>0</v>
      </c>
      <c r="H225" s="163">
        <f>IF(I225="مخالفات",50,Basic34567891011121314151617181920[[#This Row],[قيمة الرسوم / العموله]]+Basic34567891011121314151617181920[[#This Row],[قيمة الشحنه]])</f>
        <v>0</v>
      </c>
      <c r="I225" s="90"/>
      <c r="J225" s="142" t="str">
        <f t="shared" si="3"/>
        <v>13.5.2026</v>
      </c>
      <c r="L225" s="153">
        <v>214</v>
      </c>
      <c r="M225" s="92"/>
    </row>
    <row r="226" spans="1:13" ht="21.6" x14ac:dyDescent="0.65">
      <c r="A226" s="195"/>
      <c r="B226" s="140">
        <v>223</v>
      </c>
      <c r="C226" s="4"/>
      <c r="D226" s="5"/>
      <c r="E226" s="6"/>
      <c r="F226" s="5"/>
      <c r="G226" s="141">
        <f>IF(Basic34567891011121314151617181920[[#This Row],[نوع الخدمة]]="مخالفات", 50,
IF(Basic34567891011121314151617181920[[#This Row],[نوع الخدمة]]="كاش ان",
    IF(F226&lt;=100, 18, IF(F226&lt;=250, 23, IF(F226&lt;=500, 35, IF(F226&lt;=1000, 40, F226*0.04)))),
IF(Basic34567891011121314151617181920[[#This Row],[نوع الخدمة]]="كاش اوت",
    IF(F226&lt;=100, 15, IF(F226&lt;=250, 20, IF(F226&lt;=500, 30, IF(F226&lt;=1000, 35, F226*0.035)))),
0)))</f>
        <v>0</v>
      </c>
      <c r="H226" s="164">
        <f>IF(I226="مخالفات",50,Basic34567891011121314151617181920[[#This Row],[قيمة الرسوم / العموله]]+Basic34567891011121314151617181920[[#This Row],[قيمة الشحنه]])</f>
        <v>0</v>
      </c>
      <c r="I226" s="90"/>
      <c r="J226" s="142" t="str">
        <f t="shared" si="3"/>
        <v>13.5.2026</v>
      </c>
      <c r="L226" s="156">
        <v>215</v>
      </c>
      <c r="M226" s="93"/>
    </row>
  </sheetData>
  <sheetProtection algorithmName="SHA-512" hashValue="F4w4S8s3M+78LHiHfOTAgP/fqSRMOoKfY/ht3iW7pG3S+W4wOvFbZHzjWUAKSnYzY6DGrc7bl1xzQaWJaavVzg==" saltValue="hQnVapXKNNlYIdCFiyJeCg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75" priority="12" operator="equal">
      <formula>$BH$10</formula>
    </cfRule>
    <cfRule type="cellIs" dxfId="74" priority="13" operator="equal">
      <formula>$BH$9</formula>
    </cfRule>
    <cfRule type="cellIs" dxfId="73" priority="14" operator="equal">
      <formula>$BH$8</formula>
    </cfRule>
  </conditionalFormatting>
  <conditionalFormatting sqref="P11">
    <cfRule type="cellIs" dxfId="72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{C154ACF6-DD7C-42E3-8AED-A490ED35413E}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{8589B7BD-0E17-4E69-BD54-1B9E3491F9EC}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{C5B7A65B-9CA9-4624-AAF2-D1BF5DD6C90B}</x14:id>
        </ext>
      </extLst>
    </cfRule>
  </conditionalFormatting>
  <dataValidations count="2">
    <dataValidation type="list" allowBlank="1" showInputMessage="1" showErrorMessage="1" sqref="I4:I226" xr:uid="{00000000-0002-0000-0C00-000000000000}">
      <formula1>$BH$8:$BH$10</formula1>
    </dataValidation>
    <dataValidation type="textLength" operator="equal" allowBlank="1" showInputMessage="1" showErrorMessage="1" errorTitle="يجب إخال رقم IPN صحيح 13 رقم" sqref="C1:C1048576" xr:uid="{00000000-0002-0000-0C00-000001000000}">
      <formula1>13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154ACF6-DD7C-42E3-8AED-A490ED35413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8589B7BD-0E17-4E69-BD54-1B9E3491F9EC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C5B7A65B-9CA9-4624-AAF2-D1BF5DD6C90B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H226"/>
  <sheetViews>
    <sheetView showGridLines="0" showRowColHeaders="0" rightToLeft="1" topLeftCell="D1" zoomScale="80" zoomScaleNormal="80" workbookViewId="0">
      <selection activeCell="J15" sqref="J15"/>
    </sheetView>
  </sheetViews>
  <sheetFormatPr defaultColWidth="9.109375" defaultRowHeight="14.4" x14ac:dyDescent="0.3"/>
  <cols>
    <col min="1" max="1" width="4.109375" style="124" customWidth="1"/>
    <col min="2" max="2" width="6.5546875" style="125" bestFit="1" customWidth="1"/>
    <col min="3" max="3" width="28" style="126" customWidth="1"/>
    <col min="4" max="4" width="15.6640625" style="124" customWidth="1"/>
    <col min="5" max="5" width="17.5546875" style="157" customWidth="1"/>
    <col min="6" max="6" width="12.88671875" style="124" bestFit="1" customWidth="1"/>
    <col min="7" max="7" width="19" style="124" bestFit="1" customWidth="1"/>
    <col min="8" max="8" width="19" style="124" customWidth="1"/>
    <col min="9" max="9" width="12.44140625" style="128" bestFit="1" customWidth="1"/>
    <col min="10" max="10" width="17.5546875" style="129" customWidth="1"/>
    <col min="11" max="11" width="3.5546875" style="124" customWidth="1"/>
    <col min="12" max="12" width="8.5546875" style="124" bestFit="1" customWidth="1"/>
    <col min="13" max="13" width="23" style="124" customWidth="1"/>
    <col min="14" max="14" width="3.109375" style="124" customWidth="1"/>
    <col min="15" max="15" width="26.5546875" style="124" bestFit="1" customWidth="1"/>
    <col min="16" max="16" width="14.6640625" style="124" customWidth="1"/>
    <col min="17" max="17" width="3.5546875" style="124" customWidth="1"/>
    <col min="18" max="19" width="17" style="128" customWidth="1"/>
    <col min="20" max="20" width="11.5546875" style="128" bestFit="1" customWidth="1"/>
    <col min="21" max="22" width="12.5546875" style="128" customWidth="1"/>
    <col min="23" max="23" width="7.88671875" style="128" customWidth="1"/>
    <col min="24" max="24" width="12.6640625" style="128" customWidth="1"/>
    <col min="25" max="25" width="9.109375" style="128"/>
    <col min="26" max="16384" width="9.109375" style="124"/>
  </cols>
  <sheetData>
    <row r="1" spans="1:60" x14ac:dyDescent="0.3">
      <c r="E1" s="127">
        <f>Total!F5</f>
        <v>69</v>
      </c>
      <c r="F1" s="192" t="str">
        <f>Total!G5</f>
        <v>العبور</v>
      </c>
      <c r="G1" s="192"/>
      <c r="H1" s="192"/>
    </row>
    <row r="3" spans="1:60" ht="15.6" x14ac:dyDescent="0.3">
      <c r="B3" s="130" t="s">
        <v>0</v>
      </c>
      <c r="C3" s="131" t="s">
        <v>1</v>
      </c>
      <c r="D3" s="132" t="s">
        <v>2</v>
      </c>
      <c r="E3" s="133" t="s">
        <v>3</v>
      </c>
      <c r="F3" s="132" t="s">
        <v>4</v>
      </c>
      <c r="G3" s="132" t="s">
        <v>5</v>
      </c>
      <c r="H3" s="132" t="s">
        <v>76</v>
      </c>
      <c r="I3" s="132" t="s">
        <v>6</v>
      </c>
      <c r="J3" s="134" t="s">
        <v>7</v>
      </c>
      <c r="L3" s="135" t="s">
        <v>7</v>
      </c>
      <c r="M3" s="7" t="s">
        <v>99</v>
      </c>
      <c r="O3" s="137" t="s">
        <v>17</v>
      </c>
      <c r="P3" s="138">
        <f>M5+M6</f>
        <v>0</v>
      </c>
      <c r="T3" s="173"/>
      <c r="U3" s="173"/>
      <c r="V3" s="173"/>
      <c r="W3" s="173"/>
      <c r="X3" s="173"/>
    </row>
    <row r="4" spans="1:60" ht="21.6" x14ac:dyDescent="0.65">
      <c r="A4" s="195"/>
      <c r="B4" s="140">
        <v>1</v>
      </c>
      <c r="C4" s="8"/>
      <c r="D4" s="9"/>
      <c r="E4" s="10"/>
      <c r="F4" s="9"/>
      <c r="G4" s="141">
        <f>IF(Basic345678910111213141516171819[[#This Row],[نوع الخدمة]]="مخالفات", 50,
IF(Basic345678910111213141516171819[[#This Row],[نوع الخدمة]]="كاش ان",
    IF(F4&lt;=100, 18, IF(F4&lt;=250, 23, IF(F4&lt;=500, 35, IF(F4&lt;=1000, 40, F4*0.04)))),
IF(Basic345678910111213141516171819[[#This Row],[نوع الخدمة]]="كاش اوت",
    IF(F4&lt;=100, 15, IF(F4&lt;=250, 20, IF(F4&lt;=500, 30, IF(F4&lt;=1000, 35, F4*0.035)))),
0)))</f>
        <v>0</v>
      </c>
      <c r="H4" s="141">
        <f>IF(I4="مخالفات",50,Basic345678910111213141516171819[[#This Row],[قيمة الرسوم / العموله]]+Basic345678910111213141516171819[[#This Row],[قيمة الشحنه]])</f>
        <v>0</v>
      </c>
      <c r="I4" s="90"/>
      <c r="J4" s="142" t="str">
        <f t="shared" ref="J4:J67" si="0">M$3</f>
        <v>14.5.2026</v>
      </c>
      <c r="L4" s="135" t="s">
        <v>26</v>
      </c>
      <c r="M4" s="90">
        <v>0</v>
      </c>
      <c r="O4" s="137" t="s">
        <v>18</v>
      </c>
      <c r="P4" s="138">
        <f>M4</f>
        <v>0</v>
      </c>
      <c r="S4" s="143" t="s">
        <v>22</v>
      </c>
      <c r="T4" s="143" t="s">
        <v>23</v>
      </c>
      <c r="U4" s="173"/>
      <c r="V4" s="173"/>
      <c r="W4" s="173"/>
      <c r="X4" s="173"/>
    </row>
    <row r="5" spans="1:60" ht="21.6" x14ac:dyDescent="0.65">
      <c r="A5" s="195"/>
      <c r="B5" s="144">
        <v>2</v>
      </c>
      <c r="C5" s="8"/>
      <c r="D5" s="9"/>
      <c r="E5" s="10"/>
      <c r="F5" s="9"/>
      <c r="G5" s="141">
        <f>IF(Basic345678910111213141516171819[[#This Row],[نوع الخدمة]]="مخالفات", 50,
IF(Basic345678910111213141516171819[[#This Row],[نوع الخدمة]]="كاش ان",
    IF(F5&lt;=100, 18, IF(F5&lt;=250, 23, IF(F5&lt;=500, 35, IF(F5&lt;=1000, 40, F5*0.04)))),
IF(Basic345678910111213141516171819[[#This Row],[نوع الخدمة]]="كاش اوت",
    IF(F5&lt;=100, 15, IF(F5&lt;=250, 20, IF(F5&lt;=500, 30, IF(F5&lt;=1000, 35, F5*0.035)))),
0)))</f>
        <v>0</v>
      </c>
      <c r="H5" s="141">
        <f>IF(I5="مخالفات",50,Basic345678910111213141516171819[[#This Row],[قيمة الرسوم / العموله]]+Basic345678910111213141516171819[[#This Row],[قيمة الشحنه]])</f>
        <v>0</v>
      </c>
      <c r="I5" s="90"/>
      <c r="J5" s="142" t="str">
        <f t="shared" si="0"/>
        <v>14.5.2026</v>
      </c>
      <c r="L5" s="135" t="s">
        <v>27</v>
      </c>
      <c r="M5" s="90"/>
      <c r="O5" s="137" t="s">
        <v>19</v>
      </c>
      <c r="P5" s="138">
        <f>SUMIF(Basic345678910111213141516171819[نوع الخدمة],"كاش ان",Basic345678910111213141516171819[قيمة الشحنه])</f>
        <v>0</v>
      </c>
      <c r="S5" s="145">
        <f>P5+P9+P12+P7</f>
        <v>0</v>
      </c>
      <c r="T5" s="145">
        <f>P3</f>
        <v>0</v>
      </c>
    </row>
    <row r="6" spans="1:60" ht="21.6" x14ac:dyDescent="0.65">
      <c r="A6" s="195"/>
      <c r="B6" s="140">
        <v>3</v>
      </c>
      <c r="C6" s="8"/>
      <c r="D6" s="9"/>
      <c r="E6" s="10"/>
      <c r="F6" s="9"/>
      <c r="G6" s="141">
        <f>IF(Basic345678910111213141516171819[[#This Row],[نوع الخدمة]]="مخالفات", 50,
IF(Basic345678910111213141516171819[[#This Row],[نوع الخدمة]]="كاش ان",
    IF(F6&lt;=100, 18, IF(F6&lt;=250, 23, IF(F6&lt;=500, 35, IF(F6&lt;=1000, 40, F6*0.04)))),
IF(Basic345678910111213141516171819[[#This Row],[نوع الخدمة]]="كاش اوت",
    IF(F6&lt;=100, 15, IF(F6&lt;=250, 20, IF(F6&lt;=500, 30, IF(F6&lt;=1000, 35, F6*0.035)))),
0)))</f>
        <v>0</v>
      </c>
      <c r="H6" s="141">
        <f>IF(I6="مخالفات",50,Basic345678910111213141516171819[[#This Row],[قيمة الرسوم / العموله]]+Basic345678910111213141516171819[[#This Row],[قيمة الشحنه]])</f>
        <v>0</v>
      </c>
      <c r="I6" s="90"/>
      <c r="J6" s="142" t="str">
        <f t="shared" si="0"/>
        <v>14.5.2026</v>
      </c>
      <c r="L6" s="135" t="s">
        <v>28</v>
      </c>
      <c r="M6" s="90"/>
      <c r="O6" s="146" t="s">
        <v>12</v>
      </c>
      <c r="P6" s="138">
        <f>P3*150</f>
        <v>0</v>
      </c>
    </row>
    <row r="7" spans="1:60" ht="21.6" x14ac:dyDescent="0.65">
      <c r="A7" s="195"/>
      <c r="B7" s="140">
        <v>4</v>
      </c>
      <c r="C7" s="8"/>
      <c r="D7" s="9"/>
      <c r="E7" s="10"/>
      <c r="F7" s="9"/>
      <c r="G7" s="141">
        <f>IF(Basic345678910111213141516171819[[#This Row],[نوع الخدمة]]="مخالفات", 50,
IF(Basic345678910111213141516171819[[#This Row],[نوع الخدمة]]="كاش ان",
    IF(F7&lt;=100, 18, IF(F7&lt;=250, 23, IF(F7&lt;=500, 35, IF(F7&lt;=1000, 40, F7*0.04)))),
IF(Basic345678910111213141516171819[[#This Row],[نوع الخدمة]]="كاش اوت",
    IF(F7&lt;=100, 15, IF(F7&lt;=250, 20, IF(F7&lt;=500, 30, IF(F7&lt;=1000, 35, F7*0.035)))),
0)))</f>
        <v>0</v>
      </c>
      <c r="H7" s="141">
        <f>IF(I7="مخالفات",50,Basic345678910111213141516171819[[#This Row],[قيمة الرسوم / العموله]]+Basic345678910111213141516171819[[#This Row],[قيمة الشحنه]])</f>
        <v>0</v>
      </c>
      <c r="I7" s="90"/>
      <c r="J7" s="142" t="str">
        <f t="shared" si="0"/>
        <v>14.5.2026</v>
      </c>
      <c r="L7" s="137" t="s">
        <v>11</v>
      </c>
      <c r="M7" s="165"/>
      <c r="O7" s="146" t="s">
        <v>75</v>
      </c>
      <c r="P7" s="138">
        <f>SUMIF(Basic345678910111213141516171819[نوع الخدمة],"مخالفات",Basic345678910111213141516171819[الاجمــــــــــالي])</f>
        <v>0</v>
      </c>
      <c r="R7" s="173"/>
      <c r="S7" s="173"/>
    </row>
    <row r="8" spans="1:60" ht="21.6" x14ac:dyDescent="0.65">
      <c r="A8" s="195"/>
      <c r="B8" s="140">
        <v>5</v>
      </c>
      <c r="C8" s="8"/>
      <c r="D8" s="9"/>
      <c r="E8" s="10"/>
      <c r="F8" s="9"/>
      <c r="G8" s="141">
        <f>IF(Basic345678910111213141516171819[[#This Row],[نوع الخدمة]]="مخالفات", 50,
IF(Basic345678910111213141516171819[[#This Row],[نوع الخدمة]]="كاش ان",
    IF(F8&lt;=100, 18, IF(F8&lt;=250, 23, IF(F8&lt;=500, 35, IF(F8&lt;=1000, 40, F8*0.04)))),
IF(Basic345678910111213141516171819[[#This Row],[نوع الخدمة]]="كاش اوت",
    IF(F8&lt;=100, 15, IF(F8&lt;=250, 20, IF(F8&lt;=500, 30, IF(F8&lt;=1000, 35, F8*0.035)))),
0)))</f>
        <v>0</v>
      </c>
      <c r="H8" s="141">
        <f>IF(I8="مخالفات",50,Basic345678910111213141516171819[[#This Row],[قيمة الرسوم / العموله]]+Basic345678910111213141516171819[[#This Row],[قيمة الشحنه]])</f>
        <v>0</v>
      </c>
      <c r="I8" s="90"/>
      <c r="J8" s="142" t="str">
        <f t="shared" si="0"/>
        <v>14.5.2026</v>
      </c>
      <c r="L8" s="166" t="s">
        <v>79</v>
      </c>
      <c r="M8" s="167">
        <v>0</v>
      </c>
      <c r="O8" s="137" t="s">
        <v>11</v>
      </c>
      <c r="P8" s="138">
        <f>M7</f>
        <v>0</v>
      </c>
      <c r="R8" s="143" t="s">
        <v>72</v>
      </c>
      <c r="S8" s="143" t="s">
        <v>25</v>
      </c>
      <c r="T8" s="143" t="s">
        <v>24</v>
      </c>
      <c r="U8" s="143" t="s">
        <v>73</v>
      </c>
      <c r="V8" s="143" t="s">
        <v>25</v>
      </c>
      <c r="W8" s="143" t="s">
        <v>24</v>
      </c>
      <c r="BH8" s="148" t="s">
        <v>8</v>
      </c>
    </row>
    <row r="9" spans="1:60" ht="18" customHeight="1" x14ac:dyDescent="0.65">
      <c r="A9" s="195"/>
      <c r="B9" s="144">
        <v>6</v>
      </c>
      <c r="C9" s="8"/>
      <c r="D9" s="9"/>
      <c r="E9" s="10"/>
      <c r="F9" s="9"/>
      <c r="G9" s="141">
        <f>IF(Basic345678910111213141516171819[[#This Row],[نوع الخدمة]]="مخالفات", 50,
IF(Basic345678910111213141516171819[[#This Row],[نوع الخدمة]]="كاش ان",
    IF(F9&lt;=100, 18, IF(F9&lt;=250, 23, IF(F9&lt;=500, 35, IF(F9&lt;=1000, 40, F9*0.04)))),
IF(Basic345678910111213141516171819[[#This Row],[نوع الخدمة]]="كاش اوت",
    IF(F9&lt;=100, 15, IF(F9&lt;=250, 20, IF(F9&lt;=500, 30, IF(F9&lt;=1000, 35, F9*0.035)))),
0)))</f>
        <v>0</v>
      </c>
      <c r="H9" s="141">
        <f>IF(I9="مخالفات",50,Basic345678910111213141516171819[[#This Row],[قيمة الرسوم / العموله]]+Basic345678910111213141516171819[[#This Row],[قيمة الشحنه]])</f>
        <v>0</v>
      </c>
      <c r="I9" s="90"/>
      <c r="J9" s="142" t="str">
        <f t="shared" si="0"/>
        <v>14.5.2026</v>
      </c>
      <c r="L9" s="166" t="s">
        <v>80</v>
      </c>
      <c r="M9" s="167">
        <v>0</v>
      </c>
      <c r="O9" s="137" t="s">
        <v>20</v>
      </c>
      <c r="P9" s="138">
        <f>SUMIF(Basic345678910111213141516171819[نوع الخدمة],"كاش ان",Basic345678910111213141516171819[قيمة الرسوم / العموله])</f>
        <v>0</v>
      </c>
      <c r="R9" s="149">
        <f>Total!H5/24</f>
        <v>29166.666666666668</v>
      </c>
      <c r="S9" s="149">
        <f>S5</f>
        <v>0</v>
      </c>
      <c r="T9" s="150">
        <f>S9/R9</f>
        <v>0</v>
      </c>
      <c r="U9" s="149">
        <f>Total!K5/24</f>
        <v>2.9166666666666665</v>
      </c>
      <c r="V9" s="149">
        <f>T5</f>
        <v>0</v>
      </c>
      <c r="W9" s="150">
        <f>V9/U9</f>
        <v>0</v>
      </c>
      <c r="BH9" s="148" t="s">
        <v>9</v>
      </c>
    </row>
    <row r="10" spans="1:60" ht="21.6" x14ac:dyDescent="0.65">
      <c r="A10" s="195"/>
      <c r="B10" s="140">
        <v>7</v>
      </c>
      <c r="C10" s="8"/>
      <c r="D10" s="9"/>
      <c r="E10" s="10"/>
      <c r="F10" s="9"/>
      <c r="G10" s="141">
        <f>IF(Basic345678910111213141516171819[[#This Row],[نوع الخدمة]]="مخالفات", 50,
IF(Basic345678910111213141516171819[[#This Row],[نوع الخدمة]]="كاش ان",
    IF(F10&lt;=100, 18, IF(F10&lt;=250, 23, IF(F10&lt;=500, 35, IF(F10&lt;=1000, 40, F10*0.04)))),
IF(Basic345678910111213141516171819[[#This Row],[نوع الخدمة]]="كاش اوت",
    IF(F10&lt;=100, 15, IF(F10&lt;=250, 20, IF(F10&lt;=500, 30, IF(F10&lt;=1000, 35, F10*0.035)))),
0)))</f>
        <v>0</v>
      </c>
      <c r="H10" s="141">
        <f>IF(I10="مخالفات",50,Basic345678910111213141516171819[[#This Row],[قيمة الرسوم / العموله]]+Basic345678910111213141516171819[[#This Row],[قيمة الشحنه]])</f>
        <v>0</v>
      </c>
      <c r="I10" s="90"/>
      <c r="J10" s="142" t="str">
        <f t="shared" si="0"/>
        <v>14.5.2026</v>
      </c>
      <c r="O10" s="137" t="s">
        <v>16</v>
      </c>
      <c r="P10" s="138">
        <f>SUMIF(Basic345678910111213141516171819[نوع الخدمة],"كاش اوت",Basic345678910111213141516171819[قيمة الشحنه])</f>
        <v>0</v>
      </c>
      <c r="R10" s="191">
        <f>(W9+T9)/2</f>
        <v>0</v>
      </c>
      <c r="S10" s="191"/>
      <c r="T10" s="191"/>
      <c r="U10" s="191"/>
      <c r="V10" s="191"/>
      <c r="W10" s="191"/>
      <c r="BH10" s="148" t="s">
        <v>10</v>
      </c>
    </row>
    <row r="11" spans="1:60" ht="21.6" x14ac:dyDescent="0.65">
      <c r="A11" s="195"/>
      <c r="B11" s="140">
        <v>8</v>
      </c>
      <c r="C11" s="8"/>
      <c r="D11" s="9"/>
      <c r="E11" s="10"/>
      <c r="F11" s="9"/>
      <c r="G11" s="141">
        <f>IF(Basic345678910111213141516171819[[#This Row],[نوع الخدمة]]="مخالفات", 50,
IF(Basic345678910111213141516171819[[#This Row],[نوع الخدمة]]="كاش ان",
    IF(F11&lt;=100, 18, IF(F11&lt;=250, 23, IF(F11&lt;=500, 35, IF(F11&lt;=1000, 40, F11*0.04)))),
IF(Basic345678910111213141516171819[[#This Row],[نوع الخدمة]]="كاش اوت",
    IF(F11&lt;=100, 15, IF(F11&lt;=250, 20, IF(F11&lt;=500, 30, IF(F11&lt;=1000, 35, F11*0.035)))),
0)))</f>
        <v>0</v>
      </c>
      <c r="H11" s="141">
        <f>IF(I11="مخالفات",50,Basic345678910111213141516171819[[#This Row],[قيمة الرسوم / العموله]]+Basic345678910111213141516171819[[#This Row],[قيمة الشحنه]])</f>
        <v>0</v>
      </c>
      <c r="I11" s="90"/>
      <c r="J11" s="142" t="str">
        <f t="shared" si="0"/>
        <v>14.5.2026</v>
      </c>
      <c r="L11" s="169" t="s">
        <v>77</v>
      </c>
      <c r="M11" s="168" t="s">
        <v>78</v>
      </c>
      <c r="O11" s="151" t="s">
        <v>21</v>
      </c>
      <c r="P11" s="152">
        <f>(P5+P6+P9+P7+P4)-P10-P8</f>
        <v>0</v>
      </c>
      <c r="T11" s="173"/>
    </row>
    <row r="12" spans="1:60" ht="21.6" x14ac:dyDescent="0.65">
      <c r="A12" s="195"/>
      <c r="B12" s="140">
        <v>9</v>
      </c>
      <c r="C12" s="8"/>
      <c r="D12" s="9"/>
      <c r="E12" s="10"/>
      <c r="F12" s="9"/>
      <c r="G12" s="141">
        <f>IF(Basic345678910111213141516171819[[#This Row],[نوع الخدمة]]="مخالفات", 50,
IF(Basic345678910111213141516171819[[#This Row],[نوع الخدمة]]="كاش ان",
    IF(F12&lt;=100, 18, IF(F12&lt;=250, 23, IF(F12&lt;=500, 35, IF(F12&lt;=1000, 40, F12*0.04)))),
IF(Basic345678910111213141516171819[[#This Row],[نوع الخدمة]]="كاش اوت",
    IF(F12&lt;=100, 15, IF(F12&lt;=250, 20, IF(F12&lt;=500, 30, IF(F12&lt;=1000, 35, F12*0.035)))),
0)))</f>
        <v>0</v>
      </c>
      <c r="H12" s="141">
        <f>IF(I12="مخالفات",50,Basic345678910111213141516171819[[#This Row],[قيمة الرسوم / العموله]]+Basic345678910111213141516171819[[#This Row],[قيمة الشحنه]])</f>
        <v>0</v>
      </c>
      <c r="I12" s="90"/>
      <c r="J12" s="142" t="str">
        <f t="shared" si="0"/>
        <v>14.5.2026</v>
      </c>
      <c r="L12" s="153">
        <v>1</v>
      </c>
      <c r="M12" s="91"/>
      <c r="O12" s="137" t="s">
        <v>29</v>
      </c>
      <c r="P12" s="138">
        <f>SUMIF(Basic345678910111213141516171819[نوع الخدمة],"كاش اوت",Basic345678910111213141516171819[الاجمــــــــــالي])</f>
        <v>0</v>
      </c>
    </row>
    <row r="13" spans="1:60" ht="21.6" x14ac:dyDescent="0.65">
      <c r="A13" s="195"/>
      <c r="B13" s="144">
        <v>10</v>
      </c>
      <c r="C13" s="8"/>
      <c r="D13" s="9"/>
      <c r="E13" s="10"/>
      <c r="F13" s="9"/>
      <c r="G13" s="141">
        <f>IF(Basic345678910111213141516171819[[#This Row],[نوع الخدمة]]="مخالفات", 50,
IF(Basic345678910111213141516171819[[#This Row],[نوع الخدمة]]="كاش ان",
    IF(F13&lt;=100, 18, IF(F13&lt;=250, 23, IF(F13&lt;=500, 35, IF(F13&lt;=1000, 40, F13*0.04)))),
IF(Basic345678910111213141516171819[[#This Row],[نوع الخدمة]]="كاش اوت",
    IF(F13&lt;=100, 15, IF(F13&lt;=250, 20, IF(F13&lt;=500, 30, IF(F13&lt;=1000, 35, F13*0.035)))),
0)))</f>
        <v>0</v>
      </c>
      <c r="H13" s="141">
        <f>IF(I13="مخالفات",50,Basic345678910111213141516171819[[#This Row],[قيمة الرسوم / العموله]]+Basic345678910111213141516171819[[#This Row],[قيمة الشحنه]])</f>
        <v>0</v>
      </c>
      <c r="I13" s="90"/>
      <c r="J13" s="142" t="str">
        <f t="shared" si="0"/>
        <v>14.5.2026</v>
      </c>
      <c r="L13" s="153">
        <v>2</v>
      </c>
      <c r="M13" s="92"/>
    </row>
    <row r="14" spans="1:60" ht="21.6" x14ac:dyDescent="0.65">
      <c r="A14" s="195"/>
      <c r="B14" s="140">
        <v>11</v>
      </c>
      <c r="C14" s="2"/>
      <c r="D14" s="1"/>
      <c r="E14" s="3"/>
      <c r="F14" s="1"/>
      <c r="G14" s="141">
        <f>IF(Basic345678910111213141516171819[[#This Row],[نوع الخدمة]]="مخالفات", 50,
IF(Basic345678910111213141516171819[[#This Row],[نوع الخدمة]]="كاش ان",
    IF(F14&lt;=100, 18, IF(F14&lt;=250, 23, IF(F14&lt;=500, 35, IF(F14&lt;=1000, 40, F14*0.04)))),
IF(Basic345678910111213141516171819[[#This Row],[نوع الخدمة]]="كاش اوت",
    IF(F14&lt;=100, 15, IF(F14&lt;=250, 20, IF(F14&lt;=500, 30, IF(F14&lt;=1000, 35, F14*0.035)))),
0)))</f>
        <v>0</v>
      </c>
      <c r="H14" s="159">
        <f>IF(I14="مخالفات",50,Basic345678910111213141516171819[[#This Row],[قيمة الرسوم / العموله]]+Basic345678910111213141516171819[[#This Row],[قيمة الشحنه]])</f>
        <v>0</v>
      </c>
      <c r="I14" s="90"/>
      <c r="J14" s="142" t="str">
        <f t="shared" si="0"/>
        <v>14.5.2026</v>
      </c>
      <c r="L14" s="153">
        <v>3</v>
      </c>
      <c r="M14" s="92"/>
    </row>
    <row r="15" spans="1:60" ht="21.6" x14ac:dyDescent="0.65">
      <c r="A15" s="195"/>
      <c r="B15" s="140">
        <v>12</v>
      </c>
      <c r="C15" s="2"/>
      <c r="D15" s="1"/>
      <c r="E15" s="3"/>
      <c r="F15" s="1"/>
      <c r="G15" s="141">
        <f>IF(Basic345678910111213141516171819[[#This Row],[نوع الخدمة]]="مخالفات", 50,
IF(Basic345678910111213141516171819[[#This Row],[نوع الخدمة]]="كاش ان",
    IF(F15&lt;=100, 18, IF(F15&lt;=250, 23, IF(F15&lt;=500, 35, IF(F15&lt;=1000, 40, F15*0.04)))),
IF(Basic345678910111213141516171819[[#This Row],[نوع الخدمة]]="كاش اوت",
    IF(F15&lt;=100, 15, IF(F15&lt;=250, 20, IF(F15&lt;=500, 30, IF(F15&lt;=1000, 35, F15*0.035)))),
0)))</f>
        <v>0</v>
      </c>
      <c r="H15" s="159">
        <f>IF(I15="مخالفات",50,Basic345678910111213141516171819[[#This Row],[قيمة الرسوم / العموله]]+Basic345678910111213141516171819[[#This Row],[قيمة الشحنه]])</f>
        <v>0</v>
      </c>
      <c r="I15" s="90"/>
      <c r="J15" s="142" t="str">
        <f t="shared" si="0"/>
        <v>14.5.2026</v>
      </c>
      <c r="L15" s="153">
        <v>4</v>
      </c>
      <c r="M15" s="92"/>
      <c r="O15" s="154" t="s">
        <v>10</v>
      </c>
      <c r="P15" s="155">
        <f>COUNTIF(Basic345678910111213141516171819[نوع الخدمة],"مخالفات")</f>
        <v>0</v>
      </c>
    </row>
    <row r="16" spans="1:60" ht="21.6" x14ac:dyDescent="0.65">
      <c r="A16" s="195"/>
      <c r="B16" s="140">
        <v>13</v>
      </c>
      <c r="C16" s="2"/>
      <c r="D16" s="1"/>
      <c r="E16" s="3"/>
      <c r="F16" s="1"/>
      <c r="G16" s="141">
        <f>IF(Basic345678910111213141516171819[[#This Row],[نوع الخدمة]]="مخالفات", 50,
IF(Basic345678910111213141516171819[[#This Row],[نوع الخدمة]]="كاش ان",
    IF(F16&lt;=100, 18, IF(F16&lt;=250, 23, IF(F16&lt;=500, 35, IF(F16&lt;=1000, 40, F16*0.04)))),
IF(Basic345678910111213141516171819[[#This Row],[نوع الخدمة]]="كاش اوت",
    IF(F16&lt;=100, 15, IF(F16&lt;=250, 20, IF(F16&lt;=500, 30, IF(F16&lt;=1000, 35, F16*0.035)))),
0)))</f>
        <v>0</v>
      </c>
      <c r="H16" s="159">
        <f>IF(I16="مخالفات",50,Basic345678910111213141516171819[[#This Row],[قيمة الرسوم / العموله]]+Basic345678910111213141516171819[[#This Row],[قيمة الشحنه]])</f>
        <v>0</v>
      </c>
      <c r="I16" s="90"/>
      <c r="J16" s="142" t="str">
        <f t="shared" si="0"/>
        <v>14.5.2026</v>
      </c>
      <c r="L16" s="153">
        <v>5</v>
      </c>
      <c r="M16" s="92"/>
      <c r="O16" s="154" t="s">
        <v>13</v>
      </c>
      <c r="P16" s="155">
        <f>COUNTIF(Basic345678910111213141516171819[نوع الخدمة],"كاش ان")</f>
        <v>0</v>
      </c>
    </row>
    <row r="17" spans="1:21" ht="21.6" x14ac:dyDescent="0.65">
      <c r="A17" s="195"/>
      <c r="B17" s="144">
        <v>14</v>
      </c>
      <c r="C17" s="2"/>
      <c r="D17" s="1"/>
      <c r="E17" s="3"/>
      <c r="F17" s="1"/>
      <c r="G17" s="141">
        <f>IF(Basic345678910111213141516171819[[#This Row],[نوع الخدمة]]="مخالفات", 50,
IF(Basic345678910111213141516171819[[#This Row],[نوع الخدمة]]="كاش ان",
    IF(F17&lt;=100, 18, IF(F17&lt;=250, 23, IF(F17&lt;=500, 35, IF(F17&lt;=1000, 40, F17*0.04)))),
IF(Basic345678910111213141516171819[[#This Row],[نوع الخدمة]]="كاش اوت",
    IF(F17&lt;=100, 15, IF(F17&lt;=250, 20, IF(F17&lt;=500, 30, IF(F17&lt;=1000, 35, F17*0.035)))),
0)))</f>
        <v>0</v>
      </c>
      <c r="H17" s="159">
        <f>IF(I17="مخالفات",50,Basic345678910111213141516171819[[#This Row],[قيمة الرسوم / العموله]]+Basic345678910111213141516171819[[#This Row],[قيمة الشحنه]])</f>
        <v>0</v>
      </c>
      <c r="I17" s="90"/>
      <c r="J17" s="142" t="str">
        <f t="shared" si="0"/>
        <v>14.5.2026</v>
      </c>
      <c r="L17" s="153">
        <v>6</v>
      </c>
      <c r="M17" s="92"/>
      <c r="O17" s="154" t="s">
        <v>14</v>
      </c>
      <c r="P17" s="155">
        <f>COUNTIF(Basic345678910111213141516171819[نوع الخدمة],"كاش اوت")</f>
        <v>0</v>
      </c>
    </row>
    <row r="18" spans="1:21" ht="21.6" x14ac:dyDescent="0.65">
      <c r="A18" s="195"/>
      <c r="B18" s="140">
        <v>15</v>
      </c>
      <c r="C18" s="2"/>
      <c r="D18" s="1"/>
      <c r="E18" s="3"/>
      <c r="F18" s="1"/>
      <c r="G18" s="141">
        <f>IF(Basic345678910111213141516171819[[#This Row],[نوع الخدمة]]="مخالفات", 50,
IF(Basic345678910111213141516171819[[#This Row],[نوع الخدمة]]="كاش ان",
    IF(F18&lt;=100, 18, IF(F18&lt;=250, 23, IF(F18&lt;=500, 35, IF(F18&lt;=1000, 40, F18*0.04)))),
IF(Basic345678910111213141516171819[[#This Row],[نوع الخدمة]]="كاش اوت",
    IF(F18&lt;=100, 15, IF(F18&lt;=250, 20, IF(F18&lt;=500, 30, IF(F18&lt;=1000, 35, F18*0.035)))),
0)))</f>
        <v>0</v>
      </c>
      <c r="H18" s="159">
        <f>IF(I18="مخالفات",50,Basic345678910111213141516171819[[#This Row],[قيمة الرسوم / العموله]]+Basic345678910111213141516171819[[#This Row],[قيمة الشحنه]])</f>
        <v>0</v>
      </c>
      <c r="I18" s="90"/>
      <c r="J18" s="142" t="str">
        <f t="shared" si="0"/>
        <v>14.5.2026</v>
      </c>
      <c r="L18" s="153">
        <v>7</v>
      </c>
      <c r="M18" s="92"/>
      <c r="O18" s="154" t="s">
        <v>15</v>
      </c>
      <c r="P18" s="155">
        <f>P16+P17</f>
        <v>0</v>
      </c>
    </row>
    <row r="19" spans="1:21" ht="21.6" x14ac:dyDescent="0.65">
      <c r="A19" s="195"/>
      <c r="B19" s="140">
        <v>16</v>
      </c>
      <c r="C19" s="2"/>
      <c r="D19" s="1"/>
      <c r="E19" s="3"/>
      <c r="F19" s="1"/>
      <c r="G19" s="141">
        <f>IF(Basic345678910111213141516171819[[#This Row],[نوع الخدمة]]="مخالفات", 50,
IF(Basic345678910111213141516171819[[#This Row],[نوع الخدمة]]="كاش ان",
    IF(F19&lt;=100, 18, IF(F19&lt;=250, 23, IF(F19&lt;=500, 35, IF(F19&lt;=1000, 40, F19*0.04)))),
IF(Basic345678910111213141516171819[[#This Row],[نوع الخدمة]]="كاش اوت",
    IF(F19&lt;=100, 15, IF(F19&lt;=250, 20, IF(F19&lt;=500, 30, IF(F19&lt;=1000, 35, F19*0.035)))),
0)))</f>
        <v>0</v>
      </c>
      <c r="H19" s="159">
        <f>IF(I19="مخالفات",50,Basic345678910111213141516171819[[#This Row],[قيمة الرسوم / العموله]]+Basic345678910111213141516171819[[#This Row],[قيمة الشحنه]])</f>
        <v>0</v>
      </c>
      <c r="I19" s="90"/>
      <c r="J19" s="142" t="str">
        <f t="shared" si="0"/>
        <v>14.5.2026</v>
      </c>
      <c r="L19" s="153">
        <v>8</v>
      </c>
      <c r="M19" s="92"/>
    </row>
    <row r="20" spans="1:21" ht="21.6" x14ac:dyDescent="0.65">
      <c r="A20" s="195"/>
      <c r="B20" s="140">
        <v>17</v>
      </c>
      <c r="C20" s="2"/>
      <c r="D20" s="1"/>
      <c r="E20" s="3"/>
      <c r="F20" s="1"/>
      <c r="G20" s="141">
        <f>IF(Basic345678910111213141516171819[[#This Row],[نوع الخدمة]]="مخالفات", 50,
IF(Basic345678910111213141516171819[[#This Row],[نوع الخدمة]]="كاش ان",
    IF(F20&lt;=100, 18, IF(F20&lt;=250, 23, IF(F20&lt;=500, 35, IF(F20&lt;=1000, 40, F20*0.04)))),
IF(Basic345678910111213141516171819[[#This Row],[نوع الخدمة]]="كاش اوت",
    IF(F20&lt;=100, 15, IF(F20&lt;=250, 20, IF(F20&lt;=500, 30, IF(F20&lt;=1000, 35, F20*0.035)))),
0)))</f>
        <v>0</v>
      </c>
      <c r="H20" s="159">
        <f>IF(I20="مخالفات",50,Basic345678910111213141516171819[[#This Row],[قيمة الرسوم / العموله]]+Basic345678910111213141516171819[[#This Row],[قيمة الشحنه]])</f>
        <v>0</v>
      </c>
      <c r="I20" s="90"/>
      <c r="J20" s="142" t="str">
        <f t="shared" si="0"/>
        <v>14.5.2026</v>
      </c>
      <c r="L20" s="153">
        <v>9</v>
      </c>
      <c r="M20" s="92"/>
      <c r="O20" s="193" t="s">
        <v>30</v>
      </c>
      <c r="P20" s="194"/>
    </row>
    <row r="21" spans="1:21" ht="21.6" x14ac:dyDescent="0.65">
      <c r="A21" s="195"/>
      <c r="B21" s="144">
        <v>18</v>
      </c>
      <c r="C21" s="2"/>
      <c r="D21" s="1"/>
      <c r="E21" s="3"/>
      <c r="F21" s="1"/>
      <c r="G21" s="141">
        <f>IF(Basic345678910111213141516171819[[#This Row],[نوع الخدمة]]="مخالفات", 50,
IF(Basic345678910111213141516171819[[#This Row],[نوع الخدمة]]="كاش ان",
    IF(F21&lt;=100, 18, IF(F21&lt;=250, 23, IF(F21&lt;=500, 35, IF(F21&lt;=1000, 40, F21*0.04)))),
IF(Basic345678910111213141516171819[[#This Row],[نوع الخدمة]]="كاش اوت",
    IF(F21&lt;=100, 15, IF(F21&lt;=250, 20, IF(F21&lt;=500, 30, IF(F21&lt;=1000, 35, F21*0.035)))),
0)))</f>
        <v>0</v>
      </c>
      <c r="H21" s="159">
        <f>IF(I21="مخالفات",50,Basic345678910111213141516171819[[#This Row],[قيمة الرسوم / العموله]]+Basic345678910111213141516171819[[#This Row],[قيمة الشحنه]])</f>
        <v>0</v>
      </c>
      <c r="I21" s="90"/>
      <c r="J21" s="142" t="str">
        <f t="shared" si="0"/>
        <v>14.5.2026</v>
      </c>
      <c r="L21" s="153">
        <v>10</v>
      </c>
      <c r="M21" s="92"/>
      <c r="O21" s="196" t="s">
        <v>31</v>
      </c>
      <c r="P21" s="197"/>
    </row>
    <row r="22" spans="1:21" ht="21.6" x14ac:dyDescent="0.65">
      <c r="A22" s="195"/>
      <c r="B22" s="140">
        <v>19</v>
      </c>
      <c r="C22" s="2"/>
      <c r="D22" s="1"/>
      <c r="E22" s="3"/>
      <c r="F22" s="1"/>
      <c r="G22" s="141">
        <f>IF(Basic345678910111213141516171819[[#This Row],[نوع الخدمة]]="مخالفات", 50,
IF(Basic345678910111213141516171819[[#This Row],[نوع الخدمة]]="كاش ان",
    IF(F22&lt;=100, 18, IF(F22&lt;=250, 23, IF(F22&lt;=500, 35, IF(F22&lt;=1000, 40, F22*0.04)))),
IF(Basic345678910111213141516171819[[#This Row],[نوع الخدمة]]="كاش اوت",
    IF(F22&lt;=100, 15, IF(F22&lt;=250, 20, IF(F22&lt;=500, 30, IF(F22&lt;=1000, 35, F22*0.035)))),
0)))</f>
        <v>0</v>
      </c>
      <c r="H22" s="159">
        <f>IF(I22="مخالفات",50,Basic345678910111213141516171819[[#This Row],[قيمة الرسوم / العموله]]+Basic345678910111213141516171819[[#This Row],[قيمة الشحنه]])</f>
        <v>0</v>
      </c>
      <c r="I22" s="90"/>
      <c r="J22" s="142" t="str">
        <f t="shared" si="0"/>
        <v>14.5.2026</v>
      </c>
      <c r="L22" s="153">
        <v>11</v>
      </c>
      <c r="M22" s="92"/>
      <c r="O22" s="147" t="s">
        <v>27</v>
      </c>
      <c r="P22" s="135">
        <f>M8+'13'!P28</f>
        <v>-4</v>
      </c>
    </row>
    <row r="23" spans="1:21" ht="21.6" x14ac:dyDescent="0.65">
      <c r="A23" s="195"/>
      <c r="B23" s="140">
        <v>20</v>
      </c>
      <c r="C23" s="2"/>
      <c r="D23" s="1"/>
      <c r="E23" s="3"/>
      <c r="F23" s="1"/>
      <c r="G23" s="141">
        <f>IF(Basic345678910111213141516171819[[#This Row],[نوع الخدمة]]="مخالفات", 50,
IF(Basic345678910111213141516171819[[#This Row],[نوع الخدمة]]="كاش ان",
    IF(F23&lt;=100, 18, IF(F23&lt;=250, 23, IF(F23&lt;=500, 35, IF(F23&lt;=1000, 40, F23*0.04)))),
IF(Basic345678910111213141516171819[[#This Row],[نوع الخدمة]]="كاش اوت",
    IF(F23&lt;=100, 15, IF(F23&lt;=250, 20, IF(F23&lt;=500, 30, IF(F23&lt;=1000, 35, F23*0.035)))),
0)))</f>
        <v>0</v>
      </c>
      <c r="H23" s="159">
        <f>IF(I23="مخالفات",50,Basic345678910111213141516171819[[#This Row],[قيمة الرسوم / العموله]]+Basic345678910111213141516171819[[#This Row],[قيمة الشحنه]])</f>
        <v>0</v>
      </c>
      <c r="I23" s="90"/>
      <c r="J23" s="142" t="str">
        <f t="shared" si="0"/>
        <v>14.5.2026</v>
      </c>
      <c r="L23" s="153">
        <v>12</v>
      </c>
      <c r="M23" s="92"/>
      <c r="O23" s="147" t="s">
        <v>28</v>
      </c>
      <c r="P23" s="135">
        <f>M9+'13'!P29</f>
        <v>0</v>
      </c>
      <c r="T23" s="173"/>
      <c r="U23" s="173"/>
    </row>
    <row r="24" spans="1:21" ht="21.6" x14ac:dyDescent="0.65">
      <c r="A24" s="195"/>
      <c r="B24" s="140">
        <v>21</v>
      </c>
      <c r="C24" s="2"/>
      <c r="D24" s="1"/>
      <c r="E24" s="3"/>
      <c r="F24" s="1"/>
      <c r="G24" s="141">
        <f>IF(Basic345678910111213141516171819[[#This Row],[نوع الخدمة]]="مخالفات", 50,
IF(Basic345678910111213141516171819[[#This Row],[نوع الخدمة]]="كاش ان",
    IF(F24&lt;=100, 18, IF(F24&lt;=250, 23, IF(F24&lt;=500, 35, IF(F24&lt;=1000, 40, F24*0.04)))),
IF(Basic345678910111213141516171819[[#This Row],[نوع الخدمة]]="كاش اوت",
    IF(F24&lt;=100, 15, IF(F24&lt;=250, 20, IF(F24&lt;=500, 30, IF(F24&lt;=1000, 35, F24*0.035)))),
0)))</f>
        <v>0</v>
      </c>
      <c r="H24" s="159">
        <f>IF(I24="مخالفات",50,Basic345678910111213141516171819[[#This Row],[قيمة الرسوم / العموله]]+Basic345678910111213141516171819[[#This Row],[قيمة الشحنه]])</f>
        <v>0</v>
      </c>
      <c r="I24" s="90"/>
      <c r="J24" s="142" t="str">
        <f t="shared" si="0"/>
        <v>14.5.2026</v>
      </c>
      <c r="L24" s="153">
        <v>13</v>
      </c>
      <c r="M24" s="92"/>
      <c r="O24" s="196" t="s">
        <v>32</v>
      </c>
      <c r="P24" s="197"/>
    </row>
    <row r="25" spans="1:21" ht="21.6" x14ac:dyDescent="0.65">
      <c r="A25" s="195"/>
      <c r="B25" s="144">
        <v>22</v>
      </c>
      <c r="C25" s="2"/>
      <c r="D25" s="1"/>
      <c r="E25" s="3"/>
      <c r="F25" s="1"/>
      <c r="G25" s="141">
        <f>IF(Basic345678910111213141516171819[[#This Row],[نوع الخدمة]]="مخالفات", 50,
IF(Basic345678910111213141516171819[[#This Row],[نوع الخدمة]]="كاش ان",
    IF(F25&lt;=100, 18, IF(F25&lt;=250, 23, IF(F25&lt;=500, 35, IF(F25&lt;=1000, 40, F25*0.04)))),
IF(Basic345678910111213141516171819[[#This Row],[نوع الخدمة]]="كاش اوت",
    IF(F25&lt;=100, 15, IF(F25&lt;=250, 20, IF(F25&lt;=500, 30, IF(F25&lt;=1000, 35, F25*0.035)))),
0)))</f>
        <v>0</v>
      </c>
      <c r="H25" s="159">
        <f>IF(I25="مخالفات",50,Basic345678910111213141516171819[[#This Row],[قيمة الرسوم / العموله]]+Basic345678910111213141516171819[[#This Row],[قيمة الشحنه]])</f>
        <v>0</v>
      </c>
      <c r="I25" s="90"/>
      <c r="J25" s="142" t="str">
        <f t="shared" si="0"/>
        <v>14.5.2026</v>
      </c>
      <c r="L25" s="153">
        <v>14</v>
      </c>
      <c r="M25" s="92"/>
      <c r="O25" s="147" t="s">
        <v>27</v>
      </c>
      <c r="P25" s="135">
        <f>M5</f>
        <v>0</v>
      </c>
    </row>
    <row r="26" spans="1:21" ht="21.6" x14ac:dyDescent="0.65">
      <c r="A26" s="195"/>
      <c r="B26" s="140">
        <v>23</v>
      </c>
      <c r="C26" s="2"/>
      <c r="D26" s="1"/>
      <c r="E26" s="3"/>
      <c r="F26" s="1"/>
      <c r="G26" s="141">
        <f>IF(Basic345678910111213141516171819[[#This Row],[نوع الخدمة]]="مخالفات", 50,
IF(Basic345678910111213141516171819[[#This Row],[نوع الخدمة]]="كاش ان",
    IF(F26&lt;=100, 18, IF(F26&lt;=250, 23, IF(F26&lt;=500, 35, IF(F26&lt;=1000, 40, F26*0.04)))),
IF(Basic345678910111213141516171819[[#This Row],[نوع الخدمة]]="كاش اوت",
    IF(F26&lt;=100, 15, IF(F26&lt;=250, 20, IF(F26&lt;=500, 30, IF(F26&lt;=1000, 35, F26*0.035)))),
0)))</f>
        <v>0</v>
      </c>
      <c r="H26" s="159">
        <f>IF(I26="مخالفات",50,Basic345678910111213141516171819[[#This Row],[قيمة الرسوم / العموله]]+Basic345678910111213141516171819[[#This Row],[قيمة الشحنه]])</f>
        <v>0</v>
      </c>
      <c r="I26" s="90"/>
      <c r="J26" s="142" t="str">
        <f t="shared" si="0"/>
        <v>14.5.2026</v>
      </c>
      <c r="L26" s="153">
        <v>15</v>
      </c>
      <c r="M26" s="92"/>
      <c r="O26" s="147" t="s">
        <v>28</v>
      </c>
      <c r="P26" s="135">
        <f>M6</f>
        <v>0</v>
      </c>
    </row>
    <row r="27" spans="1:21" ht="21.6" x14ac:dyDescent="0.65">
      <c r="A27" s="195"/>
      <c r="B27" s="140">
        <v>24</v>
      </c>
      <c r="C27" s="2"/>
      <c r="D27" s="1"/>
      <c r="E27" s="3"/>
      <c r="F27" s="1"/>
      <c r="G27" s="141">
        <f>IF(Basic345678910111213141516171819[[#This Row],[نوع الخدمة]]="مخالفات", 50,
IF(Basic345678910111213141516171819[[#This Row],[نوع الخدمة]]="كاش ان",
    IF(F27&lt;=100, 18, IF(F27&lt;=250, 23, IF(F27&lt;=500, 35, IF(F27&lt;=1000, 40, F27*0.04)))),
IF(Basic345678910111213141516171819[[#This Row],[نوع الخدمة]]="كاش اوت",
    IF(F27&lt;=100, 15, IF(F27&lt;=250, 20, IF(F27&lt;=500, 30, IF(F27&lt;=1000, 35, F27*0.035)))),
0)))</f>
        <v>0</v>
      </c>
      <c r="H27" s="159">
        <f>IF(I27="مخالفات",50,Basic345678910111213141516171819[[#This Row],[قيمة الرسوم / العموله]]+Basic345678910111213141516171819[[#This Row],[قيمة الشحنه]])</f>
        <v>0</v>
      </c>
      <c r="I27" s="90"/>
      <c r="J27" s="142" t="str">
        <f t="shared" si="0"/>
        <v>14.5.2026</v>
      </c>
      <c r="L27" s="153">
        <v>16</v>
      </c>
      <c r="M27" s="92"/>
      <c r="O27" s="196" t="s">
        <v>33</v>
      </c>
      <c r="P27" s="197"/>
    </row>
    <row r="28" spans="1:21" ht="21.6" x14ac:dyDescent="0.65">
      <c r="A28" s="195"/>
      <c r="B28" s="140">
        <v>25</v>
      </c>
      <c r="C28" s="2"/>
      <c r="D28" s="1"/>
      <c r="E28" s="3"/>
      <c r="F28" s="1"/>
      <c r="G28" s="141">
        <f>IF(Basic345678910111213141516171819[[#This Row],[نوع الخدمة]]="مخالفات", 50,
IF(Basic345678910111213141516171819[[#This Row],[نوع الخدمة]]="كاش ان",
    IF(F28&lt;=100, 18, IF(F28&lt;=250, 23, IF(F28&lt;=500, 35, IF(F28&lt;=1000, 40, F28*0.04)))),
IF(Basic345678910111213141516171819[[#This Row],[نوع الخدمة]]="كاش اوت",
    IF(F28&lt;=100, 15, IF(F28&lt;=250, 20, IF(F28&lt;=500, 30, IF(F28&lt;=1000, 35, F28*0.035)))),
0)))</f>
        <v>0</v>
      </c>
      <c r="H28" s="159">
        <f>IF(I28="مخالفات",50,Basic345678910111213141516171819[[#This Row],[قيمة الرسوم / العموله]]+Basic345678910111213141516171819[[#This Row],[قيمة الشحنه]])</f>
        <v>0</v>
      </c>
      <c r="I28" s="90"/>
      <c r="J28" s="142" t="str">
        <f t="shared" si="0"/>
        <v>14.5.2026</v>
      </c>
      <c r="L28" s="153">
        <v>17</v>
      </c>
      <c r="M28" s="92"/>
      <c r="O28" s="147" t="s">
        <v>27</v>
      </c>
      <c r="P28" s="135">
        <f>P22-P25</f>
        <v>-4</v>
      </c>
    </row>
    <row r="29" spans="1:21" ht="21.6" x14ac:dyDescent="0.65">
      <c r="A29" s="195"/>
      <c r="B29" s="144">
        <v>26</v>
      </c>
      <c r="C29" s="2"/>
      <c r="D29" s="1"/>
      <c r="E29" s="3"/>
      <c r="F29" s="1"/>
      <c r="G29" s="141">
        <f>IF(Basic345678910111213141516171819[[#This Row],[نوع الخدمة]]="مخالفات", 50,
IF(Basic345678910111213141516171819[[#This Row],[نوع الخدمة]]="كاش ان",
    IF(F29&lt;=100, 18, IF(F29&lt;=250, 23, IF(F29&lt;=500, 35, IF(F29&lt;=1000, 40, F29*0.04)))),
IF(Basic345678910111213141516171819[[#This Row],[نوع الخدمة]]="كاش اوت",
    IF(F29&lt;=100, 15, IF(F29&lt;=250, 20, IF(F29&lt;=500, 30, IF(F29&lt;=1000, 35, F29*0.035)))),
0)))</f>
        <v>0</v>
      </c>
      <c r="H29" s="159">
        <f>IF(I29="مخالفات",50,Basic345678910111213141516171819[[#This Row],[قيمة الرسوم / العموله]]+Basic345678910111213141516171819[[#This Row],[قيمة الشحنه]])</f>
        <v>0</v>
      </c>
      <c r="I29" s="90"/>
      <c r="J29" s="142" t="str">
        <f t="shared" si="0"/>
        <v>14.5.2026</v>
      </c>
      <c r="L29" s="153">
        <v>18</v>
      </c>
      <c r="M29" s="92"/>
      <c r="O29" s="147" t="s">
        <v>28</v>
      </c>
      <c r="P29" s="135">
        <f>P23-P26</f>
        <v>0</v>
      </c>
    </row>
    <row r="30" spans="1:21" ht="21.6" x14ac:dyDescent="0.65">
      <c r="A30" s="195"/>
      <c r="B30" s="140">
        <v>27</v>
      </c>
      <c r="C30" s="2"/>
      <c r="D30" s="1"/>
      <c r="E30" s="3"/>
      <c r="F30" s="1"/>
      <c r="G30" s="141">
        <f>IF(Basic345678910111213141516171819[[#This Row],[نوع الخدمة]]="مخالفات", 50,
IF(Basic345678910111213141516171819[[#This Row],[نوع الخدمة]]="كاش ان",
    IF(F30&lt;=100, 18, IF(F30&lt;=250, 23, IF(F30&lt;=500, 35, IF(F30&lt;=1000, 40, F30*0.04)))),
IF(Basic345678910111213141516171819[[#This Row],[نوع الخدمة]]="كاش اوت",
    IF(F30&lt;=100, 15, IF(F30&lt;=250, 20, IF(F30&lt;=500, 30, IF(F30&lt;=1000, 35, F30*0.035)))),
0)))</f>
        <v>0</v>
      </c>
      <c r="H30" s="159">
        <f>IF(I30="مخالفات",50,Basic345678910111213141516171819[[#This Row],[قيمة الرسوم / العموله]]+Basic345678910111213141516171819[[#This Row],[قيمة الشحنه]])</f>
        <v>0</v>
      </c>
      <c r="I30" s="90"/>
      <c r="J30" s="142" t="str">
        <f t="shared" si="0"/>
        <v>14.5.2026</v>
      </c>
      <c r="L30" s="153">
        <v>19</v>
      </c>
      <c r="M30" s="92"/>
    </row>
    <row r="31" spans="1:21" ht="21.6" x14ac:dyDescent="0.65">
      <c r="A31" s="195"/>
      <c r="B31" s="140">
        <v>28</v>
      </c>
      <c r="C31" s="2"/>
      <c r="D31" s="1"/>
      <c r="E31" s="3"/>
      <c r="F31" s="1"/>
      <c r="G31" s="141">
        <f>IF(Basic345678910111213141516171819[[#This Row],[نوع الخدمة]]="مخالفات", 50,
IF(Basic345678910111213141516171819[[#This Row],[نوع الخدمة]]="كاش ان",
    IF(F31&lt;=100, 18, IF(F31&lt;=250, 23, IF(F31&lt;=500, 35, IF(F31&lt;=1000, 40, F31*0.04)))),
IF(Basic345678910111213141516171819[[#This Row],[نوع الخدمة]]="كاش اوت",
    IF(F31&lt;=100, 15, IF(F31&lt;=250, 20, IF(F31&lt;=500, 30, IF(F31&lt;=1000, 35, F31*0.035)))),
0)))</f>
        <v>0</v>
      </c>
      <c r="H31" s="159">
        <f>IF(I31="مخالفات",50,Basic345678910111213141516171819[[#This Row],[قيمة الرسوم / العموله]]+Basic345678910111213141516171819[[#This Row],[قيمة الشحنه]])</f>
        <v>0</v>
      </c>
      <c r="I31" s="90"/>
      <c r="J31" s="142" t="str">
        <f t="shared" si="0"/>
        <v>14.5.2026</v>
      </c>
      <c r="L31" s="153">
        <v>20</v>
      </c>
      <c r="M31" s="92"/>
    </row>
    <row r="32" spans="1:21" ht="21.6" x14ac:dyDescent="0.65">
      <c r="A32" s="195"/>
      <c r="B32" s="140">
        <v>29</v>
      </c>
      <c r="C32" s="2"/>
      <c r="D32" s="1"/>
      <c r="E32" s="3"/>
      <c r="F32" s="1"/>
      <c r="G32" s="141">
        <f>IF(Basic345678910111213141516171819[[#This Row],[نوع الخدمة]]="مخالفات", 50,
IF(Basic345678910111213141516171819[[#This Row],[نوع الخدمة]]="كاش ان",
    IF(F32&lt;=100, 18, IF(F32&lt;=250, 23, IF(F32&lt;=500, 35, IF(F32&lt;=1000, 40, F32*0.04)))),
IF(Basic345678910111213141516171819[[#This Row],[نوع الخدمة]]="كاش اوت",
    IF(F32&lt;=100, 15, IF(F32&lt;=250, 20, IF(F32&lt;=500, 30, IF(F32&lt;=1000, 35, F32*0.035)))),
0)))</f>
        <v>0</v>
      </c>
      <c r="H32" s="159">
        <f>IF(I32="مخالفات",50,Basic345678910111213141516171819[[#This Row],[قيمة الرسوم / العموله]]+Basic345678910111213141516171819[[#This Row],[قيمة الشحنه]])</f>
        <v>0</v>
      </c>
      <c r="I32" s="90"/>
      <c r="J32" s="142" t="str">
        <f t="shared" si="0"/>
        <v>14.5.2026</v>
      </c>
      <c r="L32" s="153">
        <v>21</v>
      </c>
      <c r="M32" s="92"/>
    </row>
    <row r="33" spans="1:13" ht="21.6" x14ac:dyDescent="0.65">
      <c r="A33" s="195"/>
      <c r="B33" s="144">
        <v>30</v>
      </c>
      <c r="C33" s="2"/>
      <c r="D33" s="1"/>
      <c r="E33" s="3"/>
      <c r="F33" s="1"/>
      <c r="G33" s="141">
        <f>IF(Basic345678910111213141516171819[[#This Row],[نوع الخدمة]]="مخالفات", 50,
IF(Basic345678910111213141516171819[[#This Row],[نوع الخدمة]]="كاش ان",
    IF(F33&lt;=100, 18, IF(F33&lt;=250, 23, IF(F33&lt;=500, 35, IF(F33&lt;=1000, 40, F33*0.04)))),
IF(Basic345678910111213141516171819[[#This Row],[نوع الخدمة]]="كاش اوت",
    IF(F33&lt;=100, 15, IF(F33&lt;=250, 20, IF(F33&lt;=500, 30, IF(F33&lt;=1000, 35, F33*0.035)))),
0)))</f>
        <v>0</v>
      </c>
      <c r="H33" s="159">
        <f>IF(I33="مخالفات",50,Basic345678910111213141516171819[[#This Row],[قيمة الرسوم / العموله]]+Basic345678910111213141516171819[[#This Row],[قيمة الشحنه]])</f>
        <v>0</v>
      </c>
      <c r="I33" s="90"/>
      <c r="J33" s="142" t="str">
        <f t="shared" si="0"/>
        <v>14.5.2026</v>
      </c>
      <c r="L33" s="153">
        <v>22</v>
      </c>
      <c r="M33" s="92"/>
    </row>
    <row r="34" spans="1:13" ht="21.6" x14ac:dyDescent="0.65">
      <c r="A34" s="195"/>
      <c r="B34" s="140">
        <v>31</v>
      </c>
      <c r="C34" s="2"/>
      <c r="D34" s="1"/>
      <c r="E34" s="3"/>
      <c r="F34" s="1"/>
      <c r="G34" s="141">
        <f>IF(Basic345678910111213141516171819[[#This Row],[نوع الخدمة]]="مخالفات", 50,
IF(Basic345678910111213141516171819[[#This Row],[نوع الخدمة]]="كاش ان",
    IF(F34&lt;=100, 18, IF(F34&lt;=250, 23, IF(F34&lt;=500, 35, IF(F34&lt;=1000, 40, F34*0.04)))),
IF(Basic345678910111213141516171819[[#This Row],[نوع الخدمة]]="كاش اوت",
    IF(F34&lt;=100, 15, IF(F34&lt;=250, 20, IF(F34&lt;=500, 30, IF(F34&lt;=1000, 35, F34*0.035)))),
0)))</f>
        <v>0</v>
      </c>
      <c r="H34" s="159">
        <f>IF(I34="مخالفات",50,Basic345678910111213141516171819[[#This Row],[قيمة الرسوم / العموله]]+Basic345678910111213141516171819[[#This Row],[قيمة الشحنه]])</f>
        <v>0</v>
      </c>
      <c r="I34" s="90"/>
      <c r="J34" s="142" t="str">
        <f t="shared" si="0"/>
        <v>14.5.2026</v>
      </c>
      <c r="L34" s="153">
        <v>23</v>
      </c>
      <c r="M34" s="92"/>
    </row>
    <row r="35" spans="1:13" ht="21.6" x14ac:dyDescent="0.65">
      <c r="A35" s="195"/>
      <c r="B35" s="140">
        <v>32</v>
      </c>
      <c r="C35" s="2"/>
      <c r="D35" s="1"/>
      <c r="E35" s="3"/>
      <c r="F35" s="1"/>
      <c r="G35" s="141">
        <f>IF(Basic345678910111213141516171819[[#This Row],[نوع الخدمة]]="مخالفات", 50,
IF(Basic345678910111213141516171819[[#This Row],[نوع الخدمة]]="كاش ان",
    IF(F35&lt;=100, 18, IF(F35&lt;=250, 23, IF(F35&lt;=500, 35, IF(F35&lt;=1000, 40, F35*0.04)))),
IF(Basic345678910111213141516171819[[#This Row],[نوع الخدمة]]="كاش اوت",
    IF(F35&lt;=100, 15, IF(F35&lt;=250, 20, IF(F35&lt;=500, 30, IF(F35&lt;=1000, 35, F35*0.035)))),
0)))</f>
        <v>0</v>
      </c>
      <c r="H35" s="159">
        <f>IF(I35="مخالفات",50,Basic345678910111213141516171819[[#This Row],[قيمة الرسوم / العموله]]+Basic345678910111213141516171819[[#This Row],[قيمة الشحنه]])</f>
        <v>0</v>
      </c>
      <c r="I35" s="90"/>
      <c r="J35" s="142" t="str">
        <f t="shared" si="0"/>
        <v>14.5.2026</v>
      </c>
      <c r="L35" s="153">
        <v>24</v>
      </c>
      <c r="M35" s="92"/>
    </row>
    <row r="36" spans="1:13" ht="21.6" x14ac:dyDescent="0.65">
      <c r="A36" s="195"/>
      <c r="B36" s="140">
        <v>33</v>
      </c>
      <c r="C36" s="2"/>
      <c r="D36" s="1"/>
      <c r="E36" s="3"/>
      <c r="F36" s="1"/>
      <c r="G36" s="141">
        <f>IF(Basic345678910111213141516171819[[#This Row],[نوع الخدمة]]="مخالفات", 50,
IF(Basic345678910111213141516171819[[#This Row],[نوع الخدمة]]="كاش ان",
    IF(F36&lt;=100, 18, IF(F36&lt;=250, 23, IF(F36&lt;=500, 35, IF(F36&lt;=1000, 40, F36*0.04)))),
IF(Basic345678910111213141516171819[[#This Row],[نوع الخدمة]]="كاش اوت",
    IF(F36&lt;=100, 15, IF(F36&lt;=250, 20, IF(F36&lt;=500, 30, IF(F36&lt;=1000, 35, F36*0.035)))),
0)))</f>
        <v>0</v>
      </c>
      <c r="H36" s="159">
        <f>IF(I36="مخالفات",50,Basic345678910111213141516171819[[#This Row],[قيمة الرسوم / العموله]]+Basic345678910111213141516171819[[#This Row],[قيمة الشحنه]])</f>
        <v>0</v>
      </c>
      <c r="I36" s="90"/>
      <c r="J36" s="142" t="str">
        <f t="shared" si="0"/>
        <v>14.5.2026</v>
      </c>
      <c r="L36" s="153">
        <v>25</v>
      </c>
      <c r="M36" s="92"/>
    </row>
    <row r="37" spans="1:13" ht="21.6" x14ac:dyDescent="0.65">
      <c r="A37" s="195"/>
      <c r="B37" s="144">
        <v>34</v>
      </c>
      <c r="C37" s="2"/>
      <c r="D37" s="1"/>
      <c r="E37" s="3"/>
      <c r="F37" s="1"/>
      <c r="G37" s="141">
        <f>IF(Basic345678910111213141516171819[[#This Row],[نوع الخدمة]]="مخالفات", 50,
IF(Basic345678910111213141516171819[[#This Row],[نوع الخدمة]]="كاش ان",
    IF(F37&lt;=100, 18, IF(F37&lt;=250, 23, IF(F37&lt;=500, 35, IF(F37&lt;=1000, 40, F37*0.04)))),
IF(Basic345678910111213141516171819[[#This Row],[نوع الخدمة]]="كاش اوت",
    IF(F37&lt;=100, 15, IF(F37&lt;=250, 20, IF(F37&lt;=500, 30, IF(F37&lt;=1000, 35, F37*0.035)))),
0)))</f>
        <v>0</v>
      </c>
      <c r="H37" s="159">
        <f>IF(I37="مخالفات",50,Basic345678910111213141516171819[[#This Row],[قيمة الرسوم / العموله]]+Basic345678910111213141516171819[[#This Row],[قيمة الشحنه]])</f>
        <v>0</v>
      </c>
      <c r="I37" s="90"/>
      <c r="J37" s="142" t="str">
        <f t="shared" si="0"/>
        <v>14.5.2026</v>
      </c>
      <c r="L37" s="153">
        <v>26</v>
      </c>
      <c r="M37" s="92"/>
    </row>
    <row r="38" spans="1:13" ht="21.6" x14ac:dyDescent="0.65">
      <c r="A38" s="195"/>
      <c r="B38" s="140">
        <v>35</v>
      </c>
      <c r="C38" s="2"/>
      <c r="D38" s="1"/>
      <c r="E38" s="3"/>
      <c r="F38" s="1"/>
      <c r="G38" s="141">
        <f>IF(Basic345678910111213141516171819[[#This Row],[نوع الخدمة]]="مخالفات", 50,
IF(Basic345678910111213141516171819[[#This Row],[نوع الخدمة]]="كاش ان",
    IF(F38&lt;=100, 18, IF(F38&lt;=250, 23, IF(F38&lt;=500, 35, IF(F38&lt;=1000, 40, F38*0.04)))),
IF(Basic345678910111213141516171819[[#This Row],[نوع الخدمة]]="كاش اوت",
    IF(F38&lt;=100, 15, IF(F38&lt;=250, 20, IF(F38&lt;=500, 30, IF(F38&lt;=1000, 35, F38*0.035)))),
0)))</f>
        <v>0</v>
      </c>
      <c r="H38" s="159">
        <f>IF(I38="مخالفات",50,Basic345678910111213141516171819[[#This Row],[قيمة الرسوم / العموله]]+Basic345678910111213141516171819[[#This Row],[قيمة الشحنه]])</f>
        <v>0</v>
      </c>
      <c r="I38" s="90"/>
      <c r="J38" s="142" t="str">
        <f t="shared" si="0"/>
        <v>14.5.2026</v>
      </c>
      <c r="L38" s="153">
        <v>27</v>
      </c>
      <c r="M38" s="92"/>
    </row>
    <row r="39" spans="1:13" ht="21.6" x14ac:dyDescent="0.65">
      <c r="A39" s="195"/>
      <c r="B39" s="140">
        <v>36</v>
      </c>
      <c r="C39" s="2"/>
      <c r="D39" s="1"/>
      <c r="E39" s="3"/>
      <c r="F39" s="1"/>
      <c r="G39" s="141">
        <f>IF(Basic345678910111213141516171819[[#This Row],[نوع الخدمة]]="مخالفات", 50,
IF(Basic345678910111213141516171819[[#This Row],[نوع الخدمة]]="كاش ان",
    IF(F39&lt;=100, 18, IF(F39&lt;=250, 23, IF(F39&lt;=500, 35, IF(F39&lt;=1000, 40, F39*0.04)))),
IF(Basic345678910111213141516171819[[#This Row],[نوع الخدمة]]="كاش اوت",
    IF(F39&lt;=100, 15, IF(F39&lt;=250, 20, IF(F39&lt;=500, 30, IF(F39&lt;=1000, 35, F39*0.035)))),
0)))</f>
        <v>0</v>
      </c>
      <c r="H39" s="159">
        <f>IF(I39="مخالفات",50,Basic345678910111213141516171819[[#This Row],[قيمة الرسوم / العموله]]+Basic345678910111213141516171819[[#This Row],[قيمة الشحنه]])</f>
        <v>0</v>
      </c>
      <c r="I39" s="90"/>
      <c r="J39" s="142" t="str">
        <f t="shared" si="0"/>
        <v>14.5.2026</v>
      </c>
      <c r="L39" s="153">
        <v>28</v>
      </c>
      <c r="M39" s="92"/>
    </row>
    <row r="40" spans="1:13" ht="21.6" x14ac:dyDescent="0.65">
      <c r="A40" s="195"/>
      <c r="B40" s="140">
        <v>37</v>
      </c>
      <c r="C40" s="2"/>
      <c r="D40" s="1"/>
      <c r="E40" s="3"/>
      <c r="F40" s="1"/>
      <c r="G40" s="141">
        <f>IF(Basic345678910111213141516171819[[#This Row],[نوع الخدمة]]="مخالفات", 50,
IF(Basic345678910111213141516171819[[#This Row],[نوع الخدمة]]="كاش ان",
    IF(F40&lt;=100, 18, IF(F40&lt;=250, 23, IF(F40&lt;=500, 35, IF(F40&lt;=1000, 40, F40*0.04)))),
IF(Basic345678910111213141516171819[[#This Row],[نوع الخدمة]]="كاش اوت",
    IF(F40&lt;=100, 15, IF(F40&lt;=250, 20, IF(F40&lt;=500, 30, IF(F40&lt;=1000, 35, F40*0.035)))),
0)))</f>
        <v>0</v>
      </c>
      <c r="H40" s="159">
        <f>IF(I40="مخالفات",50,Basic345678910111213141516171819[[#This Row],[قيمة الرسوم / العموله]]+Basic345678910111213141516171819[[#This Row],[قيمة الشحنه]])</f>
        <v>0</v>
      </c>
      <c r="I40" s="90"/>
      <c r="J40" s="142" t="str">
        <f t="shared" si="0"/>
        <v>14.5.2026</v>
      </c>
      <c r="L40" s="153">
        <v>29</v>
      </c>
      <c r="M40" s="92"/>
    </row>
    <row r="41" spans="1:13" ht="21.6" x14ac:dyDescent="0.65">
      <c r="A41" s="195"/>
      <c r="B41" s="144">
        <v>38</v>
      </c>
      <c r="C41" s="2"/>
      <c r="D41" s="1"/>
      <c r="E41" s="3"/>
      <c r="F41" s="1"/>
      <c r="G41" s="141">
        <f>IF(Basic345678910111213141516171819[[#This Row],[نوع الخدمة]]="مخالفات", 50,
IF(Basic345678910111213141516171819[[#This Row],[نوع الخدمة]]="كاش ان",
    IF(F41&lt;=100, 18, IF(F41&lt;=250, 23, IF(F41&lt;=500, 35, IF(F41&lt;=1000, 40, F41*0.04)))),
IF(Basic345678910111213141516171819[[#This Row],[نوع الخدمة]]="كاش اوت",
    IF(F41&lt;=100, 15, IF(F41&lt;=250, 20, IF(F41&lt;=500, 30, IF(F41&lt;=1000, 35, F41*0.035)))),
0)))</f>
        <v>0</v>
      </c>
      <c r="H41" s="159">
        <f>IF(I41="مخالفات",50,Basic345678910111213141516171819[[#This Row],[قيمة الرسوم / العموله]]+Basic345678910111213141516171819[[#This Row],[قيمة الشحنه]])</f>
        <v>0</v>
      </c>
      <c r="I41" s="90"/>
      <c r="J41" s="142" t="str">
        <f t="shared" si="0"/>
        <v>14.5.2026</v>
      </c>
      <c r="L41" s="153">
        <v>30</v>
      </c>
      <c r="M41" s="92"/>
    </row>
    <row r="42" spans="1:13" ht="21.6" x14ac:dyDescent="0.65">
      <c r="A42" s="195"/>
      <c r="B42" s="140">
        <v>39</v>
      </c>
      <c r="C42" s="2"/>
      <c r="D42" s="1"/>
      <c r="E42" s="3"/>
      <c r="F42" s="1"/>
      <c r="G42" s="141">
        <f>IF(Basic345678910111213141516171819[[#This Row],[نوع الخدمة]]="مخالفات", 50,
IF(Basic345678910111213141516171819[[#This Row],[نوع الخدمة]]="كاش ان",
    IF(F42&lt;=100, 18, IF(F42&lt;=250, 23, IF(F42&lt;=500, 35, IF(F42&lt;=1000, 40, F42*0.04)))),
IF(Basic345678910111213141516171819[[#This Row],[نوع الخدمة]]="كاش اوت",
    IF(F42&lt;=100, 15, IF(F42&lt;=250, 20, IF(F42&lt;=500, 30, IF(F42&lt;=1000, 35, F42*0.035)))),
0)))</f>
        <v>0</v>
      </c>
      <c r="H42" s="159">
        <f>IF(I42="مخالفات",50,Basic345678910111213141516171819[[#This Row],[قيمة الرسوم / العموله]]+Basic345678910111213141516171819[[#This Row],[قيمة الشحنه]])</f>
        <v>0</v>
      </c>
      <c r="I42" s="90"/>
      <c r="J42" s="142" t="str">
        <f t="shared" si="0"/>
        <v>14.5.2026</v>
      </c>
      <c r="L42" s="153">
        <v>31</v>
      </c>
      <c r="M42" s="92"/>
    </row>
    <row r="43" spans="1:13" ht="21.6" x14ac:dyDescent="0.65">
      <c r="A43" s="195"/>
      <c r="B43" s="140">
        <v>40</v>
      </c>
      <c r="C43" s="2"/>
      <c r="D43" s="1"/>
      <c r="E43" s="3"/>
      <c r="F43" s="1"/>
      <c r="G43" s="141">
        <f>IF(Basic345678910111213141516171819[[#This Row],[نوع الخدمة]]="مخالفات", 50,
IF(Basic345678910111213141516171819[[#This Row],[نوع الخدمة]]="كاش ان",
    IF(F43&lt;=100, 18, IF(F43&lt;=250, 23, IF(F43&lt;=500, 35, IF(F43&lt;=1000, 40, F43*0.04)))),
IF(Basic345678910111213141516171819[[#This Row],[نوع الخدمة]]="كاش اوت",
    IF(F43&lt;=100, 15, IF(F43&lt;=250, 20, IF(F43&lt;=500, 30, IF(F43&lt;=1000, 35, F43*0.035)))),
0)))</f>
        <v>0</v>
      </c>
      <c r="H43" s="159">
        <f>IF(I43="مخالفات",50,Basic345678910111213141516171819[[#This Row],[قيمة الرسوم / العموله]]+Basic345678910111213141516171819[[#This Row],[قيمة الشحنه]])</f>
        <v>0</v>
      </c>
      <c r="I43" s="90"/>
      <c r="J43" s="142" t="str">
        <f t="shared" si="0"/>
        <v>14.5.2026</v>
      </c>
      <c r="L43" s="153">
        <v>32</v>
      </c>
      <c r="M43" s="92"/>
    </row>
    <row r="44" spans="1:13" ht="21.6" x14ac:dyDescent="0.65">
      <c r="A44" s="195"/>
      <c r="B44" s="140">
        <v>41</v>
      </c>
      <c r="C44" s="2"/>
      <c r="D44" s="1"/>
      <c r="E44" s="3"/>
      <c r="F44" s="1"/>
      <c r="G44" s="141">
        <f>IF(Basic345678910111213141516171819[[#This Row],[نوع الخدمة]]="مخالفات", 50,
IF(Basic345678910111213141516171819[[#This Row],[نوع الخدمة]]="كاش ان",
    IF(F44&lt;=100, 18, IF(F44&lt;=250, 23, IF(F44&lt;=500, 35, IF(F44&lt;=1000, 40, F44*0.04)))),
IF(Basic345678910111213141516171819[[#This Row],[نوع الخدمة]]="كاش اوت",
    IF(F44&lt;=100, 15, IF(F44&lt;=250, 20, IF(F44&lt;=500, 30, IF(F44&lt;=1000, 35, F44*0.035)))),
0)))</f>
        <v>0</v>
      </c>
      <c r="H44" s="159">
        <f>IF(I44="مخالفات",50,Basic345678910111213141516171819[[#This Row],[قيمة الرسوم / العموله]]+Basic345678910111213141516171819[[#This Row],[قيمة الشحنه]])</f>
        <v>0</v>
      </c>
      <c r="I44" s="90"/>
      <c r="J44" s="142" t="str">
        <f t="shared" si="0"/>
        <v>14.5.2026</v>
      </c>
      <c r="L44" s="153">
        <v>33</v>
      </c>
      <c r="M44" s="92"/>
    </row>
    <row r="45" spans="1:13" ht="21.6" x14ac:dyDescent="0.65">
      <c r="A45" s="195"/>
      <c r="B45" s="144">
        <v>42</v>
      </c>
      <c r="C45" s="2"/>
      <c r="D45" s="1"/>
      <c r="E45" s="3"/>
      <c r="F45" s="1"/>
      <c r="G45" s="141">
        <f>IF(Basic345678910111213141516171819[[#This Row],[نوع الخدمة]]="مخالفات", 50,
IF(Basic345678910111213141516171819[[#This Row],[نوع الخدمة]]="كاش ان",
    IF(F45&lt;=100, 18, IF(F45&lt;=250, 23, IF(F45&lt;=500, 35, IF(F45&lt;=1000, 40, F45*0.04)))),
IF(Basic345678910111213141516171819[[#This Row],[نوع الخدمة]]="كاش اوت",
    IF(F45&lt;=100, 15, IF(F45&lt;=250, 20, IF(F45&lt;=500, 30, IF(F45&lt;=1000, 35, F45*0.035)))),
0)))</f>
        <v>0</v>
      </c>
      <c r="H45" s="159">
        <f>IF(I45="مخالفات",50,Basic345678910111213141516171819[[#This Row],[قيمة الرسوم / العموله]]+Basic345678910111213141516171819[[#This Row],[قيمة الشحنه]])</f>
        <v>0</v>
      </c>
      <c r="I45" s="90"/>
      <c r="J45" s="142" t="str">
        <f t="shared" si="0"/>
        <v>14.5.2026</v>
      </c>
      <c r="L45" s="153">
        <v>34</v>
      </c>
      <c r="M45" s="92"/>
    </row>
    <row r="46" spans="1:13" ht="21.6" x14ac:dyDescent="0.65">
      <c r="A46" s="195"/>
      <c r="B46" s="140">
        <v>43</v>
      </c>
      <c r="C46" s="2"/>
      <c r="D46" s="1"/>
      <c r="E46" s="3"/>
      <c r="F46" s="1"/>
      <c r="G46" s="141">
        <f>IF(Basic345678910111213141516171819[[#This Row],[نوع الخدمة]]="مخالفات", 50,
IF(Basic345678910111213141516171819[[#This Row],[نوع الخدمة]]="كاش ان",
    IF(F46&lt;=100, 18, IF(F46&lt;=250, 23, IF(F46&lt;=500, 35, IF(F46&lt;=1000, 40, F46*0.04)))),
IF(Basic345678910111213141516171819[[#This Row],[نوع الخدمة]]="كاش اوت",
    IF(F46&lt;=100, 15, IF(F46&lt;=250, 20, IF(F46&lt;=500, 30, IF(F46&lt;=1000, 35, F46*0.035)))),
0)))</f>
        <v>0</v>
      </c>
      <c r="H46" s="159">
        <f>IF(I46="مخالفات",50,Basic345678910111213141516171819[[#This Row],[قيمة الرسوم / العموله]]+Basic345678910111213141516171819[[#This Row],[قيمة الشحنه]])</f>
        <v>0</v>
      </c>
      <c r="I46" s="90"/>
      <c r="J46" s="142" t="str">
        <f t="shared" si="0"/>
        <v>14.5.2026</v>
      </c>
      <c r="L46" s="153">
        <v>35</v>
      </c>
      <c r="M46" s="92"/>
    </row>
    <row r="47" spans="1:13" ht="21.6" x14ac:dyDescent="0.65">
      <c r="A47" s="195"/>
      <c r="B47" s="140">
        <v>44</v>
      </c>
      <c r="C47" s="2"/>
      <c r="D47" s="1"/>
      <c r="E47" s="3"/>
      <c r="F47" s="1"/>
      <c r="G47" s="141">
        <f>IF(Basic345678910111213141516171819[[#This Row],[نوع الخدمة]]="مخالفات", 50,
IF(Basic345678910111213141516171819[[#This Row],[نوع الخدمة]]="كاش ان",
    IF(F47&lt;=100, 18, IF(F47&lt;=250, 23, IF(F47&lt;=500, 35, IF(F47&lt;=1000, 40, F47*0.04)))),
IF(Basic345678910111213141516171819[[#This Row],[نوع الخدمة]]="كاش اوت",
    IF(F47&lt;=100, 15, IF(F47&lt;=250, 20, IF(F47&lt;=500, 30, IF(F47&lt;=1000, 35, F47*0.035)))),
0)))</f>
        <v>0</v>
      </c>
      <c r="H47" s="159">
        <f>IF(I47="مخالفات",50,Basic345678910111213141516171819[[#This Row],[قيمة الرسوم / العموله]]+Basic345678910111213141516171819[[#This Row],[قيمة الشحنه]])</f>
        <v>0</v>
      </c>
      <c r="I47" s="90"/>
      <c r="J47" s="142" t="str">
        <f t="shared" si="0"/>
        <v>14.5.2026</v>
      </c>
      <c r="L47" s="153">
        <v>36</v>
      </c>
      <c r="M47" s="92"/>
    </row>
    <row r="48" spans="1:13" ht="21.6" x14ac:dyDescent="0.65">
      <c r="A48" s="195"/>
      <c r="B48" s="140">
        <v>45</v>
      </c>
      <c r="C48" s="2"/>
      <c r="D48" s="1"/>
      <c r="E48" s="3"/>
      <c r="F48" s="1"/>
      <c r="G48" s="141">
        <f>IF(Basic345678910111213141516171819[[#This Row],[نوع الخدمة]]="مخالفات", 50,
IF(Basic345678910111213141516171819[[#This Row],[نوع الخدمة]]="كاش ان",
    IF(F48&lt;=100, 18, IF(F48&lt;=250, 23, IF(F48&lt;=500, 35, IF(F48&lt;=1000, 40, F48*0.04)))),
IF(Basic345678910111213141516171819[[#This Row],[نوع الخدمة]]="كاش اوت",
    IF(F48&lt;=100, 15, IF(F48&lt;=250, 20, IF(F48&lt;=500, 30, IF(F48&lt;=1000, 35, F48*0.035)))),
0)))</f>
        <v>0</v>
      </c>
      <c r="H48" s="159">
        <f>IF(I48="مخالفات",50,Basic345678910111213141516171819[[#This Row],[قيمة الرسوم / العموله]]+Basic345678910111213141516171819[[#This Row],[قيمة الشحنه]])</f>
        <v>0</v>
      </c>
      <c r="I48" s="90"/>
      <c r="J48" s="142" t="str">
        <f t="shared" si="0"/>
        <v>14.5.2026</v>
      </c>
      <c r="L48" s="153">
        <v>37</v>
      </c>
      <c r="M48" s="92"/>
    </row>
    <row r="49" spans="1:13" ht="21.6" x14ac:dyDescent="0.65">
      <c r="A49" s="195"/>
      <c r="B49" s="144">
        <v>46</v>
      </c>
      <c r="C49" s="2"/>
      <c r="D49" s="1"/>
      <c r="E49" s="3"/>
      <c r="F49" s="1"/>
      <c r="G49" s="141">
        <f>IF(Basic345678910111213141516171819[[#This Row],[نوع الخدمة]]="مخالفات", 50,
IF(Basic345678910111213141516171819[[#This Row],[نوع الخدمة]]="كاش ان",
    IF(F49&lt;=100, 18, IF(F49&lt;=250, 23, IF(F49&lt;=500, 35, IF(F49&lt;=1000, 40, F49*0.04)))),
IF(Basic345678910111213141516171819[[#This Row],[نوع الخدمة]]="كاش اوت",
    IF(F49&lt;=100, 15, IF(F49&lt;=250, 20, IF(F49&lt;=500, 30, IF(F49&lt;=1000, 35, F49*0.035)))),
0)))</f>
        <v>0</v>
      </c>
      <c r="H49" s="159">
        <f>IF(I49="مخالفات",50,Basic345678910111213141516171819[[#This Row],[قيمة الرسوم / العموله]]+Basic345678910111213141516171819[[#This Row],[قيمة الشحنه]])</f>
        <v>0</v>
      </c>
      <c r="I49" s="90"/>
      <c r="J49" s="142" t="str">
        <f t="shared" si="0"/>
        <v>14.5.2026</v>
      </c>
      <c r="L49" s="153">
        <v>38</v>
      </c>
      <c r="M49" s="92"/>
    </row>
    <row r="50" spans="1:13" ht="21.6" x14ac:dyDescent="0.65">
      <c r="A50" s="195"/>
      <c r="B50" s="140">
        <v>47</v>
      </c>
      <c r="C50" s="2"/>
      <c r="D50" s="1"/>
      <c r="E50" s="3"/>
      <c r="F50" s="1"/>
      <c r="G50" s="141">
        <f>IF(Basic345678910111213141516171819[[#This Row],[نوع الخدمة]]="مخالفات", 50,
IF(Basic345678910111213141516171819[[#This Row],[نوع الخدمة]]="كاش ان",
    IF(F50&lt;=100, 18, IF(F50&lt;=250, 23, IF(F50&lt;=500, 35, IF(F50&lt;=1000, 40, F50*0.04)))),
IF(Basic345678910111213141516171819[[#This Row],[نوع الخدمة]]="كاش اوت",
    IF(F50&lt;=100, 15, IF(F50&lt;=250, 20, IF(F50&lt;=500, 30, IF(F50&lt;=1000, 35, F50*0.035)))),
0)))</f>
        <v>0</v>
      </c>
      <c r="H50" s="159">
        <f>IF(I50="مخالفات",50,Basic345678910111213141516171819[[#This Row],[قيمة الرسوم / العموله]]+Basic345678910111213141516171819[[#This Row],[قيمة الشحنه]])</f>
        <v>0</v>
      </c>
      <c r="I50" s="90"/>
      <c r="J50" s="142" t="str">
        <f t="shared" si="0"/>
        <v>14.5.2026</v>
      </c>
      <c r="L50" s="153">
        <v>39</v>
      </c>
      <c r="M50" s="92"/>
    </row>
    <row r="51" spans="1:13" ht="21.6" x14ac:dyDescent="0.65">
      <c r="A51" s="195"/>
      <c r="B51" s="140">
        <v>48</v>
      </c>
      <c r="C51" s="2"/>
      <c r="D51" s="1"/>
      <c r="E51" s="3"/>
      <c r="F51" s="1"/>
      <c r="G51" s="141">
        <f>IF(Basic345678910111213141516171819[[#This Row],[نوع الخدمة]]="مخالفات", 50,
IF(Basic345678910111213141516171819[[#This Row],[نوع الخدمة]]="كاش ان",
    IF(F51&lt;=100, 18, IF(F51&lt;=250, 23, IF(F51&lt;=500, 35, IF(F51&lt;=1000, 40, F51*0.04)))),
IF(Basic345678910111213141516171819[[#This Row],[نوع الخدمة]]="كاش اوت",
    IF(F51&lt;=100, 15, IF(F51&lt;=250, 20, IF(F51&lt;=500, 30, IF(F51&lt;=1000, 35, F51*0.035)))),
0)))</f>
        <v>0</v>
      </c>
      <c r="H51" s="159">
        <f>IF(I51="مخالفات",50,Basic345678910111213141516171819[[#This Row],[قيمة الرسوم / العموله]]+Basic345678910111213141516171819[[#This Row],[قيمة الشحنه]])</f>
        <v>0</v>
      </c>
      <c r="I51" s="90"/>
      <c r="J51" s="142" t="str">
        <f t="shared" si="0"/>
        <v>14.5.2026</v>
      </c>
      <c r="L51" s="153">
        <v>40</v>
      </c>
      <c r="M51" s="92"/>
    </row>
    <row r="52" spans="1:13" ht="21.6" x14ac:dyDescent="0.65">
      <c r="A52" s="195"/>
      <c r="B52" s="140">
        <v>49</v>
      </c>
      <c r="C52" s="2"/>
      <c r="D52" s="1"/>
      <c r="E52" s="3"/>
      <c r="F52" s="1"/>
      <c r="G52" s="141">
        <f>IF(Basic345678910111213141516171819[[#This Row],[نوع الخدمة]]="مخالفات", 50,
IF(Basic345678910111213141516171819[[#This Row],[نوع الخدمة]]="كاش ان",
    IF(F52&lt;=100, 18, IF(F52&lt;=250, 23, IF(F52&lt;=500, 35, IF(F52&lt;=1000, 40, F52*0.04)))),
IF(Basic345678910111213141516171819[[#This Row],[نوع الخدمة]]="كاش اوت",
    IF(F52&lt;=100, 15, IF(F52&lt;=250, 20, IF(F52&lt;=500, 30, IF(F52&lt;=1000, 35, F52*0.035)))),
0)))</f>
        <v>0</v>
      </c>
      <c r="H52" s="159">
        <f>IF(I52="مخالفات",50,Basic345678910111213141516171819[[#This Row],[قيمة الرسوم / العموله]]+Basic345678910111213141516171819[[#This Row],[قيمة الشحنه]])</f>
        <v>0</v>
      </c>
      <c r="I52" s="90"/>
      <c r="J52" s="142" t="str">
        <f t="shared" si="0"/>
        <v>14.5.2026</v>
      </c>
      <c r="L52" s="153">
        <v>41</v>
      </c>
      <c r="M52" s="92"/>
    </row>
    <row r="53" spans="1:13" ht="21.6" x14ac:dyDescent="0.65">
      <c r="A53" s="195"/>
      <c r="B53" s="144">
        <v>50</v>
      </c>
      <c r="C53" s="2"/>
      <c r="D53" s="1"/>
      <c r="E53" s="3"/>
      <c r="F53" s="1"/>
      <c r="G53" s="141">
        <f>IF(Basic345678910111213141516171819[[#This Row],[نوع الخدمة]]="مخالفات", 50,
IF(Basic345678910111213141516171819[[#This Row],[نوع الخدمة]]="كاش ان",
    IF(F53&lt;=100, 18, IF(F53&lt;=250, 23, IF(F53&lt;=500, 35, IF(F53&lt;=1000, 40, F53*0.04)))),
IF(Basic345678910111213141516171819[[#This Row],[نوع الخدمة]]="كاش اوت",
    IF(F53&lt;=100, 15, IF(F53&lt;=250, 20, IF(F53&lt;=500, 30, IF(F53&lt;=1000, 35, F53*0.035)))),
0)))</f>
        <v>0</v>
      </c>
      <c r="H53" s="159">
        <f>IF(I53="مخالفات",50,Basic345678910111213141516171819[[#This Row],[قيمة الرسوم / العموله]]+Basic345678910111213141516171819[[#This Row],[قيمة الشحنه]])</f>
        <v>0</v>
      </c>
      <c r="I53" s="90"/>
      <c r="J53" s="142" t="str">
        <f t="shared" si="0"/>
        <v>14.5.2026</v>
      </c>
      <c r="L53" s="153">
        <v>42</v>
      </c>
      <c r="M53" s="92"/>
    </row>
    <row r="54" spans="1:13" ht="21.6" x14ac:dyDescent="0.65">
      <c r="A54" s="195"/>
      <c r="B54" s="140">
        <v>51</v>
      </c>
      <c r="C54" s="2"/>
      <c r="D54" s="1"/>
      <c r="E54" s="3"/>
      <c r="F54" s="1"/>
      <c r="G54" s="141">
        <f>IF(Basic345678910111213141516171819[[#This Row],[نوع الخدمة]]="مخالفات", 50,
IF(Basic345678910111213141516171819[[#This Row],[نوع الخدمة]]="كاش ان",
    IF(F54&lt;=100, 18, IF(F54&lt;=250, 23, IF(F54&lt;=500, 35, IF(F54&lt;=1000, 40, F54*0.04)))),
IF(Basic345678910111213141516171819[[#This Row],[نوع الخدمة]]="كاش اوت",
    IF(F54&lt;=100, 15, IF(F54&lt;=250, 20, IF(F54&lt;=500, 30, IF(F54&lt;=1000, 35, F54*0.035)))),
0)))</f>
        <v>0</v>
      </c>
      <c r="H54" s="159">
        <f>IF(I54="مخالفات",50,Basic345678910111213141516171819[[#This Row],[قيمة الرسوم / العموله]]+Basic345678910111213141516171819[[#This Row],[قيمة الشحنه]])</f>
        <v>0</v>
      </c>
      <c r="I54" s="90"/>
      <c r="J54" s="142" t="str">
        <f t="shared" si="0"/>
        <v>14.5.2026</v>
      </c>
      <c r="L54" s="153">
        <v>43</v>
      </c>
      <c r="M54" s="92"/>
    </row>
    <row r="55" spans="1:13" ht="21.6" x14ac:dyDescent="0.65">
      <c r="A55" s="195"/>
      <c r="B55" s="140">
        <v>52</v>
      </c>
      <c r="C55" s="2"/>
      <c r="D55" s="1"/>
      <c r="E55" s="3"/>
      <c r="F55" s="1"/>
      <c r="G55" s="141">
        <f>IF(Basic345678910111213141516171819[[#This Row],[نوع الخدمة]]="مخالفات", 50,
IF(Basic345678910111213141516171819[[#This Row],[نوع الخدمة]]="كاش ان",
    IF(F55&lt;=100, 18, IF(F55&lt;=250, 23, IF(F55&lt;=500, 35, IF(F55&lt;=1000, 40, F55*0.04)))),
IF(Basic345678910111213141516171819[[#This Row],[نوع الخدمة]]="كاش اوت",
    IF(F55&lt;=100, 15, IF(F55&lt;=250, 20, IF(F55&lt;=500, 30, IF(F55&lt;=1000, 35, F55*0.035)))),
0)))</f>
        <v>0</v>
      </c>
      <c r="H55" s="159">
        <f>IF(I55="مخالفات",50,Basic345678910111213141516171819[[#This Row],[قيمة الرسوم / العموله]]+Basic345678910111213141516171819[[#This Row],[قيمة الشحنه]])</f>
        <v>0</v>
      </c>
      <c r="I55" s="90"/>
      <c r="J55" s="142" t="str">
        <f t="shared" si="0"/>
        <v>14.5.2026</v>
      </c>
      <c r="L55" s="153">
        <v>44</v>
      </c>
      <c r="M55" s="92"/>
    </row>
    <row r="56" spans="1:13" ht="21.6" x14ac:dyDescent="0.65">
      <c r="A56" s="195"/>
      <c r="B56" s="140">
        <v>53</v>
      </c>
      <c r="C56" s="2"/>
      <c r="D56" s="1"/>
      <c r="E56" s="3"/>
      <c r="F56" s="1"/>
      <c r="G56" s="141">
        <f>IF(Basic345678910111213141516171819[[#This Row],[نوع الخدمة]]="مخالفات", 50,
IF(Basic345678910111213141516171819[[#This Row],[نوع الخدمة]]="كاش ان",
    IF(F56&lt;=100, 18, IF(F56&lt;=250, 23, IF(F56&lt;=500, 35, IF(F56&lt;=1000, 40, F56*0.04)))),
IF(Basic345678910111213141516171819[[#This Row],[نوع الخدمة]]="كاش اوت",
    IF(F56&lt;=100, 15, IF(F56&lt;=250, 20, IF(F56&lt;=500, 30, IF(F56&lt;=1000, 35, F56*0.035)))),
0)))</f>
        <v>0</v>
      </c>
      <c r="H56" s="159">
        <f>IF(I56="مخالفات",50,Basic345678910111213141516171819[[#This Row],[قيمة الرسوم / العموله]]+Basic345678910111213141516171819[[#This Row],[قيمة الشحنه]])</f>
        <v>0</v>
      </c>
      <c r="I56" s="90"/>
      <c r="J56" s="142" t="str">
        <f t="shared" si="0"/>
        <v>14.5.2026</v>
      </c>
      <c r="L56" s="153">
        <v>45</v>
      </c>
      <c r="M56" s="92"/>
    </row>
    <row r="57" spans="1:13" ht="21.6" x14ac:dyDescent="0.65">
      <c r="A57" s="195"/>
      <c r="B57" s="144">
        <v>54</v>
      </c>
      <c r="C57" s="2"/>
      <c r="D57" s="1"/>
      <c r="E57" s="3"/>
      <c r="F57" s="1"/>
      <c r="G57" s="141">
        <f>IF(Basic345678910111213141516171819[[#This Row],[نوع الخدمة]]="مخالفات", 50,
IF(Basic345678910111213141516171819[[#This Row],[نوع الخدمة]]="كاش ان",
    IF(F57&lt;=100, 18, IF(F57&lt;=250, 23, IF(F57&lt;=500, 35, IF(F57&lt;=1000, 40, F57*0.04)))),
IF(Basic345678910111213141516171819[[#This Row],[نوع الخدمة]]="كاش اوت",
    IF(F57&lt;=100, 15, IF(F57&lt;=250, 20, IF(F57&lt;=500, 30, IF(F57&lt;=1000, 35, F57*0.035)))),
0)))</f>
        <v>0</v>
      </c>
      <c r="H57" s="159">
        <f>IF(I57="مخالفات",50,Basic345678910111213141516171819[[#This Row],[قيمة الرسوم / العموله]]+Basic345678910111213141516171819[[#This Row],[قيمة الشحنه]])</f>
        <v>0</v>
      </c>
      <c r="I57" s="90"/>
      <c r="J57" s="142" t="str">
        <f t="shared" si="0"/>
        <v>14.5.2026</v>
      </c>
      <c r="L57" s="153">
        <v>46</v>
      </c>
      <c r="M57" s="92"/>
    </row>
    <row r="58" spans="1:13" ht="21.6" x14ac:dyDescent="0.65">
      <c r="A58" s="195"/>
      <c r="B58" s="140">
        <v>55</v>
      </c>
      <c r="C58" s="2"/>
      <c r="D58" s="1"/>
      <c r="E58" s="3"/>
      <c r="F58" s="1"/>
      <c r="G58" s="141">
        <f>IF(Basic345678910111213141516171819[[#This Row],[نوع الخدمة]]="مخالفات", 50,
IF(Basic345678910111213141516171819[[#This Row],[نوع الخدمة]]="كاش ان",
    IF(F58&lt;=100, 18, IF(F58&lt;=250, 23, IF(F58&lt;=500, 35, IF(F58&lt;=1000, 40, F58*0.04)))),
IF(Basic345678910111213141516171819[[#This Row],[نوع الخدمة]]="كاش اوت",
    IF(F58&lt;=100, 15, IF(F58&lt;=250, 20, IF(F58&lt;=500, 30, IF(F58&lt;=1000, 35, F58*0.035)))),
0)))</f>
        <v>0</v>
      </c>
      <c r="H58" s="159">
        <f>IF(I58="مخالفات",50,Basic345678910111213141516171819[[#This Row],[قيمة الرسوم / العموله]]+Basic345678910111213141516171819[[#This Row],[قيمة الشحنه]])</f>
        <v>0</v>
      </c>
      <c r="I58" s="90"/>
      <c r="J58" s="142" t="str">
        <f t="shared" si="0"/>
        <v>14.5.2026</v>
      </c>
      <c r="L58" s="153">
        <v>47</v>
      </c>
      <c r="M58" s="92"/>
    </row>
    <row r="59" spans="1:13" ht="21.6" x14ac:dyDescent="0.65">
      <c r="A59" s="195"/>
      <c r="B59" s="140">
        <v>56</v>
      </c>
      <c r="C59" s="2"/>
      <c r="D59" s="1"/>
      <c r="E59" s="3"/>
      <c r="F59" s="1"/>
      <c r="G59" s="141">
        <f>IF(Basic345678910111213141516171819[[#This Row],[نوع الخدمة]]="مخالفات", 50,
IF(Basic345678910111213141516171819[[#This Row],[نوع الخدمة]]="كاش ان",
    IF(F59&lt;=100, 18, IF(F59&lt;=250, 23, IF(F59&lt;=500, 35, IF(F59&lt;=1000, 40, F59*0.04)))),
IF(Basic345678910111213141516171819[[#This Row],[نوع الخدمة]]="كاش اوت",
    IF(F59&lt;=100, 15, IF(F59&lt;=250, 20, IF(F59&lt;=500, 30, IF(F59&lt;=1000, 35, F59*0.035)))),
0)))</f>
        <v>0</v>
      </c>
      <c r="H59" s="159">
        <f>IF(I59="مخالفات",50,Basic345678910111213141516171819[[#This Row],[قيمة الرسوم / العموله]]+Basic345678910111213141516171819[[#This Row],[قيمة الشحنه]])</f>
        <v>0</v>
      </c>
      <c r="I59" s="90"/>
      <c r="J59" s="142" t="str">
        <f t="shared" si="0"/>
        <v>14.5.2026</v>
      </c>
      <c r="L59" s="153">
        <v>48</v>
      </c>
      <c r="M59" s="92"/>
    </row>
    <row r="60" spans="1:13" ht="21.6" x14ac:dyDescent="0.65">
      <c r="A60" s="195"/>
      <c r="B60" s="140">
        <v>57</v>
      </c>
      <c r="C60" s="2"/>
      <c r="D60" s="1"/>
      <c r="E60" s="3"/>
      <c r="F60" s="1"/>
      <c r="G60" s="141">
        <f>IF(Basic345678910111213141516171819[[#This Row],[نوع الخدمة]]="مخالفات", 50,
IF(Basic345678910111213141516171819[[#This Row],[نوع الخدمة]]="كاش ان",
    IF(F60&lt;=100, 18, IF(F60&lt;=250, 23, IF(F60&lt;=500, 35, IF(F60&lt;=1000, 40, F60*0.04)))),
IF(Basic345678910111213141516171819[[#This Row],[نوع الخدمة]]="كاش اوت",
    IF(F60&lt;=100, 15, IF(F60&lt;=250, 20, IF(F60&lt;=500, 30, IF(F60&lt;=1000, 35, F60*0.035)))),
0)))</f>
        <v>0</v>
      </c>
      <c r="H60" s="159">
        <f>IF(I60="مخالفات",50,Basic345678910111213141516171819[[#This Row],[قيمة الرسوم / العموله]]+Basic345678910111213141516171819[[#This Row],[قيمة الشحنه]])</f>
        <v>0</v>
      </c>
      <c r="I60" s="90"/>
      <c r="J60" s="142" t="str">
        <f t="shared" si="0"/>
        <v>14.5.2026</v>
      </c>
      <c r="L60" s="153">
        <v>49</v>
      </c>
      <c r="M60" s="92"/>
    </row>
    <row r="61" spans="1:13" ht="21.6" x14ac:dyDescent="0.65">
      <c r="A61" s="195"/>
      <c r="B61" s="144">
        <v>58</v>
      </c>
      <c r="C61" s="2"/>
      <c r="D61" s="1"/>
      <c r="E61" s="3"/>
      <c r="F61" s="1"/>
      <c r="G61" s="141">
        <f>IF(Basic345678910111213141516171819[[#This Row],[نوع الخدمة]]="مخالفات", 50,
IF(Basic345678910111213141516171819[[#This Row],[نوع الخدمة]]="كاش ان",
    IF(F61&lt;=100, 18, IF(F61&lt;=250, 23, IF(F61&lt;=500, 35, IF(F61&lt;=1000, 40, F61*0.04)))),
IF(Basic345678910111213141516171819[[#This Row],[نوع الخدمة]]="كاش اوت",
    IF(F61&lt;=100, 15, IF(F61&lt;=250, 20, IF(F61&lt;=500, 30, IF(F61&lt;=1000, 35, F61*0.035)))),
0)))</f>
        <v>0</v>
      </c>
      <c r="H61" s="159">
        <f>IF(I61="مخالفات",50,Basic345678910111213141516171819[[#This Row],[قيمة الرسوم / العموله]]+Basic345678910111213141516171819[[#This Row],[قيمة الشحنه]])</f>
        <v>0</v>
      </c>
      <c r="I61" s="90"/>
      <c r="J61" s="142" t="str">
        <f t="shared" si="0"/>
        <v>14.5.2026</v>
      </c>
      <c r="L61" s="153">
        <v>50</v>
      </c>
      <c r="M61" s="92"/>
    </row>
    <row r="62" spans="1:13" ht="21.6" x14ac:dyDescent="0.65">
      <c r="A62" s="195"/>
      <c r="B62" s="140">
        <v>59</v>
      </c>
      <c r="C62" s="2"/>
      <c r="D62" s="1"/>
      <c r="E62" s="3"/>
      <c r="F62" s="1"/>
      <c r="G62" s="141">
        <f>IF(Basic345678910111213141516171819[[#This Row],[نوع الخدمة]]="مخالفات", 50,
IF(Basic345678910111213141516171819[[#This Row],[نوع الخدمة]]="كاش ان",
    IF(F62&lt;=100, 18, IF(F62&lt;=250, 23, IF(F62&lt;=500, 35, IF(F62&lt;=1000, 40, F62*0.04)))),
IF(Basic345678910111213141516171819[[#This Row],[نوع الخدمة]]="كاش اوت",
    IF(F62&lt;=100, 15, IF(F62&lt;=250, 20, IF(F62&lt;=500, 30, IF(F62&lt;=1000, 35, F62*0.035)))),
0)))</f>
        <v>0</v>
      </c>
      <c r="H62" s="159">
        <f>IF(I62="مخالفات",50,Basic345678910111213141516171819[[#This Row],[قيمة الرسوم / العموله]]+Basic345678910111213141516171819[[#This Row],[قيمة الشحنه]])</f>
        <v>0</v>
      </c>
      <c r="I62" s="90"/>
      <c r="J62" s="142" t="str">
        <f t="shared" si="0"/>
        <v>14.5.2026</v>
      </c>
      <c r="L62" s="153">
        <v>51</v>
      </c>
      <c r="M62" s="92"/>
    </row>
    <row r="63" spans="1:13" ht="21.6" x14ac:dyDescent="0.65">
      <c r="A63" s="195"/>
      <c r="B63" s="140">
        <v>60</v>
      </c>
      <c r="C63" s="2"/>
      <c r="D63" s="1"/>
      <c r="E63" s="3"/>
      <c r="F63" s="1"/>
      <c r="G63" s="141">
        <f>IF(Basic345678910111213141516171819[[#This Row],[نوع الخدمة]]="مخالفات", 50,
IF(Basic345678910111213141516171819[[#This Row],[نوع الخدمة]]="كاش ان",
    IF(F63&lt;=100, 18, IF(F63&lt;=250, 23, IF(F63&lt;=500, 35, IF(F63&lt;=1000, 40, F63*0.04)))),
IF(Basic345678910111213141516171819[[#This Row],[نوع الخدمة]]="كاش اوت",
    IF(F63&lt;=100, 15, IF(F63&lt;=250, 20, IF(F63&lt;=500, 30, IF(F63&lt;=1000, 35, F63*0.035)))),
0)))</f>
        <v>0</v>
      </c>
      <c r="H63" s="159">
        <f>IF(I63="مخالفات",50,Basic345678910111213141516171819[[#This Row],[قيمة الرسوم / العموله]]+Basic345678910111213141516171819[[#This Row],[قيمة الشحنه]])</f>
        <v>0</v>
      </c>
      <c r="I63" s="90"/>
      <c r="J63" s="142" t="str">
        <f t="shared" si="0"/>
        <v>14.5.2026</v>
      </c>
      <c r="L63" s="153">
        <v>52</v>
      </c>
      <c r="M63" s="92"/>
    </row>
    <row r="64" spans="1:13" ht="21.6" x14ac:dyDescent="0.65">
      <c r="A64" s="195"/>
      <c r="B64" s="140">
        <v>61</v>
      </c>
      <c r="C64" s="2"/>
      <c r="D64" s="1"/>
      <c r="E64" s="3"/>
      <c r="F64" s="1"/>
      <c r="G64" s="141">
        <f>IF(Basic345678910111213141516171819[[#This Row],[نوع الخدمة]]="مخالفات", 50,
IF(Basic345678910111213141516171819[[#This Row],[نوع الخدمة]]="كاش ان",
    IF(F64&lt;=100, 18, IF(F64&lt;=250, 23, IF(F64&lt;=500, 35, IF(F64&lt;=1000, 40, F64*0.04)))),
IF(Basic345678910111213141516171819[[#This Row],[نوع الخدمة]]="كاش اوت",
    IF(F64&lt;=100, 15, IF(F64&lt;=250, 20, IF(F64&lt;=500, 30, IF(F64&lt;=1000, 35, F64*0.035)))),
0)))</f>
        <v>0</v>
      </c>
      <c r="H64" s="159">
        <f>IF(I64="مخالفات",50,Basic345678910111213141516171819[[#This Row],[قيمة الرسوم / العموله]]+Basic345678910111213141516171819[[#This Row],[قيمة الشحنه]])</f>
        <v>0</v>
      </c>
      <c r="I64" s="90"/>
      <c r="J64" s="142" t="str">
        <f t="shared" si="0"/>
        <v>14.5.2026</v>
      </c>
      <c r="L64" s="153">
        <v>53</v>
      </c>
      <c r="M64" s="92"/>
    </row>
    <row r="65" spans="1:13" ht="21.6" x14ac:dyDescent="0.65">
      <c r="A65" s="195"/>
      <c r="B65" s="144">
        <v>62</v>
      </c>
      <c r="C65" s="2"/>
      <c r="D65" s="1"/>
      <c r="E65" s="3"/>
      <c r="F65" s="1"/>
      <c r="G65" s="141">
        <f>IF(Basic345678910111213141516171819[[#This Row],[نوع الخدمة]]="مخالفات", 50,
IF(Basic345678910111213141516171819[[#This Row],[نوع الخدمة]]="كاش ان",
    IF(F65&lt;=100, 18, IF(F65&lt;=250, 23, IF(F65&lt;=500, 35, IF(F65&lt;=1000, 40, F65*0.04)))),
IF(Basic345678910111213141516171819[[#This Row],[نوع الخدمة]]="كاش اوت",
    IF(F65&lt;=100, 15, IF(F65&lt;=250, 20, IF(F65&lt;=500, 30, IF(F65&lt;=1000, 35, F65*0.035)))),
0)))</f>
        <v>0</v>
      </c>
      <c r="H65" s="159">
        <f>IF(I65="مخالفات",50,Basic345678910111213141516171819[[#This Row],[قيمة الرسوم / العموله]]+Basic345678910111213141516171819[[#This Row],[قيمة الشحنه]])</f>
        <v>0</v>
      </c>
      <c r="I65" s="90"/>
      <c r="J65" s="142" t="str">
        <f t="shared" si="0"/>
        <v>14.5.2026</v>
      </c>
      <c r="L65" s="153">
        <v>54</v>
      </c>
      <c r="M65" s="92"/>
    </row>
    <row r="66" spans="1:13" ht="21.6" x14ac:dyDescent="0.65">
      <c r="A66" s="195"/>
      <c r="B66" s="140">
        <v>63</v>
      </c>
      <c r="C66" s="2"/>
      <c r="D66" s="1"/>
      <c r="E66" s="3"/>
      <c r="F66" s="1"/>
      <c r="G66" s="141">
        <f>IF(Basic345678910111213141516171819[[#This Row],[نوع الخدمة]]="مخالفات", 50,
IF(Basic345678910111213141516171819[[#This Row],[نوع الخدمة]]="كاش ان",
    IF(F66&lt;=100, 18, IF(F66&lt;=250, 23, IF(F66&lt;=500, 35, IF(F66&lt;=1000, 40, F66*0.04)))),
IF(Basic345678910111213141516171819[[#This Row],[نوع الخدمة]]="كاش اوت",
    IF(F66&lt;=100, 15, IF(F66&lt;=250, 20, IF(F66&lt;=500, 30, IF(F66&lt;=1000, 35, F66*0.035)))),
0)))</f>
        <v>0</v>
      </c>
      <c r="H66" s="159">
        <f>IF(I66="مخالفات",50,Basic345678910111213141516171819[[#This Row],[قيمة الرسوم / العموله]]+Basic345678910111213141516171819[[#This Row],[قيمة الشحنه]])</f>
        <v>0</v>
      </c>
      <c r="I66" s="90"/>
      <c r="J66" s="142" t="str">
        <f t="shared" si="0"/>
        <v>14.5.2026</v>
      </c>
      <c r="L66" s="153">
        <v>55</v>
      </c>
      <c r="M66" s="92"/>
    </row>
    <row r="67" spans="1:13" ht="21.6" x14ac:dyDescent="0.65">
      <c r="A67" s="195"/>
      <c r="B67" s="140">
        <v>64</v>
      </c>
      <c r="C67" s="2"/>
      <c r="D67" s="1"/>
      <c r="E67" s="3"/>
      <c r="F67" s="1"/>
      <c r="G67" s="141">
        <f>IF(Basic345678910111213141516171819[[#This Row],[نوع الخدمة]]="مخالفات", 50,
IF(Basic345678910111213141516171819[[#This Row],[نوع الخدمة]]="كاش ان",
    IF(F67&lt;=100, 18, IF(F67&lt;=250, 23, IF(F67&lt;=500, 35, IF(F67&lt;=1000, 40, F67*0.04)))),
IF(Basic345678910111213141516171819[[#This Row],[نوع الخدمة]]="كاش اوت",
    IF(F67&lt;=100, 15, IF(F67&lt;=250, 20, IF(F67&lt;=500, 30, IF(F67&lt;=1000, 35, F67*0.035)))),
0)))</f>
        <v>0</v>
      </c>
      <c r="H67" s="159">
        <f>IF(I67="مخالفات",50,Basic345678910111213141516171819[[#This Row],[قيمة الرسوم / العموله]]+Basic345678910111213141516171819[[#This Row],[قيمة الشحنه]])</f>
        <v>0</v>
      </c>
      <c r="I67" s="90"/>
      <c r="J67" s="142" t="str">
        <f t="shared" si="0"/>
        <v>14.5.2026</v>
      </c>
      <c r="L67" s="153">
        <v>56</v>
      </c>
      <c r="M67" s="92"/>
    </row>
    <row r="68" spans="1:13" ht="21.6" x14ac:dyDescent="0.65">
      <c r="A68" s="195"/>
      <c r="B68" s="140">
        <v>65</v>
      </c>
      <c r="C68" s="2"/>
      <c r="D68" s="1"/>
      <c r="E68" s="3"/>
      <c r="F68" s="1"/>
      <c r="G68" s="141">
        <f>IF(Basic345678910111213141516171819[[#This Row],[نوع الخدمة]]="مخالفات", 50,
IF(Basic345678910111213141516171819[[#This Row],[نوع الخدمة]]="كاش ان",
    IF(F68&lt;=100, 18, IF(F68&lt;=250, 23, IF(F68&lt;=500, 35, IF(F68&lt;=1000, 40, F68*0.04)))),
IF(Basic345678910111213141516171819[[#This Row],[نوع الخدمة]]="كاش اوت",
    IF(F68&lt;=100, 15, IF(F68&lt;=250, 20, IF(F68&lt;=500, 30, IF(F68&lt;=1000, 35, F68*0.035)))),
0)))</f>
        <v>0</v>
      </c>
      <c r="H68" s="159">
        <f>IF(I68="مخالفات",50,Basic345678910111213141516171819[[#This Row],[قيمة الرسوم / العموله]]+Basic345678910111213141516171819[[#This Row],[قيمة الشحنه]])</f>
        <v>0</v>
      </c>
      <c r="I68" s="90"/>
      <c r="J68" s="142" t="str">
        <f t="shared" ref="J68:J131" si="1">M$3</f>
        <v>14.5.2026</v>
      </c>
      <c r="L68" s="153">
        <v>57</v>
      </c>
      <c r="M68" s="92"/>
    </row>
    <row r="69" spans="1:13" ht="21.6" x14ac:dyDescent="0.65">
      <c r="A69" s="195"/>
      <c r="B69" s="144">
        <v>66</v>
      </c>
      <c r="C69" s="2"/>
      <c r="D69" s="1"/>
      <c r="E69" s="3"/>
      <c r="F69" s="1"/>
      <c r="G69" s="141">
        <f>IF(Basic345678910111213141516171819[[#This Row],[نوع الخدمة]]="مخالفات", 50,
IF(Basic345678910111213141516171819[[#This Row],[نوع الخدمة]]="كاش ان",
    IF(F69&lt;=100, 18, IF(F69&lt;=250, 23, IF(F69&lt;=500, 35, IF(F69&lt;=1000, 40, F69*0.04)))),
IF(Basic345678910111213141516171819[[#This Row],[نوع الخدمة]]="كاش اوت",
    IF(F69&lt;=100, 15, IF(F69&lt;=250, 20, IF(F69&lt;=500, 30, IF(F69&lt;=1000, 35, F69*0.035)))),
0)))</f>
        <v>0</v>
      </c>
      <c r="H69" s="159">
        <f>IF(I69="مخالفات",50,Basic345678910111213141516171819[[#This Row],[قيمة الرسوم / العموله]]+Basic345678910111213141516171819[[#This Row],[قيمة الشحنه]])</f>
        <v>0</v>
      </c>
      <c r="I69" s="90"/>
      <c r="J69" s="142" t="str">
        <f t="shared" si="1"/>
        <v>14.5.2026</v>
      </c>
      <c r="L69" s="153">
        <v>58</v>
      </c>
      <c r="M69" s="92"/>
    </row>
    <row r="70" spans="1:13" ht="21.6" x14ac:dyDescent="0.65">
      <c r="A70" s="195"/>
      <c r="B70" s="140">
        <v>67</v>
      </c>
      <c r="C70" s="2"/>
      <c r="D70" s="1"/>
      <c r="E70" s="3"/>
      <c r="F70" s="1"/>
      <c r="G70" s="141">
        <f>IF(Basic345678910111213141516171819[[#This Row],[نوع الخدمة]]="مخالفات", 50,
IF(Basic345678910111213141516171819[[#This Row],[نوع الخدمة]]="كاش ان",
    IF(F70&lt;=100, 18, IF(F70&lt;=250, 23, IF(F70&lt;=500, 35, IF(F70&lt;=1000, 40, F70*0.04)))),
IF(Basic345678910111213141516171819[[#This Row],[نوع الخدمة]]="كاش اوت",
    IF(F70&lt;=100, 15, IF(F70&lt;=250, 20, IF(F70&lt;=500, 30, IF(F70&lt;=1000, 35, F70*0.035)))),
0)))</f>
        <v>0</v>
      </c>
      <c r="H70" s="159">
        <f>IF(I70="مخالفات",50,Basic345678910111213141516171819[[#This Row],[قيمة الرسوم / العموله]]+Basic345678910111213141516171819[[#This Row],[قيمة الشحنه]])</f>
        <v>0</v>
      </c>
      <c r="I70" s="90"/>
      <c r="J70" s="142" t="str">
        <f t="shared" si="1"/>
        <v>14.5.2026</v>
      </c>
      <c r="L70" s="153">
        <v>59</v>
      </c>
      <c r="M70" s="92"/>
    </row>
    <row r="71" spans="1:13" ht="21.6" x14ac:dyDescent="0.65">
      <c r="A71" s="195"/>
      <c r="B71" s="140">
        <v>68</v>
      </c>
      <c r="C71" s="2"/>
      <c r="D71" s="1"/>
      <c r="E71" s="3"/>
      <c r="F71" s="1"/>
      <c r="G71" s="141">
        <f>IF(Basic345678910111213141516171819[[#This Row],[نوع الخدمة]]="مخالفات", 50,
IF(Basic345678910111213141516171819[[#This Row],[نوع الخدمة]]="كاش ان",
    IF(F71&lt;=100, 18, IF(F71&lt;=250, 23, IF(F71&lt;=500, 35, IF(F71&lt;=1000, 40, F71*0.04)))),
IF(Basic345678910111213141516171819[[#This Row],[نوع الخدمة]]="كاش اوت",
    IF(F71&lt;=100, 15, IF(F71&lt;=250, 20, IF(F71&lt;=500, 30, IF(F71&lt;=1000, 35, F71*0.035)))),
0)))</f>
        <v>0</v>
      </c>
      <c r="H71" s="159">
        <f>IF(I71="مخالفات",50,Basic345678910111213141516171819[[#This Row],[قيمة الرسوم / العموله]]+Basic345678910111213141516171819[[#This Row],[قيمة الشحنه]])</f>
        <v>0</v>
      </c>
      <c r="I71" s="90"/>
      <c r="J71" s="142" t="str">
        <f t="shared" si="1"/>
        <v>14.5.2026</v>
      </c>
      <c r="L71" s="153">
        <v>60</v>
      </c>
      <c r="M71" s="92"/>
    </row>
    <row r="72" spans="1:13" ht="21.6" x14ac:dyDescent="0.65">
      <c r="A72" s="195"/>
      <c r="B72" s="140">
        <v>69</v>
      </c>
      <c r="C72" s="2"/>
      <c r="D72" s="1"/>
      <c r="E72" s="3"/>
      <c r="F72" s="1"/>
      <c r="G72" s="141">
        <f>IF(Basic345678910111213141516171819[[#This Row],[نوع الخدمة]]="مخالفات", 50,
IF(Basic345678910111213141516171819[[#This Row],[نوع الخدمة]]="كاش ان",
    IF(F72&lt;=100, 18, IF(F72&lt;=250, 23, IF(F72&lt;=500, 35, IF(F72&lt;=1000, 40, F72*0.04)))),
IF(Basic345678910111213141516171819[[#This Row],[نوع الخدمة]]="كاش اوت",
    IF(F72&lt;=100, 15, IF(F72&lt;=250, 20, IF(F72&lt;=500, 30, IF(F72&lt;=1000, 35, F72*0.035)))),
0)))</f>
        <v>0</v>
      </c>
      <c r="H72" s="159">
        <f>IF(I72="مخالفات",50,Basic345678910111213141516171819[[#This Row],[قيمة الرسوم / العموله]]+Basic345678910111213141516171819[[#This Row],[قيمة الشحنه]])</f>
        <v>0</v>
      </c>
      <c r="I72" s="90"/>
      <c r="J72" s="142" t="str">
        <f t="shared" si="1"/>
        <v>14.5.2026</v>
      </c>
      <c r="L72" s="153">
        <v>61</v>
      </c>
      <c r="M72" s="92"/>
    </row>
    <row r="73" spans="1:13" ht="21.6" x14ac:dyDescent="0.65">
      <c r="A73" s="195"/>
      <c r="B73" s="144">
        <v>70</v>
      </c>
      <c r="C73" s="2"/>
      <c r="D73" s="1"/>
      <c r="E73" s="3"/>
      <c r="F73" s="1"/>
      <c r="G73" s="141">
        <f>IF(Basic345678910111213141516171819[[#This Row],[نوع الخدمة]]="مخالفات", 50,
IF(Basic345678910111213141516171819[[#This Row],[نوع الخدمة]]="كاش ان",
    IF(F73&lt;=100, 18, IF(F73&lt;=250, 23, IF(F73&lt;=500, 35, IF(F73&lt;=1000, 40, F73*0.04)))),
IF(Basic345678910111213141516171819[[#This Row],[نوع الخدمة]]="كاش اوت",
    IF(F73&lt;=100, 15, IF(F73&lt;=250, 20, IF(F73&lt;=500, 30, IF(F73&lt;=1000, 35, F73*0.035)))),
0)))</f>
        <v>0</v>
      </c>
      <c r="H73" s="159">
        <f>IF(I73="مخالفات",50,Basic345678910111213141516171819[[#This Row],[قيمة الرسوم / العموله]]+Basic345678910111213141516171819[[#This Row],[قيمة الشحنه]])</f>
        <v>0</v>
      </c>
      <c r="I73" s="90"/>
      <c r="J73" s="142" t="str">
        <f t="shared" si="1"/>
        <v>14.5.2026</v>
      </c>
      <c r="L73" s="153">
        <v>62</v>
      </c>
      <c r="M73" s="92"/>
    </row>
    <row r="74" spans="1:13" ht="21.6" x14ac:dyDescent="0.65">
      <c r="A74" s="195"/>
      <c r="B74" s="140">
        <v>71</v>
      </c>
      <c r="C74" s="2"/>
      <c r="D74" s="1"/>
      <c r="E74" s="3"/>
      <c r="F74" s="1"/>
      <c r="G74" s="141">
        <f>IF(Basic345678910111213141516171819[[#This Row],[نوع الخدمة]]="مخالفات", 50,
IF(Basic345678910111213141516171819[[#This Row],[نوع الخدمة]]="كاش ان",
    IF(F74&lt;=100, 18, IF(F74&lt;=250, 23, IF(F74&lt;=500, 35, IF(F74&lt;=1000, 40, F74*0.04)))),
IF(Basic345678910111213141516171819[[#This Row],[نوع الخدمة]]="كاش اوت",
    IF(F74&lt;=100, 15, IF(F74&lt;=250, 20, IF(F74&lt;=500, 30, IF(F74&lt;=1000, 35, F74*0.035)))),
0)))</f>
        <v>0</v>
      </c>
      <c r="H74" s="159">
        <f>IF(I74="مخالفات",50,Basic345678910111213141516171819[[#This Row],[قيمة الرسوم / العموله]]+Basic345678910111213141516171819[[#This Row],[قيمة الشحنه]])</f>
        <v>0</v>
      </c>
      <c r="I74" s="90"/>
      <c r="J74" s="142" t="str">
        <f t="shared" si="1"/>
        <v>14.5.2026</v>
      </c>
      <c r="L74" s="153">
        <v>63</v>
      </c>
      <c r="M74" s="92"/>
    </row>
    <row r="75" spans="1:13" ht="21.6" x14ac:dyDescent="0.65">
      <c r="A75" s="195"/>
      <c r="B75" s="140">
        <v>72</v>
      </c>
      <c r="C75" s="2"/>
      <c r="D75" s="1"/>
      <c r="E75" s="3"/>
      <c r="F75" s="1"/>
      <c r="G75" s="141">
        <f>IF(Basic345678910111213141516171819[[#This Row],[نوع الخدمة]]="مخالفات", 50,
IF(Basic345678910111213141516171819[[#This Row],[نوع الخدمة]]="كاش ان",
    IF(F75&lt;=100, 18, IF(F75&lt;=250, 23, IF(F75&lt;=500, 35, IF(F75&lt;=1000, 40, F75*0.04)))),
IF(Basic345678910111213141516171819[[#This Row],[نوع الخدمة]]="كاش اوت",
    IF(F75&lt;=100, 15, IF(F75&lt;=250, 20, IF(F75&lt;=500, 30, IF(F75&lt;=1000, 35, F75*0.035)))),
0)))</f>
        <v>0</v>
      </c>
      <c r="H75" s="159">
        <f>IF(I75="مخالفات",50,Basic345678910111213141516171819[[#This Row],[قيمة الرسوم / العموله]]+Basic345678910111213141516171819[[#This Row],[قيمة الشحنه]])</f>
        <v>0</v>
      </c>
      <c r="I75" s="90"/>
      <c r="J75" s="142" t="str">
        <f t="shared" si="1"/>
        <v>14.5.2026</v>
      </c>
      <c r="L75" s="153">
        <v>64</v>
      </c>
      <c r="M75" s="92"/>
    </row>
    <row r="76" spans="1:13" ht="21.6" x14ac:dyDescent="0.65">
      <c r="A76" s="195"/>
      <c r="B76" s="140">
        <v>73</v>
      </c>
      <c r="C76" s="2"/>
      <c r="D76" s="1"/>
      <c r="E76" s="3"/>
      <c r="F76" s="1"/>
      <c r="G76" s="141">
        <f>IF(Basic345678910111213141516171819[[#This Row],[نوع الخدمة]]="مخالفات", 50,
IF(Basic345678910111213141516171819[[#This Row],[نوع الخدمة]]="كاش ان",
    IF(F76&lt;=100, 18, IF(F76&lt;=250, 23, IF(F76&lt;=500, 35, IF(F76&lt;=1000, 40, F76*0.04)))),
IF(Basic345678910111213141516171819[[#This Row],[نوع الخدمة]]="كاش اوت",
    IF(F76&lt;=100, 15, IF(F76&lt;=250, 20, IF(F76&lt;=500, 30, IF(F76&lt;=1000, 35, F76*0.035)))),
0)))</f>
        <v>0</v>
      </c>
      <c r="H76" s="159">
        <f>IF(I76="مخالفات",50,Basic345678910111213141516171819[[#This Row],[قيمة الرسوم / العموله]]+Basic345678910111213141516171819[[#This Row],[قيمة الشحنه]])</f>
        <v>0</v>
      </c>
      <c r="I76" s="90"/>
      <c r="J76" s="142" t="str">
        <f t="shared" si="1"/>
        <v>14.5.2026</v>
      </c>
      <c r="L76" s="153">
        <v>65</v>
      </c>
      <c r="M76" s="92"/>
    </row>
    <row r="77" spans="1:13" ht="21.6" x14ac:dyDescent="0.65">
      <c r="A77" s="195"/>
      <c r="B77" s="144">
        <v>74</v>
      </c>
      <c r="C77" s="2"/>
      <c r="D77" s="1"/>
      <c r="E77" s="3"/>
      <c r="F77" s="1"/>
      <c r="G77" s="141">
        <f>IF(Basic345678910111213141516171819[[#This Row],[نوع الخدمة]]="مخالفات", 50,
IF(Basic345678910111213141516171819[[#This Row],[نوع الخدمة]]="كاش ان",
    IF(F77&lt;=100, 18, IF(F77&lt;=250, 23, IF(F77&lt;=500, 35, IF(F77&lt;=1000, 40, F77*0.04)))),
IF(Basic345678910111213141516171819[[#This Row],[نوع الخدمة]]="كاش اوت",
    IF(F77&lt;=100, 15, IF(F77&lt;=250, 20, IF(F77&lt;=500, 30, IF(F77&lt;=1000, 35, F77*0.035)))),
0)))</f>
        <v>0</v>
      </c>
      <c r="H77" s="159">
        <f>IF(I77="مخالفات",50,Basic345678910111213141516171819[[#This Row],[قيمة الرسوم / العموله]]+Basic345678910111213141516171819[[#This Row],[قيمة الشحنه]])</f>
        <v>0</v>
      </c>
      <c r="I77" s="90"/>
      <c r="J77" s="142" t="str">
        <f t="shared" si="1"/>
        <v>14.5.2026</v>
      </c>
      <c r="L77" s="153">
        <v>66</v>
      </c>
      <c r="M77" s="92"/>
    </row>
    <row r="78" spans="1:13" ht="21.6" x14ac:dyDescent="0.65">
      <c r="A78" s="195"/>
      <c r="B78" s="140">
        <v>75</v>
      </c>
      <c r="C78" s="2"/>
      <c r="D78" s="1"/>
      <c r="E78" s="3"/>
      <c r="F78" s="1"/>
      <c r="G78" s="141">
        <f>IF(Basic345678910111213141516171819[[#This Row],[نوع الخدمة]]="مخالفات", 50,
IF(Basic345678910111213141516171819[[#This Row],[نوع الخدمة]]="كاش ان",
    IF(F78&lt;=100, 18, IF(F78&lt;=250, 23, IF(F78&lt;=500, 35, IF(F78&lt;=1000, 40, F78*0.04)))),
IF(Basic345678910111213141516171819[[#This Row],[نوع الخدمة]]="كاش اوت",
    IF(F78&lt;=100, 15, IF(F78&lt;=250, 20, IF(F78&lt;=500, 30, IF(F78&lt;=1000, 35, F78*0.035)))),
0)))</f>
        <v>0</v>
      </c>
      <c r="H78" s="159">
        <f>IF(I78="مخالفات",50,Basic345678910111213141516171819[[#This Row],[قيمة الرسوم / العموله]]+Basic345678910111213141516171819[[#This Row],[قيمة الشحنه]])</f>
        <v>0</v>
      </c>
      <c r="I78" s="90"/>
      <c r="J78" s="142" t="str">
        <f t="shared" si="1"/>
        <v>14.5.2026</v>
      </c>
      <c r="L78" s="153">
        <v>67</v>
      </c>
      <c r="M78" s="92"/>
    </row>
    <row r="79" spans="1:13" ht="21.6" x14ac:dyDescent="0.65">
      <c r="A79" s="195"/>
      <c r="B79" s="140">
        <v>76</v>
      </c>
      <c r="C79" s="2"/>
      <c r="D79" s="1"/>
      <c r="E79" s="3"/>
      <c r="F79" s="1"/>
      <c r="G79" s="141">
        <f>IF(Basic345678910111213141516171819[[#This Row],[نوع الخدمة]]="مخالفات", 50,
IF(Basic345678910111213141516171819[[#This Row],[نوع الخدمة]]="كاش ان",
    IF(F79&lt;=100, 18, IF(F79&lt;=250, 23, IF(F79&lt;=500, 35, IF(F79&lt;=1000, 40, F79*0.04)))),
IF(Basic345678910111213141516171819[[#This Row],[نوع الخدمة]]="كاش اوت",
    IF(F79&lt;=100, 15, IF(F79&lt;=250, 20, IF(F79&lt;=500, 30, IF(F79&lt;=1000, 35, F79*0.035)))),
0)))</f>
        <v>0</v>
      </c>
      <c r="H79" s="159">
        <f>IF(I79="مخالفات",50,Basic345678910111213141516171819[[#This Row],[قيمة الرسوم / العموله]]+Basic345678910111213141516171819[[#This Row],[قيمة الشحنه]])</f>
        <v>0</v>
      </c>
      <c r="I79" s="90"/>
      <c r="J79" s="142" t="str">
        <f t="shared" si="1"/>
        <v>14.5.2026</v>
      </c>
      <c r="L79" s="153">
        <v>68</v>
      </c>
      <c r="M79" s="92"/>
    </row>
    <row r="80" spans="1:13" ht="21.6" x14ac:dyDescent="0.65">
      <c r="A80" s="195"/>
      <c r="B80" s="140">
        <v>77</v>
      </c>
      <c r="C80" s="2"/>
      <c r="D80" s="1"/>
      <c r="E80" s="3"/>
      <c r="F80" s="1"/>
      <c r="G80" s="141">
        <f>IF(Basic345678910111213141516171819[[#This Row],[نوع الخدمة]]="مخالفات", 50,
IF(Basic345678910111213141516171819[[#This Row],[نوع الخدمة]]="كاش ان",
    IF(F80&lt;=100, 18, IF(F80&lt;=250, 23, IF(F80&lt;=500, 35, IF(F80&lt;=1000, 40, F80*0.04)))),
IF(Basic345678910111213141516171819[[#This Row],[نوع الخدمة]]="كاش اوت",
    IF(F80&lt;=100, 15, IF(F80&lt;=250, 20, IF(F80&lt;=500, 30, IF(F80&lt;=1000, 35, F80*0.035)))),
0)))</f>
        <v>0</v>
      </c>
      <c r="H80" s="159">
        <f>IF(I80="مخالفات",50,Basic345678910111213141516171819[[#This Row],[قيمة الرسوم / العموله]]+Basic345678910111213141516171819[[#This Row],[قيمة الشحنه]])</f>
        <v>0</v>
      </c>
      <c r="I80" s="90"/>
      <c r="J80" s="142" t="str">
        <f t="shared" si="1"/>
        <v>14.5.2026</v>
      </c>
      <c r="L80" s="153">
        <v>69</v>
      </c>
      <c r="M80" s="92"/>
    </row>
    <row r="81" spans="1:13" ht="21.6" x14ac:dyDescent="0.65">
      <c r="A81" s="195"/>
      <c r="B81" s="144">
        <v>78</v>
      </c>
      <c r="C81" s="2"/>
      <c r="D81" s="1"/>
      <c r="E81" s="3"/>
      <c r="F81" s="1"/>
      <c r="G81" s="141">
        <f>IF(Basic345678910111213141516171819[[#This Row],[نوع الخدمة]]="مخالفات", 50,
IF(Basic345678910111213141516171819[[#This Row],[نوع الخدمة]]="كاش ان",
    IF(F81&lt;=100, 18, IF(F81&lt;=250, 23, IF(F81&lt;=500, 35, IF(F81&lt;=1000, 40, F81*0.04)))),
IF(Basic345678910111213141516171819[[#This Row],[نوع الخدمة]]="كاش اوت",
    IF(F81&lt;=100, 15, IF(F81&lt;=250, 20, IF(F81&lt;=500, 30, IF(F81&lt;=1000, 35, F81*0.035)))),
0)))</f>
        <v>0</v>
      </c>
      <c r="H81" s="159">
        <f>IF(I81="مخالفات",50,Basic345678910111213141516171819[[#This Row],[قيمة الرسوم / العموله]]+Basic345678910111213141516171819[[#This Row],[قيمة الشحنه]])</f>
        <v>0</v>
      </c>
      <c r="I81" s="90"/>
      <c r="J81" s="142" t="str">
        <f t="shared" si="1"/>
        <v>14.5.2026</v>
      </c>
      <c r="L81" s="153">
        <v>70</v>
      </c>
      <c r="M81" s="92"/>
    </row>
    <row r="82" spans="1:13" ht="21.6" x14ac:dyDescent="0.65">
      <c r="A82" s="195"/>
      <c r="B82" s="140">
        <v>79</v>
      </c>
      <c r="C82" s="2"/>
      <c r="D82" s="1"/>
      <c r="E82" s="3"/>
      <c r="F82" s="1"/>
      <c r="G82" s="141">
        <f>IF(Basic345678910111213141516171819[[#This Row],[نوع الخدمة]]="مخالفات", 50,
IF(Basic345678910111213141516171819[[#This Row],[نوع الخدمة]]="كاش ان",
    IF(F82&lt;=100, 18, IF(F82&lt;=250, 23, IF(F82&lt;=500, 35, IF(F82&lt;=1000, 40, F82*0.04)))),
IF(Basic345678910111213141516171819[[#This Row],[نوع الخدمة]]="كاش اوت",
    IF(F82&lt;=100, 15, IF(F82&lt;=250, 20, IF(F82&lt;=500, 30, IF(F82&lt;=1000, 35, F82*0.035)))),
0)))</f>
        <v>0</v>
      </c>
      <c r="H82" s="159">
        <f>IF(I82="مخالفات",50,Basic345678910111213141516171819[[#This Row],[قيمة الرسوم / العموله]]+Basic345678910111213141516171819[[#This Row],[قيمة الشحنه]])</f>
        <v>0</v>
      </c>
      <c r="I82" s="90"/>
      <c r="J82" s="142" t="str">
        <f t="shared" si="1"/>
        <v>14.5.2026</v>
      </c>
      <c r="L82" s="153">
        <v>71</v>
      </c>
      <c r="M82" s="92"/>
    </row>
    <row r="83" spans="1:13" ht="21.6" x14ac:dyDescent="0.65">
      <c r="A83" s="195"/>
      <c r="B83" s="140">
        <v>80</v>
      </c>
      <c r="C83" s="2"/>
      <c r="D83" s="1"/>
      <c r="E83" s="3"/>
      <c r="F83" s="1"/>
      <c r="G83" s="141">
        <f>IF(Basic345678910111213141516171819[[#This Row],[نوع الخدمة]]="مخالفات", 50,
IF(Basic345678910111213141516171819[[#This Row],[نوع الخدمة]]="كاش ان",
    IF(F83&lt;=100, 18, IF(F83&lt;=250, 23, IF(F83&lt;=500, 35, IF(F83&lt;=1000, 40, F83*0.04)))),
IF(Basic345678910111213141516171819[[#This Row],[نوع الخدمة]]="كاش اوت",
    IF(F83&lt;=100, 15, IF(F83&lt;=250, 20, IF(F83&lt;=500, 30, IF(F83&lt;=1000, 35, F83*0.035)))),
0)))</f>
        <v>0</v>
      </c>
      <c r="H83" s="159">
        <f>IF(I83="مخالفات",50,Basic345678910111213141516171819[[#This Row],[قيمة الرسوم / العموله]]+Basic345678910111213141516171819[[#This Row],[قيمة الشحنه]])</f>
        <v>0</v>
      </c>
      <c r="I83" s="90"/>
      <c r="J83" s="142" t="str">
        <f t="shared" si="1"/>
        <v>14.5.2026</v>
      </c>
      <c r="L83" s="153">
        <v>72</v>
      </c>
      <c r="M83" s="92"/>
    </row>
    <row r="84" spans="1:13" ht="21.6" x14ac:dyDescent="0.65">
      <c r="A84" s="195"/>
      <c r="B84" s="140">
        <v>81</v>
      </c>
      <c r="C84" s="2"/>
      <c r="D84" s="1"/>
      <c r="E84" s="3"/>
      <c r="F84" s="1"/>
      <c r="G84" s="141">
        <f>IF(Basic345678910111213141516171819[[#This Row],[نوع الخدمة]]="مخالفات", 50,
IF(Basic345678910111213141516171819[[#This Row],[نوع الخدمة]]="كاش ان",
    IF(F84&lt;=100, 18, IF(F84&lt;=250, 23, IF(F84&lt;=500, 35, IF(F84&lt;=1000, 40, F84*0.04)))),
IF(Basic345678910111213141516171819[[#This Row],[نوع الخدمة]]="كاش اوت",
    IF(F84&lt;=100, 15, IF(F84&lt;=250, 20, IF(F84&lt;=500, 30, IF(F84&lt;=1000, 35, F84*0.035)))),
0)))</f>
        <v>0</v>
      </c>
      <c r="H84" s="159">
        <f>IF(I84="مخالفات",50,Basic345678910111213141516171819[[#This Row],[قيمة الرسوم / العموله]]+Basic345678910111213141516171819[[#This Row],[قيمة الشحنه]])</f>
        <v>0</v>
      </c>
      <c r="I84" s="90"/>
      <c r="J84" s="142" t="str">
        <f t="shared" si="1"/>
        <v>14.5.2026</v>
      </c>
      <c r="L84" s="153">
        <v>73</v>
      </c>
      <c r="M84" s="92"/>
    </row>
    <row r="85" spans="1:13" ht="21.6" x14ac:dyDescent="0.65">
      <c r="A85" s="195"/>
      <c r="B85" s="144">
        <v>82</v>
      </c>
      <c r="C85" s="2"/>
      <c r="D85" s="1"/>
      <c r="E85" s="3"/>
      <c r="F85" s="1"/>
      <c r="G85" s="141">
        <f>IF(Basic345678910111213141516171819[[#This Row],[نوع الخدمة]]="مخالفات", 50,
IF(Basic345678910111213141516171819[[#This Row],[نوع الخدمة]]="كاش ان",
    IF(F85&lt;=100, 18, IF(F85&lt;=250, 23, IF(F85&lt;=500, 35, IF(F85&lt;=1000, 40, F85*0.04)))),
IF(Basic345678910111213141516171819[[#This Row],[نوع الخدمة]]="كاش اوت",
    IF(F85&lt;=100, 15, IF(F85&lt;=250, 20, IF(F85&lt;=500, 30, IF(F85&lt;=1000, 35, F85*0.035)))),
0)))</f>
        <v>0</v>
      </c>
      <c r="H85" s="159">
        <f>IF(I85="مخالفات",50,Basic345678910111213141516171819[[#This Row],[قيمة الرسوم / العموله]]+Basic345678910111213141516171819[[#This Row],[قيمة الشحنه]])</f>
        <v>0</v>
      </c>
      <c r="I85" s="90"/>
      <c r="J85" s="142" t="str">
        <f t="shared" si="1"/>
        <v>14.5.2026</v>
      </c>
      <c r="L85" s="153">
        <v>74</v>
      </c>
      <c r="M85" s="92"/>
    </row>
    <row r="86" spans="1:13" ht="21.6" x14ac:dyDescent="0.65">
      <c r="A86" s="195"/>
      <c r="B86" s="140">
        <v>83</v>
      </c>
      <c r="C86" s="2"/>
      <c r="D86" s="1"/>
      <c r="E86" s="3"/>
      <c r="F86" s="1"/>
      <c r="G86" s="141">
        <f>IF(Basic345678910111213141516171819[[#This Row],[نوع الخدمة]]="مخالفات", 50,
IF(Basic345678910111213141516171819[[#This Row],[نوع الخدمة]]="كاش ان",
    IF(F86&lt;=100, 18, IF(F86&lt;=250, 23, IF(F86&lt;=500, 35, IF(F86&lt;=1000, 40, F86*0.04)))),
IF(Basic345678910111213141516171819[[#This Row],[نوع الخدمة]]="كاش اوت",
    IF(F86&lt;=100, 15, IF(F86&lt;=250, 20, IF(F86&lt;=500, 30, IF(F86&lt;=1000, 35, F86*0.035)))),
0)))</f>
        <v>0</v>
      </c>
      <c r="H86" s="159">
        <f>IF(I86="مخالفات",50,Basic345678910111213141516171819[[#This Row],[قيمة الرسوم / العموله]]+Basic345678910111213141516171819[[#This Row],[قيمة الشحنه]])</f>
        <v>0</v>
      </c>
      <c r="I86" s="90"/>
      <c r="J86" s="142" t="str">
        <f t="shared" si="1"/>
        <v>14.5.2026</v>
      </c>
      <c r="L86" s="153">
        <v>75</v>
      </c>
      <c r="M86" s="92"/>
    </row>
    <row r="87" spans="1:13" ht="21.6" x14ac:dyDescent="0.65">
      <c r="A87" s="195"/>
      <c r="B87" s="140">
        <v>84</v>
      </c>
      <c r="C87" s="2"/>
      <c r="D87" s="1"/>
      <c r="E87" s="3"/>
      <c r="F87" s="1"/>
      <c r="G87" s="141">
        <f>IF(Basic345678910111213141516171819[[#This Row],[نوع الخدمة]]="مخالفات", 50,
IF(Basic345678910111213141516171819[[#This Row],[نوع الخدمة]]="كاش ان",
    IF(F87&lt;=100, 18, IF(F87&lt;=250, 23, IF(F87&lt;=500, 35, IF(F87&lt;=1000, 40, F87*0.04)))),
IF(Basic345678910111213141516171819[[#This Row],[نوع الخدمة]]="كاش اوت",
    IF(F87&lt;=100, 15, IF(F87&lt;=250, 20, IF(F87&lt;=500, 30, IF(F87&lt;=1000, 35, F87*0.035)))),
0)))</f>
        <v>0</v>
      </c>
      <c r="H87" s="159">
        <f>IF(I87="مخالفات",50,Basic345678910111213141516171819[[#This Row],[قيمة الرسوم / العموله]]+Basic345678910111213141516171819[[#This Row],[قيمة الشحنه]])</f>
        <v>0</v>
      </c>
      <c r="I87" s="90"/>
      <c r="J87" s="142" t="str">
        <f t="shared" si="1"/>
        <v>14.5.2026</v>
      </c>
      <c r="L87" s="153">
        <v>76</v>
      </c>
      <c r="M87" s="92"/>
    </row>
    <row r="88" spans="1:13" ht="21.6" x14ac:dyDescent="0.65">
      <c r="A88" s="195"/>
      <c r="B88" s="140">
        <v>85</v>
      </c>
      <c r="C88" s="2"/>
      <c r="D88" s="1"/>
      <c r="E88" s="3"/>
      <c r="F88" s="1"/>
      <c r="G88" s="141">
        <f>IF(Basic345678910111213141516171819[[#This Row],[نوع الخدمة]]="مخالفات", 50,
IF(Basic345678910111213141516171819[[#This Row],[نوع الخدمة]]="كاش ان",
    IF(F88&lt;=100, 18, IF(F88&lt;=250, 23, IF(F88&lt;=500, 35, IF(F88&lt;=1000, 40, F88*0.04)))),
IF(Basic345678910111213141516171819[[#This Row],[نوع الخدمة]]="كاش اوت",
    IF(F88&lt;=100, 15, IF(F88&lt;=250, 20, IF(F88&lt;=500, 30, IF(F88&lt;=1000, 35, F88*0.035)))),
0)))</f>
        <v>0</v>
      </c>
      <c r="H88" s="159">
        <f>IF(I88="مخالفات",50,Basic345678910111213141516171819[[#This Row],[قيمة الرسوم / العموله]]+Basic345678910111213141516171819[[#This Row],[قيمة الشحنه]])</f>
        <v>0</v>
      </c>
      <c r="I88" s="90"/>
      <c r="J88" s="142" t="str">
        <f t="shared" si="1"/>
        <v>14.5.2026</v>
      </c>
      <c r="L88" s="153">
        <v>77</v>
      </c>
      <c r="M88" s="92"/>
    </row>
    <row r="89" spans="1:13" ht="21.6" x14ac:dyDescent="0.65">
      <c r="A89" s="195"/>
      <c r="B89" s="144">
        <v>86</v>
      </c>
      <c r="C89" s="2"/>
      <c r="D89" s="1"/>
      <c r="E89" s="3"/>
      <c r="F89" s="1"/>
      <c r="G89" s="141">
        <f>IF(Basic345678910111213141516171819[[#This Row],[نوع الخدمة]]="مخالفات", 50,
IF(Basic345678910111213141516171819[[#This Row],[نوع الخدمة]]="كاش ان",
    IF(F89&lt;=100, 18, IF(F89&lt;=250, 23, IF(F89&lt;=500, 35, IF(F89&lt;=1000, 40, F89*0.04)))),
IF(Basic345678910111213141516171819[[#This Row],[نوع الخدمة]]="كاش اوت",
    IF(F89&lt;=100, 15, IF(F89&lt;=250, 20, IF(F89&lt;=500, 30, IF(F89&lt;=1000, 35, F89*0.035)))),
0)))</f>
        <v>0</v>
      </c>
      <c r="H89" s="159">
        <f>IF(I89="مخالفات",50,Basic345678910111213141516171819[[#This Row],[قيمة الرسوم / العموله]]+Basic345678910111213141516171819[[#This Row],[قيمة الشحنه]])</f>
        <v>0</v>
      </c>
      <c r="I89" s="90"/>
      <c r="J89" s="142" t="str">
        <f t="shared" si="1"/>
        <v>14.5.2026</v>
      </c>
      <c r="L89" s="153">
        <v>78</v>
      </c>
      <c r="M89" s="92"/>
    </row>
    <row r="90" spans="1:13" ht="21.6" x14ac:dyDescent="0.65">
      <c r="A90" s="195"/>
      <c r="B90" s="140">
        <v>87</v>
      </c>
      <c r="C90" s="2"/>
      <c r="D90" s="1"/>
      <c r="E90" s="3"/>
      <c r="F90" s="1"/>
      <c r="G90" s="141">
        <f>IF(Basic345678910111213141516171819[[#This Row],[نوع الخدمة]]="مخالفات", 50,
IF(Basic345678910111213141516171819[[#This Row],[نوع الخدمة]]="كاش ان",
    IF(F90&lt;=100, 18, IF(F90&lt;=250, 23, IF(F90&lt;=500, 35, IF(F90&lt;=1000, 40, F90*0.04)))),
IF(Basic345678910111213141516171819[[#This Row],[نوع الخدمة]]="كاش اوت",
    IF(F90&lt;=100, 15, IF(F90&lt;=250, 20, IF(F90&lt;=500, 30, IF(F90&lt;=1000, 35, F90*0.035)))),
0)))</f>
        <v>0</v>
      </c>
      <c r="H90" s="159">
        <f>IF(I90="مخالفات",50,Basic345678910111213141516171819[[#This Row],[قيمة الرسوم / العموله]]+Basic345678910111213141516171819[[#This Row],[قيمة الشحنه]])</f>
        <v>0</v>
      </c>
      <c r="I90" s="90"/>
      <c r="J90" s="142" t="str">
        <f t="shared" si="1"/>
        <v>14.5.2026</v>
      </c>
      <c r="L90" s="153">
        <v>79</v>
      </c>
      <c r="M90" s="92"/>
    </row>
    <row r="91" spans="1:13" ht="21.6" x14ac:dyDescent="0.65">
      <c r="A91" s="195"/>
      <c r="B91" s="140">
        <v>88</v>
      </c>
      <c r="C91" s="2"/>
      <c r="D91" s="1"/>
      <c r="E91" s="3"/>
      <c r="F91" s="1"/>
      <c r="G91" s="141">
        <f>IF(Basic345678910111213141516171819[[#This Row],[نوع الخدمة]]="مخالفات", 50,
IF(Basic345678910111213141516171819[[#This Row],[نوع الخدمة]]="كاش ان",
    IF(F91&lt;=100, 18, IF(F91&lt;=250, 23, IF(F91&lt;=500, 35, IF(F91&lt;=1000, 40, F91*0.04)))),
IF(Basic345678910111213141516171819[[#This Row],[نوع الخدمة]]="كاش اوت",
    IF(F91&lt;=100, 15, IF(F91&lt;=250, 20, IF(F91&lt;=500, 30, IF(F91&lt;=1000, 35, F91*0.035)))),
0)))</f>
        <v>0</v>
      </c>
      <c r="H91" s="159">
        <f>IF(I91="مخالفات",50,Basic345678910111213141516171819[[#This Row],[قيمة الرسوم / العموله]]+Basic345678910111213141516171819[[#This Row],[قيمة الشحنه]])</f>
        <v>0</v>
      </c>
      <c r="I91" s="90"/>
      <c r="J91" s="142" t="str">
        <f t="shared" si="1"/>
        <v>14.5.2026</v>
      </c>
      <c r="L91" s="153">
        <v>80</v>
      </c>
      <c r="M91" s="92"/>
    </row>
    <row r="92" spans="1:13" ht="21.6" x14ac:dyDescent="0.65">
      <c r="A92" s="195"/>
      <c r="B92" s="140">
        <v>89</v>
      </c>
      <c r="C92" s="2"/>
      <c r="D92" s="1"/>
      <c r="E92" s="3"/>
      <c r="F92" s="1"/>
      <c r="G92" s="141">
        <f>IF(Basic345678910111213141516171819[[#This Row],[نوع الخدمة]]="مخالفات", 50,
IF(Basic345678910111213141516171819[[#This Row],[نوع الخدمة]]="كاش ان",
    IF(F92&lt;=100, 18, IF(F92&lt;=250, 23, IF(F92&lt;=500, 35, IF(F92&lt;=1000, 40, F92*0.04)))),
IF(Basic345678910111213141516171819[[#This Row],[نوع الخدمة]]="كاش اوت",
    IF(F92&lt;=100, 15, IF(F92&lt;=250, 20, IF(F92&lt;=500, 30, IF(F92&lt;=1000, 35, F92*0.035)))),
0)))</f>
        <v>0</v>
      </c>
      <c r="H92" s="159">
        <f>IF(I92="مخالفات",50,Basic345678910111213141516171819[[#This Row],[قيمة الرسوم / العموله]]+Basic345678910111213141516171819[[#This Row],[قيمة الشحنه]])</f>
        <v>0</v>
      </c>
      <c r="I92" s="90"/>
      <c r="J92" s="142" t="str">
        <f t="shared" si="1"/>
        <v>14.5.2026</v>
      </c>
      <c r="L92" s="153">
        <v>81</v>
      </c>
      <c r="M92" s="92"/>
    </row>
    <row r="93" spans="1:13" ht="21.6" x14ac:dyDescent="0.65">
      <c r="A93" s="195"/>
      <c r="B93" s="144">
        <v>90</v>
      </c>
      <c r="C93" s="2"/>
      <c r="D93" s="1"/>
      <c r="E93" s="3"/>
      <c r="F93" s="1"/>
      <c r="G93" s="141">
        <f>IF(Basic345678910111213141516171819[[#This Row],[نوع الخدمة]]="مخالفات", 50,
IF(Basic345678910111213141516171819[[#This Row],[نوع الخدمة]]="كاش ان",
    IF(F93&lt;=100, 18, IF(F93&lt;=250, 23, IF(F93&lt;=500, 35, IF(F93&lt;=1000, 40, F93*0.04)))),
IF(Basic345678910111213141516171819[[#This Row],[نوع الخدمة]]="كاش اوت",
    IF(F93&lt;=100, 15, IF(F93&lt;=250, 20, IF(F93&lt;=500, 30, IF(F93&lt;=1000, 35, F93*0.035)))),
0)))</f>
        <v>0</v>
      </c>
      <c r="H93" s="159">
        <f>IF(I93="مخالفات",50,Basic345678910111213141516171819[[#This Row],[قيمة الرسوم / العموله]]+Basic345678910111213141516171819[[#This Row],[قيمة الشحنه]])</f>
        <v>0</v>
      </c>
      <c r="I93" s="90"/>
      <c r="J93" s="142" t="str">
        <f t="shared" si="1"/>
        <v>14.5.2026</v>
      </c>
      <c r="L93" s="153">
        <v>82</v>
      </c>
      <c r="M93" s="92"/>
    </row>
    <row r="94" spans="1:13" ht="21.6" x14ac:dyDescent="0.65">
      <c r="A94" s="195"/>
      <c r="B94" s="140">
        <v>91</v>
      </c>
      <c r="C94" s="2"/>
      <c r="D94" s="1"/>
      <c r="E94" s="3"/>
      <c r="F94" s="1"/>
      <c r="G94" s="141">
        <f>IF(Basic345678910111213141516171819[[#This Row],[نوع الخدمة]]="مخالفات", 50,
IF(Basic345678910111213141516171819[[#This Row],[نوع الخدمة]]="كاش ان",
    IF(F94&lt;=100, 18, IF(F94&lt;=250, 23, IF(F94&lt;=500, 35, IF(F94&lt;=1000, 40, F94*0.04)))),
IF(Basic345678910111213141516171819[[#This Row],[نوع الخدمة]]="كاش اوت",
    IF(F94&lt;=100, 15, IF(F94&lt;=250, 20, IF(F94&lt;=500, 30, IF(F94&lt;=1000, 35, F94*0.035)))),
0)))</f>
        <v>0</v>
      </c>
      <c r="H94" s="159">
        <f>IF(I94="مخالفات",50,Basic345678910111213141516171819[[#This Row],[قيمة الرسوم / العموله]]+Basic345678910111213141516171819[[#This Row],[قيمة الشحنه]])</f>
        <v>0</v>
      </c>
      <c r="I94" s="90"/>
      <c r="J94" s="142" t="str">
        <f t="shared" si="1"/>
        <v>14.5.2026</v>
      </c>
      <c r="L94" s="153">
        <v>83</v>
      </c>
      <c r="M94" s="92"/>
    </row>
    <row r="95" spans="1:13" ht="21.6" x14ac:dyDescent="0.65">
      <c r="A95" s="195"/>
      <c r="B95" s="140">
        <v>92</v>
      </c>
      <c r="C95" s="2"/>
      <c r="D95" s="1"/>
      <c r="E95" s="3"/>
      <c r="F95" s="1"/>
      <c r="G95" s="141">
        <f>IF(Basic345678910111213141516171819[[#This Row],[نوع الخدمة]]="مخالفات", 50,
IF(Basic345678910111213141516171819[[#This Row],[نوع الخدمة]]="كاش ان",
    IF(F95&lt;=100, 18, IF(F95&lt;=250, 23, IF(F95&lt;=500, 35, IF(F95&lt;=1000, 40, F95*0.04)))),
IF(Basic345678910111213141516171819[[#This Row],[نوع الخدمة]]="كاش اوت",
    IF(F95&lt;=100, 15, IF(F95&lt;=250, 20, IF(F95&lt;=500, 30, IF(F95&lt;=1000, 35, F95*0.035)))),
0)))</f>
        <v>0</v>
      </c>
      <c r="H95" s="159">
        <f>IF(I95="مخالفات",50,Basic345678910111213141516171819[[#This Row],[قيمة الرسوم / العموله]]+Basic345678910111213141516171819[[#This Row],[قيمة الشحنه]])</f>
        <v>0</v>
      </c>
      <c r="I95" s="90"/>
      <c r="J95" s="142" t="str">
        <f t="shared" si="1"/>
        <v>14.5.2026</v>
      </c>
      <c r="L95" s="153">
        <v>84</v>
      </c>
      <c r="M95" s="92"/>
    </row>
    <row r="96" spans="1:13" ht="21.6" x14ac:dyDescent="0.65">
      <c r="A96" s="195"/>
      <c r="B96" s="140">
        <v>93</v>
      </c>
      <c r="C96" s="2"/>
      <c r="D96" s="1"/>
      <c r="E96" s="3"/>
      <c r="F96" s="1"/>
      <c r="G96" s="141">
        <f>IF(Basic345678910111213141516171819[[#This Row],[نوع الخدمة]]="مخالفات", 50,
IF(Basic345678910111213141516171819[[#This Row],[نوع الخدمة]]="كاش ان",
    IF(F96&lt;=100, 18, IF(F96&lt;=250, 23, IF(F96&lt;=500, 35, IF(F96&lt;=1000, 40, F96*0.04)))),
IF(Basic345678910111213141516171819[[#This Row],[نوع الخدمة]]="كاش اوت",
    IF(F96&lt;=100, 15, IF(F96&lt;=250, 20, IF(F96&lt;=500, 30, IF(F96&lt;=1000, 35, F96*0.035)))),
0)))</f>
        <v>0</v>
      </c>
      <c r="H96" s="159">
        <f>IF(I96="مخالفات",50,Basic345678910111213141516171819[[#This Row],[قيمة الرسوم / العموله]]+Basic345678910111213141516171819[[#This Row],[قيمة الشحنه]])</f>
        <v>0</v>
      </c>
      <c r="I96" s="90"/>
      <c r="J96" s="142" t="str">
        <f t="shared" si="1"/>
        <v>14.5.2026</v>
      </c>
      <c r="L96" s="153">
        <v>85</v>
      </c>
      <c r="M96" s="92"/>
    </row>
    <row r="97" spans="1:13" ht="21.6" x14ac:dyDescent="0.65">
      <c r="A97" s="195"/>
      <c r="B97" s="144">
        <v>94</v>
      </c>
      <c r="C97" s="2"/>
      <c r="D97" s="1"/>
      <c r="E97" s="3"/>
      <c r="F97" s="1"/>
      <c r="G97" s="141">
        <f>IF(Basic345678910111213141516171819[[#This Row],[نوع الخدمة]]="مخالفات", 50,
IF(Basic345678910111213141516171819[[#This Row],[نوع الخدمة]]="كاش ان",
    IF(F97&lt;=100, 18, IF(F97&lt;=250, 23, IF(F97&lt;=500, 35, IF(F97&lt;=1000, 40, F97*0.04)))),
IF(Basic345678910111213141516171819[[#This Row],[نوع الخدمة]]="كاش اوت",
    IF(F97&lt;=100, 15, IF(F97&lt;=250, 20, IF(F97&lt;=500, 30, IF(F97&lt;=1000, 35, F97*0.035)))),
0)))</f>
        <v>0</v>
      </c>
      <c r="H97" s="159">
        <f>IF(I97="مخالفات",50,Basic345678910111213141516171819[[#This Row],[قيمة الرسوم / العموله]]+Basic345678910111213141516171819[[#This Row],[قيمة الشحنه]])</f>
        <v>0</v>
      </c>
      <c r="I97" s="90"/>
      <c r="J97" s="142" t="str">
        <f t="shared" si="1"/>
        <v>14.5.2026</v>
      </c>
      <c r="L97" s="153">
        <v>86</v>
      </c>
      <c r="M97" s="92"/>
    </row>
    <row r="98" spans="1:13" ht="21.6" x14ac:dyDescent="0.65">
      <c r="A98" s="195"/>
      <c r="B98" s="140">
        <v>95</v>
      </c>
      <c r="C98" s="2"/>
      <c r="D98" s="1"/>
      <c r="E98" s="3"/>
      <c r="F98" s="1"/>
      <c r="G98" s="141">
        <f>IF(Basic345678910111213141516171819[[#This Row],[نوع الخدمة]]="مخالفات", 50,
IF(Basic345678910111213141516171819[[#This Row],[نوع الخدمة]]="كاش ان",
    IF(F98&lt;=100, 18, IF(F98&lt;=250, 23, IF(F98&lt;=500, 35, IF(F98&lt;=1000, 40, F98*0.04)))),
IF(Basic345678910111213141516171819[[#This Row],[نوع الخدمة]]="كاش اوت",
    IF(F98&lt;=100, 15, IF(F98&lt;=250, 20, IF(F98&lt;=500, 30, IF(F98&lt;=1000, 35, F98*0.035)))),
0)))</f>
        <v>0</v>
      </c>
      <c r="H98" s="159">
        <f>IF(I98="مخالفات",50,Basic345678910111213141516171819[[#This Row],[قيمة الرسوم / العموله]]+Basic345678910111213141516171819[[#This Row],[قيمة الشحنه]])</f>
        <v>0</v>
      </c>
      <c r="I98" s="90"/>
      <c r="J98" s="142" t="str">
        <f t="shared" si="1"/>
        <v>14.5.2026</v>
      </c>
      <c r="L98" s="153">
        <v>87</v>
      </c>
      <c r="M98" s="92"/>
    </row>
    <row r="99" spans="1:13" ht="21.6" x14ac:dyDescent="0.65">
      <c r="A99" s="195"/>
      <c r="B99" s="140">
        <v>96</v>
      </c>
      <c r="C99" s="2"/>
      <c r="D99" s="1"/>
      <c r="E99" s="3"/>
      <c r="F99" s="1"/>
      <c r="G99" s="141">
        <f>IF(Basic345678910111213141516171819[[#This Row],[نوع الخدمة]]="مخالفات", 50,
IF(Basic345678910111213141516171819[[#This Row],[نوع الخدمة]]="كاش ان",
    IF(F99&lt;=100, 18, IF(F99&lt;=250, 23, IF(F99&lt;=500, 35, IF(F99&lt;=1000, 40, F99*0.04)))),
IF(Basic345678910111213141516171819[[#This Row],[نوع الخدمة]]="كاش اوت",
    IF(F99&lt;=100, 15, IF(F99&lt;=250, 20, IF(F99&lt;=500, 30, IF(F99&lt;=1000, 35, F99*0.035)))),
0)))</f>
        <v>0</v>
      </c>
      <c r="H99" s="159">
        <f>IF(I99="مخالفات",50,Basic345678910111213141516171819[[#This Row],[قيمة الرسوم / العموله]]+Basic345678910111213141516171819[[#This Row],[قيمة الشحنه]])</f>
        <v>0</v>
      </c>
      <c r="I99" s="90"/>
      <c r="J99" s="142" t="str">
        <f t="shared" si="1"/>
        <v>14.5.2026</v>
      </c>
      <c r="L99" s="153">
        <v>88</v>
      </c>
      <c r="M99" s="92"/>
    </row>
    <row r="100" spans="1:13" ht="21.6" x14ac:dyDescent="0.65">
      <c r="A100" s="195"/>
      <c r="B100" s="140">
        <v>97</v>
      </c>
      <c r="C100" s="2"/>
      <c r="D100" s="1"/>
      <c r="E100" s="3"/>
      <c r="F100" s="1"/>
      <c r="G100" s="141">
        <f>IF(Basic345678910111213141516171819[[#This Row],[نوع الخدمة]]="مخالفات", 50,
IF(Basic345678910111213141516171819[[#This Row],[نوع الخدمة]]="كاش ان",
    IF(F100&lt;=100, 18, IF(F100&lt;=250, 23, IF(F100&lt;=500, 35, IF(F100&lt;=1000, 40, F100*0.04)))),
IF(Basic345678910111213141516171819[[#This Row],[نوع الخدمة]]="كاش اوت",
    IF(F100&lt;=100, 15, IF(F100&lt;=250, 20, IF(F100&lt;=500, 30, IF(F100&lt;=1000, 35, F100*0.035)))),
0)))</f>
        <v>0</v>
      </c>
      <c r="H100" s="159">
        <f>IF(I100="مخالفات",50,Basic345678910111213141516171819[[#This Row],[قيمة الرسوم / العموله]]+Basic345678910111213141516171819[[#This Row],[قيمة الشحنه]])</f>
        <v>0</v>
      </c>
      <c r="I100" s="90"/>
      <c r="J100" s="142" t="str">
        <f t="shared" si="1"/>
        <v>14.5.2026</v>
      </c>
      <c r="L100" s="153">
        <v>89</v>
      </c>
      <c r="M100" s="92"/>
    </row>
    <row r="101" spans="1:13" ht="21.6" x14ac:dyDescent="0.65">
      <c r="A101" s="195"/>
      <c r="B101" s="144">
        <v>98</v>
      </c>
      <c r="C101" s="2"/>
      <c r="D101" s="1"/>
      <c r="E101" s="3"/>
      <c r="F101" s="1"/>
      <c r="G101" s="141">
        <f>IF(Basic345678910111213141516171819[[#This Row],[نوع الخدمة]]="مخالفات", 50,
IF(Basic345678910111213141516171819[[#This Row],[نوع الخدمة]]="كاش ان",
    IF(F101&lt;=100, 18, IF(F101&lt;=250, 23, IF(F101&lt;=500, 35, IF(F101&lt;=1000, 40, F101*0.04)))),
IF(Basic345678910111213141516171819[[#This Row],[نوع الخدمة]]="كاش اوت",
    IF(F101&lt;=100, 15, IF(F101&lt;=250, 20, IF(F101&lt;=500, 30, IF(F101&lt;=1000, 35, F101*0.035)))),
0)))</f>
        <v>0</v>
      </c>
      <c r="H101" s="159">
        <f>IF(I101="مخالفات",50,Basic345678910111213141516171819[[#This Row],[قيمة الرسوم / العموله]]+Basic345678910111213141516171819[[#This Row],[قيمة الشحنه]])</f>
        <v>0</v>
      </c>
      <c r="I101" s="90"/>
      <c r="J101" s="142" t="str">
        <f t="shared" si="1"/>
        <v>14.5.2026</v>
      </c>
      <c r="L101" s="153">
        <v>90</v>
      </c>
      <c r="M101" s="92"/>
    </row>
    <row r="102" spans="1:13" ht="21.6" x14ac:dyDescent="0.65">
      <c r="A102" s="195"/>
      <c r="B102" s="140">
        <v>99</v>
      </c>
      <c r="C102" s="2"/>
      <c r="D102" s="1"/>
      <c r="E102" s="3"/>
      <c r="F102" s="1"/>
      <c r="G102" s="141">
        <f>IF(Basic345678910111213141516171819[[#This Row],[نوع الخدمة]]="مخالفات", 50,
IF(Basic345678910111213141516171819[[#This Row],[نوع الخدمة]]="كاش ان",
    IF(F102&lt;=100, 18, IF(F102&lt;=250, 23, IF(F102&lt;=500, 35, IF(F102&lt;=1000, 40, F102*0.04)))),
IF(Basic345678910111213141516171819[[#This Row],[نوع الخدمة]]="كاش اوت",
    IF(F102&lt;=100, 15, IF(F102&lt;=250, 20, IF(F102&lt;=500, 30, IF(F102&lt;=1000, 35, F102*0.035)))),
0)))</f>
        <v>0</v>
      </c>
      <c r="H102" s="159">
        <f>IF(I102="مخالفات",50,Basic345678910111213141516171819[[#This Row],[قيمة الرسوم / العموله]]+Basic345678910111213141516171819[[#This Row],[قيمة الشحنه]])</f>
        <v>0</v>
      </c>
      <c r="I102" s="90"/>
      <c r="J102" s="142" t="str">
        <f t="shared" si="1"/>
        <v>14.5.2026</v>
      </c>
      <c r="L102" s="153">
        <v>91</v>
      </c>
      <c r="M102" s="92"/>
    </row>
    <row r="103" spans="1:13" ht="21.6" x14ac:dyDescent="0.65">
      <c r="A103" s="195"/>
      <c r="B103" s="140">
        <v>100</v>
      </c>
      <c r="C103" s="2"/>
      <c r="D103" s="1"/>
      <c r="E103" s="3"/>
      <c r="F103" s="1"/>
      <c r="G103" s="141">
        <f>IF(Basic345678910111213141516171819[[#This Row],[نوع الخدمة]]="مخالفات", 50,
IF(Basic345678910111213141516171819[[#This Row],[نوع الخدمة]]="كاش ان",
    IF(F103&lt;=100, 18, IF(F103&lt;=250, 23, IF(F103&lt;=500, 35, IF(F103&lt;=1000, 40, F103*0.04)))),
IF(Basic345678910111213141516171819[[#This Row],[نوع الخدمة]]="كاش اوت",
    IF(F103&lt;=100, 15, IF(F103&lt;=250, 20, IF(F103&lt;=500, 30, IF(F103&lt;=1000, 35, F103*0.035)))),
0)))</f>
        <v>0</v>
      </c>
      <c r="H103" s="159">
        <f>IF(I103="مخالفات",50,Basic345678910111213141516171819[[#This Row],[قيمة الرسوم / العموله]]+Basic345678910111213141516171819[[#This Row],[قيمة الشحنه]])</f>
        <v>0</v>
      </c>
      <c r="I103" s="90"/>
      <c r="J103" s="142" t="str">
        <f t="shared" si="1"/>
        <v>14.5.2026</v>
      </c>
      <c r="L103" s="153">
        <v>92</v>
      </c>
      <c r="M103" s="92"/>
    </row>
    <row r="104" spans="1:13" ht="21.6" x14ac:dyDescent="0.65">
      <c r="A104" s="195"/>
      <c r="B104" s="140">
        <v>101</v>
      </c>
      <c r="C104" s="2"/>
      <c r="D104" s="1"/>
      <c r="E104" s="3"/>
      <c r="F104" s="1"/>
      <c r="G104" s="141">
        <f>IF(Basic345678910111213141516171819[[#This Row],[نوع الخدمة]]="مخالفات", 50,
IF(Basic345678910111213141516171819[[#This Row],[نوع الخدمة]]="كاش ان",
    IF(F104&lt;=100, 18, IF(F104&lt;=250, 23, IF(F104&lt;=500, 35, IF(F104&lt;=1000, 40, F104*0.04)))),
IF(Basic345678910111213141516171819[[#This Row],[نوع الخدمة]]="كاش اوت",
    IF(F104&lt;=100, 15, IF(F104&lt;=250, 20, IF(F104&lt;=500, 30, IF(F104&lt;=1000, 35, F104*0.035)))),
0)))</f>
        <v>0</v>
      </c>
      <c r="H104" s="159">
        <f>IF(I104="مخالفات",50,Basic345678910111213141516171819[[#This Row],[قيمة الرسوم / العموله]]+Basic345678910111213141516171819[[#This Row],[قيمة الشحنه]])</f>
        <v>0</v>
      </c>
      <c r="I104" s="90"/>
      <c r="J104" s="142" t="str">
        <f t="shared" si="1"/>
        <v>14.5.2026</v>
      </c>
      <c r="L104" s="153">
        <v>93</v>
      </c>
      <c r="M104" s="92"/>
    </row>
    <row r="105" spans="1:13" ht="21.6" x14ac:dyDescent="0.65">
      <c r="A105" s="195"/>
      <c r="B105" s="144">
        <v>102</v>
      </c>
      <c r="C105" s="2"/>
      <c r="D105" s="1"/>
      <c r="E105" s="3"/>
      <c r="F105" s="1"/>
      <c r="G105" s="141">
        <f>IF(Basic345678910111213141516171819[[#This Row],[نوع الخدمة]]="مخالفات", 50,
IF(Basic345678910111213141516171819[[#This Row],[نوع الخدمة]]="كاش ان",
    IF(F105&lt;=100, 18, IF(F105&lt;=250, 23, IF(F105&lt;=500, 35, IF(F105&lt;=1000, 40, F105*0.04)))),
IF(Basic345678910111213141516171819[[#This Row],[نوع الخدمة]]="كاش اوت",
    IF(F105&lt;=100, 15, IF(F105&lt;=250, 20, IF(F105&lt;=500, 30, IF(F105&lt;=1000, 35, F105*0.035)))),
0)))</f>
        <v>0</v>
      </c>
      <c r="H105" s="159">
        <f>IF(I105="مخالفات",50,Basic345678910111213141516171819[[#This Row],[قيمة الرسوم / العموله]]+Basic345678910111213141516171819[[#This Row],[قيمة الشحنه]])</f>
        <v>0</v>
      </c>
      <c r="I105" s="90"/>
      <c r="J105" s="142" t="str">
        <f t="shared" si="1"/>
        <v>14.5.2026</v>
      </c>
      <c r="L105" s="153">
        <v>94</v>
      </c>
      <c r="M105" s="92"/>
    </row>
    <row r="106" spans="1:13" ht="21.6" x14ac:dyDescent="0.65">
      <c r="A106" s="195"/>
      <c r="B106" s="140">
        <v>103</v>
      </c>
      <c r="C106" s="2"/>
      <c r="D106" s="1"/>
      <c r="E106" s="3"/>
      <c r="F106" s="1"/>
      <c r="G106" s="141">
        <f>IF(Basic345678910111213141516171819[[#This Row],[نوع الخدمة]]="مخالفات", 50,
IF(Basic345678910111213141516171819[[#This Row],[نوع الخدمة]]="كاش ان",
    IF(F106&lt;=100, 18, IF(F106&lt;=250, 23, IF(F106&lt;=500, 35, IF(F106&lt;=1000, 40, F106*0.04)))),
IF(Basic345678910111213141516171819[[#This Row],[نوع الخدمة]]="كاش اوت",
    IF(F106&lt;=100, 15, IF(F106&lt;=250, 20, IF(F106&lt;=500, 30, IF(F106&lt;=1000, 35, F106*0.035)))),
0)))</f>
        <v>0</v>
      </c>
      <c r="H106" s="159">
        <f>IF(I106="مخالفات",50,Basic345678910111213141516171819[[#This Row],[قيمة الرسوم / العموله]]+Basic345678910111213141516171819[[#This Row],[قيمة الشحنه]])</f>
        <v>0</v>
      </c>
      <c r="I106" s="90"/>
      <c r="J106" s="142" t="str">
        <f t="shared" si="1"/>
        <v>14.5.2026</v>
      </c>
      <c r="L106" s="153">
        <v>95</v>
      </c>
      <c r="M106" s="92"/>
    </row>
    <row r="107" spans="1:13" ht="21.6" x14ac:dyDescent="0.65">
      <c r="A107" s="195"/>
      <c r="B107" s="140">
        <v>104</v>
      </c>
      <c r="C107" s="2"/>
      <c r="D107" s="1"/>
      <c r="E107" s="3"/>
      <c r="F107" s="1"/>
      <c r="G107" s="141">
        <f>IF(Basic345678910111213141516171819[[#This Row],[نوع الخدمة]]="مخالفات", 50,
IF(Basic345678910111213141516171819[[#This Row],[نوع الخدمة]]="كاش ان",
    IF(F107&lt;=100, 18, IF(F107&lt;=250, 23, IF(F107&lt;=500, 35, IF(F107&lt;=1000, 40, F107*0.04)))),
IF(Basic345678910111213141516171819[[#This Row],[نوع الخدمة]]="كاش اوت",
    IF(F107&lt;=100, 15, IF(F107&lt;=250, 20, IF(F107&lt;=500, 30, IF(F107&lt;=1000, 35, F107*0.035)))),
0)))</f>
        <v>0</v>
      </c>
      <c r="H107" s="159">
        <f>IF(I107="مخالفات",50,Basic345678910111213141516171819[[#This Row],[قيمة الرسوم / العموله]]+Basic345678910111213141516171819[[#This Row],[قيمة الشحنه]])</f>
        <v>0</v>
      </c>
      <c r="I107" s="90"/>
      <c r="J107" s="142" t="str">
        <f t="shared" si="1"/>
        <v>14.5.2026</v>
      </c>
      <c r="L107" s="153">
        <v>96</v>
      </c>
      <c r="M107" s="92"/>
    </row>
    <row r="108" spans="1:13" ht="21.6" x14ac:dyDescent="0.65">
      <c r="A108" s="195"/>
      <c r="B108" s="140">
        <v>105</v>
      </c>
      <c r="C108" s="2"/>
      <c r="D108" s="1"/>
      <c r="E108" s="3"/>
      <c r="F108" s="1"/>
      <c r="G108" s="141">
        <f>IF(Basic345678910111213141516171819[[#This Row],[نوع الخدمة]]="مخالفات", 50,
IF(Basic345678910111213141516171819[[#This Row],[نوع الخدمة]]="كاش ان",
    IF(F108&lt;=100, 18, IF(F108&lt;=250, 23, IF(F108&lt;=500, 35, IF(F108&lt;=1000, 40, F108*0.04)))),
IF(Basic345678910111213141516171819[[#This Row],[نوع الخدمة]]="كاش اوت",
    IF(F108&lt;=100, 15, IF(F108&lt;=250, 20, IF(F108&lt;=500, 30, IF(F108&lt;=1000, 35, F108*0.035)))),
0)))</f>
        <v>0</v>
      </c>
      <c r="H108" s="159">
        <f>IF(I108="مخالفات",50,Basic345678910111213141516171819[[#This Row],[قيمة الرسوم / العموله]]+Basic345678910111213141516171819[[#This Row],[قيمة الشحنه]])</f>
        <v>0</v>
      </c>
      <c r="I108" s="90"/>
      <c r="J108" s="142" t="str">
        <f t="shared" si="1"/>
        <v>14.5.2026</v>
      </c>
      <c r="L108" s="153">
        <v>97</v>
      </c>
      <c r="M108" s="92"/>
    </row>
    <row r="109" spans="1:13" ht="21.6" x14ac:dyDescent="0.65">
      <c r="A109" s="195"/>
      <c r="B109" s="144">
        <v>106</v>
      </c>
      <c r="C109" s="2"/>
      <c r="D109" s="1"/>
      <c r="E109" s="3"/>
      <c r="F109" s="1"/>
      <c r="G109" s="141">
        <f>IF(Basic345678910111213141516171819[[#This Row],[نوع الخدمة]]="مخالفات", 50,
IF(Basic345678910111213141516171819[[#This Row],[نوع الخدمة]]="كاش ان",
    IF(F109&lt;=100, 18, IF(F109&lt;=250, 23, IF(F109&lt;=500, 35, IF(F109&lt;=1000, 40, F109*0.04)))),
IF(Basic345678910111213141516171819[[#This Row],[نوع الخدمة]]="كاش اوت",
    IF(F109&lt;=100, 15, IF(F109&lt;=250, 20, IF(F109&lt;=500, 30, IF(F109&lt;=1000, 35, F109*0.035)))),
0)))</f>
        <v>0</v>
      </c>
      <c r="H109" s="159">
        <f>IF(I109="مخالفات",50,Basic345678910111213141516171819[[#This Row],[قيمة الرسوم / العموله]]+Basic345678910111213141516171819[[#This Row],[قيمة الشحنه]])</f>
        <v>0</v>
      </c>
      <c r="I109" s="90"/>
      <c r="J109" s="142" t="str">
        <f t="shared" si="1"/>
        <v>14.5.2026</v>
      </c>
      <c r="L109" s="153">
        <v>98</v>
      </c>
      <c r="M109" s="92"/>
    </row>
    <row r="110" spans="1:13" ht="21.6" x14ac:dyDescent="0.65">
      <c r="A110" s="195"/>
      <c r="B110" s="140">
        <v>107</v>
      </c>
      <c r="C110" s="2"/>
      <c r="D110" s="1"/>
      <c r="E110" s="3"/>
      <c r="F110" s="1"/>
      <c r="G110" s="141">
        <f>IF(Basic345678910111213141516171819[[#This Row],[نوع الخدمة]]="مخالفات", 50,
IF(Basic345678910111213141516171819[[#This Row],[نوع الخدمة]]="كاش ان",
    IF(F110&lt;=100, 18, IF(F110&lt;=250, 23, IF(F110&lt;=500, 35, IF(F110&lt;=1000, 40, F110*0.04)))),
IF(Basic345678910111213141516171819[[#This Row],[نوع الخدمة]]="كاش اوت",
    IF(F110&lt;=100, 15, IF(F110&lt;=250, 20, IF(F110&lt;=500, 30, IF(F110&lt;=1000, 35, F110*0.035)))),
0)))</f>
        <v>0</v>
      </c>
      <c r="H110" s="159">
        <f>IF(I110="مخالفات",50,Basic345678910111213141516171819[[#This Row],[قيمة الرسوم / العموله]]+Basic345678910111213141516171819[[#This Row],[قيمة الشحنه]])</f>
        <v>0</v>
      </c>
      <c r="I110" s="90"/>
      <c r="J110" s="142" t="str">
        <f t="shared" si="1"/>
        <v>14.5.2026</v>
      </c>
      <c r="L110" s="153">
        <v>99</v>
      </c>
      <c r="M110" s="92"/>
    </row>
    <row r="111" spans="1:13" ht="21.6" x14ac:dyDescent="0.65">
      <c r="A111" s="195"/>
      <c r="B111" s="140">
        <v>108</v>
      </c>
      <c r="C111" s="2"/>
      <c r="D111" s="1"/>
      <c r="E111" s="3"/>
      <c r="F111" s="1"/>
      <c r="G111" s="141">
        <f>IF(Basic345678910111213141516171819[[#This Row],[نوع الخدمة]]="مخالفات", 50,
IF(Basic345678910111213141516171819[[#This Row],[نوع الخدمة]]="كاش ان",
    IF(F111&lt;=100, 18, IF(F111&lt;=250, 23, IF(F111&lt;=500, 35, IF(F111&lt;=1000, 40, F111*0.04)))),
IF(Basic345678910111213141516171819[[#This Row],[نوع الخدمة]]="كاش اوت",
    IF(F111&lt;=100, 15, IF(F111&lt;=250, 20, IF(F111&lt;=500, 30, IF(F111&lt;=1000, 35, F111*0.035)))),
0)))</f>
        <v>0</v>
      </c>
      <c r="H111" s="159">
        <f>IF(I111="مخالفات",50,Basic345678910111213141516171819[[#This Row],[قيمة الرسوم / العموله]]+Basic345678910111213141516171819[[#This Row],[قيمة الشحنه]])</f>
        <v>0</v>
      </c>
      <c r="I111" s="90"/>
      <c r="J111" s="142" t="str">
        <f t="shared" si="1"/>
        <v>14.5.2026</v>
      </c>
      <c r="L111" s="153">
        <v>100</v>
      </c>
      <c r="M111" s="92"/>
    </row>
    <row r="112" spans="1:13" ht="21.6" x14ac:dyDescent="0.65">
      <c r="A112" s="195"/>
      <c r="B112" s="140">
        <v>109</v>
      </c>
      <c r="C112" s="2"/>
      <c r="D112" s="1"/>
      <c r="E112" s="3"/>
      <c r="F112" s="1"/>
      <c r="G112" s="141">
        <f>IF(Basic345678910111213141516171819[[#This Row],[نوع الخدمة]]="مخالفات", 50,
IF(Basic345678910111213141516171819[[#This Row],[نوع الخدمة]]="كاش ان",
    IF(F112&lt;=100, 18, IF(F112&lt;=250, 23, IF(F112&lt;=500, 35, IF(F112&lt;=1000, 40, F112*0.04)))),
IF(Basic345678910111213141516171819[[#This Row],[نوع الخدمة]]="كاش اوت",
    IF(F112&lt;=100, 15, IF(F112&lt;=250, 20, IF(F112&lt;=500, 30, IF(F112&lt;=1000, 35, F112*0.035)))),
0)))</f>
        <v>0</v>
      </c>
      <c r="H112" s="159">
        <f>IF(I112="مخالفات",50,Basic345678910111213141516171819[[#This Row],[قيمة الرسوم / العموله]]+Basic345678910111213141516171819[[#This Row],[قيمة الشحنه]])</f>
        <v>0</v>
      </c>
      <c r="I112" s="90"/>
      <c r="J112" s="142" t="str">
        <f t="shared" si="1"/>
        <v>14.5.2026</v>
      </c>
      <c r="L112" s="153">
        <v>101</v>
      </c>
      <c r="M112" s="92"/>
    </row>
    <row r="113" spans="1:13" ht="21.6" x14ac:dyDescent="0.65">
      <c r="A113" s="195"/>
      <c r="B113" s="144">
        <v>110</v>
      </c>
      <c r="C113" s="2"/>
      <c r="D113" s="1"/>
      <c r="E113" s="3"/>
      <c r="F113" s="1"/>
      <c r="G113" s="141">
        <f>IF(Basic345678910111213141516171819[[#This Row],[نوع الخدمة]]="مخالفات", 50,
IF(Basic345678910111213141516171819[[#This Row],[نوع الخدمة]]="كاش ان",
    IF(F113&lt;=100, 18, IF(F113&lt;=250, 23, IF(F113&lt;=500, 35, IF(F113&lt;=1000, 40, F113*0.04)))),
IF(Basic345678910111213141516171819[[#This Row],[نوع الخدمة]]="كاش اوت",
    IF(F113&lt;=100, 15, IF(F113&lt;=250, 20, IF(F113&lt;=500, 30, IF(F113&lt;=1000, 35, F113*0.035)))),
0)))</f>
        <v>0</v>
      </c>
      <c r="H113" s="159">
        <f>IF(I113="مخالفات",50,Basic345678910111213141516171819[[#This Row],[قيمة الرسوم / العموله]]+Basic345678910111213141516171819[[#This Row],[قيمة الشحنه]])</f>
        <v>0</v>
      </c>
      <c r="I113" s="90"/>
      <c r="J113" s="142" t="str">
        <f t="shared" si="1"/>
        <v>14.5.2026</v>
      </c>
      <c r="L113" s="153">
        <v>102</v>
      </c>
      <c r="M113" s="92"/>
    </row>
    <row r="114" spans="1:13" ht="21.6" x14ac:dyDescent="0.65">
      <c r="A114" s="195"/>
      <c r="B114" s="140">
        <v>111</v>
      </c>
      <c r="C114" s="2"/>
      <c r="D114" s="1"/>
      <c r="E114" s="3"/>
      <c r="F114" s="1"/>
      <c r="G114" s="141">
        <f>IF(Basic345678910111213141516171819[[#This Row],[نوع الخدمة]]="مخالفات", 50,
IF(Basic345678910111213141516171819[[#This Row],[نوع الخدمة]]="كاش ان",
    IF(F114&lt;=100, 18, IF(F114&lt;=250, 23, IF(F114&lt;=500, 35, IF(F114&lt;=1000, 40, F114*0.04)))),
IF(Basic345678910111213141516171819[[#This Row],[نوع الخدمة]]="كاش اوت",
    IF(F114&lt;=100, 15, IF(F114&lt;=250, 20, IF(F114&lt;=500, 30, IF(F114&lt;=1000, 35, F114*0.035)))),
0)))</f>
        <v>0</v>
      </c>
      <c r="H114" s="159">
        <f>IF(I114="مخالفات",50,Basic345678910111213141516171819[[#This Row],[قيمة الرسوم / العموله]]+Basic345678910111213141516171819[[#This Row],[قيمة الشحنه]])</f>
        <v>0</v>
      </c>
      <c r="I114" s="90"/>
      <c r="J114" s="142" t="str">
        <f t="shared" si="1"/>
        <v>14.5.2026</v>
      </c>
      <c r="L114" s="153">
        <v>103</v>
      </c>
      <c r="M114" s="92"/>
    </row>
    <row r="115" spans="1:13" ht="21.6" x14ac:dyDescent="0.65">
      <c r="A115" s="195"/>
      <c r="B115" s="140">
        <v>112</v>
      </c>
      <c r="C115" s="2"/>
      <c r="D115" s="1"/>
      <c r="E115" s="3"/>
      <c r="F115" s="1"/>
      <c r="G115" s="141">
        <f>IF(Basic345678910111213141516171819[[#This Row],[نوع الخدمة]]="مخالفات", 50,
IF(Basic345678910111213141516171819[[#This Row],[نوع الخدمة]]="كاش ان",
    IF(F115&lt;=100, 18, IF(F115&lt;=250, 23, IF(F115&lt;=500, 35, IF(F115&lt;=1000, 40, F115*0.04)))),
IF(Basic345678910111213141516171819[[#This Row],[نوع الخدمة]]="كاش اوت",
    IF(F115&lt;=100, 15, IF(F115&lt;=250, 20, IF(F115&lt;=500, 30, IF(F115&lt;=1000, 35, F115*0.035)))),
0)))</f>
        <v>0</v>
      </c>
      <c r="H115" s="159">
        <f>IF(I115="مخالفات",50,Basic345678910111213141516171819[[#This Row],[قيمة الرسوم / العموله]]+Basic345678910111213141516171819[[#This Row],[قيمة الشحنه]])</f>
        <v>0</v>
      </c>
      <c r="I115" s="90"/>
      <c r="J115" s="142" t="str">
        <f t="shared" si="1"/>
        <v>14.5.2026</v>
      </c>
      <c r="L115" s="153">
        <v>104</v>
      </c>
      <c r="M115" s="92"/>
    </row>
    <row r="116" spans="1:13" ht="21.6" x14ac:dyDescent="0.65">
      <c r="A116" s="195"/>
      <c r="B116" s="140">
        <v>113</v>
      </c>
      <c r="C116" s="2"/>
      <c r="D116" s="1"/>
      <c r="E116" s="3"/>
      <c r="F116" s="1"/>
      <c r="G116" s="141">
        <f>IF(Basic345678910111213141516171819[[#This Row],[نوع الخدمة]]="مخالفات", 50,
IF(Basic345678910111213141516171819[[#This Row],[نوع الخدمة]]="كاش ان",
    IF(F116&lt;=100, 18, IF(F116&lt;=250, 23, IF(F116&lt;=500, 35, IF(F116&lt;=1000, 40, F116*0.04)))),
IF(Basic345678910111213141516171819[[#This Row],[نوع الخدمة]]="كاش اوت",
    IF(F116&lt;=100, 15, IF(F116&lt;=250, 20, IF(F116&lt;=500, 30, IF(F116&lt;=1000, 35, F116*0.035)))),
0)))</f>
        <v>0</v>
      </c>
      <c r="H116" s="159">
        <f>IF(I116="مخالفات",50,Basic345678910111213141516171819[[#This Row],[قيمة الرسوم / العموله]]+Basic345678910111213141516171819[[#This Row],[قيمة الشحنه]])</f>
        <v>0</v>
      </c>
      <c r="I116" s="90"/>
      <c r="J116" s="142" t="str">
        <f t="shared" si="1"/>
        <v>14.5.2026</v>
      </c>
      <c r="L116" s="153">
        <v>105</v>
      </c>
      <c r="M116" s="92"/>
    </row>
    <row r="117" spans="1:13" ht="21.6" x14ac:dyDescent="0.65">
      <c r="A117" s="195"/>
      <c r="B117" s="144">
        <v>114</v>
      </c>
      <c r="C117" s="2"/>
      <c r="D117" s="1"/>
      <c r="E117" s="3"/>
      <c r="F117" s="1"/>
      <c r="G117" s="141">
        <f>IF(Basic345678910111213141516171819[[#This Row],[نوع الخدمة]]="مخالفات", 50,
IF(Basic345678910111213141516171819[[#This Row],[نوع الخدمة]]="كاش ان",
    IF(F117&lt;=100, 18, IF(F117&lt;=250, 23, IF(F117&lt;=500, 35, IF(F117&lt;=1000, 40, F117*0.04)))),
IF(Basic345678910111213141516171819[[#This Row],[نوع الخدمة]]="كاش اوت",
    IF(F117&lt;=100, 15, IF(F117&lt;=250, 20, IF(F117&lt;=500, 30, IF(F117&lt;=1000, 35, F117*0.035)))),
0)))</f>
        <v>0</v>
      </c>
      <c r="H117" s="159">
        <f>IF(I117="مخالفات",50,Basic345678910111213141516171819[[#This Row],[قيمة الرسوم / العموله]]+Basic345678910111213141516171819[[#This Row],[قيمة الشحنه]])</f>
        <v>0</v>
      </c>
      <c r="I117" s="90"/>
      <c r="J117" s="142" t="str">
        <f t="shared" si="1"/>
        <v>14.5.2026</v>
      </c>
      <c r="L117" s="153">
        <v>106</v>
      </c>
      <c r="M117" s="92"/>
    </row>
    <row r="118" spans="1:13" ht="21.6" x14ac:dyDescent="0.65">
      <c r="A118" s="195"/>
      <c r="B118" s="140">
        <v>115</v>
      </c>
      <c r="C118" s="2"/>
      <c r="D118" s="1"/>
      <c r="E118" s="3"/>
      <c r="F118" s="1"/>
      <c r="G118" s="141">
        <f>IF(Basic345678910111213141516171819[[#This Row],[نوع الخدمة]]="مخالفات", 50,
IF(Basic345678910111213141516171819[[#This Row],[نوع الخدمة]]="كاش ان",
    IF(F118&lt;=100, 18, IF(F118&lt;=250, 23, IF(F118&lt;=500, 35, IF(F118&lt;=1000, 40, F118*0.04)))),
IF(Basic345678910111213141516171819[[#This Row],[نوع الخدمة]]="كاش اوت",
    IF(F118&lt;=100, 15, IF(F118&lt;=250, 20, IF(F118&lt;=500, 30, IF(F118&lt;=1000, 35, F118*0.035)))),
0)))</f>
        <v>0</v>
      </c>
      <c r="H118" s="159">
        <f>IF(I118="مخالفات",50,Basic345678910111213141516171819[[#This Row],[قيمة الرسوم / العموله]]+Basic345678910111213141516171819[[#This Row],[قيمة الشحنه]])</f>
        <v>0</v>
      </c>
      <c r="I118" s="90"/>
      <c r="J118" s="142" t="str">
        <f t="shared" si="1"/>
        <v>14.5.2026</v>
      </c>
      <c r="L118" s="153">
        <v>107</v>
      </c>
      <c r="M118" s="92"/>
    </row>
    <row r="119" spans="1:13" ht="21.6" x14ac:dyDescent="0.65">
      <c r="A119" s="195"/>
      <c r="B119" s="140">
        <v>116</v>
      </c>
      <c r="C119" s="2"/>
      <c r="D119" s="1"/>
      <c r="E119" s="3"/>
      <c r="F119" s="1"/>
      <c r="G119" s="141">
        <f>IF(Basic345678910111213141516171819[[#This Row],[نوع الخدمة]]="مخالفات", 50,
IF(Basic345678910111213141516171819[[#This Row],[نوع الخدمة]]="كاش ان",
    IF(F119&lt;=100, 18, IF(F119&lt;=250, 23, IF(F119&lt;=500, 35, IF(F119&lt;=1000, 40, F119*0.04)))),
IF(Basic345678910111213141516171819[[#This Row],[نوع الخدمة]]="كاش اوت",
    IF(F119&lt;=100, 15, IF(F119&lt;=250, 20, IF(F119&lt;=500, 30, IF(F119&lt;=1000, 35, F119*0.035)))),
0)))</f>
        <v>0</v>
      </c>
      <c r="H119" s="159">
        <f>IF(I119="مخالفات",50,Basic345678910111213141516171819[[#This Row],[قيمة الرسوم / العموله]]+Basic345678910111213141516171819[[#This Row],[قيمة الشحنه]])</f>
        <v>0</v>
      </c>
      <c r="I119" s="90"/>
      <c r="J119" s="142" t="str">
        <f t="shared" si="1"/>
        <v>14.5.2026</v>
      </c>
      <c r="L119" s="153">
        <v>108</v>
      </c>
      <c r="M119" s="92"/>
    </row>
    <row r="120" spans="1:13" ht="21.6" x14ac:dyDescent="0.65">
      <c r="A120" s="195"/>
      <c r="B120" s="140">
        <v>117</v>
      </c>
      <c r="C120" s="2"/>
      <c r="D120" s="1"/>
      <c r="E120" s="3"/>
      <c r="F120" s="1"/>
      <c r="G120" s="141">
        <f>IF(Basic345678910111213141516171819[[#This Row],[نوع الخدمة]]="مخالفات", 50,
IF(Basic345678910111213141516171819[[#This Row],[نوع الخدمة]]="كاش ان",
    IF(F120&lt;=100, 18, IF(F120&lt;=250, 23, IF(F120&lt;=500, 35, IF(F120&lt;=1000, 40, F120*0.04)))),
IF(Basic345678910111213141516171819[[#This Row],[نوع الخدمة]]="كاش اوت",
    IF(F120&lt;=100, 15, IF(F120&lt;=250, 20, IF(F120&lt;=500, 30, IF(F120&lt;=1000, 35, F120*0.035)))),
0)))</f>
        <v>0</v>
      </c>
      <c r="H120" s="159">
        <f>IF(I120="مخالفات",50,Basic345678910111213141516171819[[#This Row],[قيمة الرسوم / العموله]]+Basic345678910111213141516171819[[#This Row],[قيمة الشحنه]])</f>
        <v>0</v>
      </c>
      <c r="I120" s="90"/>
      <c r="J120" s="142" t="str">
        <f t="shared" si="1"/>
        <v>14.5.2026</v>
      </c>
      <c r="L120" s="153">
        <v>109</v>
      </c>
      <c r="M120" s="92"/>
    </row>
    <row r="121" spans="1:13" ht="21.6" x14ac:dyDescent="0.65">
      <c r="A121" s="195"/>
      <c r="B121" s="144">
        <v>118</v>
      </c>
      <c r="C121" s="2"/>
      <c r="D121" s="1"/>
      <c r="E121" s="3"/>
      <c r="F121" s="1"/>
      <c r="G121" s="141">
        <f>IF(Basic345678910111213141516171819[[#This Row],[نوع الخدمة]]="مخالفات", 50,
IF(Basic345678910111213141516171819[[#This Row],[نوع الخدمة]]="كاش ان",
    IF(F121&lt;=100, 18, IF(F121&lt;=250, 23, IF(F121&lt;=500, 35, IF(F121&lt;=1000, 40, F121*0.04)))),
IF(Basic345678910111213141516171819[[#This Row],[نوع الخدمة]]="كاش اوت",
    IF(F121&lt;=100, 15, IF(F121&lt;=250, 20, IF(F121&lt;=500, 30, IF(F121&lt;=1000, 35, F121*0.035)))),
0)))</f>
        <v>0</v>
      </c>
      <c r="H121" s="159">
        <f>IF(I121="مخالفات",50,Basic345678910111213141516171819[[#This Row],[قيمة الرسوم / العموله]]+Basic345678910111213141516171819[[#This Row],[قيمة الشحنه]])</f>
        <v>0</v>
      </c>
      <c r="I121" s="90"/>
      <c r="J121" s="142" t="str">
        <f t="shared" si="1"/>
        <v>14.5.2026</v>
      </c>
      <c r="L121" s="153">
        <v>110</v>
      </c>
      <c r="M121" s="92"/>
    </row>
    <row r="122" spans="1:13" ht="21.6" x14ac:dyDescent="0.65">
      <c r="A122" s="195"/>
      <c r="B122" s="140">
        <v>119</v>
      </c>
      <c r="C122" s="2"/>
      <c r="D122" s="1"/>
      <c r="E122" s="3"/>
      <c r="F122" s="1"/>
      <c r="G122" s="141">
        <f>IF(Basic345678910111213141516171819[[#This Row],[نوع الخدمة]]="مخالفات", 50,
IF(Basic345678910111213141516171819[[#This Row],[نوع الخدمة]]="كاش ان",
    IF(F122&lt;=100, 18, IF(F122&lt;=250, 23, IF(F122&lt;=500, 35, IF(F122&lt;=1000, 40, F122*0.04)))),
IF(Basic345678910111213141516171819[[#This Row],[نوع الخدمة]]="كاش اوت",
    IF(F122&lt;=100, 15, IF(F122&lt;=250, 20, IF(F122&lt;=500, 30, IF(F122&lt;=1000, 35, F122*0.035)))),
0)))</f>
        <v>0</v>
      </c>
      <c r="H122" s="159">
        <f>IF(I122="مخالفات",50,Basic345678910111213141516171819[[#This Row],[قيمة الرسوم / العموله]]+Basic345678910111213141516171819[[#This Row],[قيمة الشحنه]])</f>
        <v>0</v>
      </c>
      <c r="I122" s="90"/>
      <c r="J122" s="142" t="str">
        <f t="shared" si="1"/>
        <v>14.5.2026</v>
      </c>
      <c r="L122" s="153">
        <v>111</v>
      </c>
      <c r="M122" s="92"/>
    </row>
    <row r="123" spans="1:13" ht="21.6" x14ac:dyDescent="0.65">
      <c r="A123" s="195"/>
      <c r="B123" s="140">
        <v>120</v>
      </c>
      <c r="C123" s="2"/>
      <c r="D123" s="1"/>
      <c r="E123" s="3"/>
      <c r="F123" s="1"/>
      <c r="G123" s="141">
        <f>IF(Basic345678910111213141516171819[[#This Row],[نوع الخدمة]]="مخالفات", 50,
IF(Basic345678910111213141516171819[[#This Row],[نوع الخدمة]]="كاش ان",
    IF(F123&lt;=100, 18, IF(F123&lt;=250, 23, IF(F123&lt;=500, 35, IF(F123&lt;=1000, 40, F123*0.04)))),
IF(Basic345678910111213141516171819[[#This Row],[نوع الخدمة]]="كاش اوت",
    IF(F123&lt;=100, 15, IF(F123&lt;=250, 20, IF(F123&lt;=500, 30, IF(F123&lt;=1000, 35, F123*0.035)))),
0)))</f>
        <v>0</v>
      </c>
      <c r="H123" s="159">
        <f>IF(I123="مخالفات",50,Basic345678910111213141516171819[[#This Row],[قيمة الرسوم / العموله]]+Basic345678910111213141516171819[[#This Row],[قيمة الشحنه]])</f>
        <v>0</v>
      </c>
      <c r="I123" s="90"/>
      <c r="J123" s="142" t="str">
        <f t="shared" si="1"/>
        <v>14.5.2026</v>
      </c>
      <c r="L123" s="153">
        <v>112</v>
      </c>
      <c r="M123" s="92"/>
    </row>
    <row r="124" spans="1:13" ht="21.6" x14ac:dyDescent="0.65">
      <c r="A124" s="195"/>
      <c r="B124" s="140">
        <v>121</v>
      </c>
      <c r="C124" s="2"/>
      <c r="D124" s="1"/>
      <c r="E124" s="3"/>
      <c r="F124" s="1"/>
      <c r="G124" s="141">
        <f>IF(Basic345678910111213141516171819[[#This Row],[نوع الخدمة]]="مخالفات", 50,
IF(Basic345678910111213141516171819[[#This Row],[نوع الخدمة]]="كاش ان",
    IF(F124&lt;=100, 18, IF(F124&lt;=250, 23, IF(F124&lt;=500, 35, IF(F124&lt;=1000, 40, F124*0.04)))),
IF(Basic345678910111213141516171819[[#This Row],[نوع الخدمة]]="كاش اوت",
    IF(F124&lt;=100, 15, IF(F124&lt;=250, 20, IF(F124&lt;=500, 30, IF(F124&lt;=1000, 35, F124*0.035)))),
0)))</f>
        <v>0</v>
      </c>
      <c r="H124" s="159">
        <f>IF(I124="مخالفات",50,Basic345678910111213141516171819[[#This Row],[قيمة الرسوم / العموله]]+Basic345678910111213141516171819[[#This Row],[قيمة الشحنه]])</f>
        <v>0</v>
      </c>
      <c r="I124" s="90"/>
      <c r="J124" s="142" t="str">
        <f t="shared" si="1"/>
        <v>14.5.2026</v>
      </c>
      <c r="L124" s="153">
        <v>113</v>
      </c>
      <c r="M124" s="92"/>
    </row>
    <row r="125" spans="1:13" ht="21.6" x14ac:dyDescent="0.65">
      <c r="A125" s="195"/>
      <c r="B125" s="144">
        <v>122</v>
      </c>
      <c r="C125" s="2"/>
      <c r="D125" s="1"/>
      <c r="E125" s="3"/>
      <c r="F125" s="1"/>
      <c r="G125" s="141">
        <f>IF(Basic345678910111213141516171819[[#This Row],[نوع الخدمة]]="مخالفات", 50,
IF(Basic345678910111213141516171819[[#This Row],[نوع الخدمة]]="كاش ان",
    IF(F125&lt;=100, 18, IF(F125&lt;=250, 23, IF(F125&lt;=500, 35, IF(F125&lt;=1000, 40, F125*0.04)))),
IF(Basic345678910111213141516171819[[#This Row],[نوع الخدمة]]="كاش اوت",
    IF(F125&lt;=100, 15, IF(F125&lt;=250, 20, IF(F125&lt;=500, 30, IF(F125&lt;=1000, 35, F125*0.035)))),
0)))</f>
        <v>0</v>
      </c>
      <c r="H125" s="159">
        <f>IF(I125="مخالفات",50,Basic345678910111213141516171819[[#This Row],[قيمة الرسوم / العموله]]+Basic345678910111213141516171819[[#This Row],[قيمة الشحنه]])</f>
        <v>0</v>
      </c>
      <c r="I125" s="90"/>
      <c r="J125" s="142" t="str">
        <f t="shared" si="1"/>
        <v>14.5.2026</v>
      </c>
      <c r="L125" s="153">
        <v>114</v>
      </c>
      <c r="M125" s="92"/>
    </row>
    <row r="126" spans="1:13" ht="21.6" x14ac:dyDescent="0.65">
      <c r="A126" s="195"/>
      <c r="B126" s="140">
        <v>123</v>
      </c>
      <c r="C126" s="2"/>
      <c r="D126" s="1"/>
      <c r="E126" s="3"/>
      <c r="F126" s="1"/>
      <c r="G126" s="141">
        <f>IF(Basic345678910111213141516171819[[#This Row],[نوع الخدمة]]="مخالفات", 50,
IF(Basic345678910111213141516171819[[#This Row],[نوع الخدمة]]="كاش ان",
    IF(F126&lt;=100, 18, IF(F126&lt;=250, 23, IF(F126&lt;=500, 35, IF(F126&lt;=1000, 40, F126*0.04)))),
IF(Basic345678910111213141516171819[[#This Row],[نوع الخدمة]]="كاش اوت",
    IF(F126&lt;=100, 15, IF(F126&lt;=250, 20, IF(F126&lt;=500, 30, IF(F126&lt;=1000, 35, F126*0.035)))),
0)))</f>
        <v>0</v>
      </c>
      <c r="H126" s="159">
        <f>IF(I126="مخالفات",50,Basic345678910111213141516171819[[#This Row],[قيمة الرسوم / العموله]]+Basic345678910111213141516171819[[#This Row],[قيمة الشحنه]])</f>
        <v>0</v>
      </c>
      <c r="I126" s="90"/>
      <c r="J126" s="142" t="str">
        <f t="shared" si="1"/>
        <v>14.5.2026</v>
      </c>
      <c r="L126" s="153">
        <v>115</v>
      </c>
      <c r="M126" s="92"/>
    </row>
    <row r="127" spans="1:13" ht="21.6" x14ac:dyDescent="0.65">
      <c r="A127" s="195"/>
      <c r="B127" s="140">
        <v>124</v>
      </c>
      <c r="C127" s="2"/>
      <c r="D127" s="1"/>
      <c r="E127" s="3"/>
      <c r="F127" s="1"/>
      <c r="G127" s="141">
        <f>IF(Basic345678910111213141516171819[[#This Row],[نوع الخدمة]]="مخالفات", 50,
IF(Basic345678910111213141516171819[[#This Row],[نوع الخدمة]]="كاش ان",
    IF(F127&lt;=100, 18, IF(F127&lt;=250, 23, IF(F127&lt;=500, 35, IF(F127&lt;=1000, 40, F127*0.04)))),
IF(Basic345678910111213141516171819[[#This Row],[نوع الخدمة]]="كاش اوت",
    IF(F127&lt;=100, 15, IF(F127&lt;=250, 20, IF(F127&lt;=500, 30, IF(F127&lt;=1000, 35, F127*0.035)))),
0)))</f>
        <v>0</v>
      </c>
      <c r="H127" s="159">
        <f>IF(I127="مخالفات",50,Basic345678910111213141516171819[[#This Row],[قيمة الرسوم / العموله]]+Basic345678910111213141516171819[[#This Row],[قيمة الشحنه]])</f>
        <v>0</v>
      </c>
      <c r="I127" s="90"/>
      <c r="J127" s="142" t="str">
        <f t="shared" si="1"/>
        <v>14.5.2026</v>
      </c>
      <c r="L127" s="153">
        <v>116</v>
      </c>
      <c r="M127" s="92"/>
    </row>
    <row r="128" spans="1:13" ht="21.6" x14ac:dyDescent="0.65">
      <c r="A128" s="195"/>
      <c r="B128" s="140">
        <v>125</v>
      </c>
      <c r="C128" s="2"/>
      <c r="D128" s="1"/>
      <c r="E128" s="3"/>
      <c r="F128" s="1"/>
      <c r="G128" s="141">
        <f>IF(Basic345678910111213141516171819[[#This Row],[نوع الخدمة]]="مخالفات", 50,
IF(Basic345678910111213141516171819[[#This Row],[نوع الخدمة]]="كاش ان",
    IF(F128&lt;=100, 18, IF(F128&lt;=250, 23, IF(F128&lt;=500, 35, IF(F128&lt;=1000, 40, F128*0.04)))),
IF(Basic345678910111213141516171819[[#This Row],[نوع الخدمة]]="كاش اوت",
    IF(F128&lt;=100, 15, IF(F128&lt;=250, 20, IF(F128&lt;=500, 30, IF(F128&lt;=1000, 35, F128*0.035)))),
0)))</f>
        <v>0</v>
      </c>
      <c r="H128" s="159">
        <f>IF(I128="مخالفات",50,Basic345678910111213141516171819[[#This Row],[قيمة الرسوم / العموله]]+Basic345678910111213141516171819[[#This Row],[قيمة الشحنه]])</f>
        <v>0</v>
      </c>
      <c r="I128" s="90"/>
      <c r="J128" s="142" t="str">
        <f t="shared" si="1"/>
        <v>14.5.2026</v>
      </c>
      <c r="L128" s="153">
        <v>117</v>
      </c>
      <c r="M128" s="92"/>
    </row>
    <row r="129" spans="1:13" ht="21.6" x14ac:dyDescent="0.65">
      <c r="A129" s="195"/>
      <c r="B129" s="144">
        <v>126</v>
      </c>
      <c r="C129" s="2"/>
      <c r="D129" s="1"/>
      <c r="E129" s="3"/>
      <c r="F129" s="1"/>
      <c r="G129" s="141">
        <f>IF(Basic345678910111213141516171819[[#This Row],[نوع الخدمة]]="مخالفات", 50,
IF(Basic345678910111213141516171819[[#This Row],[نوع الخدمة]]="كاش ان",
    IF(F129&lt;=100, 18, IF(F129&lt;=250, 23, IF(F129&lt;=500, 35, IF(F129&lt;=1000, 40, F129*0.04)))),
IF(Basic345678910111213141516171819[[#This Row],[نوع الخدمة]]="كاش اوت",
    IF(F129&lt;=100, 15, IF(F129&lt;=250, 20, IF(F129&lt;=500, 30, IF(F129&lt;=1000, 35, F129*0.035)))),
0)))</f>
        <v>0</v>
      </c>
      <c r="H129" s="159">
        <f>IF(I129="مخالفات",50,Basic345678910111213141516171819[[#This Row],[قيمة الرسوم / العموله]]+Basic345678910111213141516171819[[#This Row],[قيمة الشحنه]])</f>
        <v>0</v>
      </c>
      <c r="I129" s="90"/>
      <c r="J129" s="142" t="str">
        <f t="shared" si="1"/>
        <v>14.5.2026</v>
      </c>
      <c r="L129" s="153">
        <v>118</v>
      </c>
      <c r="M129" s="92"/>
    </row>
    <row r="130" spans="1:13" ht="21.6" x14ac:dyDescent="0.65">
      <c r="A130" s="195"/>
      <c r="B130" s="140">
        <v>127</v>
      </c>
      <c r="C130" s="2"/>
      <c r="D130" s="1"/>
      <c r="E130" s="3"/>
      <c r="F130" s="1"/>
      <c r="G130" s="141">
        <f>IF(Basic345678910111213141516171819[[#This Row],[نوع الخدمة]]="مخالفات", 50,
IF(Basic345678910111213141516171819[[#This Row],[نوع الخدمة]]="كاش ان",
    IF(F130&lt;=100, 18, IF(F130&lt;=250, 23, IF(F130&lt;=500, 35, IF(F130&lt;=1000, 40, F130*0.04)))),
IF(Basic345678910111213141516171819[[#This Row],[نوع الخدمة]]="كاش اوت",
    IF(F130&lt;=100, 15, IF(F130&lt;=250, 20, IF(F130&lt;=500, 30, IF(F130&lt;=1000, 35, F130*0.035)))),
0)))</f>
        <v>0</v>
      </c>
      <c r="H130" s="159">
        <f>IF(I130="مخالفات",50,Basic345678910111213141516171819[[#This Row],[قيمة الرسوم / العموله]]+Basic345678910111213141516171819[[#This Row],[قيمة الشحنه]])</f>
        <v>0</v>
      </c>
      <c r="I130" s="90"/>
      <c r="J130" s="142" t="str">
        <f t="shared" si="1"/>
        <v>14.5.2026</v>
      </c>
      <c r="L130" s="153">
        <v>119</v>
      </c>
      <c r="M130" s="92"/>
    </row>
    <row r="131" spans="1:13" ht="21.6" x14ac:dyDescent="0.65">
      <c r="A131" s="195"/>
      <c r="B131" s="140">
        <v>128</v>
      </c>
      <c r="C131" s="2"/>
      <c r="D131" s="1"/>
      <c r="E131" s="3"/>
      <c r="F131" s="1"/>
      <c r="G131" s="141">
        <f>IF(Basic345678910111213141516171819[[#This Row],[نوع الخدمة]]="مخالفات", 50,
IF(Basic345678910111213141516171819[[#This Row],[نوع الخدمة]]="كاش ان",
    IF(F131&lt;=100, 18, IF(F131&lt;=250, 23, IF(F131&lt;=500, 35, IF(F131&lt;=1000, 40, F131*0.04)))),
IF(Basic345678910111213141516171819[[#This Row],[نوع الخدمة]]="كاش اوت",
    IF(F131&lt;=100, 15, IF(F131&lt;=250, 20, IF(F131&lt;=500, 30, IF(F131&lt;=1000, 35, F131*0.035)))),
0)))</f>
        <v>0</v>
      </c>
      <c r="H131" s="159">
        <f>IF(I131="مخالفات",50,Basic345678910111213141516171819[[#This Row],[قيمة الرسوم / العموله]]+Basic345678910111213141516171819[[#This Row],[قيمة الشحنه]])</f>
        <v>0</v>
      </c>
      <c r="I131" s="90"/>
      <c r="J131" s="142" t="str">
        <f t="shared" si="1"/>
        <v>14.5.2026</v>
      </c>
      <c r="L131" s="153">
        <v>120</v>
      </c>
      <c r="M131" s="92"/>
    </row>
    <row r="132" spans="1:13" ht="21.6" x14ac:dyDescent="0.65">
      <c r="A132" s="195"/>
      <c r="B132" s="140">
        <v>129</v>
      </c>
      <c r="C132" s="2"/>
      <c r="D132" s="1"/>
      <c r="E132" s="3"/>
      <c r="F132" s="1"/>
      <c r="G132" s="141">
        <f>IF(Basic345678910111213141516171819[[#This Row],[نوع الخدمة]]="مخالفات", 50,
IF(Basic345678910111213141516171819[[#This Row],[نوع الخدمة]]="كاش ان",
    IF(F132&lt;=100, 18, IF(F132&lt;=250, 23, IF(F132&lt;=500, 35, IF(F132&lt;=1000, 40, F132*0.04)))),
IF(Basic345678910111213141516171819[[#This Row],[نوع الخدمة]]="كاش اوت",
    IF(F132&lt;=100, 15, IF(F132&lt;=250, 20, IF(F132&lt;=500, 30, IF(F132&lt;=1000, 35, F132*0.035)))),
0)))</f>
        <v>0</v>
      </c>
      <c r="H132" s="159">
        <f>IF(I132="مخالفات",50,Basic345678910111213141516171819[[#This Row],[قيمة الرسوم / العموله]]+Basic345678910111213141516171819[[#This Row],[قيمة الشحنه]])</f>
        <v>0</v>
      </c>
      <c r="I132" s="90"/>
      <c r="J132" s="142" t="str">
        <f t="shared" ref="J132:J195" si="2">M$3</f>
        <v>14.5.2026</v>
      </c>
      <c r="L132" s="153">
        <v>121</v>
      </c>
      <c r="M132" s="92"/>
    </row>
    <row r="133" spans="1:13" ht="21.6" x14ac:dyDescent="0.65">
      <c r="A133" s="195"/>
      <c r="B133" s="144">
        <v>130</v>
      </c>
      <c r="C133" s="2"/>
      <c r="D133" s="1"/>
      <c r="E133" s="3"/>
      <c r="F133" s="1"/>
      <c r="G133" s="141">
        <f>IF(Basic345678910111213141516171819[[#This Row],[نوع الخدمة]]="مخالفات", 50,
IF(Basic345678910111213141516171819[[#This Row],[نوع الخدمة]]="كاش ان",
    IF(F133&lt;=100, 18, IF(F133&lt;=250, 23, IF(F133&lt;=500, 35, IF(F133&lt;=1000, 40, F133*0.04)))),
IF(Basic345678910111213141516171819[[#This Row],[نوع الخدمة]]="كاش اوت",
    IF(F133&lt;=100, 15, IF(F133&lt;=250, 20, IF(F133&lt;=500, 30, IF(F133&lt;=1000, 35, F133*0.035)))),
0)))</f>
        <v>0</v>
      </c>
      <c r="H133" s="159">
        <f>IF(I133="مخالفات",50,Basic345678910111213141516171819[[#This Row],[قيمة الرسوم / العموله]]+Basic345678910111213141516171819[[#This Row],[قيمة الشحنه]])</f>
        <v>0</v>
      </c>
      <c r="I133" s="90"/>
      <c r="J133" s="142" t="str">
        <f t="shared" si="2"/>
        <v>14.5.2026</v>
      </c>
      <c r="L133" s="153">
        <v>122</v>
      </c>
      <c r="M133" s="92"/>
    </row>
    <row r="134" spans="1:13" ht="21.6" x14ac:dyDescent="0.65">
      <c r="A134" s="195"/>
      <c r="B134" s="140">
        <v>131</v>
      </c>
      <c r="C134" s="2"/>
      <c r="D134" s="1"/>
      <c r="E134" s="3"/>
      <c r="F134" s="1"/>
      <c r="G134" s="141">
        <f>IF(Basic345678910111213141516171819[[#This Row],[نوع الخدمة]]="مخالفات", 50,
IF(Basic345678910111213141516171819[[#This Row],[نوع الخدمة]]="كاش ان",
    IF(F134&lt;=100, 18, IF(F134&lt;=250, 23, IF(F134&lt;=500, 35, IF(F134&lt;=1000, 40, F134*0.04)))),
IF(Basic345678910111213141516171819[[#This Row],[نوع الخدمة]]="كاش اوت",
    IF(F134&lt;=100, 15, IF(F134&lt;=250, 20, IF(F134&lt;=500, 30, IF(F134&lt;=1000, 35, F134*0.035)))),
0)))</f>
        <v>0</v>
      </c>
      <c r="H134" s="159">
        <f>IF(I134="مخالفات",50,Basic345678910111213141516171819[[#This Row],[قيمة الرسوم / العموله]]+Basic345678910111213141516171819[[#This Row],[قيمة الشحنه]])</f>
        <v>0</v>
      </c>
      <c r="I134" s="90"/>
      <c r="J134" s="142" t="str">
        <f t="shared" si="2"/>
        <v>14.5.2026</v>
      </c>
      <c r="L134" s="153">
        <v>123</v>
      </c>
      <c r="M134" s="92"/>
    </row>
    <row r="135" spans="1:13" ht="21.6" x14ac:dyDescent="0.65">
      <c r="A135" s="195"/>
      <c r="B135" s="140">
        <v>132</v>
      </c>
      <c r="C135" s="2"/>
      <c r="D135" s="1"/>
      <c r="E135" s="3"/>
      <c r="F135" s="1"/>
      <c r="G135" s="141">
        <f>IF(Basic345678910111213141516171819[[#This Row],[نوع الخدمة]]="مخالفات", 50,
IF(Basic345678910111213141516171819[[#This Row],[نوع الخدمة]]="كاش ان",
    IF(F135&lt;=100, 18, IF(F135&lt;=250, 23, IF(F135&lt;=500, 35, IF(F135&lt;=1000, 40, F135*0.04)))),
IF(Basic345678910111213141516171819[[#This Row],[نوع الخدمة]]="كاش اوت",
    IF(F135&lt;=100, 15, IF(F135&lt;=250, 20, IF(F135&lt;=500, 30, IF(F135&lt;=1000, 35, F135*0.035)))),
0)))</f>
        <v>0</v>
      </c>
      <c r="H135" s="159">
        <f>IF(I135="مخالفات",50,Basic345678910111213141516171819[[#This Row],[قيمة الرسوم / العموله]]+Basic345678910111213141516171819[[#This Row],[قيمة الشحنه]])</f>
        <v>0</v>
      </c>
      <c r="I135" s="90"/>
      <c r="J135" s="142" t="str">
        <f t="shared" si="2"/>
        <v>14.5.2026</v>
      </c>
      <c r="L135" s="153">
        <v>124</v>
      </c>
      <c r="M135" s="92"/>
    </row>
    <row r="136" spans="1:13" ht="21.6" x14ac:dyDescent="0.65">
      <c r="A136" s="195"/>
      <c r="B136" s="140">
        <v>133</v>
      </c>
      <c r="C136" s="2"/>
      <c r="D136" s="1"/>
      <c r="E136" s="3"/>
      <c r="F136" s="1"/>
      <c r="G136" s="141">
        <f>IF(Basic345678910111213141516171819[[#This Row],[نوع الخدمة]]="مخالفات", 50,
IF(Basic345678910111213141516171819[[#This Row],[نوع الخدمة]]="كاش ان",
    IF(F136&lt;=100, 18, IF(F136&lt;=250, 23, IF(F136&lt;=500, 35, IF(F136&lt;=1000, 40, F136*0.04)))),
IF(Basic345678910111213141516171819[[#This Row],[نوع الخدمة]]="كاش اوت",
    IF(F136&lt;=100, 15, IF(F136&lt;=250, 20, IF(F136&lt;=500, 30, IF(F136&lt;=1000, 35, F136*0.035)))),
0)))</f>
        <v>0</v>
      </c>
      <c r="H136" s="159">
        <f>IF(I136="مخالفات",50,Basic345678910111213141516171819[[#This Row],[قيمة الرسوم / العموله]]+Basic345678910111213141516171819[[#This Row],[قيمة الشحنه]])</f>
        <v>0</v>
      </c>
      <c r="I136" s="90"/>
      <c r="J136" s="142" t="str">
        <f t="shared" si="2"/>
        <v>14.5.2026</v>
      </c>
      <c r="L136" s="153">
        <v>125</v>
      </c>
      <c r="M136" s="92"/>
    </row>
    <row r="137" spans="1:13" ht="21.6" x14ac:dyDescent="0.65">
      <c r="A137" s="195"/>
      <c r="B137" s="144">
        <v>134</v>
      </c>
      <c r="C137" s="2"/>
      <c r="D137" s="1"/>
      <c r="E137" s="3"/>
      <c r="F137" s="1"/>
      <c r="G137" s="141">
        <f>IF(Basic345678910111213141516171819[[#This Row],[نوع الخدمة]]="مخالفات", 50,
IF(Basic345678910111213141516171819[[#This Row],[نوع الخدمة]]="كاش ان",
    IF(F137&lt;=100, 18, IF(F137&lt;=250, 23, IF(F137&lt;=500, 35, IF(F137&lt;=1000, 40, F137*0.04)))),
IF(Basic345678910111213141516171819[[#This Row],[نوع الخدمة]]="كاش اوت",
    IF(F137&lt;=100, 15, IF(F137&lt;=250, 20, IF(F137&lt;=500, 30, IF(F137&lt;=1000, 35, F137*0.035)))),
0)))</f>
        <v>0</v>
      </c>
      <c r="H137" s="159">
        <f>IF(I137="مخالفات",50,Basic345678910111213141516171819[[#This Row],[قيمة الرسوم / العموله]]+Basic345678910111213141516171819[[#This Row],[قيمة الشحنه]])</f>
        <v>0</v>
      </c>
      <c r="I137" s="90"/>
      <c r="J137" s="142" t="str">
        <f t="shared" si="2"/>
        <v>14.5.2026</v>
      </c>
      <c r="L137" s="153">
        <v>126</v>
      </c>
      <c r="M137" s="92"/>
    </row>
    <row r="138" spans="1:13" ht="21.6" x14ac:dyDescent="0.65">
      <c r="A138" s="195"/>
      <c r="B138" s="140">
        <v>135</v>
      </c>
      <c r="C138" s="2"/>
      <c r="D138" s="1"/>
      <c r="E138" s="3"/>
      <c r="F138" s="1"/>
      <c r="G138" s="141">
        <f>IF(Basic345678910111213141516171819[[#This Row],[نوع الخدمة]]="مخالفات", 50,
IF(Basic345678910111213141516171819[[#This Row],[نوع الخدمة]]="كاش ان",
    IF(F138&lt;=100, 18, IF(F138&lt;=250, 23, IF(F138&lt;=500, 35, IF(F138&lt;=1000, 40, F138*0.04)))),
IF(Basic345678910111213141516171819[[#This Row],[نوع الخدمة]]="كاش اوت",
    IF(F138&lt;=100, 15, IF(F138&lt;=250, 20, IF(F138&lt;=500, 30, IF(F138&lt;=1000, 35, F138*0.035)))),
0)))</f>
        <v>0</v>
      </c>
      <c r="H138" s="159">
        <f>IF(I138="مخالفات",50,Basic345678910111213141516171819[[#This Row],[قيمة الرسوم / العموله]]+Basic345678910111213141516171819[[#This Row],[قيمة الشحنه]])</f>
        <v>0</v>
      </c>
      <c r="I138" s="90"/>
      <c r="J138" s="142" t="str">
        <f t="shared" si="2"/>
        <v>14.5.2026</v>
      </c>
      <c r="L138" s="153">
        <v>127</v>
      </c>
      <c r="M138" s="92"/>
    </row>
    <row r="139" spans="1:13" ht="21.6" x14ac:dyDescent="0.65">
      <c r="A139" s="195"/>
      <c r="B139" s="140">
        <v>136</v>
      </c>
      <c r="C139" s="2"/>
      <c r="D139" s="1"/>
      <c r="E139" s="3"/>
      <c r="F139" s="1"/>
      <c r="G139" s="141">
        <f>IF(Basic345678910111213141516171819[[#This Row],[نوع الخدمة]]="مخالفات", 50,
IF(Basic345678910111213141516171819[[#This Row],[نوع الخدمة]]="كاش ان",
    IF(F139&lt;=100, 18, IF(F139&lt;=250, 23, IF(F139&lt;=500, 35, IF(F139&lt;=1000, 40, F139*0.04)))),
IF(Basic345678910111213141516171819[[#This Row],[نوع الخدمة]]="كاش اوت",
    IF(F139&lt;=100, 15, IF(F139&lt;=250, 20, IF(F139&lt;=500, 30, IF(F139&lt;=1000, 35, F139*0.035)))),
0)))</f>
        <v>0</v>
      </c>
      <c r="H139" s="159">
        <f>IF(I139="مخالفات",50,Basic345678910111213141516171819[[#This Row],[قيمة الرسوم / العموله]]+Basic345678910111213141516171819[[#This Row],[قيمة الشحنه]])</f>
        <v>0</v>
      </c>
      <c r="I139" s="90"/>
      <c r="J139" s="142" t="str">
        <f t="shared" si="2"/>
        <v>14.5.2026</v>
      </c>
      <c r="L139" s="153">
        <v>128</v>
      </c>
      <c r="M139" s="92"/>
    </row>
    <row r="140" spans="1:13" ht="21.6" x14ac:dyDescent="0.65">
      <c r="A140" s="195"/>
      <c r="B140" s="140">
        <v>137</v>
      </c>
      <c r="C140" s="2"/>
      <c r="D140" s="1"/>
      <c r="E140" s="3"/>
      <c r="F140" s="1"/>
      <c r="G140" s="141">
        <f>IF(Basic345678910111213141516171819[[#This Row],[نوع الخدمة]]="مخالفات", 50,
IF(Basic345678910111213141516171819[[#This Row],[نوع الخدمة]]="كاش ان",
    IF(F140&lt;=100, 18, IF(F140&lt;=250, 23, IF(F140&lt;=500, 35, IF(F140&lt;=1000, 40, F140*0.04)))),
IF(Basic345678910111213141516171819[[#This Row],[نوع الخدمة]]="كاش اوت",
    IF(F140&lt;=100, 15, IF(F140&lt;=250, 20, IF(F140&lt;=500, 30, IF(F140&lt;=1000, 35, F140*0.035)))),
0)))</f>
        <v>0</v>
      </c>
      <c r="H140" s="159">
        <f>IF(I140="مخالفات",50,Basic345678910111213141516171819[[#This Row],[قيمة الرسوم / العموله]]+Basic345678910111213141516171819[[#This Row],[قيمة الشحنه]])</f>
        <v>0</v>
      </c>
      <c r="I140" s="90"/>
      <c r="J140" s="142" t="str">
        <f t="shared" si="2"/>
        <v>14.5.2026</v>
      </c>
      <c r="L140" s="153">
        <v>129</v>
      </c>
      <c r="M140" s="92"/>
    </row>
    <row r="141" spans="1:13" ht="21.6" x14ac:dyDescent="0.65">
      <c r="A141" s="195"/>
      <c r="B141" s="144">
        <v>138</v>
      </c>
      <c r="C141" s="2"/>
      <c r="D141" s="1"/>
      <c r="E141" s="3"/>
      <c r="F141" s="1"/>
      <c r="G141" s="141">
        <f>IF(Basic345678910111213141516171819[[#This Row],[نوع الخدمة]]="مخالفات", 50,
IF(Basic345678910111213141516171819[[#This Row],[نوع الخدمة]]="كاش ان",
    IF(F141&lt;=100, 18, IF(F141&lt;=250, 23, IF(F141&lt;=500, 35, IF(F141&lt;=1000, 40, F141*0.04)))),
IF(Basic345678910111213141516171819[[#This Row],[نوع الخدمة]]="كاش اوت",
    IF(F141&lt;=100, 15, IF(F141&lt;=250, 20, IF(F141&lt;=500, 30, IF(F141&lt;=1000, 35, F141*0.035)))),
0)))</f>
        <v>0</v>
      </c>
      <c r="H141" s="159">
        <f>IF(I141="مخالفات",50,Basic345678910111213141516171819[[#This Row],[قيمة الرسوم / العموله]]+Basic345678910111213141516171819[[#This Row],[قيمة الشحنه]])</f>
        <v>0</v>
      </c>
      <c r="I141" s="90"/>
      <c r="J141" s="142" t="str">
        <f t="shared" si="2"/>
        <v>14.5.2026</v>
      </c>
      <c r="L141" s="153">
        <v>130</v>
      </c>
      <c r="M141" s="92"/>
    </row>
    <row r="142" spans="1:13" ht="21.6" x14ac:dyDescent="0.65">
      <c r="A142" s="195"/>
      <c r="B142" s="140">
        <v>139</v>
      </c>
      <c r="C142" s="2"/>
      <c r="D142" s="1"/>
      <c r="E142" s="3"/>
      <c r="F142" s="1"/>
      <c r="G142" s="141">
        <f>IF(Basic345678910111213141516171819[[#This Row],[نوع الخدمة]]="مخالفات", 50,
IF(Basic345678910111213141516171819[[#This Row],[نوع الخدمة]]="كاش ان",
    IF(F142&lt;=100, 18, IF(F142&lt;=250, 23, IF(F142&lt;=500, 35, IF(F142&lt;=1000, 40, F142*0.04)))),
IF(Basic345678910111213141516171819[[#This Row],[نوع الخدمة]]="كاش اوت",
    IF(F142&lt;=100, 15, IF(F142&lt;=250, 20, IF(F142&lt;=500, 30, IF(F142&lt;=1000, 35, F142*0.035)))),
0)))</f>
        <v>0</v>
      </c>
      <c r="H142" s="159">
        <f>IF(I142="مخالفات",50,Basic345678910111213141516171819[[#This Row],[قيمة الرسوم / العموله]]+Basic345678910111213141516171819[[#This Row],[قيمة الشحنه]])</f>
        <v>0</v>
      </c>
      <c r="I142" s="90"/>
      <c r="J142" s="142" t="str">
        <f t="shared" si="2"/>
        <v>14.5.2026</v>
      </c>
      <c r="L142" s="153">
        <v>131</v>
      </c>
      <c r="M142" s="92"/>
    </row>
    <row r="143" spans="1:13" ht="21.6" x14ac:dyDescent="0.65">
      <c r="A143" s="195"/>
      <c r="B143" s="140">
        <v>140</v>
      </c>
      <c r="C143" s="2"/>
      <c r="D143" s="1"/>
      <c r="E143" s="3"/>
      <c r="F143" s="1"/>
      <c r="G143" s="141">
        <f>IF(Basic345678910111213141516171819[[#This Row],[نوع الخدمة]]="مخالفات", 50,
IF(Basic345678910111213141516171819[[#This Row],[نوع الخدمة]]="كاش ان",
    IF(F143&lt;=100, 18, IF(F143&lt;=250, 23, IF(F143&lt;=500, 35, IF(F143&lt;=1000, 40, F143*0.04)))),
IF(Basic345678910111213141516171819[[#This Row],[نوع الخدمة]]="كاش اوت",
    IF(F143&lt;=100, 15, IF(F143&lt;=250, 20, IF(F143&lt;=500, 30, IF(F143&lt;=1000, 35, F143*0.035)))),
0)))</f>
        <v>0</v>
      </c>
      <c r="H143" s="159">
        <f>IF(I143="مخالفات",50,Basic345678910111213141516171819[[#This Row],[قيمة الرسوم / العموله]]+Basic345678910111213141516171819[[#This Row],[قيمة الشحنه]])</f>
        <v>0</v>
      </c>
      <c r="I143" s="90"/>
      <c r="J143" s="142" t="str">
        <f t="shared" si="2"/>
        <v>14.5.2026</v>
      </c>
      <c r="L143" s="153">
        <v>132</v>
      </c>
      <c r="M143" s="92"/>
    </row>
    <row r="144" spans="1:13" ht="21.6" x14ac:dyDescent="0.65">
      <c r="A144" s="195"/>
      <c r="B144" s="140">
        <v>141</v>
      </c>
      <c r="C144" s="2"/>
      <c r="D144" s="1"/>
      <c r="E144" s="3"/>
      <c r="F144" s="1"/>
      <c r="G144" s="141">
        <f>IF(Basic345678910111213141516171819[[#This Row],[نوع الخدمة]]="مخالفات", 50,
IF(Basic345678910111213141516171819[[#This Row],[نوع الخدمة]]="كاش ان",
    IF(F144&lt;=100, 18, IF(F144&lt;=250, 23, IF(F144&lt;=500, 35, IF(F144&lt;=1000, 40, F144*0.04)))),
IF(Basic345678910111213141516171819[[#This Row],[نوع الخدمة]]="كاش اوت",
    IF(F144&lt;=100, 15, IF(F144&lt;=250, 20, IF(F144&lt;=500, 30, IF(F144&lt;=1000, 35, F144*0.035)))),
0)))</f>
        <v>0</v>
      </c>
      <c r="H144" s="159">
        <f>IF(I144="مخالفات",50,Basic345678910111213141516171819[[#This Row],[قيمة الرسوم / العموله]]+Basic345678910111213141516171819[[#This Row],[قيمة الشحنه]])</f>
        <v>0</v>
      </c>
      <c r="I144" s="90"/>
      <c r="J144" s="142" t="str">
        <f t="shared" si="2"/>
        <v>14.5.2026</v>
      </c>
      <c r="L144" s="153">
        <v>133</v>
      </c>
      <c r="M144" s="92"/>
    </row>
    <row r="145" spans="1:13" ht="21.6" x14ac:dyDescent="0.65">
      <c r="A145" s="195"/>
      <c r="B145" s="144">
        <v>142</v>
      </c>
      <c r="C145" s="2"/>
      <c r="D145" s="1"/>
      <c r="E145" s="3"/>
      <c r="F145" s="1"/>
      <c r="G145" s="141">
        <f>IF(Basic345678910111213141516171819[[#This Row],[نوع الخدمة]]="مخالفات", 50,
IF(Basic345678910111213141516171819[[#This Row],[نوع الخدمة]]="كاش ان",
    IF(F145&lt;=100, 18, IF(F145&lt;=250, 23, IF(F145&lt;=500, 35, IF(F145&lt;=1000, 40, F145*0.04)))),
IF(Basic345678910111213141516171819[[#This Row],[نوع الخدمة]]="كاش اوت",
    IF(F145&lt;=100, 15, IF(F145&lt;=250, 20, IF(F145&lt;=500, 30, IF(F145&lt;=1000, 35, F145*0.035)))),
0)))</f>
        <v>0</v>
      </c>
      <c r="H145" s="159">
        <f>IF(I145="مخالفات",50,Basic345678910111213141516171819[[#This Row],[قيمة الرسوم / العموله]]+Basic345678910111213141516171819[[#This Row],[قيمة الشحنه]])</f>
        <v>0</v>
      </c>
      <c r="I145" s="90"/>
      <c r="J145" s="142" t="str">
        <f t="shared" si="2"/>
        <v>14.5.2026</v>
      </c>
      <c r="L145" s="153">
        <v>134</v>
      </c>
      <c r="M145" s="92"/>
    </row>
    <row r="146" spans="1:13" ht="21.6" x14ac:dyDescent="0.65">
      <c r="A146" s="195"/>
      <c r="B146" s="140">
        <v>143</v>
      </c>
      <c r="C146" s="2"/>
      <c r="D146" s="1"/>
      <c r="E146" s="3"/>
      <c r="F146" s="1"/>
      <c r="G146" s="141">
        <f>IF(Basic345678910111213141516171819[[#This Row],[نوع الخدمة]]="مخالفات", 50,
IF(Basic345678910111213141516171819[[#This Row],[نوع الخدمة]]="كاش ان",
    IF(F146&lt;=100, 18, IF(F146&lt;=250, 23, IF(F146&lt;=500, 35, IF(F146&lt;=1000, 40, F146*0.04)))),
IF(Basic345678910111213141516171819[[#This Row],[نوع الخدمة]]="كاش اوت",
    IF(F146&lt;=100, 15, IF(F146&lt;=250, 20, IF(F146&lt;=500, 30, IF(F146&lt;=1000, 35, F146*0.035)))),
0)))</f>
        <v>0</v>
      </c>
      <c r="H146" s="159">
        <f>IF(I146="مخالفات",50,Basic345678910111213141516171819[[#This Row],[قيمة الرسوم / العموله]]+Basic345678910111213141516171819[[#This Row],[قيمة الشحنه]])</f>
        <v>0</v>
      </c>
      <c r="I146" s="90"/>
      <c r="J146" s="142" t="str">
        <f t="shared" si="2"/>
        <v>14.5.2026</v>
      </c>
      <c r="L146" s="153">
        <v>135</v>
      </c>
      <c r="M146" s="92"/>
    </row>
    <row r="147" spans="1:13" ht="21.6" x14ac:dyDescent="0.65">
      <c r="A147" s="195"/>
      <c r="B147" s="140">
        <v>144</v>
      </c>
      <c r="C147" s="2"/>
      <c r="D147" s="1"/>
      <c r="E147" s="3"/>
      <c r="F147" s="1"/>
      <c r="G147" s="141">
        <f>IF(Basic345678910111213141516171819[[#This Row],[نوع الخدمة]]="مخالفات", 50,
IF(Basic345678910111213141516171819[[#This Row],[نوع الخدمة]]="كاش ان",
    IF(F147&lt;=100, 18, IF(F147&lt;=250, 23, IF(F147&lt;=500, 35, IF(F147&lt;=1000, 40, F147*0.04)))),
IF(Basic345678910111213141516171819[[#This Row],[نوع الخدمة]]="كاش اوت",
    IF(F147&lt;=100, 15, IF(F147&lt;=250, 20, IF(F147&lt;=500, 30, IF(F147&lt;=1000, 35, F147*0.035)))),
0)))</f>
        <v>0</v>
      </c>
      <c r="H147" s="159">
        <f>IF(I147="مخالفات",50,Basic345678910111213141516171819[[#This Row],[قيمة الرسوم / العموله]]+Basic345678910111213141516171819[[#This Row],[قيمة الشحنه]])</f>
        <v>0</v>
      </c>
      <c r="I147" s="90"/>
      <c r="J147" s="142" t="str">
        <f t="shared" si="2"/>
        <v>14.5.2026</v>
      </c>
      <c r="L147" s="153">
        <v>136</v>
      </c>
      <c r="M147" s="92"/>
    </row>
    <row r="148" spans="1:13" ht="21.6" x14ac:dyDescent="0.65">
      <c r="A148" s="195"/>
      <c r="B148" s="140">
        <v>145</v>
      </c>
      <c r="C148" s="2"/>
      <c r="D148" s="1"/>
      <c r="E148" s="3"/>
      <c r="F148" s="1"/>
      <c r="G148" s="141">
        <f>IF(Basic345678910111213141516171819[[#This Row],[نوع الخدمة]]="مخالفات", 50,
IF(Basic345678910111213141516171819[[#This Row],[نوع الخدمة]]="كاش ان",
    IF(F148&lt;=100, 18, IF(F148&lt;=250, 23, IF(F148&lt;=500, 35, IF(F148&lt;=1000, 40, F148*0.04)))),
IF(Basic345678910111213141516171819[[#This Row],[نوع الخدمة]]="كاش اوت",
    IF(F148&lt;=100, 15, IF(F148&lt;=250, 20, IF(F148&lt;=500, 30, IF(F148&lt;=1000, 35, F148*0.035)))),
0)))</f>
        <v>0</v>
      </c>
      <c r="H148" s="159">
        <f>IF(I148="مخالفات",50,Basic345678910111213141516171819[[#This Row],[قيمة الرسوم / العموله]]+Basic345678910111213141516171819[[#This Row],[قيمة الشحنه]])</f>
        <v>0</v>
      </c>
      <c r="I148" s="90"/>
      <c r="J148" s="142" t="str">
        <f t="shared" si="2"/>
        <v>14.5.2026</v>
      </c>
      <c r="L148" s="153">
        <v>137</v>
      </c>
      <c r="M148" s="92"/>
    </row>
    <row r="149" spans="1:13" ht="21.6" x14ac:dyDescent="0.65">
      <c r="A149" s="195"/>
      <c r="B149" s="144">
        <v>146</v>
      </c>
      <c r="C149" s="2"/>
      <c r="D149" s="1"/>
      <c r="E149" s="3"/>
      <c r="F149" s="1"/>
      <c r="G149" s="141">
        <f>IF(Basic345678910111213141516171819[[#This Row],[نوع الخدمة]]="مخالفات", 50,
IF(Basic345678910111213141516171819[[#This Row],[نوع الخدمة]]="كاش ان",
    IF(F149&lt;=100, 18, IF(F149&lt;=250, 23, IF(F149&lt;=500, 35, IF(F149&lt;=1000, 40, F149*0.04)))),
IF(Basic345678910111213141516171819[[#This Row],[نوع الخدمة]]="كاش اوت",
    IF(F149&lt;=100, 15, IF(F149&lt;=250, 20, IF(F149&lt;=500, 30, IF(F149&lt;=1000, 35, F149*0.035)))),
0)))</f>
        <v>0</v>
      </c>
      <c r="H149" s="159">
        <f>IF(I149="مخالفات",50,Basic345678910111213141516171819[[#This Row],[قيمة الرسوم / العموله]]+Basic345678910111213141516171819[[#This Row],[قيمة الشحنه]])</f>
        <v>0</v>
      </c>
      <c r="I149" s="90"/>
      <c r="J149" s="142" t="str">
        <f t="shared" si="2"/>
        <v>14.5.2026</v>
      </c>
      <c r="L149" s="153">
        <v>138</v>
      </c>
      <c r="M149" s="92"/>
    </row>
    <row r="150" spans="1:13" ht="21.6" x14ac:dyDescent="0.65">
      <c r="A150" s="195"/>
      <c r="B150" s="140">
        <v>147</v>
      </c>
      <c r="C150" s="2"/>
      <c r="D150" s="1"/>
      <c r="E150" s="3"/>
      <c r="F150" s="1"/>
      <c r="G150" s="141">
        <f>IF(Basic345678910111213141516171819[[#This Row],[نوع الخدمة]]="مخالفات", 50,
IF(Basic345678910111213141516171819[[#This Row],[نوع الخدمة]]="كاش ان",
    IF(F150&lt;=100, 18, IF(F150&lt;=250, 23, IF(F150&lt;=500, 35, IF(F150&lt;=1000, 40, F150*0.04)))),
IF(Basic345678910111213141516171819[[#This Row],[نوع الخدمة]]="كاش اوت",
    IF(F150&lt;=100, 15, IF(F150&lt;=250, 20, IF(F150&lt;=500, 30, IF(F150&lt;=1000, 35, F150*0.035)))),
0)))</f>
        <v>0</v>
      </c>
      <c r="H150" s="159">
        <f>IF(I150="مخالفات",50,Basic345678910111213141516171819[[#This Row],[قيمة الرسوم / العموله]]+Basic345678910111213141516171819[[#This Row],[قيمة الشحنه]])</f>
        <v>0</v>
      </c>
      <c r="I150" s="90"/>
      <c r="J150" s="142" t="str">
        <f t="shared" si="2"/>
        <v>14.5.2026</v>
      </c>
      <c r="L150" s="153">
        <v>139</v>
      </c>
      <c r="M150" s="92"/>
    </row>
    <row r="151" spans="1:13" ht="21.6" x14ac:dyDescent="0.65">
      <c r="A151" s="195"/>
      <c r="B151" s="140">
        <v>148</v>
      </c>
      <c r="C151" s="2"/>
      <c r="D151" s="1"/>
      <c r="E151" s="3"/>
      <c r="F151" s="1"/>
      <c r="G151" s="141">
        <f>IF(Basic345678910111213141516171819[[#This Row],[نوع الخدمة]]="مخالفات", 50,
IF(Basic345678910111213141516171819[[#This Row],[نوع الخدمة]]="كاش ان",
    IF(F151&lt;=100, 18, IF(F151&lt;=250, 23, IF(F151&lt;=500, 35, IF(F151&lt;=1000, 40, F151*0.04)))),
IF(Basic345678910111213141516171819[[#This Row],[نوع الخدمة]]="كاش اوت",
    IF(F151&lt;=100, 15, IF(F151&lt;=250, 20, IF(F151&lt;=500, 30, IF(F151&lt;=1000, 35, F151*0.035)))),
0)))</f>
        <v>0</v>
      </c>
      <c r="H151" s="159">
        <f>IF(I151="مخالفات",50,Basic345678910111213141516171819[[#This Row],[قيمة الرسوم / العموله]]+Basic345678910111213141516171819[[#This Row],[قيمة الشحنه]])</f>
        <v>0</v>
      </c>
      <c r="I151" s="90"/>
      <c r="J151" s="142" t="str">
        <f t="shared" si="2"/>
        <v>14.5.2026</v>
      </c>
      <c r="L151" s="153">
        <v>140</v>
      </c>
      <c r="M151" s="92"/>
    </row>
    <row r="152" spans="1:13" ht="21.6" x14ac:dyDescent="0.65">
      <c r="A152" s="195"/>
      <c r="B152" s="140">
        <v>149</v>
      </c>
      <c r="C152" s="2"/>
      <c r="D152" s="1"/>
      <c r="E152" s="3"/>
      <c r="F152" s="1"/>
      <c r="G152" s="141">
        <f>IF(Basic345678910111213141516171819[[#This Row],[نوع الخدمة]]="مخالفات", 50,
IF(Basic345678910111213141516171819[[#This Row],[نوع الخدمة]]="كاش ان",
    IF(F152&lt;=100, 18, IF(F152&lt;=250, 23, IF(F152&lt;=500, 35, IF(F152&lt;=1000, 40, F152*0.04)))),
IF(Basic345678910111213141516171819[[#This Row],[نوع الخدمة]]="كاش اوت",
    IF(F152&lt;=100, 15, IF(F152&lt;=250, 20, IF(F152&lt;=500, 30, IF(F152&lt;=1000, 35, F152*0.035)))),
0)))</f>
        <v>0</v>
      </c>
      <c r="H152" s="159">
        <f>IF(I152="مخالفات",50,Basic345678910111213141516171819[[#This Row],[قيمة الرسوم / العموله]]+Basic345678910111213141516171819[[#This Row],[قيمة الشحنه]])</f>
        <v>0</v>
      </c>
      <c r="I152" s="90"/>
      <c r="J152" s="142" t="str">
        <f t="shared" si="2"/>
        <v>14.5.2026</v>
      </c>
      <c r="L152" s="153">
        <v>141</v>
      </c>
      <c r="M152" s="92"/>
    </row>
    <row r="153" spans="1:13" ht="21.6" x14ac:dyDescent="0.65">
      <c r="A153" s="195"/>
      <c r="B153" s="144">
        <v>150</v>
      </c>
      <c r="C153" s="2"/>
      <c r="D153" s="1"/>
      <c r="E153" s="3"/>
      <c r="F153" s="1"/>
      <c r="G153" s="141">
        <f>IF(Basic345678910111213141516171819[[#This Row],[نوع الخدمة]]="مخالفات", 50,
IF(Basic345678910111213141516171819[[#This Row],[نوع الخدمة]]="كاش ان",
    IF(F153&lt;=100, 18, IF(F153&lt;=250, 23, IF(F153&lt;=500, 35, IF(F153&lt;=1000, 40, F153*0.04)))),
IF(Basic345678910111213141516171819[[#This Row],[نوع الخدمة]]="كاش اوت",
    IF(F153&lt;=100, 15, IF(F153&lt;=250, 20, IF(F153&lt;=500, 30, IF(F153&lt;=1000, 35, F153*0.035)))),
0)))</f>
        <v>0</v>
      </c>
      <c r="H153" s="159">
        <f>IF(I153="مخالفات",50,Basic345678910111213141516171819[[#This Row],[قيمة الرسوم / العموله]]+Basic345678910111213141516171819[[#This Row],[قيمة الشحنه]])</f>
        <v>0</v>
      </c>
      <c r="I153" s="90"/>
      <c r="J153" s="142" t="str">
        <f t="shared" si="2"/>
        <v>14.5.2026</v>
      </c>
      <c r="L153" s="153">
        <v>142</v>
      </c>
      <c r="M153" s="92"/>
    </row>
    <row r="154" spans="1:13" ht="21.6" x14ac:dyDescent="0.65">
      <c r="A154" s="195"/>
      <c r="B154" s="140">
        <v>151</v>
      </c>
      <c r="C154" s="2"/>
      <c r="D154" s="1"/>
      <c r="E154" s="3"/>
      <c r="F154" s="1"/>
      <c r="G154" s="141">
        <f>IF(Basic345678910111213141516171819[[#This Row],[نوع الخدمة]]="مخالفات", 50,
IF(Basic345678910111213141516171819[[#This Row],[نوع الخدمة]]="كاش ان",
    IF(F154&lt;=100, 18, IF(F154&lt;=250, 23, IF(F154&lt;=500, 35, IF(F154&lt;=1000, 40, F154*0.04)))),
IF(Basic345678910111213141516171819[[#This Row],[نوع الخدمة]]="كاش اوت",
    IF(F154&lt;=100, 15, IF(F154&lt;=250, 20, IF(F154&lt;=500, 30, IF(F154&lt;=1000, 35, F154*0.035)))),
0)))</f>
        <v>0</v>
      </c>
      <c r="H154" s="159">
        <f>IF(I154="مخالفات",50,Basic345678910111213141516171819[[#This Row],[قيمة الرسوم / العموله]]+Basic345678910111213141516171819[[#This Row],[قيمة الشحنه]])</f>
        <v>0</v>
      </c>
      <c r="I154" s="90"/>
      <c r="J154" s="142" t="str">
        <f t="shared" si="2"/>
        <v>14.5.2026</v>
      </c>
      <c r="L154" s="153">
        <v>143</v>
      </c>
      <c r="M154" s="92"/>
    </row>
    <row r="155" spans="1:13" ht="21.6" x14ac:dyDescent="0.65">
      <c r="A155" s="195"/>
      <c r="B155" s="140">
        <v>152</v>
      </c>
      <c r="C155" s="2"/>
      <c r="D155" s="1"/>
      <c r="E155" s="3"/>
      <c r="F155" s="1"/>
      <c r="G155" s="141">
        <f>IF(Basic345678910111213141516171819[[#This Row],[نوع الخدمة]]="مخالفات", 50,
IF(Basic345678910111213141516171819[[#This Row],[نوع الخدمة]]="كاش ان",
    IF(F155&lt;=100, 18, IF(F155&lt;=250, 23, IF(F155&lt;=500, 35, IF(F155&lt;=1000, 40, F155*0.04)))),
IF(Basic345678910111213141516171819[[#This Row],[نوع الخدمة]]="كاش اوت",
    IF(F155&lt;=100, 15, IF(F155&lt;=250, 20, IF(F155&lt;=500, 30, IF(F155&lt;=1000, 35, F155*0.035)))),
0)))</f>
        <v>0</v>
      </c>
      <c r="H155" s="159">
        <f>IF(I155="مخالفات",50,Basic345678910111213141516171819[[#This Row],[قيمة الرسوم / العموله]]+Basic345678910111213141516171819[[#This Row],[قيمة الشحنه]])</f>
        <v>0</v>
      </c>
      <c r="I155" s="90"/>
      <c r="J155" s="142" t="str">
        <f t="shared" si="2"/>
        <v>14.5.2026</v>
      </c>
      <c r="L155" s="153">
        <v>144</v>
      </c>
      <c r="M155" s="92"/>
    </row>
    <row r="156" spans="1:13" ht="21.6" x14ac:dyDescent="0.65">
      <c r="A156" s="195"/>
      <c r="B156" s="140">
        <v>153</v>
      </c>
      <c r="C156" s="2"/>
      <c r="D156" s="1"/>
      <c r="E156" s="3"/>
      <c r="F156" s="1"/>
      <c r="G156" s="141">
        <f>IF(Basic345678910111213141516171819[[#This Row],[نوع الخدمة]]="مخالفات", 50,
IF(Basic345678910111213141516171819[[#This Row],[نوع الخدمة]]="كاش ان",
    IF(F156&lt;=100, 18, IF(F156&lt;=250, 23, IF(F156&lt;=500, 35, IF(F156&lt;=1000, 40, F156*0.04)))),
IF(Basic345678910111213141516171819[[#This Row],[نوع الخدمة]]="كاش اوت",
    IF(F156&lt;=100, 15, IF(F156&lt;=250, 20, IF(F156&lt;=500, 30, IF(F156&lt;=1000, 35, F156*0.035)))),
0)))</f>
        <v>0</v>
      </c>
      <c r="H156" s="159">
        <f>IF(I156="مخالفات",50,Basic345678910111213141516171819[[#This Row],[قيمة الرسوم / العموله]]+Basic345678910111213141516171819[[#This Row],[قيمة الشحنه]])</f>
        <v>0</v>
      </c>
      <c r="I156" s="90"/>
      <c r="J156" s="142" t="str">
        <f t="shared" si="2"/>
        <v>14.5.2026</v>
      </c>
      <c r="L156" s="153">
        <v>145</v>
      </c>
      <c r="M156" s="92"/>
    </row>
    <row r="157" spans="1:13" ht="21.6" x14ac:dyDescent="0.65">
      <c r="A157" s="195"/>
      <c r="B157" s="144">
        <v>154</v>
      </c>
      <c r="C157" s="2"/>
      <c r="D157" s="1"/>
      <c r="E157" s="3"/>
      <c r="F157" s="1"/>
      <c r="G157" s="141">
        <f>IF(Basic345678910111213141516171819[[#This Row],[نوع الخدمة]]="مخالفات", 50,
IF(Basic345678910111213141516171819[[#This Row],[نوع الخدمة]]="كاش ان",
    IF(F157&lt;=100, 18, IF(F157&lt;=250, 23, IF(F157&lt;=500, 35, IF(F157&lt;=1000, 40, F157*0.04)))),
IF(Basic345678910111213141516171819[[#This Row],[نوع الخدمة]]="كاش اوت",
    IF(F157&lt;=100, 15, IF(F157&lt;=250, 20, IF(F157&lt;=500, 30, IF(F157&lt;=1000, 35, F157*0.035)))),
0)))</f>
        <v>0</v>
      </c>
      <c r="H157" s="159">
        <f>IF(I157="مخالفات",50,Basic345678910111213141516171819[[#This Row],[قيمة الرسوم / العموله]]+Basic345678910111213141516171819[[#This Row],[قيمة الشحنه]])</f>
        <v>0</v>
      </c>
      <c r="I157" s="90"/>
      <c r="J157" s="142" t="str">
        <f t="shared" si="2"/>
        <v>14.5.2026</v>
      </c>
      <c r="L157" s="153">
        <v>146</v>
      </c>
      <c r="M157" s="92"/>
    </row>
    <row r="158" spans="1:13" ht="21.6" x14ac:dyDescent="0.65">
      <c r="A158" s="195"/>
      <c r="B158" s="140">
        <v>155</v>
      </c>
      <c r="C158" s="2"/>
      <c r="D158" s="1"/>
      <c r="E158" s="3"/>
      <c r="F158" s="1"/>
      <c r="G158" s="141">
        <f>IF(Basic345678910111213141516171819[[#This Row],[نوع الخدمة]]="مخالفات", 50,
IF(Basic345678910111213141516171819[[#This Row],[نوع الخدمة]]="كاش ان",
    IF(F158&lt;=100, 18, IF(F158&lt;=250, 23, IF(F158&lt;=500, 35, IF(F158&lt;=1000, 40, F158*0.04)))),
IF(Basic345678910111213141516171819[[#This Row],[نوع الخدمة]]="كاش اوت",
    IF(F158&lt;=100, 15, IF(F158&lt;=250, 20, IF(F158&lt;=500, 30, IF(F158&lt;=1000, 35, F158*0.035)))),
0)))</f>
        <v>0</v>
      </c>
      <c r="H158" s="159">
        <f>IF(I158="مخالفات",50,Basic345678910111213141516171819[[#This Row],[قيمة الرسوم / العموله]]+Basic345678910111213141516171819[[#This Row],[قيمة الشحنه]])</f>
        <v>0</v>
      </c>
      <c r="I158" s="90"/>
      <c r="J158" s="142" t="str">
        <f t="shared" si="2"/>
        <v>14.5.2026</v>
      </c>
      <c r="L158" s="153">
        <v>147</v>
      </c>
      <c r="M158" s="92"/>
    </row>
    <row r="159" spans="1:13" ht="21.6" x14ac:dyDescent="0.65">
      <c r="A159" s="195"/>
      <c r="B159" s="140">
        <v>156</v>
      </c>
      <c r="C159" s="2"/>
      <c r="D159" s="1"/>
      <c r="E159" s="3"/>
      <c r="F159" s="1"/>
      <c r="G159" s="141">
        <f>IF(Basic345678910111213141516171819[[#This Row],[نوع الخدمة]]="مخالفات", 50,
IF(Basic345678910111213141516171819[[#This Row],[نوع الخدمة]]="كاش ان",
    IF(F159&lt;=100, 18, IF(F159&lt;=250, 23, IF(F159&lt;=500, 35, IF(F159&lt;=1000, 40, F159*0.04)))),
IF(Basic345678910111213141516171819[[#This Row],[نوع الخدمة]]="كاش اوت",
    IF(F159&lt;=100, 15, IF(F159&lt;=250, 20, IF(F159&lt;=500, 30, IF(F159&lt;=1000, 35, F159*0.035)))),
0)))</f>
        <v>0</v>
      </c>
      <c r="H159" s="159">
        <f>IF(I159="مخالفات",50,Basic345678910111213141516171819[[#This Row],[قيمة الرسوم / العموله]]+Basic345678910111213141516171819[[#This Row],[قيمة الشحنه]])</f>
        <v>0</v>
      </c>
      <c r="I159" s="90"/>
      <c r="J159" s="142" t="str">
        <f t="shared" si="2"/>
        <v>14.5.2026</v>
      </c>
      <c r="L159" s="153">
        <v>148</v>
      </c>
      <c r="M159" s="92"/>
    </row>
    <row r="160" spans="1:13" ht="21.6" x14ac:dyDescent="0.65">
      <c r="A160" s="195"/>
      <c r="B160" s="140">
        <v>157</v>
      </c>
      <c r="C160" s="2"/>
      <c r="D160" s="1"/>
      <c r="E160" s="3"/>
      <c r="F160" s="1"/>
      <c r="G160" s="141">
        <f>IF(Basic345678910111213141516171819[[#This Row],[نوع الخدمة]]="مخالفات", 50,
IF(Basic345678910111213141516171819[[#This Row],[نوع الخدمة]]="كاش ان",
    IF(F160&lt;=100, 18, IF(F160&lt;=250, 23, IF(F160&lt;=500, 35, IF(F160&lt;=1000, 40, F160*0.04)))),
IF(Basic345678910111213141516171819[[#This Row],[نوع الخدمة]]="كاش اوت",
    IF(F160&lt;=100, 15, IF(F160&lt;=250, 20, IF(F160&lt;=500, 30, IF(F160&lt;=1000, 35, F160*0.035)))),
0)))</f>
        <v>0</v>
      </c>
      <c r="H160" s="159">
        <f>IF(I160="مخالفات",50,Basic345678910111213141516171819[[#This Row],[قيمة الرسوم / العموله]]+Basic345678910111213141516171819[[#This Row],[قيمة الشحنه]])</f>
        <v>0</v>
      </c>
      <c r="I160" s="90"/>
      <c r="J160" s="142" t="str">
        <f t="shared" si="2"/>
        <v>14.5.2026</v>
      </c>
      <c r="L160" s="153">
        <v>149</v>
      </c>
      <c r="M160" s="92"/>
    </row>
    <row r="161" spans="1:13" ht="21.6" x14ac:dyDescent="0.65">
      <c r="A161" s="195"/>
      <c r="B161" s="144">
        <v>158</v>
      </c>
      <c r="C161" s="2"/>
      <c r="D161" s="1"/>
      <c r="E161" s="3"/>
      <c r="F161" s="1"/>
      <c r="G161" s="141">
        <f>IF(Basic345678910111213141516171819[[#This Row],[نوع الخدمة]]="مخالفات", 50,
IF(Basic345678910111213141516171819[[#This Row],[نوع الخدمة]]="كاش ان",
    IF(F161&lt;=100, 18, IF(F161&lt;=250, 23, IF(F161&lt;=500, 35, IF(F161&lt;=1000, 40, F161*0.04)))),
IF(Basic345678910111213141516171819[[#This Row],[نوع الخدمة]]="كاش اوت",
    IF(F161&lt;=100, 15, IF(F161&lt;=250, 20, IF(F161&lt;=500, 30, IF(F161&lt;=1000, 35, F161*0.035)))),
0)))</f>
        <v>0</v>
      </c>
      <c r="H161" s="159">
        <f>IF(I161="مخالفات",50,Basic345678910111213141516171819[[#This Row],[قيمة الرسوم / العموله]]+Basic345678910111213141516171819[[#This Row],[قيمة الشحنه]])</f>
        <v>0</v>
      </c>
      <c r="I161" s="90"/>
      <c r="J161" s="142" t="str">
        <f t="shared" si="2"/>
        <v>14.5.2026</v>
      </c>
      <c r="L161" s="153">
        <v>150</v>
      </c>
      <c r="M161" s="92"/>
    </row>
    <row r="162" spans="1:13" ht="21.6" x14ac:dyDescent="0.65">
      <c r="A162" s="195"/>
      <c r="B162" s="140">
        <v>159</v>
      </c>
      <c r="C162" s="2"/>
      <c r="D162" s="1"/>
      <c r="E162" s="3"/>
      <c r="F162" s="1"/>
      <c r="G162" s="141">
        <f>IF(Basic345678910111213141516171819[[#This Row],[نوع الخدمة]]="مخالفات", 50,
IF(Basic345678910111213141516171819[[#This Row],[نوع الخدمة]]="كاش ان",
    IF(F162&lt;=100, 18, IF(F162&lt;=250, 23, IF(F162&lt;=500, 35, IF(F162&lt;=1000, 40, F162*0.04)))),
IF(Basic345678910111213141516171819[[#This Row],[نوع الخدمة]]="كاش اوت",
    IF(F162&lt;=100, 15, IF(F162&lt;=250, 20, IF(F162&lt;=500, 30, IF(F162&lt;=1000, 35, F162*0.035)))),
0)))</f>
        <v>0</v>
      </c>
      <c r="H162" s="159">
        <f>IF(I162="مخالفات",50,Basic345678910111213141516171819[[#This Row],[قيمة الرسوم / العموله]]+Basic345678910111213141516171819[[#This Row],[قيمة الشحنه]])</f>
        <v>0</v>
      </c>
      <c r="I162" s="90"/>
      <c r="J162" s="142" t="str">
        <f t="shared" si="2"/>
        <v>14.5.2026</v>
      </c>
      <c r="L162" s="153">
        <v>151</v>
      </c>
      <c r="M162" s="92"/>
    </row>
    <row r="163" spans="1:13" ht="21.6" x14ac:dyDescent="0.65">
      <c r="A163" s="195"/>
      <c r="B163" s="140">
        <v>160</v>
      </c>
      <c r="C163" s="2"/>
      <c r="D163" s="1"/>
      <c r="E163" s="3"/>
      <c r="F163" s="1"/>
      <c r="G163" s="141">
        <f>IF(Basic345678910111213141516171819[[#This Row],[نوع الخدمة]]="مخالفات", 50,
IF(Basic345678910111213141516171819[[#This Row],[نوع الخدمة]]="كاش ان",
    IF(F163&lt;=100, 18, IF(F163&lt;=250, 23, IF(F163&lt;=500, 35, IF(F163&lt;=1000, 40, F163*0.04)))),
IF(Basic345678910111213141516171819[[#This Row],[نوع الخدمة]]="كاش اوت",
    IF(F163&lt;=100, 15, IF(F163&lt;=250, 20, IF(F163&lt;=500, 30, IF(F163&lt;=1000, 35, F163*0.035)))),
0)))</f>
        <v>0</v>
      </c>
      <c r="H163" s="159">
        <f>IF(I163="مخالفات",50,Basic345678910111213141516171819[[#This Row],[قيمة الرسوم / العموله]]+Basic345678910111213141516171819[[#This Row],[قيمة الشحنه]])</f>
        <v>0</v>
      </c>
      <c r="I163" s="90"/>
      <c r="J163" s="142" t="str">
        <f t="shared" si="2"/>
        <v>14.5.2026</v>
      </c>
      <c r="L163" s="153">
        <v>152</v>
      </c>
      <c r="M163" s="92"/>
    </row>
    <row r="164" spans="1:13" ht="21.6" x14ac:dyDescent="0.65">
      <c r="A164" s="195"/>
      <c r="B164" s="140">
        <v>161</v>
      </c>
      <c r="C164" s="2"/>
      <c r="D164" s="1"/>
      <c r="E164" s="3"/>
      <c r="F164" s="1"/>
      <c r="G164" s="141">
        <f>IF(Basic345678910111213141516171819[[#This Row],[نوع الخدمة]]="مخالفات", 50,
IF(Basic345678910111213141516171819[[#This Row],[نوع الخدمة]]="كاش ان",
    IF(F164&lt;=100, 18, IF(F164&lt;=250, 23, IF(F164&lt;=500, 35, IF(F164&lt;=1000, 40, F164*0.04)))),
IF(Basic345678910111213141516171819[[#This Row],[نوع الخدمة]]="كاش اوت",
    IF(F164&lt;=100, 15, IF(F164&lt;=250, 20, IF(F164&lt;=500, 30, IF(F164&lt;=1000, 35, F164*0.035)))),
0)))</f>
        <v>0</v>
      </c>
      <c r="H164" s="159">
        <f>IF(I164="مخالفات",50,Basic345678910111213141516171819[[#This Row],[قيمة الرسوم / العموله]]+Basic345678910111213141516171819[[#This Row],[قيمة الشحنه]])</f>
        <v>0</v>
      </c>
      <c r="I164" s="90"/>
      <c r="J164" s="142" t="str">
        <f t="shared" si="2"/>
        <v>14.5.2026</v>
      </c>
      <c r="L164" s="153">
        <v>153</v>
      </c>
      <c r="M164" s="92"/>
    </row>
    <row r="165" spans="1:13" ht="21.6" x14ac:dyDescent="0.65">
      <c r="A165" s="195"/>
      <c r="B165" s="144">
        <v>162</v>
      </c>
      <c r="C165" s="2"/>
      <c r="D165" s="1"/>
      <c r="E165" s="3"/>
      <c r="F165" s="1"/>
      <c r="G165" s="141">
        <f>IF(Basic345678910111213141516171819[[#This Row],[نوع الخدمة]]="مخالفات", 50,
IF(Basic345678910111213141516171819[[#This Row],[نوع الخدمة]]="كاش ان",
    IF(F165&lt;=100, 18, IF(F165&lt;=250, 23, IF(F165&lt;=500, 35, IF(F165&lt;=1000, 40, F165*0.04)))),
IF(Basic345678910111213141516171819[[#This Row],[نوع الخدمة]]="كاش اوت",
    IF(F165&lt;=100, 15, IF(F165&lt;=250, 20, IF(F165&lt;=500, 30, IF(F165&lt;=1000, 35, F165*0.035)))),
0)))</f>
        <v>0</v>
      </c>
      <c r="H165" s="159">
        <f>IF(I165="مخالفات",50,Basic345678910111213141516171819[[#This Row],[قيمة الرسوم / العموله]]+Basic345678910111213141516171819[[#This Row],[قيمة الشحنه]])</f>
        <v>0</v>
      </c>
      <c r="I165" s="90"/>
      <c r="J165" s="142" t="str">
        <f t="shared" si="2"/>
        <v>14.5.2026</v>
      </c>
      <c r="L165" s="153">
        <v>154</v>
      </c>
      <c r="M165" s="92"/>
    </row>
    <row r="166" spans="1:13" ht="21.6" x14ac:dyDescent="0.65">
      <c r="A166" s="195"/>
      <c r="B166" s="140">
        <v>163</v>
      </c>
      <c r="C166" s="2"/>
      <c r="D166" s="1"/>
      <c r="E166" s="3"/>
      <c r="F166" s="1"/>
      <c r="G166" s="141">
        <f>IF(Basic345678910111213141516171819[[#This Row],[نوع الخدمة]]="مخالفات", 50,
IF(Basic345678910111213141516171819[[#This Row],[نوع الخدمة]]="كاش ان",
    IF(F166&lt;=100, 18, IF(F166&lt;=250, 23, IF(F166&lt;=500, 35, IF(F166&lt;=1000, 40, F166*0.04)))),
IF(Basic345678910111213141516171819[[#This Row],[نوع الخدمة]]="كاش اوت",
    IF(F166&lt;=100, 15, IF(F166&lt;=250, 20, IF(F166&lt;=500, 30, IF(F166&lt;=1000, 35, F166*0.035)))),
0)))</f>
        <v>0</v>
      </c>
      <c r="H166" s="159">
        <f>IF(I166="مخالفات",50,Basic345678910111213141516171819[[#This Row],[قيمة الرسوم / العموله]]+Basic345678910111213141516171819[[#This Row],[قيمة الشحنه]])</f>
        <v>0</v>
      </c>
      <c r="I166" s="90"/>
      <c r="J166" s="142" t="str">
        <f t="shared" si="2"/>
        <v>14.5.2026</v>
      </c>
      <c r="L166" s="153">
        <v>155</v>
      </c>
      <c r="M166" s="92"/>
    </row>
    <row r="167" spans="1:13" ht="21.6" x14ac:dyDescent="0.65">
      <c r="A167" s="195"/>
      <c r="B167" s="140">
        <v>164</v>
      </c>
      <c r="C167" s="2"/>
      <c r="D167" s="1"/>
      <c r="E167" s="3"/>
      <c r="F167" s="1"/>
      <c r="G167" s="141">
        <f>IF(Basic345678910111213141516171819[[#This Row],[نوع الخدمة]]="مخالفات", 50,
IF(Basic345678910111213141516171819[[#This Row],[نوع الخدمة]]="كاش ان",
    IF(F167&lt;=100, 18, IF(F167&lt;=250, 23, IF(F167&lt;=500, 35, IF(F167&lt;=1000, 40, F167*0.04)))),
IF(Basic345678910111213141516171819[[#This Row],[نوع الخدمة]]="كاش اوت",
    IF(F167&lt;=100, 15, IF(F167&lt;=250, 20, IF(F167&lt;=500, 30, IF(F167&lt;=1000, 35, F167*0.035)))),
0)))</f>
        <v>0</v>
      </c>
      <c r="H167" s="159">
        <f>IF(I167="مخالفات",50,Basic345678910111213141516171819[[#This Row],[قيمة الرسوم / العموله]]+Basic345678910111213141516171819[[#This Row],[قيمة الشحنه]])</f>
        <v>0</v>
      </c>
      <c r="I167" s="90"/>
      <c r="J167" s="142" t="str">
        <f t="shared" si="2"/>
        <v>14.5.2026</v>
      </c>
      <c r="L167" s="153">
        <v>156</v>
      </c>
      <c r="M167" s="92"/>
    </row>
    <row r="168" spans="1:13" ht="21.6" x14ac:dyDescent="0.65">
      <c r="A168" s="195"/>
      <c r="B168" s="140">
        <v>165</v>
      </c>
      <c r="C168" s="2"/>
      <c r="D168" s="1"/>
      <c r="E168" s="3"/>
      <c r="F168" s="1"/>
      <c r="G168" s="141">
        <f>IF(Basic345678910111213141516171819[[#This Row],[نوع الخدمة]]="مخالفات", 50,
IF(Basic345678910111213141516171819[[#This Row],[نوع الخدمة]]="كاش ان",
    IF(F168&lt;=100, 18, IF(F168&lt;=250, 23, IF(F168&lt;=500, 35, IF(F168&lt;=1000, 40, F168*0.04)))),
IF(Basic345678910111213141516171819[[#This Row],[نوع الخدمة]]="كاش اوت",
    IF(F168&lt;=100, 15, IF(F168&lt;=250, 20, IF(F168&lt;=500, 30, IF(F168&lt;=1000, 35, F168*0.035)))),
0)))</f>
        <v>0</v>
      </c>
      <c r="H168" s="159">
        <f>IF(I168="مخالفات",50,Basic345678910111213141516171819[[#This Row],[قيمة الرسوم / العموله]]+Basic345678910111213141516171819[[#This Row],[قيمة الشحنه]])</f>
        <v>0</v>
      </c>
      <c r="I168" s="90"/>
      <c r="J168" s="142" t="str">
        <f t="shared" si="2"/>
        <v>14.5.2026</v>
      </c>
      <c r="L168" s="153">
        <v>157</v>
      </c>
      <c r="M168" s="92"/>
    </row>
    <row r="169" spans="1:13" ht="21.6" x14ac:dyDescent="0.65">
      <c r="A169" s="195"/>
      <c r="B169" s="144">
        <v>166</v>
      </c>
      <c r="C169" s="2"/>
      <c r="D169" s="1"/>
      <c r="E169" s="3"/>
      <c r="F169" s="1"/>
      <c r="G169" s="141">
        <f>IF(Basic345678910111213141516171819[[#This Row],[نوع الخدمة]]="مخالفات", 50,
IF(Basic345678910111213141516171819[[#This Row],[نوع الخدمة]]="كاش ان",
    IF(F169&lt;=100, 18, IF(F169&lt;=250, 23, IF(F169&lt;=500, 35, IF(F169&lt;=1000, 40, F169*0.04)))),
IF(Basic345678910111213141516171819[[#This Row],[نوع الخدمة]]="كاش اوت",
    IF(F169&lt;=100, 15, IF(F169&lt;=250, 20, IF(F169&lt;=500, 30, IF(F169&lt;=1000, 35, F169*0.035)))),
0)))</f>
        <v>0</v>
      </c>
      <c r="H169" s="159">
        <f>IF(I169="مخالفات",50,Basic345678910111213141516171819[[#This Row],[قيمة الرسوم / العموله]]+Basic345678910111213141516171819[[#This Row],[قيمة الشحنه]])</f>
        <v>0</v>
      </c>
      <c r="I169" s="90"/>
      <c r="J169" s="142" t="str">
        <f t="shared" si="2"/>
        <v>14.5.2026</v>
      </c>
      <c r="L169" s="153">
        <v>158</v>
      </c>
      <c r="M169" s="92"/>
    </row>
    <row r="170" spans="1:13" ht="21.6" x14ac:dyDescent="0.65">
      <c r="A170" s="195"/>
      <c r="B170" s="140">
        <v>167</v>
      </c>
      <c r="C170" s="2"/>
      <c r="D170" s="1"/>
      <c r="E170" s="3"/>
      <c r="F170" s="1"/>
      <c r="G170" s="141">
        <f>IF(Basic345678910111213141516171819[[#This Row],[نوع الخدمة]]="مخالفات", 50,
IF(Basic345678910111213141516171819[[#This Row],[نوع الخدمة]]="كاش ان",
    IF(F170&lt;=100, 18, IF(F170&lt;=250, 23, IF(F170&lt;=500, 35, IF(F170&lt;=1000, 40, F170*0.04)))),
IF(Basic345678910111213141516171819[[#This Row],[نوع الخدمة]]="كاش اوت",
    IF(F170&lt;=100, 15, IF(F170&lt;=250, 20, IF(F170&lt;=500, 30, IF(F170&lt;=1000, 35, F170*0.035)))),
0)))</f>
        <v>0</v>
      </c>
      <c r="H170" s="159">
        <f>IF(I170="مخالفات",50,Basic345678910111213141516171819[[#This Row],[قيمة الرسوم / العموله]]+Basic345678910111213141516171819[[#This Row],[قيمة الشحنه]])</f>
        <v>0</v>
      </c>
      <c r="I170" s="90"/>
      <c r="J170" s="142" t="str">
        <f t="shared" si="2"/>
        <v>14.5.2026</v>
      </c>
      <c r="L170" s="153">
        <v>159</v>
      </c>
      <c r="M170" s="92"/>
    </row>
    <row r="171" spans="1:13" ht="21.6" x14ac:dyDescent="0.65">
      <c r="A171" s="195"/>
      <c r="B171" s="140">
        <v>168</v>
      </c>
      <c r="C171" s="2"/>
      <c r="D171" s="1"/>
      <c r="E171" s="3"/>
      <c r="F171" s="1"/>
      <c r="G171" s="141">
        <f>IF(Basic345678910111213141516171819[[#This Row],[نوع الخدمة]]="مخالفات", 50,
IF(Basic345678910111213141516171819[[#This Row],[نوع الخدمة]]="كاش ان",
    IF(F171&lt;=100, 18, IF(F171&lt;=250, 23, IF(F171&lt;=500, 35, IF(F171&lt;=1000, 40, F171*0.04)))),
IF(Basic345678910111213141516171819[[#This Row],[نوع الخدمة]]="كاش اوت",
    IF(F171&lt;=100, 15, IF(F171&lt;=250, 20, IF(F171&lt;=500, 30, IF(F171&lt;=1000, 35, F171*0.035)))),
0)))</f>
        <v>0</v>
      </c>
      <c r="H171" s="159">
        <f>IF(I171="مخالفات",50,Basic345678910111213141516171819[[#This Row],[قيمة الرسوم / العموله]]+Basic345678910111213141516171819[[#This Row],[قيمة الشحنه]])</f>
        <v>0</v>
      </c>
      <c r="I171" s="90"/>
      <c r="J171" s="142" t="str">
        <f t="shared" si="2"/>
        <v>14.5.2026</v>
      </c>
      <c r="L171" s="153">
        <v>160</v>
      </c>
      <c r="M171" s="92"/>
    </row>
    <row r="172" spans="1:13" ht="21.6" x14ac:dyDescent="0.65">
      <c r="A172" s="195"/>
      <c r="B172" s="140">
        <v>169</v>
      </c>
      <c r="C172" s="2"/>
      <c r="D172" s="1"/>
      <c r="E172" s="3"/>
      <c r="F172" s="1"/>
      <c r="G172" s="141">
        <f>IF(Basic345678910111213141516171819[[#This Row],[نوع الخدمة]]="مخالفات", 50,
IF(Basic345678910111213141516171819[[#This Row],[نوع الخدمة]]="كاش ان",
    IF(F172&lt;=100, 18, IF(F172&lt;=250, 23, IF(F172&lt;=500, 35, IF(F172&lt;=1000, 40, F172*0.04)))),
IF(Basic345678910111213141516171819[[#This Row],[نوع الخدمة]]="كاش اوت",
    IF(F172&lt;=100, 15, IF(F172&lt;=250, 20, IF(F172&lt;=500, 30, IF(F172&lt;=1000, 35, F172*0.035)))),
0)))</f>
        <v>0</v>
      </c>
      <c r="H172" s="159">
        <f>IF(I172="مخالفات",50,Basic345678910111213141516171819[[#This Row],[قيمة الرسوم / العموله]]+Basic345678910111213141516171819[[#This Row],[قيمة الشحنه]])</f>
        <v>0</v>
      </c>
      <c r="I172" s="90"/>
      <c r="J172" s="142" t="str">
        <f t="shared" si="2"/>
        <v>14.5.2026</v>
      </c>
      <c r="L172" s="153">
        <v>161</v>
      </c>
      <c r="M172" s="92"/>
    </row>
    <row r="173" spans="1:13" ht="21.6" x14ac:dyDescent="0.65">
      <c r="A173" s="195"/>
      <c r="B173" s="144">
        <v>170</v>
      </c>
      <c r="C173" s="2"/>
      <c r="D173" s="1"/>
      <c r="E173" s="3"/>
      <c r="F173" s="1"/>
      <c r="G173" s="141">
        <f>IF(Basic345678910111213141516171819[[#This Row],[نوع الخدمة]]="مخالفات", 50,
IF(Basic345678910111213141516171819[[#This Row],[نوع الخدمة]]="كاش ان",
    IF(F173&lt;=100, 18, IF(F173&lt;=250, 23, IF(F173&lt;=500, 35, IF(F173&lt;=1000, 40, F173*0.04)))),
IF(Basic345678910111213141516171819[[#This Row],[نوع الخدمة]]="كاش اوت",
    IF(F173&lt;=100, 15, IF(F173&lt;=250, 20, IF(F173&lt;=500, 30, IF(F173&lt;=1000, 35, F173*0.035)))),
0)))</f>
        <v>0</v>
      </c>
      <c r="H173" s="159">
        <f>IF(I173="مخالفات",50,Basic345678910111213141516171819[[#This Row],[قيمة الرسوم / العموله]]+Basic345678910111213141516171819[[#This Row],[قيمة الشحنه]])</f>
        <v>0</v>
      </c>
      <c r="I173" s="90"/>
      <c r="J173" s="142" t="str">
        <f t="shared" si="2"/>
        <v>14.5.2026</v>
      </c>
      <c r="L173" s="153">
        <v>162</v>
      </c>
      <c r="M173" s="92"/>
    </row>
    <row r="174" spans="1:13" ht="21.6" x14ac:dyDescent="0.65">
      <c r="A174" s="195"/>
      <c r="B174" s="140">
        <v>171</v>
      </c>
      <c r="C174" s="2"/>
      <c r="D174" s="1"/>
      <c r="E174" s="3"/>
      <c r="F174" s="1"/>
      <c r="G174" s="141">
        <f>IF(Basic345678910111213141516171819[[#This Row],[نوع الخدمة]]="مخالفات", 50,
IF(Basic345678910111213141516171819[[#This Row],[نوع الخدمة]]="كاش ان",
    IF(F174&lt;=100, 18, IF(F174&lt;=250, 23, IF(F174&lt;=500, 35, IF(F174&lt;=1000, 40, F174*0.04)))),
IF(Basic345678910111213141516171819[[#This Row],[نوع الخدمة]]="كاش اوت",
    IF(F174&lt;=100, 15, IF(F174&lt;=250, 20, IF(F174&lt;=500, 30, IF(F174&lt;=1000, 35, F174*0.035)))),
0)))</f>
        <v>0</v>
      </c>
      <c r="H174" s="159">
        <f>IF(I174="مخالفات",50,Basic345678910111213141516171819[[#This Row],[قيمة الرسوم / العموله]]+Basic345678910111213141516171819[[#This Row],[قيمة الشحنه]])</f>
        <v>0</v>
      </c>
      <c r="I174" s="90"/>
      <c r="J174" s="142" t="str">
        <f t="shared" si="2"/>
        <v>14.5.2026</v>
      </c>
      <c r="L174" s="153">
        <v>163</v>
      </c>
      <c r="M174" s="92"/>
    </row>
    <row r="175" spans="1:13" ht="21.6" x14ac:dyDescent="0.65">
      <c r="A175" s="195"/>
      <c r="B175" s="140">
        <v>172</v>
      </c>
      <c r="C175" s="2"/>
      <c r="D175" s="1"/>
      <c r="E175" s="3"/>
      <c r="F175" s="1"/>
      <c r="G175" s="141">
        <f>IF(Basic345678910111213141516171819[[#This Row],[نوع الخدمة]]="مخالفات", 50,
IF(Basic345678910111213141516171819[[#This Row],[نوع الخدمة]]="كاش ان",
    IF(F175&lt;=100, 18, IF(F175&lt;=250, 23, IF(F175&lt;=500, 35, IF(F175&lt;=1000, 40, F175*0.04)))),
IF(Basic345678910111213141516171819[[#This Row],[نوع الخدمة]]="كاش اوت",
    IF(F175&lt;=100, 15, IF(F175&lt;=250, 20, IF(F175&lt;=500, 30, IF(F175&lt;=1000, 35, F175*0.035)))),
0)))</f>
        <v>0</v>
      </c>
      <c r="H175" s="159">
        <f>IF(I175="مخالفات",50,Basic345678910111213141516171819[[#This Row],[قيمة الرسوم / العموله]]+Basic345678910111213141516171819[[#This Row],[قيمة الشحنه]])</f>
        <v>0</v>
      </c>
      <c r="I175" s="90"/>
      <c r="J175" s="142" t="str">
        <f t="shared" si="2"/>
        <v>14.5.2026</v>
      </c>
      <c r="L175" s="153">
        <v>164</v>
      </c>
      <c r="M175" s="92"/>
    </row>
    <row r="176" spans="1:13" ht="21.6" x14ac:dyDescent="0.65">
      <c r="A176" s="195"/>
      <c r="B176" s="140">
        <v>173</v>
      </c>
      <c r="C176" s="2"/>
      <c r="D176" s="1"/>
      <c r="E176" s="3"/>
      <c r="F176" s="1"/>
      <c r="G176" s="141">
        <f>IF(Basic345678910111213141516171819[[#This Row],[نوع الخدمة]]="مخالفات", 50,
IF(Basic345678910111213141516171819[[#This Row],[نوع الخدمة]]="كاش ان",
    IF(F176&lt;=100, 18, IF(F176&lt;=250, 23, IF(F176&lt;=500, 35, IF(F176&lt;=1000, 40, F176*0.04)))),
IF(Basic345678910111213141516171819[[#This Row],[نوع الخدمة]]="كاش اوت",
    IF(F176&lt;=100, 15, IF(F176&lt;=250, 20, IF(F176&lt;=500, 30, IF(F176&lt;=1000, 35, F176*0.035)))),
0)))</f>
        <v>0</v>
      </c>
      <c r="H176" s="159">
        <f>IF(I176="مخالفات",50,Basic345678910111213141516171819[[#This Row],[قيمة الرسوم / العموله]]+Basic345678910111213141516171819[[#This Row],[قيمة الشحنه]])</f>
        <v>0</v>
      </c>
      <c r="I176" s="90"/>
      <c r="J176" s="142" t="str">
        <f t="shared" si="2"/>
        <v>14.5.2026</v>
      </c>
      <c r="L176" s="153">
        <v>165</v>
      </c>
      <c r="M176" s="92"/>
    </row>
    <row r="177" spans="1:13" ht="21.6" x14ac:dyDescent="0.65">
      <c r="A177" s="195"/>
      <c r="B177" s="144">
        <v>174</v>
      </c>
      <c r="C177" s="2"/>
      <c r="D177" s="1"/>
      <c r="E177" s="3"/>
      <c r="F177" s="1"/>
      <c r="G177" s="141">
        <f>IF(Basic345678910111213141516171819[[#This Row],[نوع الخدمة]]="مخالفات", 50,
IF(Basic345678910111213141516171819[[#This Row],[نوع الخدمة]]="كاش ان",
    IF(F177&lt;=100, 18, IF(F177&lt;=250, 23, IF(F177&lt;=500, 35, IF(F177&lt;=1000, 40, F177*0.04)))),
IF(Basic345678910111213141516171819[[#This Row],[نوع الخدمة]]="كاش اوت",
    IF(F177&lt;=100, 15, IF(F177&lt;=250, 20, IF(F177&lt;=500, 30, IF(F177&lt;=1000, 35, F177*0.035)))),
0)))</f>
        <v>0</v>
      </c>
      <c r="H177" s="159">
        <f>IF(I177="مخالفات",50,Basic345678910111213141516171819[[#This Row],[قيمة الرسوم / العموله]]+Basic345678910111213141516171819[[#This Row],[قيمة الشحنه]])</f>
        <v>0</v>
      </c>
      <c r="I177" s="90"/>
      <c r="J177" s="142" t="str">
        <f t="shared" si="2"/>
        <v>14.5.2026</v>
      </c>
      <c r="L177" s="153">
        <v>166</v>
      </c>
      <c r="M177" s="92"/>
    </row>
    <row r="178" spans="1:13" ht="21.6" x14ac:dyDescent="0.65">
      <c r="A178" s="195"/>
      <c r="B178" s="140">
        <v>175</v>
      </c>
      <c r="C178" s="2"/>
      <c r="D178" s="1"/>
      <c r="E178" s="3"/>
      <c r="F178" s="1"/>
      <c r="G178" s="141">
        <f>IF(Basic345678910111213141516171819[[#This Row],[نوع الخدمة]]="مخالفات", 50,
IF(Basic345678910111213141516171819[[#This Row],[نوع الخدمة]]="كاش ان",
    IF(F178&lt;=100, 18, IF(F178&lt;=250, 23, IF(F178&lt;=500, 35, IF(F178&lt;=1000, 40, F178*0.04)))),
IF(Basic345678910111213141516171819[[#This Row],[نوع الخدمة]]="كاش اوت",
    IF(F178&lt;=100, 15, IF(F178&lt;=250, 20, IF(F178&lt;=500, 30, IF(F178&lt;=1000, 35, F178*0.035)))),
0)))</f>
        <v>0</v>
      </c>
      <c r="H178" s="159">
        <f>IF(I178="مخالفات",50,Basic345678910111213141516171819[[#This Row],[قيمة الرسوم / العموله]]+Basic345678910111213141516171819[[#This Row],[قيمة الشحنه]])</f>
        <v>0</v>
      </c>
      <c r="I178" s="90"/>
      <c r="J178" s="142" t="str">
        <f t="shared" si="2"/>
        <v>14.5.2026</v>
      </c>
      <c r="L178" s="153">
        <v>167</v>
      </c>
      <c r="M178" s="92"/>
    </row>
    <row r="179" spans="1:13" ht="21.6" x14ac:dyDescent="0.65">
      <c r="A179" s="195"/>
      <c r="B179" s="140">
        <v>176</v>
      </c>
      <c r="C179" s="2"/>
      <c r="D179" s="1"/>
      <c r="E179" s="3"/>
      <c r="F179" s="1"/>
      <c r="G179" s="141">
        <f>IF(Basic345678910111213141516171819[[#This Row],[نوع الخدمة]]="مخالفات", 50,
IF(Basic345678910111213141516171819[[#This Row],[نوع الخدمة]]="كاش ان",
    IF(F179&lt;=100, 18, IF(F179&lt;=250, 23, IF(F179&lt;=500, 35, IF(F179&lt;=1000, 40, F179*0.04)))),
IF(Basic345678910111213141516171819[[#This Row],[نوع الخدمة]]="كاش اوت",
    IF(F179&lt;=100, 15, IF(F179&lt;=250, 20, IF(F179&lt;=500, 30, IF(F179&lt;=1000, 35, F179*0.035)))),
0)))</f>
        <v>0</v>
      </c>
      <c r="H179" s="159">
        <f>IF(I179="مخالفات",50,Basic345678910111213141516171819[[#This Row],[قيمة الرسوم / العموله]]+Basic345678910111213141516171819[[#This Row],[قيمة الشحنه]])</f>
        <v>0</v>
      </c>
      <c r="I179" s="90"/>
      <c r="J179" s="142" t="str">
        <f t="shared" si="2"/>
        <v>14.5.2026</v>
      </c>
      <c r="L179" s="153">
        <v>168</v>
      </c>
      <c r="M179" s="92"/>
    </row>
    <row r="180" spans="1:13" ht="21.6" x14ac:dyDescent="0.65">
      <c r="A180" s="195"/>
      <c r="B180" s="140">
        <v>177</v>
      </c>
      <c r="C180" s="2"/>
      <c r="D180" s="1"/>
      <c r="E180" s="3"/>
      <c r="F180" s="1"/>
      <c r="G180" s="141">
        <f>IF(Basic345678910111213141516171819[[#This Row],[نوع الخدمة]]="مخالفات", 50,
IF(Basic345678910111213141516171819[[#This Row],[نوع الخدمة]]="كاش ان",
    IF(F180&lt;=100, 18, IF(F180&lt;=250, 23, IF(F180&lt;=500, 35, IF(F180&lt;=1000, 40, F180*0.04)))),
IF(Basic345678910111213141516171819[[#This Row],[نوع الخدمة]]="كاش اوت",
    IF(F180&lt;=100, 15, IF(F180&lt;=250, 20, IF(F180&lt;=500, 30, IF(F180&lt;=1000, 35, F180*0.035)))),
0)))</f>
        <v>0</v>
      </c>
      <c r="H180" s="159">
        <f>IF(I180="مخالفات",50,Basic345678910111213141516171819[[#This Row],[قيمة الرسوم / العموله]]+Basic345678910111213141516171819[[#This Row],[قيمة الشحنه]])</f>
        <v>0</v>
      </c>
      <c r="I180" s="90"/>
      <c r="J180" s="142" t="str">
        <f t="shared" si="2"/>
        <v>14.5.2026</v>
      </c>
      <c r="L180" s="153">
        <v>169</v>
      </c>
      <c r="M180" s="92"/>
    </row>
    <row r="181" spans="1:13" ht="21.6" x14ac:dyDescent="0.65">
      <c r="A181" s="195"/>
      <c r="B181" s="144">
        <v>178</v>
      </c>
      <c r="C181" s="2"/>
      <c r="D181" s="1"/>
      <c r="E181" s="3"/>
      <c r="F181" s="1"/>
      <c r="G181" s="141">
        <f>IF(Basic345678910111213141516171819[[#This Row],[نوع الخدمة]]="مخالفات", 50,
IF(Basic345678910111213141516171819[[#This Row],[نوع الخدمة]]="كاش ان",
    IF(F181&lt;=100, 18, IF(F181&lt;=250, 23, IF(F181&lt;=500, 35, IF(F181&lt;=1000, 40, F181*0.04)))),
IF(Basic345678910111213141516171819[[#This Row],[نوع الخدمة]]="كاش اوت",
    IF(F181&lt;=100, 15, IF(F181&lt;=250, 20, IF(F181&lt;=500, 30, IF(F181&lt;=1000, 35, F181*0.035)))),
0)))</f>
        <v>0</v>
      </c>
      <c r="H181" s="159">
        <f>IF(I181="مخالفات",50,Basic345678910111213141516171819[[#This Row],[قيمة الرسوم / العموله]]+Basic345678910111213141516171819[[#This Row],[قيمة الشحنه]])</f>
        <v>0</v>
      </c>
      <c r="I181" s="90"/>
      <c r="J181" s="142" t="str">
        <f t="shared" si="2"/>
        <v>14.5.2026</v>
      </c>
      <c r="L181" s="153">
        <v>170</v>
      </c>
      <c r="M181" s="92"/>
    </row>
    <row r="182" spans="1:13" ht="21.6" x14ac:dyDescent="0.65">
      <c r="A182" s="195"/>
      <c r="B182" s="140">
        <v>179</v>
      </c>
      <c r="C182" s="2"/>
      <c r="D182" s="1"/>
      <c r="E182" s="3"/>
      <c r="F182" s="1"/>
      <c r="G182" s="141">
        <f>IF(Basic345678910111213141516171819[[#This Row],[نوع الخدمة]]="مخالفات", 50,
IF(Basic345678910111213141516171819[[#This Row],[نوع الخدمة]]="كاش ان",
    IF(F182&lt;=100, 18, IF(F182&lt;=250, 23, IF(F182&lt;=500, 35, IF(F182&lt;=1000, 40, F182*0.04)))),
IF(Basic345678910111213141516171819[[#This Row],[نوع الخدمة]]="كاش اوت",
    IF(F182&lt;=100, 15, IF(F182&lt;=250, 20, IF(F182&lt;=500, 30, IF(F182&lt;=1000, 35, F182*0.035)))),
0)))</f>
        <v>0</v>
      </c>
      <c r="H182" s="159">
        <f>IF(I182="مخالفات",50,Basic345678910111213141516171819[[#This Row],[قيمة الرسوم / العموله]]+Basic345678910111213141516171819[[#This Row],[قيمة الشحنه]])</f>
        <v>0</v>
      </c>
      <c r="I182" s="90"/>
      <c r="J182" s="142" t="str">
        <f t="shared" si="2"/>
        <v>14.5.2026</v>
      </c>
      <c r="L182" s="153">
        <v>171</v>
      </c>
      <c r="M182" s="92"/>
    </row>
    <row r="183" spans="1:13" ht="21.6" x14ac:dyDescent="0.65">
      <c r="A183" s="195"/>
      <c r="B183" s="140">
        <v>180</v>
      </c>
      <c r="C183" s="2"/>
      <c r="D183" s="1"/>
      <c r="E183" s="3"/>
      <c r="F183" s="1"/>
      <c r="G183" s="141">
        <f>IF(Basic345678910111213141516171819[[#This Row],[نوع الخدمة]]="مخالفات", 50,
IF(Basic345678910111213141516171819[[#This Row],[نوع الخدمة]]="كاش ان",
    IF(F183&lt;=100, 18, IF(F183&lt;=250, 23, IF(F183&lt;=500, 35, IF(F183&lt;=1000, 40, F183*0.04)))),
IF(Basic345678910111213141516171819[[#This Row],[نوع الخدمة]]="كاش اوت",
    IF(F183&lt;=100, 15, IF(F183&lt;=250, 20, IF(F183&lt;=500, 30, IF(F183&lt;=1000, 35, F183*0.035)))),
0)))</f>
        <v>0</v>
      </c>
      <c r="H183" s="159">
        <f>IF(I183="مخالفات",50,Basic345678910111213141516171819[[#This Row],[قيمة الرسوم / العموله]]+Basic345678910111213141516171819[[#This Row],[قيمة الشحنه]])</f>
        <v>0</v>
      </c>
      <c r="I183" s="90"/>
      <c r="J183" s="142" t="str">
        <f t="shared" si="2"/>
        <v>14.5.2026</v>
      </c>
      <c r="L183" s="153">
        <v>172</v>
      </c>
      <c r="M183" s="92"/>
    </row>
    <row r="184" spans="1:13" ht="21.6" x14ac:dyDescent="0.65">
      <c r="A184" s="195"/>
      <c r="B184" s="140">
        <v>181</v>
      </c>
      <c r="C184" s="2"/>
      <c r="D184" s="1"/>
      <c r="E184" s="3"/>
      <c r="F184" s="1"/>
      <c r="G184" s="141">
        <f>IF(Basic345678910111213141516171819[[#This Row],[نوع الخدمة]]="مخالفات", 50,
IF(Basic345678910111213141516171819[[#This Row],[نوع الخدمة]]="كاش ان",
    IF(F184&lt;=100, 18, IF(F184&lt;=250, 23, IF(F184&lt;=500, 35, IF(F184&lt;=1000, 40, F184*0.04)))),
IF(Basic345678910111213141516171819[[#This Row],[نوع الخدمة]]="كاش اوت",
    IF(F184&lt;=100, 15, IF(F184&lt;=250, 20, IF(F184&lt;=500, 30, IF(F184&lt;=1000, 35, F184*0.035)))),
0)))</f>
        <v>0</v>
      </c>
      <c r="H184" s="159">
        <f>IF(I184="مخالفات",50,Basic345678910111213141516171819[[#This Row],[قيمة الرسوم / العموله]]+Basic345678910111213141516171819[[#This Row],[قيمة الشحنه]])</f>
        <v>0</v>
      </c>
      <c r="I184" s="90"/>
      <c r="J184" s="142" t="str">
        <f t="shared" si="2"/>
        <v>14.5.2026</v>
      </c>
      <c r="L184" s="153">
        <v>173</v>
      </c>
      <c r="M184" s="92"/>
    </row>
    <row r="185" spans="1:13" ht="21.6" x14ac:dyDescent="0.65">
      <c r="A185" s="195"/>
      <c r="B185" s="144">
        <v>182</v>
      </c>
      <c r="C185" s="2"/>
      <c r="D185" s="1"/>
      <c r="E185" s="3"/>
      <c r="F185" s="1"/>
      <c r="G185" s="141">
        <f>IF(Basic345678910111213141516171819[[#This Row],[نوع الخدمة]]="مخالفات", 50,
IF(Basic345678910111213141516171819[[#This Row],[نوع الخدمة]]="كاش ان",
    IF(F185&lt;=100, 18, IF(F185&lt;=250, 23, IF(F185&lt;=500, 35, IF(F185&lt;=1000, 40, F185*0.04)))),
IF(Basic345678910111213141516171819[[#This Row],[نوع الخدمة]]="كاش اوت",
    IF(F185&lt;=100, 15, IF(F185&lt;=250, 20, IF(F185&lt;=500, 30, IF(F185&lt;=1000, 35, F185*0.035)))),
0)))</f>
        <v>0</v>
      </c>
      <c r="H185" s="159">
        <f>IF(I185="مخالفات",50,Basic345678910111213141516171819[[#This Row],[قيمة الرسوم / العموله]]+Basic345678910111213141516171819[[#This Row],[قيمة الشحنه]])</f>
        <v>0</v>
      </c>
      <c r="I185" s="90"/>
      <c r="J185" s="142" t="str">
        <f t="shared" si="2"/>
        <v>14.5.2026</v>
      </c>
      <c r="L185" s="153">
        <v>174</v>
      </c>
      <c r="M185" s="92"/>
    </row>
    <row r="186" spans="1:13" ht="21.6" x14ac:dyDescent="0.65">
      <c r="A186" s="195"/>
      <c r="B186" s="140">
        <v>183</v>
      </c>
      <c r="C186" s="2"/>
      <c r="D186" s="1"/>
      <c r="E186" s="3"/>
      <c r="F186" s="1"/>
      <c r="G186" s="141">
        <f>IF(Basic345678910111213141516171819[[#This Row],[نوع الخدمة]]="مخالفات", 50,
IF(Basic345678910111213141516171819[[#This Row],[نوع الخدمة]]="كاش ان",
    IF(F186&lt;=100, 18, IF(F186&lt;=250, 23, IF(F186&lt;=500, 35, IF(F186&lt;=1000, 40, F186*0.04)))),
IF(Basic345678910111213141516171819[[#This Row],[نوع الخدمة]]="كاش اوت",
    IF(F186&lt;=100, 15, IF(F186&lt;=250, 20, IF(F186&lt;=500, 30, IF(F186&lt;=1000, 35, F186*0.035)))),
0)))</f>
        <v>0</v>
      </c>
      <c r="H186" s="159">
        <f>IF(I186="مخالفات",50,Basic345678910111213141516171819[[#This Row],[قيمة الرسوم / العموله]]+Basic345678910111213141516171819[[#This Row],[قيمة الشحنه]])</f>
        <v>0</v>
      </c>
      <c r="I186" s="90"/>
      <c r="J186" s="142" t="str">
        <f t="shared" si="2"/>
        <v>14.5.2026</v>
      </c>
      <c r="L186" s="153">
        <v>175</v>
      </c>
      <c r="M186" s="92"/>
    </row>
    <row r="187" spans="1:13" ht="21.6" x14ac:dyDescent="0.65">
      <c r="A187" s="195"/>
      <c r="B187" s="140">
        <v>184</v>
      </c>
      <c r="C187" s="2"/>
      <c r="D187" s="1"/>
      <c r="E187" s="3"/>
      <c r="F187" s="1"/>
      <c r="G187" s="141">
        <f>IF(Basic345678910111213141516171819[[#This Row],[نوع الخدمة]]="مخالفات", 50,
IF(Basic345678910111213141516171819[[#This Row],[نوع الخدمة]]="كاش ان",
    IF(F187&lt;=100, 18, IF(F187&lt;=250, 23, IF(F187&lt;=500, 35, IF(F187&lt;=1000, 40, F187*0.04)))),
IF(Basic345678910111213141516171819[[#This Row],[نوع الخدمة]]="كاش اوت",
    IF(F187&lt;=100, 15, IF(F187&lt;=250, 20, IF(F187&lt;=500, 30, IF(F187&lt;=1000, 35, F187*0.035)))),
0)))</f>
        <v>0</v>
      </c>
      <c r="H187" s="159">
        <f>IF(I187="مخالفات",50,Basic345678910111213141516171819[[#This Row],[قيمة الرسوم / العموله]]+Basic345678910111213141516171819[[#This Row],[قيمة الشحنه]])</f>
        <v>0</v>
      </c>
      <c r="I187" s="90"/>
      <c r="J187" s="142" t="str">
        <f t="shared" si="2"/>
        <v>14.5.2026</v>
      </c>
      <c r="L187" s="153">
        <v>176</v>
      </c>
      <c r="M187" s="92"/>
    </row>
    <row r="188" spans="1:13" ht="21.6" x14ac:dyDescent="0.65">
      <c r="A188" s="195"/>
      <c r="B188" s="140">
        <v>185</v>
      </c>
      <c r="C188" s="2"/>
      <c r="D188" s="1"/>
      <c r="E188" s="3"/>
      <c r="F188" s="1"/>
      <c r="G188" s="141">
        <f>IF(Basic345678910111213141516171819[[#This Row],[نوع الخدمة]]="مخالفات", 50,
IF(Basic345678910111213141516171819[[#This Row],[نوع الخدمة]]="كاش ان",
    IF(F188&lt;=100, 18, IF(F188&lt;=250, 23, IF(F188&lt;=500, 35, IF(F188&lt;=1000, 40, F188*0.04)))),
IF(Basic345678910111213141516171819[[#This Row],[نوع الخدمة]]="كاش اوت",
    IF(F188&lt;=100, 15, IF(F188&lt;=250, 20, IF(F188&lt;=500, 30, IF(F188&lt;=1000, 35, F188*0.035)))),
0)))</f>
        <v>0</v>
      </c>
      <c r="H188" s="159">
        <f>IF(I188="مخالفات",50,Basic345678910111213141516171819[[#This Row],[قيمة الرسوم / العموله]]+Basic345678910111213141516171819[[#This Row],[قيمة الشحنه]])</f>
        <v>0</v>
      </c>
      <c r="I188" s="90"/>
      <c r="J188" s="142" t="str">
        <f t="shared" si="2"/>
        <v>14.5.2026</v>
      </c>
      <c r="L188" s="153">
        <v>177</v>
      </c>
      <c r="M188" s="92"/>
    </row>
    <row r="189" spans="1:13" ht="21.6" x14ac:dyDescent="0.65">
      <c r="A189" s="195"/>
      <c r="B189" s="144">
        <v>186</v>
      </c>
      <c r="C189" s="2"/>
      <c r="D189" s="1"/>
      <c r="E189" s="3"/>
      <c r="F189" s="1"/>
      <c r="G189" s="141">
        <f>IF(Basic345678910111213141516171819[[#This Row],[نوع الخدمة]]="مخالفات", 50,
IF(Basic345678910111213141516171819[[#This Row],[نوع الخدمة]]="كاش ان",
    IF(F189&lt;=100, 18, IF(F189&lt;=250, 23, IF(F189&lt;=500, 35, IF(F189&lt;=1000, 40, F189*0.04)))),
IF(Basic345678910111213141516171819[[#This Row],[نوع الخدمة]]="كاش اوت",
    IF(F189&lt;=100, 15, IF(F189&lt;=250, 20, IF(F189&lt;=500, 30, IF(F189&lt;=1000, 35, F189*0.035)))),
0)))</f>
        <v>0</v>
      </c>
      <c r="H189" s="159">
        <f>IF(I189="مخالفات",50,Basic345678910111213141516171819[[#This Row],[قيمة الرسوم / العموله]]+Basic345678910111213141516171819[[#This Row],[قيمة الشحنه]])</f>
        <v>0</v>
      </c>
      <c r="I189" s="90"/>
      <c r="J189" s="142" t="str">
        <f t="shared" si="2"/>
        <v>14.5.2026</v>
      </c>
      <c r="L189" s="153">
        <v>178</v>
      </c>
      <c r="M189" s="92"/>
    </row>
    <row r="190" spans="1:13" ht="21.6" x14ac:dyDescent="0.65">
      <c r="A190" s="195"/>
      <c r="B190" s="140">
        <v>187</v>
      </c>
      <c r="C190" s="2"/>
      <c r="D190" s="1"/>
      <c r="E190" s="3"/>
      <c r="F190" s="1"/>
      <c r="G190" s="141">
        <f>IF(Basic345678910111213141516171819[[#This Row],[نوع الخدمة]]="مخالفات", 50,
IF(Basic345678910111213141516171819[[#This Row],[نوع الخدمة]]="كاش ان",
    IF(F190&lt;=100, 18, IF(F190&lt;=250, 23, IF(F190&lt;=500, 35, IF(F190&lt;=1000, 40, F190*0.04)))),
IF(Basic345678910111213141516171819[[#This Row],[نوع الخدمة]]="كاش اوت",
    IF(F190&lt;=100, 15, IF(F190&lt;=250, 20, IF(F190&lt;=500, 30, IF(F190&lt;=1000, 35, F190*0.035)))),
0)))</f>
        <v>0</v>
      </c>
      <c r="H190" s="159">
        <f>IF(I190="مخالفات",50,Basic345678910111213141516171819[[#This Row],[قيمة الرسوم / العموله]]+Basic345678910111213141516171819[[#This Row],[قيمة الشحنه]])</f>
        <v>0</v>
      </c>
      <c r="I190" s="90"/>
      <c r="J190" s="142" t="str">
        <f t="shared" si="2"/>
        <v>14.5.2026</v>
      </c>
      <c r="L190" s="153">
        <v>179</v>
      </c>
      <c r="M190" s="92"/>
    </row>
    <row r="191" spans="1:13" ht="21.6" x14ac:dyDescent="0.65">
      <c r="A191" s="195"/>
      <c r="B191" s="140">
        <v>188</v>
      </c>
      <c r="C191" s="2"/>
      <c r="D191" s="1"/>
      <c r="E191" s="3"/>
      <c r="F191" s="1"/>
      <c r="G191" s="141">
        <f>IF(Basic345678910111213141516171819[[#This Row],[نوع الخدمة]]="مخالفات", 50,
IF(Basic345678910111213141516171819[[#This Row],[نوع الخدمة]]="كاش ان",
    IF(F191&lt;=100, 18, IF(F191&lt;=250, 23, IF(F191&lt;=500, 35, IF(F191&lt;=1000, 40, F191*0.04)))),
IF(Basic345678910111213141516171819[[#This Row],[نوع الخدمة]]="كاش اوت",
    IF(F191&lt;=100, 15, IF(F191&lt;=250, 20, IF(F191&lt;=500, 30, IF(F191&lt;=1000, 35, F191*0.035)))),
0)))</f>
        <v>0</v>
      </c>
      <c r="H191" s="159">
        <f>IF(I191="مخالفات",50,Basic345678910111213141516171819[[#This Row],[قيمة الرسوم / العموله]]+Basic345678910111213141516171819[[#This Row],[قيمة الشحنه]])</f>
        <v>0</v>
      </c>
      <c r="I191" s="90"/>
      <c r="J191" s="142" t="str">
        <f t="shared" si="2"/>
        <v>14.5.2026</v>
      </c>
      <c r="L191" s="153">
        <v>180</v>
      </c>
      <c r="M191" s="92"/>
    </row>
    <row r="192" spans="1:13" ht="21.6" x14ac:dyDescent="0.65">
      <c r="A192" s="195"/>
      <c r="B192" s="140">
        <v>189</v>
      </c>
      <c r="C192" s="2"/>
      <c r="D192" s="1"/>
      <c r="E192" s="3"/>
      <c r="F192" s="1"/>
      <c r="G192" s="141">
        <f>IF(Basic345678910111213141516171819[[#This Row],[نوع الخدمة]]="مخالفات", 50,
IF(Basic345678910111213141516171819[[#This Row],[نوع الخدمة]]="كاش ان",
    IF(F192&lt;=100, 18, IF(F192&lt;=250, 23, IF(F192&lt;=500, 35, IF(F192&lt;=1000, 40, F192*0.04)))),
IF(Basic345678910111213141516171819[[#This Row],[نوع الخدمة]]="كاش اوت",
    IF(F192&lt;=100, 15, IF(F192&lt;=250, 20, IF(F192&lt;=500, 30, IF(F192&lt;=1000, 35, F192*0.035)))),
0)))</f>
        <v>0</v>
      </c>
      <c r="H192" s="159">
        <f>IF(I192="مخالفات",50,Basic345678910111213141516171819[[#This Row],[قيمة الرسوم / العموله]]+Basic345678910111213141516171819[[#This Row],[قيمة الشحنه]])</f>
        <v>0</v>
      </c>
      <c r="I192" s="90"/>
      <c r="J192" s="142" t="str">
        <f t="shared" si="2"/>
        <v>14.5.2026</v>
      </c>
      <c r="L192" s="153">
        <v>181</v>
      </c>
      <c r="M192" s="92"/>
    </row>
    <row r="193" spans="1:13" ht="21.6" x14ac:dyDescent="0.65">
      <c r="A193" s="195"/>
      <c r="B193" s="144">
        <v>190</v>
      </c>
      <c r="C193" s="2"/>
      <c r="D193" s="1"/>
      <c r="E193" s="3"/>
      <c r="F193" s="1"/>
      <c r="G193" s="141">
        <f>IF(Basic345678910111213141516171819[[#This Row],[نوع الخدمة]]="مخالفات", 50,
IF(Basic345678910111213141516171819[[#This Row],[نوع الخدمة]]="كاش ان",
    IF(F193&lt;=100, 18, IF(F193&lt;=250, 23, IF(F193&lt;=500, 35, IF(F193&lt;=1000, 40, F193*0.04)))),
IF(Basic345678910111213141516171819[[#This Row],[نوع الخدمة]]="كاش اوت",
    IF(F193&lt;=100, 15, IF(F193&lt;=250, 20, IF(F193&lt;=500, 30, IF(F193&lt;=1000, 35, F193*0.035)))),
0)))</f>
        <v>0</v>
      </c>
      <c r="H193" s="159">
        <f>IF(I193="مخالفات",50,Basic345678910111213141516171819[[#This Row],[قيمة الرسوم / العموله]]+Basic345678910111213141516171819[[#This Row],[قيمة الشحنه]])</f>
        <v>0</v>
      </c>
      <c r="I193" s="90"/>
      <c r="J193" s="142" t="str">
        <f t="shared" si="2"/>
        <v>14.5.2026</v>
      </c>
      <c r="L193" s="153">
        <v>182</v>
      </c>
      <c r="M193" s="92"/>
    </row>
    <row r="194" spans="1:13" ht="21.6" x14ac:dyDescent="0.65">
      <c r="A194" s="195"/>
      <c r="B194" s="140">
        <v>191</v>
      </c>
      <c r="C194" s="2"/>
      <c r="D194" s="1"/>
      <c r="E194" s="3"/>
      <c r="F194" s="1"/>
      <c r="G194" s="141">
        <f>IF(Basic345678910111213141516171819[[#This Row],[نوع الخدمة]]="مخالفات", 50,
IF(Basic345678910111213141516171819[[#This Row],[نوع الخدمة]]="كاش ان",
    IF(F194&lt;=100, 18, IF(F194&lt;=250, 23, IF(F194&lt;=500, 35, IF(F194&lt;=1000, 40, F194*0.04)))),
IF(Basic345678910111213141516171819[[#This Row],[نوع الخدمة]]="كاش اوت",
    IF(F194&lt;=100, 15, IF(F194&lt;=250, 20, IF(F194&lt;=500, 30, IF(F194&lt;=1000, 35, F194*0.035)))),
0)))</f>
        <v>0</v>
      </c>
      <c r="H194" s="159">
        <f>IF(I194="مخالفات",50,Basic345678910111213141516171819[[#This Row],[قيمة الرسوم / العموله]]+Basic345678910111213141516171819[[#This Row],[قيمة الشحنه]])</f>
        <v>0</v>
      </c>
      <c r="I194" s="90"/>
      <c r="J194" s="142" t="str">
        <f t="shared" si="2"/>
        <v>14.5.2026</v>
      </c>
      <c r="L194" s="153">
        <v>183</v>
      </c>
      <c r="M194" s="92"/>
    </row>
    <row r="195" spans="1:13" ht="21.6" x14ac:dyDescent="0.65">
      <c r="A195" s="195"/>
      <c r="B195" s="140">
        <v>192</v>
      </c>
      <c r="C195" s="2"/>
      <c r="D195" s="1"/>
      <c r="E195" s="3"/>
      <c r="F195" s="1"/>
      <c r="G195" s="141">
        <f>IF(Basic345678910111213141516171819[[#This Row],[نوع الخدمة]]="مخالفات", 50,
IF(Basic345678910111213141516171819[[#This Row],[نوع الخدمة]]="كاش ان",
    IF(F195&lt;=100, 18, IF(F195&lt;=250, 23, IF(F195&lt;=500, 35, IF(F195&lt;=1000, 40, F195*0.04)))),
IF(Basic345678910111213141516171819[[#This Row],[نوع الخدمة]]="كاش اوت",
    IF(F195&lt;=100, 15, IF(F195&lt;=250, 20, IF(F195&lt;=500, 30, IF(F195&lt;=1000, 35, F195*0.035)))),
0)))</f>
        <v>0</v>
      </c>
      <c r="H195" s="159">
        <f>IF(I195="مخالفات",50,Basic345678910111213141516171819[[#This Row],[قيمة الرسوم / العموله]]+Basic345678910111213141516171819[[#This Row],[قيمة الشحنه]])</f>
        <v>0</v>
      </c>
      <c r="I195" s="90"/>
      <c r="J195" s="142" t="str">
        <f t="shared" si="2"/>
        <v>14.5.2026</v>
      </c>
      <c r="L195" s="153">
        <v>184</v>
      </c>
      <c r="M195" s="92"/>
    </row>
    <row r="196" spans="1:13" ht="21.6" x14ac:dyDescent="0.65">
      <c r="A196" s="195"/>
      <c r="B196" s="140">
        <v>193</v>
      </c>
      <c r="C196" s="2"/>
      <c r="D196" s="1"/>
      <c r="E196" s="3"/>
      <c r="F196" s="1"/>
      <c r="G196" s="141">
        <f>IF(Basic345678910111213141516171819[[#This Row],[نوع الخدمة]]="مخالفات", 50,
IF(Basic345678910111213141516171819[[#This Row],[نوع الخدمة]]="كاش ان",
    IF(F196&lt;=100, 18, IF(F196&lt;=250, 23, IF(F196&lt;=500, 35, IF(F196&lt;=1000, 40, F196*0.04)))),
IF(Basic345678910111213141516171819[[#This Row],[نوع الخدمة]]="كاش اوت",
    IF(F196&lt;=100, 15, IF(F196&lt;=250, 20, IF(F196&lt;=500, 30, IF(F196&lt;=1000, 35, F196*0.035)))),
0)))</f>
        <v>0</v>
      </c>
      <c r="H196" s="159">
        <f>IF(I196="مخالفات",50,Basic345678910111213141516171819[[#This Row],[قيمة الرسوم / العموله]]+Basic345678910111213141516171819[[#This Row],[قيمة الشحنه]])</f>
        <v>0</v>
      </c>
      <c r="I196" s="90"/>
      <c r="J196" s="142" t="str">
        <f t="shared" ref="J196:J226" si="3">M$3</f>
        <v>14.5.2026</v>
      </c>
      <c r="L196" s="153">
        <v>185</v>
      </c>
      <c r="M196" s="92"/>
    </row>
    <row r="197" spans="1:13" ht="21.6" x14ac:dyDescent="0.65">
      <c r="A197" s="195"/>
      <c r="B197" s="144">
        <v>194</v>
      </c>
      <c r="C197" s="2"/>
      <c r="D197" s="1"/>
      <c r="E197" s="3"/>
      <c r="F197" s="1"/>
      <c r="G197" s="141">
        <f>IF(Basic345678910111213141516171819[[#This Row],[نوع الخدمة]]="مخالفات", 50,
IF(Basic345678910111213141516171819[[#This Row],[نوع الخدمة]]="كاش ان",
    IF(F197&lt;=100, 18, IF(F197&lt;=250, 23, IF(F197&lt;=500, 35, IF(F197&lt;=1000, 40, F197*0.04)))),
IF(Basic345678910111213141516171819[[#This Row],[نوع الخدمة]]="كاش اوت",
    IF(F197&lt;=100, 15, IF(F197&lt;=250, 20, IF(F197&lt;=500, 30, IF(F197&lt;=1000, 35, F197*0.035)))),
0)))</f>
        <v>0</v>
      </c>
      <c r="H197" s="159">
        <f>IF(I197="مخالفات",50,Basic345678910111213141516171819[[#This Row],[قيمة الرسوم / العموله]]+Basic345678910111213141516171819[[#This Row],[قيمة الشحنه]])</f>
        <v>0</v>
      </c>
      <c r="I197" s="90"/>
      <c r="J197" s="142" t="str">
        <f t="shared" si="3"/>
        <v>14.5.2026</v>
      </c>
      <c r="L197" s="153">
        <v>186</v>
      </c>
      <c r="M197" s="92"/>
    </row>
    <row r="198" spans="1:13" ht="21.6" x14ac:dyDescent="0.65">
      <c r="A198" s="195"/>
      <c r="B198" s="140">
        <v>195</v>
      </c>
      <c r="C198" s="2"/>
      <c r="D198" s="1"/>
      <c r="E198" s="3"/>
      <c r="F198" s="1"/>
      <c r="G198" s="141">
        <f>IF(Basic345678910111213141516171819[[#This Row],[نوع الخدمة]]="مخالفات", 50,
IF(Basic345678910111213141516171819[[#This Row],[نوع الخدمة]]="كاش ان",
    IF(F198&lt;=100, 18, IF(F198&lt;=250, 23, IF(F198&lt;=500, 35, IF(F198&lt;=1000, 40, F198*0.04)))),
IF(Basic345678910111213141516171819[[#This Row],[نوع الخدمة]]="كاش اوت",
    IF(F198&lt;=100, 15, IF(F198&lt;=250, 20, IF(F198&lt;=500, 30, IF(F198&lt;=1000, 35, F198*0.035)))),
0)))</f>
        <v>0</v>
      </c>
      <c r="H198" s="159">
        <f>IF(I198="مخالفات",50,Basic345678910111213141516171819[[#This Row],[قيمة الرسوم / العموله]]+Basic345678910111213141516171819[[#This Row],[قيمة الشحنه]])</f>
        <v>0</v>
      </c>
      <c r="I198" s="90"/>
      <c r="J198" s="142" t="str">
        <f t="shared" si="3"/>
        <v>14.5.2026</v>
      </c>
      <c r="L198" s="153">
        <v>187</v>
      </c>
      <c r="M198" s="92"/>
    </row>
    <row r="199" spans="1:13" ht="21.6" x14ac:dyDescent="0.65">
      <c r="A199" s="195"/>
      <c r="B199" s="140">
        <v>196</v>
      </c>
      <c r="C199" s="2"/>
      <c r="D199" s="1"/>
      <c r="E199" s="3"/>
      <c r="F199" s="1"/>
      <c r="G199" s="141">
        <f>IF(Basic345678910111213141516171819[[#This Row],[نوع الخدمة]]="مخالفات", 50,
IF(Basic345678910111213141516171819[[#This Row],[نوع الخدمة]]="كاش ان",
    IF(F199&lt;=100, 18, IF(F199&lt;=250, 23, IF(F199&lt;=500, 35, IF(F199&lt;=1000, 40, F199*0.04)))),
IF(Basic345678910111213141516171819[[#This Row],[نوع الخدمة]]="كاش اوت",
    IF(F199&lt;=100, 15, IF(F199&lt;=250, 20, IF(F199&lt;=500, 30, IF(F199&lt;=1000, 35, F199*0.035)))),
0)))</f>
        <v>0</v>
      </c>
      <c r="H199" s="159">
        <f>IF(I199="مخالفات",50,Basic345678910111213141516171819[[#This Row],[قيمة الرسوم / العموله]]+Basic345678910111213141516171819[[#This Row],[قيمة الشحنه]])</f>
        <v>0</v>
      </c>
      <c r="I199" s="90"/>
      <c r="J199" s="142" t="str">
        <f t="shared" si="3"/>
        <v>14.5.2026</v>
      </c>
      <c r="L199" s="153">
        <v>188</v>
      </c>
      <c r="M199" s="92"/>
    </row>
    <row r="200" spans="1:13" ht="21.6" x14ac:dyDescent="0.65">
      <c r="A200" s="195"/>
      <c r="B200" s="140">
        <v>197</v>
      </c>
      <c r="C200" s="2"/>
      <c r="D200" s="1"/>
      <c r="E200" s="3"/>
      <c r="F200" s="1"/>
      <c r="G200" s="141">
        <f>IF(Basic345678910111213141516171819[[#This Row],[نوع الخدمة]]="مخالفات", 50,
IF(Basic345678910111213141516171819[[#This Row],[نوع الخدمة]]="كاش ان",
    IF(F200&lt;=100, 18, IF(F200&lt;=250, 23, IF(F200&lt;=500, 35, IF(F200&lt;=1000, 40, F200*0.04)))),
IF(Basic345678910111213141516171819[[#This Row],[نوع الخدمة]]="كاش اوت",
    IF(F200&lt;=100, 15, IF(F200&lt;=250, 20, IF(F200&lt;=500, 30, IF(F200&lt;=1000, 35, F200*0.035)))),
0)))</f>
        <v>0</v>
      </c>
      <c r="H200" s="159">
        <f>IF(I200="مخالفات",50,Basic345678910111213141516171819[[#This Row],[قيمة الرسوم / العموله]]+Basic345678910111213141516171819[[#This Row],[قيمة الشحنه]])</f>
        <v>0</v>
      </c>
      <c r="I200" s="90"/>
      <c r="J200" s="142" t="str">
        <f t="shared" si="3"/>
        <v>14.5.2026</v>
      </c>
      <c r="L200" s="153">
        <v>189</v>
      </c>
      <c r="M200" s="92"/>
    </row>
    <row r="201" spans="1:13" ht="21.6" x14ac:dyDescent="0.65">
      <c r="A201" s="195"/>
      <c r="B201" s="144">
        <v>198</v>
      </c>
      <c r="C201" s="2"/>
      <c r="D201" s="1"/>
      <c r="E201" s="3"/>
      <c r="F201" s="1"/>
      <c r="G201" s="141">
        <f>IF(Basic345678910111213141516171819[[#This Row],[نوع الخدمة]]="مخالفات", 50,
IF(Basic345678910111213141516171819[[#This Row],[نوع الخدمة]]="كاش ان",
    IF(F201&lt;=100, 18, IF(F201&lt;=250, 23, IF(F201&lt;=500, 35, IF(F201&lt;=1000, 40, F201*0.04)))),
IF(Basic345678910111213141516171819[[#This Row],[نوع الخدمة]]="كاش اوت",
    IF(F201&lt;=100, 15, IF(F201&lt;=250, 20, IF(F201&lt;=500, 30, IF(F201&lt;=1000, 35, F201*0.035)))),
0)))</f>
        <v>0</v>
      </c>
      <c r="H201" s="159">
        <f>IF(I201="مخالفات",50,Basic345678910111213141516171819[[#This Row],[قيمة الرسوم / العموله]]+Basic345678910111213141516171819[[#This Row],[قيمة الشحنه]])</f>
        <v>0</v>
      </c>
      <c r="I201" s="90"/>
      <c r="J201" s="142" t="str">
        <f t="shared" si="3"/>
        <v>14.5.2026</v>
      </c>
      <c r="L201" s="153">
        <v>190</v>
      </c>
      <c r="M201" s="92"/>
    </row>
    <row r="202" spans="1:13" ht="21.6" x14ac:dyDescent="0.65">
      <c r="A202" s="195"/>
      <c r="B202" s="140">
        <v>199</v>
      </c>
      <c r="C202" s="2"/>
      <c r="D202" s="1"/>
      <c r="E202" s="3"/>
      <c r="F202" s="1"/>
      <c r="G202" s="141">
        <f>IF(Basic345678910111213141516171819[[#This Row],[نوع الخدمة]]="مخالفات", 50,
IF(Basic345678910111213141516171819[[#This Row],[نوع الخدمة]]="كاش ان",
    IF(F202&lt;=100, 18, IF(F202&lt;=250, 23, IF(F202&lt;=500, 35, IF(F202&lt;=1000, 40, F202*0.04)))),
IF(Basic345678910111213141516171819[[#This Row],[نوع الخدمة]]="كاش اوت",
    IF(F202&lt;=100, 15, IF(F202&lt;=250, 20, IF(F202&lt;=500, 30, IF(F202&lt;=1000, 35, F202*0.035)))),
0)))</f>
        <v>0</v>
      </c>
      <c r="H202" s="159">
        <f>IF(I202="مخالفات",50,Basic345678910111213141516171819[[#This Row],[قيمة الرسوم / العموله]]+Basic345678910111213141516171819[[#This Row],[قيمة الشحنه]])</f>
        <v>0</v>
      </c>
      <c r="I202" s="90"/>
      <c r="J202" s="142" t="str">
        <f t="shared" si="3"/>
        <v>14.5.2026</v>
      </c>
      <c r="L202" s="153">
        <v>191</v>
      </c>
      <c r="M202" s="92"/>
    </row>
    <row r="203" spans="1:13" ht="21.6" x14ac:dyDescent="0.65">
      <c r="A203" s="195"/>
      <c r="B203" s="140">
        <v>200</v>
      </c>
      <c r="C203" s="2"/>
      <c r="D203" s="1"/>
      <c r="E203" s="3"/>
      <c r="F203" s="1"/>
      <c r="G203" s="141">
        <f>IF(Basic345678910111213141516171819[[#This Row],[نوع الخدمة]]="مخالفات", 50,
IF(Basic345678910111213141516171819[[#This Row],[نوع الخدمة]]="كاش ان",
    IF(F203&lt;=100, 18, IF(F203&lt;=250, 23, IF(F203&lt;=500, 35, IF(F203&lt;=1000, 40, F203*0.04)))),
IF(Basic345678910111213141516171819[[#This Row],[نوع الخدمة]]="كاش اوت",
    IF(F203&lt;=100, 15, IF(F203&lt;=250, 20, IF(F203&lt;=500, 30, IF(F203&lt;=1000, 35, F203*0.035)))),
0)))</f>
        <v>0</v>
      </c>
      <c r="H203" s="159">
        <f>IF(I203="مخالفات",50,Basic345678910111213141516171819[[#This Row],[قيمة الرسوم / العموله]]+Basic345678910111213141516171819[[#This Row],[قيمة الشحنه]])</f>
        <v>0</v>
      </c>
      <c r="I203" s="90"/>
      <c r="J203" s="142" t="str">
        <f t="shared" si="3"/>
        <v>14.5.2026</v>
      </c>
      <c r="L203" s="153">
        <v>192</v>
      </c>
      <c r="M203" s="92"/>
    </row>
    <row r="204" spans="1:13" ht="21.6" x14ac:dyDescent="0.65">
      <c r="A204" s="195"/>
      <c r="B204" s="140">
        <v>201</v>
      </c>
      <c r="C204" s="2"/>
      <c r="D204" s="1"/>
      <c r="E204" s="3"/>
      <c r="F204" s="1"/>
      <c r="G204" s="141">
        <f>IF(Basic345678910111213141516171819[[#This Row],[نوع الخدمة]]="مخالفات", 50,
IF(Basic345678910111213141516171819[[#This Row],[نوع الخدمة]]="كاش ان",
    IF(F204&lt;=100, 18, IF(F204&lt;=250, 23, IF(F204&lt;=500, 35, IF(F204&lt;=1000, 40, F204*0.04)))),
IF(Basic345678910111213141516171819[[#This Row],[نوع الخدمة]]="كاش اوت",
    IF(F204&lt;=100, 15, IF(F204&lt;=250, 20, IF(F204&lt;=500, 30, IF(F204&lt;=1000, 35, F204*0.035)))),
0)))</f>
        <v>0</v>
      </c>
      <c r="H204" s="159">
        <f>IF(I204="مخالفات",50,Basic345678910111213141516171819[[#This Row],[قيمة الرسوم / العموله]]+Basic345678910111213141516171819[[#This Row],[قيمة الشحنه]])</f>
        <v>0</v>
      </c>
      <c r="I204" s="90"/>
      <c r="J204" s="142" t="str">
        <f t="shared" si="3"/>
        <v>14.5.2026</v>
      </c>
      <c r="L204" s="153">
        <v>193</v>
      </c>
      <c r="M204" s="92"/>
    </row>
    <row r="205" spans="1:13" ht="21.6" x14ac:dyDescent="0.65">
      <c r="A205" s="195"/>
      <c r="B205" s="144">
        <v>202</v>
      </c>
      <c r="C205" s="2"/>
      <c r="D205" s="1"/>
      <c r="E205" s="3"/>
      <c r="F205" s="1"/>
      <c r="G205" s="141">
        <f>IF(Basic345678910111213141516171819[[#This Row],[نوع الخدمة]]="مخالفات", 50,
IF(Basic345678910111213141516171819[[#This Row],[نوع الخدمة]]="كاش ان",
    IF(F205&lt;=100, 18, IF(F205&lt;=250, 23, IF(F205&lt;=500, 35, IF(F205&lt;=1000, 40, F205*0.04)))),
IF(Basic345678910111213141516171819[[#This Row],[نوع الخدمة]]="كاش اوت",
    IF(F205&lt;=100, 15, IF(F205&lt;=250, 20, IF(F205&lt;=500, 30, IF(F205&lt;=1000, 35, F205*0.035)))),
0)))</f>
        <v>0</v>
      </c>
      <c r="H205" s="159">
        <f>IF(I205="مخالفات",50,Basic345678910111213141516171819[[#This Row],[قيمة الرسوم / العموله]]+Basic345678910111213141516171819[[#This Row],[قيمة الشحنه]])</f>
        <v>0</v>
      </c>
      <c r="I205" s="90"/>
      <c r="J205" s="142" t="str">
        <f t="shared" si="3"/>
        <v>14.5.2026</v>
      </c>
      <c r="L205" s="153">
        <v>194</v>
      </c>
      <c r="M205" s="92"/>
    </row>
    <row r="206" spans="1:13" ht="21.6" x14ac:dyDescent="0.65">
      <c r="A206" s="195"/>
      <c r="B206" s="140">
        <v>203</v>
      </c>
      <c r="C206" s="2"/>
      <c r="D206" s="1"/>
      <c r="E206" s="3"/>
      <c r="F206" s="1"/>
      <c r="G206" s="141">
        <f>IF(Basic345678910111213141516171819[[#This Row],[نوع الخدمة]]="مخالفات", 50,
IF(Basic345678910111213141516171819[[#This Row],[نوع الخدمة]]="كاش ان",
    IF(F206&lt;=100, 18, IF(F206&lt;=250, 23, IF(F206&lt;=500, 35, IF(F206&lt;=1000, 40, F206*0.04)))),
IF(Basic345678910111213141516171819[[#This Row],[نوع الخدمة]]="كاش اوت",
    IF(F206&lt;=100, 15, IF(F206&lt;=250, 20, IF(F206&lt;=500, 30, IF(F206&lt;=1000, 35, F206*0.035)))),
0)))</f>
        <v>0</v>
      </c>
      <c r="H206" s="159">
        <f>IF(I206="مخالفات",50,Basic345678910111213141516171819[[#This Row],[قيمة الرسوم / العموله]]+Basic345678910111213141516171819[[#This Row],[قيمة الشحنه]])</f>
        <v>0</v>
      </c>
      <c r="I206" s="90"/>
      <c r="J206" s="142" t="str">
        <f t="shared" si="3"/>
        <v>14.5.2026</v>
      </c>
      <c r="L206" s="153">
        <v>195</v>
      </c>
      <c r="M206" s="92"/>
    </row>
    <row r="207" spans="1:13" ht="21.6" x14ac:dyDescent="0.65">
      <c r="A207" s="195"/>
      <c r="B207" s="140">
        <v>204</v>
      </c>
      <c r="C207" s="2"/>
      <c r="D207" s="1"/>
      <c r="E207" s="3"/>
      <c r="F207" s="1"/>
      <c r="G207" s="141">
        <f>IF(Basic345678910111213141516171819[[#This Row],[نوع الخدمة]]="مخالفات", 50,
IF(Basic345678910111213141516171819[[#This Row],[نوع الخدمة]]="كاش ان",
    IF(F207&lt;=100, 18, IF(F207&lt;=250, 23, IF(F207&lt;=500, 35, IF(F207&lt;=1000, 40, F207*0.04)))),
IF(Basic345678910111213141516171819[[#This Row],[نوع الخدمة]]="كاش اوت",
    IF(F207&lt;=100, 15, IF(F207&lt;=250, 20, IF(F207&lt;=500, 30, IF(F207&lt;=1000, 35, F207*0.035)))),
0)))</f>
        <v>0</v>
      </c>
      <c r="H207" s="159">
        <f>IF(I207="مخالفات",50,Basic345678910111213141516171819[[#This Row],[قيمة الرسوم / العموله]]+Basic345678910111213141516171819[[#This Row],[قيمة الشحنه]])</f>
        <v>0</v>
      </c>
      <c r="I207" s="90"/>
      <c r="J207" s="142" t="str">
        <f t="shared" si="3"/>
        <v>14.5.2026</v>
      </c>
      <c r="L207" s="153">
        <v>196</v>
      </c>
      <c r="M207" s="92"/>
    </row>
    <row r="208" spans="1:13" ht="21.6" x14ac:dyDescent="0.65">
      <c r="A208" s="195"/>
      <c r="B208" s="140">
        <v>205</v>
      </c>
      <c r="C208" s="2"/>
      <c r="D208" s="1"/>
      <c r="E208" s="3"/>
      <c r="F208" s="1"/>
      <c r="G208" s="141">
        <f>IF(Basic345678910111213141516171819[[#This Row],[نوع الخدمة]]="مخالفات", 50,
IF(Basic345678910111213141516171819[[#This Row],[نوع الخدمة]]="كاش ان",
    IF(F208&lt;=100, 18, IF(F208&lt;=250, 23, IF(F208&lt;=500, 35, IF(F208&lt;=1000, 40, F208*0.04)))),
IF(Basic345678910111213141516171819[[#This Row],[نوع الخدمة]]="كاش اوت",
    IF(F208&lt;=100, 15, IF(F208&lt;=250, 20, IF(F208&lt;=500, 30, IF(F208&lt;=1000, 35, F208*0.035)))),
0)))</f>
        <v>0</v>
      </c>
      <c r="H208" s="159">
        <f>IF(I208="مخالفات",50,Basic345678910111213141516171819[[#This Row],[قيمة الرسوم / العموله]]+Basic345678910111213141516171819[[#This Row],[قيمة الشحنه]])</f>
        <v>0</v>
      </c>
      <c r="I208" s="90"/>
      <c r="J208" s="142" t="str">
        <f t="shared" si="3"/>
        <v>14.5.2026</v>
      </c>
      <c r="L208" s="153">
        <v>197</v>
      </c>
      <c r="M208" s="92"/>
    </row>
    <row r="209" spans="1:13" ht="21.6" x14ac:dyDescent="0.65">
      <c r="A209" s="195"/>
      <c r="B209" s="144">
        <v>206</v>
      </c>
      <c r="C209" s="2"/>
      <c r="D209" s="1"/>
      <c r="E209" s="3"/>
      <c r="F209" s="1"/>
      <c r="G209" s="141">
        <f>IF(Basic345678910111213141516171819[[#This Row],[نوع الخدمة]]="مخالفات", 50,
IF(Basic345678910111213141516171819[[#This Row],[نوع الخدمة]]="كاش ان",
    IF(F209&lt;=100, 18, IF(F209&lt;=250, 23, IF(F209&lt;=500, 35, IF(F209&lt;=1000, 40, F209*0.04)))),
IF(Basic345678910111213141516171819[[#This Row],[نوع الخدمة]]="كاش اوت",
    IF(F209&lt;=100, 15, IF(F209&lt;=250, 20, IF(F209&lt;=500, 30, IF(F209&lt;=1000, 35, F209*0.035)))),
0)))</f>
        <v>0</v>
      </c>
      <c r="H209" s="159">
        <f>IF(I209="مخالفات",50,Basic345678910111213141516171819[[#This Row],[قيمة الرسوم / العموله]]+Basic345678910111213141516171819[[#This Row],[قيمة الشحنه]])</f>
        <v>0</v>
      </c>
      <c r="I209" s="90"/>
      <c r="J209" s="142" t="str">
        <f t="shared" si="3"/>
        <v>14.5.2026</v>
      </c>
      <c r="L209" s="153">
        <v>198</v>
      </c>
      <c r="M209" s="92"/>
    </row>
    <row r="210" spans="1:13" ht="21.6" x14ac:dyDescent="0.65">
      <c r="A210" s="195"/>
      <c r="B210" s="140">
        <v>207</v>
      </c>
      <c r="C210" s="2"/>
      <c r="D210" s="1"/>
      <c r="E210" s="3"/>
      <c r="F210" s="1"/>
      <c r="G210" s="141">
        <f>IF(Basic345678910111213141516171819[[#This Row],[نوع الخدمة]]="مخالفات", 50,
IF(Basic345678910111213141516171819[[#This Row],[نوع الخدمة]]="كاش ان",
    IF(F210&lt;=100, 18, IF(F210&lt;=250, 23, IF(F210&lt;=500, 35, IF(F210&lt;=1000, 40, F210*0.04)))),
IF(Basic345678910111213141516171819[[#This Row],[نوع الخدمة]]="كاش اوت",
    IF(F210&lt;=100, 15, IF(F210&lt;=250, 20, IF(F210&lt;=500, 30, IF(F210&lt;=1000, 35, F210*0.035)))),
0)))</f>
        <v>0</v>
      </c>
      <c r="H210" s="159">
        <f>IF(I210="مخالفات",50,Basic345678910111213141516171819[[#This Row],[قيمة الرسوم / العموله]]+Basic345678910111213141516171819[[#This Row],[قيمة الشحنه]])</f>
        <v>0</v>
      </c>
      <c r="I210" s="90"/>
      <c r="J210" s="142" t="str">
        <f t="shared" si="3"/>
        <v>14.5.2026</v>
      </c>
      <c r="L210" s="153">
        <v>199</v>
      </c>
      <c r="M210" s="92"/>
    </row>
    <row r="211" spans="1:13" ht="21.6" x14ac:dyDescent="0.65">
      <c r="A211" s="195"/>
      <c r="B211" s="140">
        <v>208</v>
      </c>
      <c r="C211" s="2"/>
      <c r="D211" s="1"/>
      <c r="E211" s="3"/>
      <c r="F211" s="1"/>
      <c r="G211" s="141">
        <f>IF(Basic345678910111213141516171819[[#This Row],[نوع الخدمة]]="مخالفات", 50,
IF(Basic345678910111213141516171819[[#This Row],[نوع الخدمة]]="كاش ان",
    IF(F211&lt;=100, 18, IF(F211&lt;=250, 23, IF(F211&lt;=500, 35, IF(F211&lt;=1000, 40, F211*0.04)))),
IF(Basic345678910111213141516171819[[#This Row],[نوع الخدمة]]="كاش اوت",
    IF(F211&lt;=100, 15, IF(F211&lt;=250, 20, IF(F211&lt;=500, 30, IF(F211&lt;=1000, 35, F211*0.035)))),
0)))</f>
        <v>0</v>
      </c>
      <c r="H211" s="159">
        <f>IF(I211="مخالفات",50,Basic345678910111213141516171819[[#This Row],[قيمة الرسوم / العموله]]+Basic345678910111213141516171819[[#This Row],[قيمة الشحنه]])</f>
        <v>0</v>
      </c>
      <c r="I211" s="90"/>
      <c r="J211" s="142" t="str">
        <f t="shared" si="3"/>
        <v>14.5.2026</v>
      </c>
      <c r="L211" s="153">
        <v>200</v>
      </c>
      <c r="M211" s="92"/>
    </row>
    <row r="212" spans="1:13" ht="21.6" x14ac:dyDescent="0.65">
      <c r="A212" s="195"/>
      <c r="B212" s="140">
        <v>209</v>
      </c>
      <c r="C212" s="2"/>
      <c r="D212" s="1"/>
      <c r="E212" s="3"/>
      <c r="F212" s="1"/>
      <c r="G212" s="141">
        <f>IF(Basic345678910111213141516171819[[#This Row],[نوع الخدمة]]="مخالفات", 50,
IF(Basic345678910111213141516171819[[#This Row],[نوع الخدمة]]="كاش ان",
    IF(F212&lt;=100, 18, IF(F212&lt;=250, 23, IF(F212&lt;=500, 35, IF(F212&lt;=1000, 40, F212*0.04)))),
IF(Basic345678910111213141516171819[[#This Row],[نوع الخدمة]]="كاش اوت",
    IF(F212&lt;=100, 15, IF(F212&lt;=250, 20, IF(F212&lt;=500, 30, IF(F212&lt;=1000, 35, F212*0.035)))),
0)))</f>
        <v>0</v>
      </c>
      <c r="H212" s="159">
        <f>IF(I212="مخالفات",50,Basic345678910111213141516171819[[#This Row],[قيمة الرسوم / العموله]]+Basic345678910111213141516171819[[#This Row],[قيمة الشحنه]])</f>
        <v>0</v>
      </c>
      <c r="I212" s="90"/>
      <c r="J212" s="142" t="str">
        <f t="shared" si="3"/>
        <v>14.5.2026</v>
      </c>
      <c r="L212" s="153">
        <v>201</v>
      </c>
      <c r="M212" s="92"/>
    </row>
    <row r="213" spans="1:13" ht="21.6" x14ac:dyDescent="0.65">
      <c r="A213" s="195"/>
      <c r="B213" s="144">
        <v>210</v>
      </c>
      <c r="C213" s="2"/>
      <c r="D213" s="1"/>
      <c r="E213" s="3"/>
      <c r="F213" s="1"/>
      <c r="G213" s="141">
        <f>IF(Basic345678910111213141516171819[[#This Row],[نوع الخدمة]]="مخالفات", 50,
IF(Basic345678910111213141516171819[[#This Row],[نوع الخدمة]]="كاش ان",
    IF(F213&lt;=100, 18, IF(F213&lt;=250, 23, IF(F213&lt;=500, 35, IF(F213&lt;=1000, 40, F213*0.04)))),
IF(Basic345678910111213141516171819[[#This Row],[نوع الخدمة]]="كاش اوت",
    IF(F213&lt;=100, 15, IF(F213&lt;=250, 20, IF(F213&lt;=500, 30, IF(F213&lt;=1000, 35, F213*0.035)))),
0)))</f>
        <v>0</v>
      </c>
      <c r="H213" s="159">
        <f>IF(I213="مخالفات",50,Basic345678910111213141516171819[[#This Row],[قيمة الرسوم / العموله]]+Basic345678910111213141516171819[[#This Row],[قيمة الشحنه]])</f>
        <v>0</v>
      </c>
      <c r="I213" s="90"/>
      <c r="J213" s="142" t="str">
        <f t="shared" si="3"/>
        <v>14.5.2026</v>
      </c>
      <c r="L213" s="153">
        <v>202</v>
      </c>
      <c r="M213" s="92"/>
    </row>
    <row r="214" spans="1:13" ht="21.6" x14ac:dyDescent="0.65">
      <c r="A214" s="195"/>
      <c r="B214" s="140">
        <v>211</v>
      </c>
      <c r="C214" s="2"/>
      <c r="D214" s="1"/>
      <c r="E214" s="3"/>
      <c r="F214" s="1"/>
      <c r="G214" s="141">
        <f>IF(Basic345678910111213141516171819[[#This Row],[نوع الخدمة]]="مخالفات", 50,
IF(Basic345678910111213141516171819[[#This Row],[نوع الخدمة]]="كاش ان",
    IF(F214&lt;=100, 18, IF(F214&lt;=250, 23, IF(F214&lt;=500, 35, IF(F214&lt;=1000, 40, F214*0.04)))),
IF(Basic345678910111213141516171819[[#This Row],[نوع الخدمة]]="كاش اوت",
    IF(F214&lt;=100, 15, IF(F214&lt;=250, 20, IF(F214&lt;=500, 30, IF(F214&lt;=1000, 35, F214*0.035)))),
0)))</f>
        <v>0</v>
      </c>
      <c r="H214" s="159">
        <f>IF(I214="مخالفات",50,Basic345678910111213141516171819[[#This Row],[قيمة الرسوم / العموله]]+Basic345678910111213141516171819[[#This Row],[قيمة الشحنه]])</f>
        <v>0</v>
      </c>
      <c r="I214" s="90"/>
      <c r="J214" s="142" t="str">
        <f t="shared" si="3"/>
        <v>14.5.2026</v>
      </c>
      <c r="L214" s="153">
        <v>203</v>
      </c>
      <c r="M214" s="92"/>
    </row>
    <row r="215" spans="1:13" ht="21.6" x14ac:dyDescent="0.65">
      <c r="A215" s="195"/>
      <c r="B215" s="140">
        <v>212</v>
      </c>
      <c r="C215" s="2"/>
      <c r="D215" s="1"/>
      <c r="E215" s="3"/>
      <c r="F215" s="1"/>
      <c r="G215" s="141">
        <f>IF(Basic345678910111213141516171819[[#This Row],[نوع الخدمة]]="مخالفات", 50,
IF(Basic345678910111213141516171819[[#This Row],[نوع الخدمة]]="كاش ان",
    IF(F215&lt;=100, 18, IF(F215&lt;=250, 23, IF(F215&lt;=500, 35, IF(F215&lt;=1000, 40, F215*0.04)))),
IF(Basic345678910111213141516171819[[#This Row],[نوع الخدمة]]="كاش اوت",
    IF(F215&lt;=100, 15, IF(F215&lt;=250, 20, IF(F215&lt;=500, 30, IF(F215&lt;=1000, 35, F215*0.035)))),
0)))</f>
        <v>0</v>
      </c>
      <c r="H215" s="159">
        <f>IF(I215="مخالفات",50,Basic345678910111213141516171819[[#This Row],[قيمة الرسوم / العموله]]+Basic345678910111213141516171819[[#This Row],[قيمة الشحنه]])</f>
        <v>0</v>
      </c>
      <c r="I215" s="90"/>
      <c r="J215" s="142" t="str">
        <f t="shared" si="3"/>
        <v>14.5.2026</v>
      </c>
      <c r="L215" s="153">
        <v>204</v>
      </c>
      <c r="M215" s="92"/>
    </row>
    <row r="216" spans="1:13" ht="21.6" x14ac:dyDescent="0.65">
      <c r="A216" s="195"/>
      <c r="B216" s="140">
        <v>213</v>
      </c>
      <c r="C216" s="2"/>
      <c r="D216" s="1"/>
      <c r="E216" s="3"/>
      <c r="F216" s="1"/>
      <c r="G216" s="141">
        <f>IF(Basic345678910111213141516171819[[#This Row],[نوع الخدمة]]="مخالفات", 50,
IF(Basic345678910111213141516171819[[#This Row],[نوع الخدمة]]="كاش ان",
    IF(F216&lt;=100, 18, IF(F216&lt;=250, 23, IF(F216&lt;=500, 35, IF(F216&lt;=1000, 40, F216*0.04)))),
IF(Basic345678910111213141516171819[[#This Row],[نوع الخدمة]]="كاش اوت",
    IF(F216&lt;=100, 15, IF(F216&lt;=250, 20, IF(F216&lt;=500, 30, IF(F216&lt;=1000, 35, F216*0.035)))),
0)))</f>
        <v>0</v>
      </c>
      <c r="H216" s="159">
        <f>IF(I216="مخالفات",50,Basic345678910111213141516171819[[#This Row],[قيمة الرسوم / العموله]]+Basic345678910111213141516171819[[#This Row],[قيمة الشحنه]])</f>
        <v>0</v>
      </c>
      <c r="I216" s="90"/>
      <c r="J216" s="142" t="str">
        <f t="shared" si="3"/>
        <v>14.5.2026</v>
      </c>
      <c r="L216" s="153">
        <v>205</v>
      </c>
      <c r="M216" s="92"/>
    </row>
    <row r="217" spans="1:13" ht="21.6" x14ac:dyDescent="0.65">
      <c r="A217" s="195"/>
      <c r="B217" s="144">
        <v>214</v>
      </c>
      <c r="C217" s="2"/>
      <c r="D217" s="1"/>
      <c r="E217" s="3"/>
      <c r="F217" s="1"/>
      <c r="G217" s="141">
        <f>IF(Basic345678910111213141516171819[[#This Row],[نوع الخدمة]]="مخالفات", 50,
IF(Basic345678910111213141516171819[[#This Row],[نوع الخدمة]]="كاش ان",
    IF(F217&lt;=100, 18, IF(F217&lt;=250, 23, IF(F217&lt;=500, 35, IF(F217&lt;=1000, 40, F217*0.04)))),
IF(Basic345678910111213141516171819[[#This Row],[نوع الخدمة]]="كاش اوت",
    IF(F217&lt;=100, 15, IF(F217&lt;=250, 20, IF(F217&lt;=500, 30, IF(F217&lt;=1000, 35, F217*0.035)))),
0)))</f>
        <v>0</v>
      </c>
      <c r="H217" s="159">
        <f>IF(I217="مخالفات",50,Basic345678910111213141516171819[[#This Row],[قيمة الرسوم / العموله]]+Basic345678910111213141516171819[[#This Row],[قيمة الشحنه]])</f>
        <v>0</v>
      </c>
      <c r="I217" s="90"/>
      <c r="J217" s="142" t="str">
        <f t="shared" si="3"/>
        <v>14.5.2026</v>
      </c>
      <c r="L217" s="153">
        <v>206</v>
      </c>
      <c r="M217" s="92"/>
    </row>
    <row r="218" spans="1:13" ht="21.6" x14ac:dyDescent="0.65">
      <c r="A218" s="195"/>
      <c r="B218" s="140">
        <v>215</v>
      </c>
      <c r="C218" s="2"/>
      <c r="D218" s="1"/>
      <c r="E218" s="3"/>
      <c r="F218" s="1"/>
      <c r="G218" s="141">
        <f>IF(Basic345678910111213141516171819[[#This Row],[نوع الخدمة]]="مخالفات", 50,
IF(Basic345678910111213141516171819[[#This Row],[نوع الخدمة]]="كاش ان",
    IF(F218&lt;=100, 18, IF(F218&lt;=250, 23, IF(F218&lt;=500, 35, IF(F218&lt;=1000, 40, F218*0.04)))),
IF(Basic345678910111213141516171819[[#This Row],[نوع الخدمة]]="كاش اوت",
    IF(F218&lt;=100, 15, IF(F218&lt;=250, 20, IF(F218&lt;=500, 30, IF(F218&lt;=1000, 35, F218*0.035)))),
0)))</f>
        <v>0</v>
      </c>
      <c r="H218" s="159">
        <f>IF(I218="مخالفات",50,Basic345678910111213141516171819[[#This Row],[قيمة الرسوم / العموله]]+Basic345678910111213141516171819[[#This Row],[قيمة الشحنه]])</f>
        <v>0</v>
      </c>
      <c r="I218" s="90"/>
      <c r="J218" s="142" t="str">
        <f t="shared" si="3"/>
        <v>14.5.2026</v>
      </c>
      <c r="L218" s="153">
        <v>207</v>
      </c>
      <c r="M218" s="92"/>
    </row>
    <row r="219" spans="1:13" ht="21.6" x14ac:dyDescent="0.65">
      <c r="A219" s="195"/>
      <c r="B219" s="140">
        <v>216</v>
      </c>
      <c r="C219" s="2"/>
      <c r="D219" s="1"/>
      <c r="E219" s="3"/>
      <c r="F219" s="1"/>
      <c r="G219" s="141">
        <f>IF(Basic345678910111213141516171819[[#This Row],[نوع الخدمة]]="مخالفات", 50,
IF(Basic345678910111213141516171819[[#This Row],[نوع الخدمة]]="كاش ان",
    IF(F219&lt;=100, 18, IF(F219&lt;=250, 23, IF(F219&lt;=500, 35, IF(F219&lt;=1000, 40, F219*0.04)))),
IF(Basic345678910111213141516171819[[#This Row],[نوع الخدمة]]="كاش اوت",
    IF(F219&lt;=100, 15, IF(F219&lt;=250, 20, IF(F219&lt;=500, 30, IF(F219&lt;=1000, 35, F219*0.035)))),
0)))</f>
        <v>0</v>
      </c>
      <c r="H219" s="159">
        <f>IF(I219="مخالفات",50,Basic345678910111213141516171819[[#This Row],[قيمة الرسوم / العموله]]+Basic345678910111213141516171819[[#This Row],[قيمة الشحنه]])</f>
        <v>0</v>
      </c>
      <c r="I219" s="90"/>
      <c r="J219" s="142" t="str">
        <f t="shared" si="3"/>
        <v>14.5.2026</v>
      </c>
      <c r="L219" s="153">
        <v>208</v>
      </c>
      <c r="M219" s="92"/>
    </row>
    <row r="220" spans="1:13" ht="21.6" x14ac:dyDescent="0.65">
      <c r="A220" s="195"/>
      <c r="B220" s="140">
        <v>217</v>
      </c>
      <c r="C220" s="2"/>
      <c r="D220" s="1"/>
      <c r="E220" s="3"/>
      <c r="F220" s="1"/>
      <c r="G220" s="141">
        <f>IF(Basic345678910111213141516171819[[#This Row],[نوع الخدمة]]="مخالفات", 50,
IF(Basic345678910111213141516171819[[#This Row],[نوع الخدمة]]="كاش ان",
    IF(F220&lt;=100, 18, IF(F220&lt;=250, 23, IF(F220&lt;=500, 35, IF(F220&lt;=1000, 40, F220*0.04)))),
IF(Basic345678910111213141516171819[[#This Row],[نوع الخدمة]]="كاش اوت",
    IF(F220&lt;=100, 15, IF(F220&lt;=250, 20, IF(F220&lt;=500, 30, IF(F220&lt;=1000, 35, F220*0.035)))),
0)))</f>
        <v>0</v>
      </c>
      <c r="H220" s="159">
        <f>IF(I220="مخالفات",50,Basic345678910111213141516171819[[#This Row],[قيمة الرسوم / العموله]]+Basic345678910111213141516171819[[#This Row],[قيمة الشحنه]])</f>
        <v>0</v>
      </c>
      <c r="I220" s="90"/>
      <c r="J220" s="142" t="str">
        <f t="shared" si="3"/>
        <v>14.5.2026</v>
      </c>
      <c r="L220" s="153">
        <v>209</v>
      </c>
      <c r="M220" s="92"/>
    </row>
    <row r="221" spans="1:13" ht="21.6" x14ac:dyDescent="0.65">
      <c r="A221" s="195"/>
      <c r="B221" s="144">
        <v>218</v>
      </c>
      <c r="C221" s="2"/>
      <c r="D221" s="1"/>
      <c r="E221" s="3"/>
      <c r="F221" s="1"/>
      <c r="G221" s="141">
        <f>IF(Basic345678910111213141516171819[[#This Row],[نوع الخدمة]]="مخالفات", 50,
IF(Basic345678910111213141516171819[[#This Row],[نوع الخدمة]]="كاش ان",
    IF(F221&lt;=100, 18, IF(F221&lt;=250, 23, IF(F221&lt;=500, 35, IF(F221&lt;=1000, 40, F221*0.04)))),
IF(Basic345678910111213141516171819[[#This Row],[نوع الخدمة]]="كاش اوت",
    IF(F221&lt;=100, 15, IF(F221&lt;=250, 20, IF(F221&lt;=500, 30, IF(F221&lt;=1000, 35, F221*0.035)))),
0)))</f>
        <v>0</v>
      </c>
      <c r="H221" s="159">
        <f>IF(I221="مخالفات",50,Basic345678910111213141516171819[[#This Row],[قيمة الرسوم / العموله]]+Basic345678910111213141516171819[[#This Row],[قيمة الشحنه]])</f>
        <v>0</v>
      </c>
      <c r="I221" s="90"/>
      <c r="J221" s="142" t="str">
        <f t="shared" si="3"/>
        <v>14.5.2026</v>
      </c>
      <c r="L221" s="153">
        <v>210</v>
      </c>
      <c r="M221" s="92"/>
    </row>
    <row r="222" spans="1:13" ht="21.6" x14ac:dyDescent="0.65">
      <c r="A222" s="195"/>
      <c r="B222" s="140">
        <v>219</v>
      </c>
      <c r="C222" s="2"/>
      <c r="D222" s="1"/>
      <c r="E222" s="3"/>
      <c r="F222" s="1"/>
      <c r="G222" s="141">
        <f>IF(Basic345678910111213141516171819[[#This Row],[نوع الخدمة]]="مخالفات", 50,
IF(Basic345678910111213141516171819[[#This Row],[نوع الخدمة]]="كاش ان",
    IF(F222&lt;=100, 18, IF(F222&lt;=250, 23, IF(F222&lt;=500, 35, IF(F222&lt;=1000, 40, F222*0.04)))),
IF(Basic345678910111213141516171819[[#This Row],[نوع الخدمة]]="كاش اوت",
    IF(F222&lt;=100, 15, IF(F222&lt;=250, 20, IF(F222&lt;=500, 30, IF(F222&lt;=1000, 35, F222*0.035)))),
0)))</f>
        <v>0</v>
      </c>
      <c r="H222" s="159">
        <f>IF(I222="مخالفات",50,Basic345678910111213141516171819[[#This Row],[قيمة الرسوم / العموله]]+Basic345678910111213141516171819[[#This Row],[قيمة الشحنه]])</f>
        <v>0</v>
      </c>
      <c r="I222" s="90"/>
      <c r="J222" s="142" t="str">
        <f t="shared" si="3"/>
        <v>14.5.2026</v>
      </c>
      <c r="L222" s="153">
        <v>211</v>
      </c>
      <c r="M222" s="92"/>
    </row>
    <row r="223" spans="1:13" ht="21.6" x14ac:dyDescent="0.65">
      <c r="A223" s="195"/>
      <c r="B223" s="140">
        <v>220</v>
      </c>
      <c r="C223" s="2"/>
      <c r="D223" s="1"/>
      <c r="E223" s="3"/>
      <c r="F223" s="1"/>
      <c r="G223" s="141">
        <f>IF(Basic345678910111213141516171819[[#This Row],[نوع الخدمة]]="مخالفات", 50,
IF(Basic345678910111213141516171819[[#This Row],[نوع الخدمة]]="كاش ان",
    IF(F223&lt;=100, 18, IF(F223&lt;=250, 23, IF(F223&lt;=500, 35, IF(F223&lt;=1000, 40, F223*0.04)))),
IF(Basic345678910111213141516171819[[#This Row],[نوع الخدمة]]="كاش اوت",
    IF(F223&lt;=100, 15, IF(F223&lt;=250, 20, IF(F223&lt;=500, 30, IF(F223&lt;=1000, 35, F223*0.035)))),
0)))</f>
        <v>0</v>
      </c>
      <c r="H223" s="159">
        <f>IF(I223="مخالفات",50,Basic345678910111213141516171819[[#This Row],[قيمة الرسوم / العموله]]+Basic345678910111213141516171819[[#This Row],[قيمة الشحنه]])</f>
        <v>0</v>
      </c>
      <c r="I223" s="90"/>
      <c r="J223" s="142" t="str">
        <f t="shared" si="3"/>
        <v>14.5.2026</v>
      </c>
      <c r="L223" s="153">
        <v>212</v>
      </c>
      <c r="M223" s="92"/>
    </row>
    <row r="224" spans="1:13" ht="21.6" x14ac:dyDescent="0.65">
      <c r="A224" s="195"/>
      <c r="B224" s="140">
        <v>221</v>
      </c>
      <c r="C224" s="2"/>
      <c r="D224" s="1"/>
      <c r="E224" s="3"/>
      <c r="F224" s="1"/>
      <c r="G224" s="141">
        <f>IF(Basic345678910111213141516171819[[#This Row],[نوع الخدمة]]="مخالفات", 50,
IF(Basic345678910111213141516171819[[#This Row],[نوع الخدمة]]="كاش ان",
    IF(F224&lt;=100, 18, IF(F224&lt;=250, 23, IF(F224&lt;=500, 35, IF(F224&lt;=1000, 40, F224*0.04)))),
IF(Basic345678910111213141516171819[[#This Row],[نوع الخدمة]]="كاش اوت",
    IF(F224&lt;=100, 15, IF(F224&lt;=250, 20, IF(F224&lt;=500, 30, IF(F224&lt;=1000, 35, F224*0.035)))),
0)))</f>
        <v>0</v>
      </c>
      <c r="H224" s="159">
        <f>IF(I224="مخالفات",50,Basic345678910111213141516171819[[#This Row],[قيمة الرسوم / العموله]]+Basic345678910111213141516171819[[#This Row],[قيمة الشحنه]])</f>
        <v>0</v>
      </c>
      <c r="I224" s="90"/>
      <c r="J224" s="142" t="str">
        <f t="shared" si="3"/>
        <v>14.5.2026</v>
      </c>
      <c r="L224" s="153">
        <v>213</v>
      </c>
      <c r="M224" s="92"/>
    </row>
    <row r="225" spans="1:13" ht="21.6" x14ac:dyDescent="0.65">
      <c r="A225" s="195"/>
      <c r="B225" s="144">
        <v>222</v>
      </c>
      <c r="C225" s="2"/>
      <c r="D225" s="1"/>
      <c r="E225" s="3"/>
      <c r="F225" s="1"/>
      <c r="G225" s="141">
        <f>IF(Basic345678910111213141516171819[[#This Row],[نوع الخدمة]]="مخالفات", 50,
IF(Basic345678910111213141516171819[[#This Row],[نوع الخدمة]]="كاش ان",
    IF(F225&lt;=100, 18, IF(F225&lt;=250, 23, IF(F225&lt;=500, 35, IF(F225&lt;=1000, 40, F225*0.04)))),
IF(Basic345678910111213141516171819[[#This Row],[نوع الخدمة]]="كاش اوت",
    IF(F225&lt;=100, 15, IF(F225&lt;=250, 20, IF(F225&lt;=500, 30, IF(F225&lt;=1000, 35, F225*0.035)))),
0)))</f>
        <v>0</v>
      </c>
      <c r="H225" s="159">
        <f>IF(I225="مخالفات",50,Basic345678910111213141516171819[[#This Row],[قيمة الرسوم / العموله]]+Basic345678910111213141516171819[[#This Row],[قيمة الشحنه]])</f>
        <v>0</v>
      </c>
      <c r="I225" s="90"/>
      <c r="J225" s="142" t="str">
        <f t="shared" si="3"/>
        <v>14.5.2026</v>
      </c>
      <c r="L225" s="153">
        <v>214</v>
      </c>
      <c r="M225" s="92"/>
    </row>
    <row r="226" spans="1:13" ht="21.6" x14ac:dyDescent="0.65">
      <c r="A226" s="195"/>
      <c r="B226" s="140">
        <v>223</v>
      </c>
      <c r="C226" s="4"/>
      <c r="D226" s="5"/>
      <c r="E226" s="6"/>
      <c r="F226" s="5"/>
      <c r="G226" s="141">
        <f>IF(Basic345678910111213141516171819[[#This Row],[نوع الخدمة]]="مخالفات", 50,
IF(Basic345678910111213141516171819[[#This Row],[نوع الخدمة]]="كاش ان",
    IF(F226&lt;=100, 18, IF(F226&lt;=250, 23, IF(F226&lt;=500, 35, IF(F226&lt;=1000, 40, F226*0.04)))),
IF(Basic345678910111213141516171819[[#This Row],[نوع الخدمة]]="كاش اوت",
    IF(F226&lt;=100, 15, IF(F226&lt;=250, 20, IF(F226&lt;=500, 30, IF(F226&lt;=1000, 35, F226*0.035)))),
0)))</f>
        <v>0</v>
      </c>
      <c r="H226" s="160">
        <f>IF(I226="مخالفات",50,Basic345678910111213141516171819[[#This Row],[قيمة الرسوم / العموله]]+Basic345678910111213141516171819[[#This Row],[قيمة الشحنه]])</f>
        <v>0</v>
      </c>
      <c r="I226" s="90"/>
      <c r="J226" s="142" t="str">
        <f t="shared" si="3"/>
        <v>14.5.2026</v>
      </c>
      <c r="L226" s="156">
        <v>215</v>
      </c>
      <c r="M226" s="93"/>
    </row>
  </sheetData>
  <sheetProtection algorithmName="SHA-512" hashValue="Y8MxlEvqTSpVRAjg+OhezKwDaSzRuUKGDCFpEQa1oSm0UFqRLBgjGPFgetimQeccGHMmrew+HSRwDRWcWMxeYg==" saltValue="PqB0ES07PaIz1icDy8ayqg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71" priority="12" operator="equal">
      <formula>$BH$10</formula>
    </cfRule>
    <cfRule type="cellIs" dxfId="70" priority="13" operator="equal">
      <formula>$BH$9</formula>
    </cfRule>
    <cfRule type="cellIs" dxfId="69" priority="14" operator="equal">
      <formula>$BH$8</formula>
    </cfRule>
  </conditionalFormatting>
  <conditionalFormatting sqref="P11">
    <cfRule type="cellIs" dxfId="68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{D11A88AE-43F0-447D-B5EF-2ABD5ECDE70E}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{7EE76D80-BAE2-4DD5-8253-13B5FA50D1C0}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{535E8EDA-E160-4C5A-B357-58755AA3AAD7}</x14:id>
        </ext>
      </extLst>
    </cfRule>
  </conditionalFormatting>
  <dataValidations count="2">
    <dataValidation type="textLength" operator="equal" allowBlank="1" showInputMessage="1" showErrorMessage="1" errorTitle="يجب إخال رقم IPN صحيح 13 رقم" sqref="C1:C1048576" xr:uid="{00000000-0002-0000-0D00-000000000000}">
      <formula1>13</formula1>
    </dataValidation>
    <dataValidation type="list" allowBlank="1" showInputMessage="1" showErrorMessage="1" sqref="I4:I226" xr:uid="{00000000-0002-0000-0D00-000001000000}">
      <formula1>$BH$8:$BH$10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11A88AE-43F0-447D-B5EF-2ABD5ECDE70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7EE76D80-BAE2-4DD5-8253-13B5FA50D1C0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535E8EDA-E160-4C5A-B357-58755AA3AAD7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H226"/>
  <sheetViews>
    <sheetView showGridLines="0" showRowColHeaders="0" rightToLeft="1" topLeftCell="D1" zoomScale="80" zoomScaleNormal="80" workbookViewId="0">
      <selection activeCell="R10" sqref="R10:W10"/>
    </sheetView>
  </sheetViews>
  <sheetFormatPr defaultColWidth="9.109375" defaultRowHeight="14.4" x14ac:dyDescent="0.3"/>
  <cols>
    <col min="1" max="1" width="4.109375" style="124" customWidth="1"/>
    <col min="2" max="2" width="6.5546875" style="125" bestFit="1" customWidth="1"/>
    <col min="3" max="3" width="28.44140625" style="126" customWidth="1"/>
    <col min="4" max="4" width="15.6640625" style="124" customWidth="1"/>
    <col min="5" max="5" width="17.5546875" style="157" customWidth="1"/>
    <col min="6" max="6" width="12.88671875" style="124" bestFit="1" customWidth="1"/>
    <col min="7" max="7" width="19" style="124" bestFit="1" customWidth="1"/>
    <col min="8" max="8" width="19" style="124" customWidth="1"/>
    <col min="9" max="9" width="12.44140625" style="128" bestFit="1" customWidth="1"/>
    <col min="10" max="10" width="17.5546875" style="129" customWidth="1"/>
    <col min="11" max="11" width="3.5546875" style="124" customWidth="1"/>
    <col min="12" max="12" width="8.5546875" style="124" bestFit="1" customWidth="1"/>
    <col min="13" max="13" width="23" style="124" customWidth="1"/>
    <col min="14" max="14" width="8.33203125" style="124" bestFit="1" customWidth="1"/>
    <col min="15" max="15" width="26.5546875" style="124" bestFit="1" customWidth="1"/>
    <col min="16" max="16" width="10.88671875" style="124" bestFit="1" customWidth="1"/>
    <col min="17" max="17" width="3.5546875" style="124" customWidth="1"/>
    <col min="18" max="19" width="17.6640625" style="128" customWidth="1"/>
    <col min="20" max="20" width="11.5546875" style="128" bestFit="1" customWidth="1"/>
    <col min="21" max="21" width="10.5546875" style="128" bestFit="1" customWidth="1"/>
    <col min="22" max="22" width="10.109375" style="128" bestFit="1" customWidth="1"/>
    <col min="23" max="23" width="6.88671875" style="128" customWidth="1"/>
    <col min="24" max="24" width="12.6640625" style="128" customWidth="1"/>
    <col min="25" max="16384" width="9.109375" style="124"/>
  </cols>
  <sheetData>
    <row r="1" spans="1:60" x14ac:dyDescent="0.3">
      <c r="E1" s="127">
        <f>Total!F5</f>
        <v>69</v>
      </c>
      <c r="F1" s="192" t="str">
        <f>Total!G5</f>
        <v>العبور</v>
      </c>
      <c r="G1" s="192"/>
      <c r="H1" s="192"/>
    </row>
    <row r="3" spans="1:60" ht="15.6" x14ac:dyDescent="0.3">
      <c r="B3" s="130" t="s">
        <v>0</v>
      </c>
      <c r="C3" s="131" t="s">
        <v>1</v>
      </c>
      <c r="D3" s="132" t="s">
        <v>2</v>
      </c>
      <c r="E3" s="133" t="s">
        <v>3</v>
      </c>
      <c r="F3" s="132" t="s">
        <v>4</v>
      </c>
      <c r="G3" s="132" t="s">
        <v>5</v>
      </c>
      <c r="H3" s="132" t="s">
        <v>76</v>
      </c>
      <c r="I3" s="132" t="s">
        <v>6</v>
      </c>
      <c r="J3" s="134" t="s">
        <v>7</v>
      </c>
      <c r="L3" s="135" t="s">
        <v>7</v>
      </c>
      <c r="M3" s="7" t="s">
        <v>100</v>
      </c>
      <c r="O3" s="137" t="s">
        <v>17</v>
      </c>
      <c r="P3" s="138">
        <f>M5+M6</f>
        <v>0</v>
      </c>
      <c r="T3" s="173"/>
      <c r="U3" s="173"/>
      <c r="V3" s="173"/>
      <c r="W3" s="173"/>
      <c r="X3" s="173"/>
    </row>
    <row r="4" spans="1:60" ht="21.6" x14ac:dyDescent="0.65">
      <c r="A4" s="195"/>
      <c r="B4" s="140">
        <v>1</v>
      </c>
      <c r="C4" s="8"/>
      <c r="D4" s="9"/>
      <c r="E4" s="10"/>
      <c r="F4" s="9"/>
      <c r="G4" s="141">
        <f>IF(Basic3456789101112131415161718[[#This Row],[نوع الخدمة]]="مخالفات", 50,
IF(Basic3456789101112131415161718[[#This Row],[نوع الخدمة]]="كاش ان",
    IF(F4&lt;=100, 18, IF(F4&lt;=250, 23, IF(F4&lt;=500, 35, IF(F4&lt;=1000, 40, F4*0.04)))),
IF(Basic3456789101112131415161718[[#This Row],[نوع الخدمة]]="كاش اوت",
    IF(F4&lt;=100, 15, IF(F4&lt;=250, 20, IF(F4&lt;=500, 30, IF(F4&lt;=1000, 35, F4*0.035)))),
0)))</f>
        <v>0</v>
      </c>
      <c r="H4" s="141">
        <f>IF(I4="مخالفات",50,Basic3456789101112131415161718[[#This Row],[قيمة الرسوم / العموله]]+Basic3456789101112131415161718[[#This Row],[قيمة الشحنه]])</f>
        <v>0</v>
      </c>
      <c r="I4" s="90"/>
      <c r="J4" s="142" t="str">
        <f t="shared" ref="J4:J67" si="0">M$3</f>
        <v>15.5.2026</v>
      </c>
      <c r="L4" s="135" t="s">
        <v>26</v>
      </c>
      <c r="M4" s="90">
        <v>0</v>
      </c>
      <c r="O4" s="137" t="s">
        <v>18</v>
      </c>
      <c r="P4" s="138">
        <f>M4</f>
        <v>0</v>
      </c>
      <c r="S4" s="143" t="s">
        <v>22</v>
      </c>
      <c r="T4" s="143" t="s">
        <v>23</v>
      </c>
      <c r="U4" s="173"/>
      <c r="V4" s="173"/>
      <c r="W4" s="173"/>
      <c r="X4" s="173"/>
    </row>
    <row r="5" spans="1:60" ht="21.6" x14ac:dyDescent="0.65">
      <c r="A5" s="195"/>
      <c r="B5" s="144">
        <v>2</v>
      </c>
      <c r="C5" s="8"/>
      <c r="D5" s="9"/>
      <c r="E5" s="10"/>
      <c r="F5" s="9"/>
      <c r="G5" s="141">
        <f>IF(Basic3456789101112131415161718[[#This Row],[نوع الخدمة]]="مخالفات", 50,
IF(Basic3456789101112131415161718[[#This Row],[نوع الخدمة]]="كاش ان",
    IF(F5&lt;=100, 18, IF(F5&lt;=250, 23, IF(F5&lt;=500, 35, IF(F5&lt;=1000, 40, F5*0.04)))),
IF(Basic3456789101112131415161718[[#This Row],[نوع الخدمة]]="كاش اوت",
    IF(F5&lt;=100, 15, IF(F5&lt;=250, 20, IF(F5&lt;=500, 30, IF(F5&lt;=1000, 35, F5*0.035)))),
0)))</f>
        <v>0</v>
      </c>
      <c r="H5" s="141">
        <f>IF(I5="مخالفات",50,Basic3456789101112131415161718[[#This Row],[قيمة الرسوم / العموله]]+Basic3456789101112131415161718[[#This Row],[قيمة الشحنه]])</f>
        <v>0</v>
      </c>
      <c r="I5" s="90"/>
      <c r="J5" s="142" t="str">
        <f t="shared" si="0"/>
        <v>15.5.2026</v>
      </c>
      <c r="L5" s="135" t="s">
        <v>27</v>
      </c>
      <c r="M5" s="90"/>
      <c r="O5" s="137" t="s">
        <v>19</v>
      </c>
      <c r="P5" s="138">
        <f>SUMIF(Basic3456789101112131415161718[نوع الخدمة],"كاش ان",Basic3456789101112131415161718[قيمة الشحنه])</f>
        <v>0</v>
      </c>
      <c r="S5" s="145">
        <f>P5+P9+P12+P7</f>
        <v>0</v>
      </c>
      <c r="T5" s="145">
        <f>P3</f>
        <v>0</v>
      </c>
    </row>
    <row r="6" spans="1:60" ht="21.6" x14ac:dyDescent="0.65">
      <c r="A6" s="195"/>
      <c r="B6" s="140">
        <v>3</v>
      </c>
      <c r="C6" s="8"/>
      <c r="D6" s="9"/>
      <c r="E6" s="10"/>
      <c r="F6" s="9"/>
      <c r="G6" s="141">
        <f>IF(Basic3456789101112131415161718[[#This Row],[نوع الخدمة]]="مخالفات", 50,
IF(Basic3456789101112131415161718[[#This Row],[نوع الخدمة]]="كاش ان",
    IF(F6&lt;=100, 18, IF(F6&lt;=250, 23, IF(F6&lt;=500, 35, IF(F6&lt;=1000, 40, F6*0.04)))),
IF(Basic3456789101112131415161718[[#This Row],[نوع الخدمة]]="كاش اوت",
    IF(F6&lt;=100, 15, IF(F6&lt;=250, 20, IF(F6&lt;=500, 30, IF(F6&lt;=1000, 35, F6*0.035)))),
0)))</f>
        <v>0</v>
      </c>
      <c r="H6" s="141">
        <f>IF(I6="مخالفات",50,Basic3456789101112131415161718[[#This Row],[قيمة الرسوم / العموله]]+Basic3456789101112131415161718[[#This Row],[قيمة الشحنه]])</f>
        <v>0</v>
      </c>
      <c r="I6" s="90"/>
      <c r="J6" s="142" t="str">
        <f t="shared" si="0"/>
        <v>15.5.2026</v>
      </c>
      <c r="L6" s="135" t="s">
        <v>28</v>
      </c>
      <c r="M6" s="90"/>
      <c r="O6" s="146" t="s">
        <v>12</v>
      </c>
      <c r="P6" s="138">
        <f>P3*150</f>
        <v>0</v>
      </c>
    </row>
    <row r="7" spans="1:60" ht="21.6" x14ac:dyDescent="0.65">
      <c r="A7" s="195"/>
      <c r="B7" s="140">
        <v>4</v>
      </c>
      <c r="C7" s="8"/>
      <c r="D7" s="9"/>
      <c r="E7" s="10"/>
      <c r="F7" s="9"/>
      <c r="G7" s="141">
        <f>IF(Basic3456789101112131415161718[[#This Row],[نوع الخدمة]]="مخالفات", 50,
IF(Basic3456789101112131415161718[[#This Row],[نوع الخدمة]]="كاش ان",
    IF(F7&lt;=100, 18, IF(F7&lt;=250, 23, IF(F7&lt;=500, 35, IF(F7&lt;=1000, 40, F7*0.04)))),
IF(Basic3456789101112131415161718[[#This Row],[نوع الخدمة]]="كاش اوت",
    IF(F7&lt;=100, 15, IF(F7&lt;=250, 20, IF(F7&lt;=500, 30, IF(F7&lt;=1000, 35, F7*0.035)))),
0)))</f>
        <v>0</v>
      </c>
      <c r="H7" s="141">
        <f>IF(I7="مخالفات",50,Basic3456789101112131415161718[[#This Row],[قيمة الرسوم / العموله]]+Basic3456789101112131415161718[[#This Row],[قيمة الشحنه]])</f>
        <v>0</v>
      </c>
      <c r="I7" s="90"/>
      <c r="J7" s="142" t="str">
        <f t="shared" si="0"/>
        <v>15.5.2026</v>
      </c>
      <c r="L7" s="137" t="s">
        <v>11</v>
      </c>
      <c r="M7" s="165"/>
      <c r="O7" s="146" t="s">
        <v>75</v>
      </c>
      <c r="P7" s="138">
        <f>SUMIF(Basic3456789101112131415161718[نوع الخدمة],"مخالفات",Basic3456789101112131415161718[الاجمــــــــــالي])</f>
        <v>0</v>
      </c>
      <c r="R7" s="173"/>
      <c r="S7" s="173"/>
    </row>
    <row r="8" spans="1:60" ht="21.6" x14ac:dyDescent="0.65">
      <c r="A8" s="195"/>
      <c r="B8" s="140">
        <v>5</v>
      </c>
      <c r="C8" s="8"/>
      <c r="D8" s="9"/>
      <c r="E8" s="10"/>
      <c r="F8" s="9"/>
      <c r="G8" s="141">
        <f>IF(Basic3456789101112131415161718[[#This Row],[نوع الخدمة]]="مخالفات", 50,
IF(Basic3456789101112131415161718[[#This Row],[نوع الخدمة]]="كاش ان",
    IF(F8&lt;=100, 18, IF(F8&lt;=250, 23, IF(F8&lt;=500, 35, IF(F8&lt;=1000, 40, F8*0.04)))),
IF(Basic3456789101112131415161718[[#This Row],[نوع الخدمة]]="كاش اوت",
    IF(F8&lt;=100, 15, IF(F8&lt;=250, 20, IF(F8&lt;=500, 30, IF(F8&lt;=1000, 35, F8*0.035)))),
0)))</f>
        <v>0</v>
      </c>
      <c r="H8" s="141">
        <f>IF(I8="مخالفات",50,Basic3456789101112131415161718[[#This Row],[قيمة الرسوم / العموله]]+Basic3456789101112131415161718[[#This Row],[قيمة الشحنه]])</f>
        <v>0</v>
      </c>
      <c r="I8" s="90"/>
      <c r="J8" s="142" t="str">
        <f t="shared" si="0"/>
        <v>15.5.2026</v>
      </c>
      <c r="L8" s="166" t="s">
        <v>79</v>
      </c>
      <c r="M8" s="167">
        <v>0</v>
      </c>
      <c r="O8" s="137" t="s">
        <v>11</v>
      </c>
      <c r="P8" s="138">
        <f>M7</f>
        <v>0</v>
      </c>
      <c r="R8" s="143" t="s">
        <v>72</v>
      </c>
      <c r="S8" s="143" t="s">
        <v>25</v>
      </c>
      <c r="T8" s="143" t="s">
        <v>24</v>
      </c>
      <c r="U8" s="143" t="s">
        <v>73</v>
      </c>
      <c r="V8" s="143" t="s">
        <v>25</v>
      </c>
      <c r="W8" s="143" t="s">
        <v>24</v>
      </c>
      <c r="BH8" s="148" t="s">
        <v>8</v>
      </c>
    </row>
    <row r="9" spans="1:60" ht="18" customHeight="1" x14ac:dyDescent="0.65">
      <c r="A9" s="195"/>
      <c r="B9" s="144">
        <v>6</v>
      </c>
      <c r="C9" s="8"/>
      <c r="D9" s="9"/>
      <c r="E9" s="10"/>
      <c r="F9" s="9"/>
      <c r="G9" s="141">
        <f>IF(Basic3456789101112131415161718[[#This Row],[نوع الخدمة]]="مخالفات", 50,
IF(Basic3456789101112131415161718[[#This Row],[نوع الخدمة]]="كاش ان",
    IF(F9&lt;=100, 18, IF(F9&lt;=250, 23, IF(F9&lt;=500, 35, IF(F9&lt;=1000, 40, F9*0.04)))),
IF(Basic3456789101112131415161718[[#This Row],[نوع الخدمة]]="كاش اوت",
    IF(F9&lt;=100, 15, IF(F9&lt;=250, 20, IF(F9&lt;=500, 30, IF(F9&lt;=1000, 35, F9*0.035)))),
0)))</f>
        <v>0</v>
      </c>
      <c r="H9" s="141">
        <f>IF(I9="مخالفات",50,Basic3456789101112131415161718[[#This Row],[قيمة الرسوم / العموله]]+Basic3456789101112131415161718[[#This Row],[قيمة الشحنه]])</f>
        <v>0</v>
      </c>
      <c r="I9" s="90"/>
      <c r="J9" s="142" t="str">
        <f t="shared" si="0"/>
        <v>15.5.2026</v>
      </c>
      <c r="L9" s="166" t="s">
        <v>80</v>
      </c>
      <c r="M9" s="167">
        <v>0</v>
      </c>
      <c r="O9" s="137" t="s">
        <v>20</v>
      </c>
      <c r="P9" s="138">
        <f>SUMIF(Basic3456789101112131415161718[نوع الخدمة],"كاش ان",Basic3456789101112131415161718[قيمة الرسوم / العموله])</f>
        <v>0</v>
      </c>
      <c r="R9" s="149">
        <f>Total!H5/24</f>
        <v>29166.666666666668</v>
      </c>
      <c r="S9" s="149">
        <f>S5</f>
        <v>0</v>
      </c>
      <c r="T9" s="150">
        <f>S9/R9</f>
        <v>0</v>
      </c>
      <c r="U9" s="149">
        <f>Total!K5/24</f>
        <v>2.9166666666666665</v>
      </c>
      <c r="V9" s="149">
        <f>T5</f>
        <v>0</v>
      </c>
      <c r="W9" s="150">
        <f>V9/U9</f>
        <v>0</v>
      </c>
      <c r="BH9" s="148" t="s">
        <v>9</v>
      </c>
    </row>
    <row r="10" spans="1:60" ht="21.6" x14ac:dyDescent="0.65">
      <c r="A10" s="195"/>
      <c r="B10" s="140">
        <v>7</v>
      </c>
      <c r="C10" s="8"/>
      <c r="D10" s="9"/>
      <c r="E10" s="10"/>
      <c r="F10" s="9"/>
      <c r="G10" s="141">
        <f>IF(Basic3456789101112131415161718[[#This Row],[نوع الخدمة]]="مخالفات", 50,
IF(Basic3456789101112131415161718[[#This Row],[نوع الخدمة]]="كاش ان",
    IF(F10&lt;=100, 18, IF(F10&lt;=250, 23, IF(F10&lt;=500, 35, IF(F10&lt;=1000, 40, F10*0.04)))),
IF(Basic3456789101112131415161718[[#This Row],[نوع الخدمة]]="كاش اوت",
    IF(F10&lt;=100, 15, IF(F10&lt;=250, 20, IF(F10&lt;=500, 30, IF(F10&lt;=1000, 35, F10*0.035)))),
0)))</f>
        <v>0</v>
      </c>
      <c r="H10" s="141">
        <f>IF(I10="مخالفات",50,Basic3456789101112131415161718[[#This Row],[قيمة الرسوم / العموله]]+Basic3456789101112131415161718[[#This Row],[قيمة الشحنه]])</f>
        <v>0</v>
      </c>
      <c r="I10" s="90"/>
      <c r="J10" s="142" t="str">
        <f t="shared" si="0"/>
        <v>15.5.2026</v>
      </c>
      <c r="O10" s="137" t="s">
        <v>16</v>
      </c>
      <c r="P10" s="138">
        <f>SUMIF(Basic3456789101112131415161718[نوع الخدمة],"كاش اوت",Basic3456789101112131415161718[قيمة الشحنه])</f>
        <v>0</v>
      </c>
      <c r="R10" s="191">
        <f>(W9+T9)/2</f>
        <v>0</v>
      </c>
      <c r="S10" s="191"/>
      <c r="T10" s="191"/>
      <c r="U10" s="191"/>
      <c r="V10" s="191"/>
      <c r="W10" s="191"/>
      <c r="BH10" s="148" t="s">
        <v>10</v>
      </c>
    </row>
    <row r="11" spans="1:60" ht="21.6" x14ac:dyDescent="0.65">
      <c r="A11" s="195"/>
      <c r="B11" s="140">
        <v>8</v>
      </c>
      <c r="C11" s="8"/>
      <c r="D11" s="9"/>
      <c r="E11" s="10"/>
      <c r="F11" s="9"/>
      <c r="G11" s="141">
        <f>IF(Basic3456789101112131415161718[[#This Row],[نوع الخدمة]]="مخالفات", 50,
IF(Basic3456789101112131415161718[[#This Row],[نوع الخدمة]]="كاش ان",
    IF(F11&lt;=100, 18, IF(F11&lt;=250, 23, IF(F11&lt;=500, 35, IF(F11&lt;=1000, 40, F11*0.04)))),
IF(Basic3456789101112131415161718[[#This Row],[نوع الخدمة]]="كاش اوت",
    IF(F11&lt;=100, 15, IF(F11&lt;=250, 20, IF(F11&lt;=500, 30, IF(F11&lt;=1000, 35, F11*0.035)))),
0)))</f>
        <v>0</v>
      </c>
      <c r="H11" s="141">
        <f>IF(I11="مخالفات",50,Basic3456789101112131415161718[[#This Row],[قيمة الرسوم / العموله]]+Basic3456789101112131415161718[[#This Row],[قيمة الشحنه]])</f>
        <v>0</v>
      </c>
      <c r="I11" s="90"/>
      <c r="J11" s="142" t="str">
        <f t="shared" si="0"/>
        <v>15.5.2026</v>
      </c>
      <c r="L11" s="169" t="s">
        <v>77</v>
      </c>
      <c r="M11" s="168" t="s">
        <v>78</v>
      </c>
      <c r="O11" s="151" t="s">
        <v>21</v>
      </c>
      <c r="P11" s="152">
        <f>(P5+P6+P9+P7+P4)-P10-P8</f>
        <v>0</v>
      </c>
      <c r="T11" s="173"/>
    </row>
    <row r="12" spans="1:60" ht="21.6" x14ac:dyDescent="0.65">
      <c r="A12" s="195"/>
      <c r="B12" s="140">
        <v>9</v>
      </c>
      <c r="C12" s="8"/>
      <c r="D12" s="9"/>
      <c r="E12" s="10"/>
      <c r="F12" s="9"/>
      <c r="G12" s="141">
        <f>IF(Basic3456789101112131415161718[[#This Row],[نوع الخدمة]]="مخالفات", 50,
IF(Basic3456789101112131415161718[[#This Row],[نوع الخدمة]]="كاش ان",
    IF(F12&lt;=100, 18, IF(F12&lt;=250, 23, IF(F12&lt;=500, 35, IF(F12&lt;=1000, 40, F12*0.04)))),
IF(Basic3456789101112131415161718[[#This Row],[نوع الخدمة]]="كاش اوت",
    IF(F12&lt;=100, 15, IF(F12&lt;=250, 20, IF(F12&lt;=500, 30, IF(F12&lt;=1000, 35, F12*0.035)))),
0)))</f>
        <v>0</v>
      </c>
      <c r="H12" s="141">
        <f>IF(I12="مخالفات",50,Basic3456789101112131415161718[[#This Row],[قيمة الرسوم / العموله]]+Basic3456789101112131415161718[[#This Row],[قيمة الشحنه]])</f>
        <v>0</v>
      </c>
      <c r="I12" s="90"/>
      <c r="J12" s="142" t="str">
        <f t="shared" si="0"/>
        <v>15.5.2026</v>
      </c>
      <c r="L12" s="153">
        <v>1</v>
      </c>
      <c r="M12" s="91"/>
      <c r="O12" s="137" t="s">
        <v>29</v>
      </c>
      <c r="P12" s="138">
        <f>SUMIF(Basic3456789101112131415161718[نوع الخدمة],"كاش اوت",Basic3456789101112131415161718[الاجمــــــــــالي])</f>
        <v>0</v>
      </c>
    </row>
    <row r="13" spans="1:60" ht="21.6" x14ac:dyDescent="0.65">
      <c r="A13" s="195"/>
      <c r="B13" s="144">
        <v>10</v>
      </c>
      <c r="C13" s="8"/>
      <c r="D13" s="9"/>
      <c r="E13" s="10"/>
      <c r="F13" s="9"/>
      <c r="G13" s="141">
        <f>IF(Basic3456789101112131415161718[[#This Row],[نوع الخدمة]]="مخالفات", 50,
IF(Basic3456789101112131415161718[[#This Row],[نوع الخدمة]]="كاش ان",
    IF(F13&lt;=100, 18, IF(F13&lt;=250, 23, IF(F13&lt;=500, 35, IF(F13&lt;=1000, 40, F13*0.04)))),
IF(Basic3456789101112131415161718[[#This Row],[نوع الخدمة]]="كاش اوت",
    IF(F13&lt;=100, 15, IF(F13&lt;=250, 20, IF(F13&lt;=500, 30, IF(F13&lt;=1000, 35, F13*0.035)))),
0)))</f>
        <v>0</v>
      </c>
      <c r="H13" s="141">
        <f>IF(I13="مخالفات",50,Basic3456789101112131415161718[[#This Row],[قيمة الرسوم / العموله]]+Basic3456789101112131415161718[[#This Row],[قيمة الشحنه]])</f>
        <v>0</v>
      </c>
      <c r="I13" s="90"/>
      <c r="J13" s="142" t="str">
        <f t="shared" si="0"/>
        <v>15.5.2026</v>
      </c>
      <c r="L13" s="153">
        <v>2</v>
      </c>
      <c r="M13" s="92"/>
    </row>
    <row r="14" spans="1:60" ht="21.6" x14ac:dyDescent="0.65">
      <c r="A14" s="195"/>
      <c r="B14" s="140">
        <v>11</v>
      </c>
      <c r="C14" s="2"/>
      <c r="D14" s="1"/>
      <c r="E14" s="3"/>
      <c r="F14" s="1"/>
      <c r="G14" s="141">
        <f>IF(Basic3456789101112131415161718[[#This Row],[نوع الخدمة]]="مخالفات", 50,
IF(Basic3456789101112131415161718[[#This Row],[نوع الخدمة]]="كاش ان",
    IF(F14&lt;=100, 18, IF(F14&lt;=250, 23, IF(F14&lt;=500, 35, IF(F14&lt;=1000, 40, F14*0.04)))),
IF(Basic3456789101112131415161718[[#This Row],[نوع الخدمة]]="كاش اوت",
    IF(F14&lt;=100, 15, IF(F14&lt;=250, 20, IF(F14&lt;=500, 30, IF(F14&lt;=1000, 35, F14*0.035)))),
0)))</f>
        <v>0</v>
      </c>
      <c r="H14" s="159">
        <f>IF(I14="مخالفات",50,Basic3456789101112131415161718[[#This Row],[قيمة الرسوم / العموله]]+Basic3456789101112131415161718[[#This Row],[قيمة الشحنه]])</f>
        <v>0</v>
      </c>
      <c r="I14" s="90"/>
      <c r="J14" s="142" t="str">
        <f t="shared" si="0"/>
        <v>15.5.2026</v>
      </c>
      <c r="L14" s="153">
        <v>3</v>
      </c>
      <c r="M14" s="92"/>
    </row>
    <row r="15" spans="1:60" ht="21.6" x14ac:dyDescent="0.65">
      <c r="A15" s="195"/>
      <c r="B15" s="140">
        <v>12</v>
      </c>
      <c r="C15" s="2"/>
      <c r="D15" s="1"/>
      <c r="E15" s="3"/>
      <c r="F15" s="1"/>
      <c r="G15" s="141">
        <f>IF(Basic3456789101112131415161718[[#This Row],[نوع الخدمة]]="مخالفات", 50,
IF(Basic3456789101112131415161718[[#This Row],[نوع الخدمة]]="كاش ان",
    IF(F15&lt;=100, 18, IF(F15&lt;=250, 23, IF(F15&lt;=500, 35, IF(F15&lt;=1000, 40, F15*0.04)))),
IF(Basic3456789101112131415161718[[#This Row],[نوع الخدمة]]="كاش اوت",
    IF(F15&lt;=100, 15, IF(F15&lt;=250, 20, IF(F15&lt;=500, 30, IF(F15&lt;=1000, 35, F15*0.035)))),
0)))</f>
        <v>0</v>
      </c>
      <c r="H15" s="159">
        <f>IF(I15="مخالفات",50,Basic3456789101112131415161718[[#This Row],[قيمة الرسوم / العموله]]+Basic3456789101112131415161718[[#This Row],[قيمة الشحنه]])</f>
        <v>0</v>
      </c>
      <c r="I15" s="90"/>
      <c r="J15" s="142" t="str">
        <f t="shared" si="0"/>
        <v>15.5.2026</v>
      </c>
      <c r="L15" s="153">
        <v>4</v>
      </c>
      <c r="M15" s="92"/>
      <c r="O15" s="154" t="s">
        <v>10</v>
      </c>
      <c r="P15" s="155">
        <f>COUNTIF(Basic3456789101112131415161718[نوع الخدمة],"مخالفات")</f>
        <v>0</v>
      </c>
    </row>
    <row r="16" spans="1:60" ht="21.6" x14ac:dyDescent="0.65">
      <c r="A16" s="195"/>
      <c r="B16" s="140">
        <v>13</v>
      </c>
      <c r="C16" s="2"/>
      <c r="D16" s="1"/>
      <c r="E16" s="3"/>
      <c r="F16" s="1"/>
      <c r="G16" s="141">
        <f>IF(Basic3456789101112131415161718[[#This Row],[نوع الخدمة]]="مخالفات", 50,
IF(Basic3456789101112131415161718[[#This Row],[نوع الخدمة]]="كاش ان",
    IF(F16&lt;=100, 18, IF(F16&lt;=250, 23, IF(F16&lt;=500, 35, IF(F16&lt;=1000, 40, F16*0.04)))),
IF(Basic3456789101112131415161718[[#This Row],[نوع الخدمة]]="كاش اوت",
    IF(F16&lt;=100, 15, IF(F16&lt;=250, 20, IF(F16&lt;=500, 30, IF(F16&lt;=1000, 35, F16*0.035)))),
0)))</f>
        <v>0</v>
      </c>
      <c r="H16" s="159">
        <f>IF(I16="مخالفات",50,Basic3456789101112131415161718[[#This Row],[قيمة الرسوم / العموله]]+Basic3456789101112131415161718[[#This Row],[قيمة الشحنه]])</f>
        <v>0</v>
      </c>
      <c r="I16" s="90"/>
      <c r="J16" s="142" t="str">
        <f t="shared" si="0"/>
        <v>15.5.2026</v>
      </c>
      <c r="L16" s="153">
        <v>5</v>
      </c>
      <c r="M16" s="92"/>
      <c r="O16" s="154" t="s">
        <v>13</v>
      </c>
      <c r="P16" s="155">
        <f>COUNTIF(Basic3456789101112131415161718[نوع الخدمة],"كاش ان")</f>
        <v>0</v>
      </c>
    </row>
    <row r="17" spans="1:21" ht="21.6" x14ac:dyDescent="0.65">
      <c r="A17" s="195"/>
      <c r="B17" s="144">
        <v>14</v>
      </c>
      <c r="C17" s="2"/>
      <c r="D17" s="1"/>
      <c r="E17" s="3"/>
      <c r="F17" s="1"/>
      <c r="G17" s="141">
        <f>IF(Basic3456789101112131415161718[[#This Row],[نوع الخدمة]]="مخالفات", 50,
IF(Basic3456789101112131415161718[[#This Row],[نوع الخدمة]]="كاش ان",
    IF(F17&lt;=100, 18, IF(F17&lt;=250, 23, IF(F17&lt;=500, 35, IF(F17&lt;=1000, 40, F17*0.04)))),
IF(Basic3456789101112131415161718[[#This Row],[نوع الخدمة]]="كاش اوت",
    IF(F17&lt;=100, 15, IF(F17&lt;=250, 20, IF(F17&lt;=500, 30, IF(F17&lt;=1000, 35, F17*0.035)))),
0)))</f>
        <v>0</v>
      </c>
      <c r="H17" s="159">
        <f>IF(I17="مخالفات",50,Basic3456789101112131415161718[[#This Row],[قيمة الرسوم / العموله]]+Basic3456789101112131415161718[[#This Row],[قيمة الشحنه]])</f>
        <v>0</v>
      </c>
      <c r="I17" s="90"/>
      <c r="J17" s="142" t="str">
        <f t="shared" si="0"/>
        <v>15.5.2026</v>
      </c>
      <c r="L17" s="153">
        <v>6</v>
      </c>
      <c r="M17" s="92"/>
      <c r="O17" s="154" t="s">
        <v>14</v>
      </c>
      <c r="P17" s="155">
        <f>COUNTIF(Basic3456789101112131415161718[نوع الخدمة],"كاش اوت")</f>
        <v>0</v>
      </c>
    </row>
    <row r="18" spans="1:21" ht="21.6" x14ac:dyDescent="0.65">
      <c r="A18" s="195"/>
      <c r="B18" s="140">
        <v>15</v>
      </c>
      <c r="C18" s="2"/>
      <c r="D18" s="1"/>
      <c r="E18" s="3"/>
      <c r="F18" s="1"/>
      <c r="G18" s="141">
        <f>IF(Basic3456789101112131415161718[[#This Row],[نوع الخدمة]]="مخالفات", 50,
IF(Basic3456789101112131415161718[[#This Row],[نوع الخدمة]]="كاش ان",
    IF(F18&lt;=100, 18, IF(F18&lt;=250, 23, IF(F18&lt;=500, 35, IF(F18&lt;=1000, 40, F18*0.04)))),
IF(Basic3456789101112131415161718[[#This Row],[نوع الخدمة]]="كاش اوت",
    IF(F18&lt;=100, 15, IF(F18&lt;=250, 20, IF(F18&lt;=500, 30, IF(F18&lt;=1000, 35, F18*0.035)))),
0)))</f>
        <v>0</v>
      </c>
      <c r="H18" s="159">
        <f>IF(I18="مخالفات",50,Basic3456789101112131415161718[[#This Row],[قيمة الرسوم / العموله]]+Basic3456789101112131415161718[[#This Row],[قيمة الشحنه]])</f>
        <v>0</v>
      </c>
      <c r="I18" s="90"/>
      <c r="J18" s="142" t="str">
        <f t="shared" si="0"/>
        <v>15.5.2026</v>
      </c>
      <c r="L18" s="153">
        <v>7</v>
      </c>
      <c r="M18" s="92"/>
      <c r="O18" s="154" t="s">
        <v>15</v>
      </c>
      <c r="P18" s="155">
        <f>P16+P17</f>
        <v>0</v>
      </c>
    </row>
    <row r="19" spans="1:21" ht="21.6" x14ac:dyDescent="0.65">
      <c r="A19" s="195"/>
      <c r="B19" s="140">
        <v>16</v>
      </c>
      <c r="C19" s="2"/>
      <c r="D19" s="1"/>
      <c r="E19" s="3"/>
      <c r="F19" s="1"/>
      <c r="G19" s="141">
        <f>IF(Basic3456789101112131415161718[[#This Row],[نوع الخدمة]]="مخالفات", 50,
IF(Basic3456789101112131415161718[[#This Row],[نوع الخدمة]]="كاش ان",
    IF(F19&lt;=100, 18, IF(F19&lt;=250, 23, IF(F19&lt;=500, 35, IF(F19&lt;=1000, 40, F19*0.04)))),
IF(Basic3456789101112131415161718[[#This Row],[نوع الخدمة]]="كاش اوت",
    IF(F19&lt;=100, 15, IF(F19&lt;=250, 20, IF(F19&lt;=500, 30, IF(F19&lt;=1000, 35, F19*0.035)))),
0)))</f>
        <v>0</v>
      </c>
      <c r="H19" s="159">
        <f>IF(I19="مخالفات",50,Basic3456789101112131415161718[[#This Row],[قيمة الرسوم / العموله]]+Basic3456789101112131415161718[[#This Row],[قيمة الشحنه]])</f>
        <v>0</v>
      </c>
      <c r="I19" s="90"/>
      <c r="J19" s="142" t="str">
        <f t="shared" si="0"/>
        <v>15.5.2026</v>
      </c>
      <c r="L19" s="153">
        <v>8</v>
      </c>
      <c r="M19" s="92"/>
    </row>
    <row r="20" spans="1:21" ht="21.6" x14ac:dyDescent="0.65">
      <c r="A20" s="195"/>
      <c r="B20" s="140">
        <v>17</v>
      </c>
      <c r="C20" s="2"/>
      <c r="D20" s="1"/>
      <c r="E20" s="3"/>
      <c r="F20" s="1"/>
      <c r="G20" s="141">
        <f>IF(Basic3456789101112131415161718[[#This Row],[نوع الخدمة]]="مخالفات", 50,
IF(Basic3456789101112131415161718[[#This Row],[نوع الخدمة]]="كاش ان",
    IF(F20&lt;=100, 18, IF(F20&lt;=250, 23, IF(F20&lt;=500, 35, IF(F20&lt;=1000, 40, F20*0.04)))),
IF(Basic3456789101112131415161718[[#This Row],[نوع الخدمة]]="كاش اوت",
    IF(F20&lt;=100, 15, IF(F20&lt;=250, 20, IF(F20&lt;=500, 30, IF(F20&lt;=1000, 35, F20*0.035)))),
0)))</f>
        <v>0</v>
      </c>
      <c r="H20" s="159">
        <f>IF(I20="مخالفات",50,Basic3456789101112131415161718[[#This Row],[قيمة الرسوم / العموله]]+Basic3456789101112131415161718[[#This Row],[قيمة الشحنه]])</f>
        <v>0</v>
      </c>
      <c r="I20" s="90"/>
      <c r="J20" s="142" t="str">
        <f t="shared" si="0"/>
        <v>15.5.2026</v>
      </c>
      <c r="L20" s="153">
        <v>9</v>
      </c>
      <c r="M20" s="92"/>
      <c r="O20" s="193" t="s">
        <v>30</v>
      </c>
      <c r="P20" s="194"/>
    </row>
    <row r="21" spans="1:21" ht="21.6" x14ac:dyDescent="0.65">
      <c r="A21" s="195"/>
      <c r="B21" s="144">
        <v>18</v>
      </c>
      <c r="C21" s="2"/>
      <c r="D21" s="1"/>
      <c r="E21" s="3"/>
      <c r="F21" s="1"/>
      <c r="G21" s="141">
        <f>IF(Basic3456789101112131415161718[[#This Row],[نوع الخدمة]]="مخالفات", 50,
IF(Basic3456789101112131415161718[[#This Row],[نوع الخدمة]]="كاش ان",
    IF(F21&lt;=100, 18, IF(F21&lt;=250, 23, IF(F21&lt;=500, 35, IF(F21&lt;=1000, 40, F21*0.04)))),
IF(Basic3456789101112131415161718[[#This Row],[نوع الخدمة]]="كاش اوت",
    IF(F21&lt;=100, 15, IF(F21&lt;=250, 20, IF(F21&lt;=500, 30, IF(F21&lt;=1000, 35, F21*0.035)))),
0)))</f>
        <v>0</v>
      </c>
      <c r="H21" s="159">
        <f>IF(I21="مخالفات",50,Basic3456789101112131415161718[[#This Row],[قيمة الرسوم / العموله]]+Basic3456789101112131415161718[[#This Row],[قيمة الشحنه]])</f>
        <v>0</v>
      </c>
      <c r="I21" s="90"/>
      <c r="J21" s="142" t="str">
        <f t="shared" si="0"/>
        <v>15.5.2026</v>
      </c>
      <c r="L21" s="153">
        <v>10</v>
      </c>
      <c r="M21" s="92"/>
      <c r="O21" s="196" t="s">
        <v>31</v>
      </c>
      <c r="P21" s="197"/>
    </row>
    <row r="22" spans="1:21" ht="21.6" x14ac:dyDescent="0.65">
      <c r="A22" s="195"/>
      <c r="B22" s="140">
        <v>19</v>
      </c>
      <c r="C22" s="2"/>
      <c r="D22" s="1"/>
      <c r="E22" s="3"/>
      <c r="F22" s="1"/>
      <c r="G22" s="141">
        <f>IF(Basic3456789101112131415161718[[#This Row],[نوع الخدمة]]="مخالفات", 50,
IF(Basic3456789101112131415161718[[#This Row],[نوع الخدمة]]="كاش ان",
    IF(F22&lt;=100, 18, IF(F22&lt;=250, 23, IF(F22&lt;=500, 35, IF(F22&lt;=1000, 40, F22*0.04)))),
IF(Basic3456789101112131415161718[[#This Row],[نوع الخدمة]]="كاش اوت",
    IF(F22&lt;=100, 15, IF(F22&lt;=250, 20, IF(F22&lt;=500, 30, IF(F22&lt;=1000, 35, F22*0.035)))),
0)))</f>
        <v>0</v>
      </c>
      <c r="H22" s="159">
        <f>IF(I22="مخالفات",50,Basic3456789101112131415161718[[#This Row],[قيمة الرسوم / العموله]]+Basic3456789101112131415161718[[#This Row],[قيمة الشحنه]])</f>
        <v>0</v>
      </c>
      <c r="I22" s="90"/>
      <c r="J22" s="142" t="str">
        <f t="shared" si="0"/>
        <v>15.5.2026</v>
      </c>
      <c r="L22" s="153">
        <v>11</v>
      </c>
      <c r="M22" s="92"/>
      <c r="O22" s="147" t="s">
        <v>27</v>
      </c>
      <c r="P22" s="135">
        <f>M8+'14'!P28</f>
        <v>-4</v>
      </c>
    </row>
    <row r="23" spans="1:21" ht="21.6" x14ac:dyDescent="0.65">
      <c r="A23" s="195"/>
      <c r="B23" s="140">
        <v>20</v>
      </c>
      <c r="C23" s="2"/>
      <c r="D23" s="1"/>
      <c r="E23" s="3"/>
      <c r="F23" s="1"/>
      <c r="G23" s="141">
        <f>IF(Basic3456789101112131415161718[[#This Row],[نوع الخدمة]]="مخالفات", 50,
IF(Basic3456789101112131415161718[[#This Row],[نوع الخدمة]]="كاش ان",
    IF(F23&lt;=100, 18, IF(F23&lt;=250, 23, IF(F23&lt;=500, 35, IF(F23&lt;=1000, 40, F23*0.04)))),
IF(Basic3456789101112131415161718[[#This Row],[نوع الخدمة]]="كاش اوت",
    IF(F23&lt;=100, 15, IF(F23&lt;=250, 20, IF(F23&lt;=500, 30, IF(F23&lt;=1000, 35, F23*0.035)))),
0)))</f>
        <v>0</v>
      </c>
      <c r="H23" s="159">
        <f>IF(I23="مخالفات",50,Basic3456789101112131415161718[[#This Row],[قيمة الرسوم / العموله]]+Basic3456789101112131415161718[[#This Row],[قيمة الشحنه]])</f>
        <v>0</v>
      </c>
      <c r="I23" s="90"/>
      <c r="J23" s="142" t="str">
        <f t="shared" si="0"/>
        <v>15.5.2026</v>
      </c>
      <c r="L23" s="153">
        <v>12</v>
      </c>
      <c r="M23" s="92"/>
      <c r="O23" s="147" t="s">
        <v>28</v>
      </c>
      <c r="P23" s="135">
        <f>M9+'14'!P29</f>
        <v>0</v>
      </c>
      <c r="T23" s="173"/>
      <c r="U23" s="173"/>
    </row>
    <row r="24" spans="1:21" ht="21.6" x14ac:dyDescent="0.65">
      <c r="A24" s="195"/>
      <c r="B24" s="140">
        <v>21</v>
      </c>
      <c r="C24" s="2"/>
      <c r="D24" s="1"/>
      <c r="E24" s="3"/>
      <c r="F24" s="1"/>
      <c r="G24" s="141">
        <f>IF(Basic3456789101112131415161718[[#This Row],[نوع الخدمة]]="مخالفات", 50,
IF(Basic3456789101112131415161718[[#This Row],[نوع الخدمة]]="كاش ان",
    IF(F24&lt;=100, 18, IF(F24&lt;=250, 23, IF(F24&lt;=500, 35, IF(F24&lt;=1000, 40, F24*0.04)))),
IF(Basic3456789101112131415161718[[#This Row],[نوع الخدمة]]="كاش اوت",
    IF(F24&lt;=100, 15, IF(F24&lt;=250, 20, IF(F24&lt;=500, 30, IF(F24&lt;=1000, 35, F24*0.035)))),
0)))</f>
        <v>0</v>
      </c>
      <c r="H24" s="159">
        <f>IF(I24="مخالفات",50,Basic3456789101112131415161718[[#This Row],[قيمة الرسوم / العموله]]+Basic3456789101112131415161718[[#This Row],[قيمة الشحنه]])</f>
        <v>0</v>
      </c>
      <c r="I24" s="90"/>
      <c r="J24" s="142" t="str">
        <f t="shared" si="0"/>
        <v>15.5.2026</v>
      </c>
      <c r="L24" s="153">
        <v>13</v>
      </c>
      <c r="M24" s="92"/>
      <c r="O24" s="196" t="s">
        <v>32</v>
      </c>
      <c r="P24" s="197"/>
    </row>
    <row r="25" spans="1:21" ht="21.6" x14ac:dyDescent="0.65">
      <c r="A25" s="195"/>
      <c r="B25" s="144">
        <v>22</v>
      </c>
      <c r="C25" s="2"/>
      <c r="D25" s="1"/>
      <c r="E25" s="3"/>
      <c r="F25" s="1"/>
      <c r="G25" s="141">
        <f>IF(Basic3456789101112131415161718[[#This Row],[نوع الخدمة]]="مخالفات", 50,
IF(Basic3456789101112131415161718[[#This Row],[نوع الخدمة]]="كاش ان",
    IF(F25&lt;=100, 18, IF(F25&lt;=250, 23, IF(F25&lt;=500, 35, IF(F25&lt;=1000, 40, F25*0.04)))),
IF(Basic3456789101112131415161718[[#This Row],[نوع الخدمة]]="كاش اوت",
    IF(F25&lt;=100, 15, IF(F25&lt;=250, 20, IF(F25&lt;=500, 30, IF(F25&lt;=1000, 35, F25*0.035)))),
0)))</f>
        <v>0</v>
      </c>
      <c r="H25" s="159">
        <f>IF(I25="مخالفات",50,Basic3456789101112131415161718[[#This Row],[قيمة الرسوم / العموله]]+Basic3456789101112131415161718[[#This Row],[قيمة الشحنه]])</f>
        <v>0</v>
      </c>
      <c r="I25" s="90"/>
      <c r="J25" s="142" t="str">
        <f t="shared" si="0"/>
        <v>15.5.2026</v>
      </c>
      <c r="L25" s="153">
        <v>14</v>
      </c>
      <c r="M25" s="92"/>
      <c r="O25" s="147" t="s">
        <v>27</v>
      </c>
      <c r="P25" s="135">
        <f>M5</f>
        <v>0</v>
      </c>
    </row>
    <row r="26" spans="1:21" ht="21.6" x14ac:dyDescent="0.65">
      <c r="A26" s="195"/>
      <c r="B26" s="140">
        <v>23</v>
      </c>
      <c r="C26" s="2"/>
      <c r="D26" s="1"/>
      <c r="E26" s="3"/>
      <c r="F26" s="1"/>
      <c r="G26" s="141">
        <f>IF(Basic3456789101112131415161718[[#This Row],[نوع الخدمة]]="مخالفات", 50,
IF(Basic3456789101112131415161718[[#This Row],[نوع الخدمة]]="كاش ان",
    IF(F26&lt;=100, 18, IF(F26&lt;=250, 23, IF(F26&lt;=500, 35, IF(F26&lt;=1000, 40, F26*0.04)))),
IF(Basic3456789101112131415161718[[#This Row],[نوع الخدمة]]="كاش اوت",
    IF(F26&lt;=100, 15, IF(F26&lt;=250, 20, IF(F26&lt;=500, 30, IF(F26&lt;=1000, 35, F26*0.035)))),
0)))</f>
        <v>0</v>
      </c>
      <c r="H26" s="159">
        <f>IF(I26="مخالفات",50,Basic3456789101112131415161718[[#This Row],[قيمة الرسوم / العموله]]+Basic3456789101112131415161718[[#This Row],[قيمة الشحنه]])</f>
        <v>0</v>
      </c>
      <c r="I26" s="90"/>
      <c r="J26" s="142" t="str">
        <f t="shared" si="0"/>
        <v>15.5.2026</v>
      </c>
      <c r="L26" s="153">
        <v>15</v>
      </c>
      <c r="M26" s="92"/>
      <c r="O26" s="147" t="s">
        <v>28</v>
      </c>
      <c r="P26" s="135">
        <f>M6</f>
        <v>0</v>
      </c>
    </row>
    <row r="27" spans="1:21" ht="21.6" x14ac:dyDescent="0.65">
      <c r="A27" s="195"/>
      <c r="B27" s="140">
        <v>24</v>
      </c>
      <c r="C27" s="2"/>
      <c r="D27" s="1"/>
      <c r="E27" s="3"/>
      <c r="F27" s="1"/>
      <c r="G27" s="141">
        <f>IF(Basic3456789101112131415161718[[#This Row],[نوع الخدمة]]="مخالفات", 50,
IF(Basic3456789101112131415161718[[#This Row],[نوع الخدمة]]="كاش ان",
    IF(F27&lt;=100, 18, IF(F27&lt;=250, 23, IF(F27&lt;=500, 35, IF(F27&lt;=1000, 40, F27*0.04)))),
IF(Basic3456789101112131415161718[[#This Row],[نوع الخدمة]]="كاش اوت",
    IF(F27&lt;=100, 15, IF(F27&lt;=250, 20, IF(F27&lt;=500, 30, IF(F27&lt;=1000, 35, F27*0.035)))),
0)))</f>
        <v>0</v>
      </c>
      <c r="H27" s="159">
        <f>IF(I27="مخالفات",50,Basic3456789101112131415161718[[#This Row],[قيمة الرسوم / العموله]]+Basic3456789101112131415161718[[#This Row],[قيمة الشحنه]])</f>
        <v>0</v>
      </c>
      <c r="I27" s="90"/>
      <c r="J27" s="142" t="str">
        <f t="shared" si="0"/>
        <v>15.5.2026</v>
      </c>
      <c r="L27" s="153">
        <v>16</v>
      </c>
      <c r="M27" s="92"/>
      <c r="O27" s="196" t="s">
        <v>33</v>
      </c>
      <c r="P27" s="197"/>
    </row>
    <row r="28" spans="1:21" ht="21.6" x14ac:dyDescent="0.65">
      <c r="A28" s="195"/>
      <c r="B28" s="140">
        <v>25</v>
      </c>
      <c r="C28" s="2"/>
      <c r="D28" s="1"/>
      <c r="E28" s="3"/>
      <c r="F28" s="1"/>
      <c r="G28" s="141">
        <f>IF(Basic3456789101112131415161718[[#This Row],[نوع الخدمة]]="مخالفات", 50,
IF(Basic3456789101112131415161718[[#This Row],[نوع الخدمة]]="كاش ان",
    IF(F28&lt;=100, 18, IF(F28&lt;=250, 23, IF(F28&lt;=500, 35, IF(F28&lt;=1000, 40, F28*0.04)))),
IF(Basic3456789101112131415161718[[#This Row],[نوع الخدمة]]="كاش اوت",
    IF(F28&lt;=100, 15, IF(F28&lt;=250, 20, IF(F28&lt;=500, 30, IF(F28&lt;=1000, 35, F28*0.035)))),
0)))</f>
        <v>0</v>
      </c>
      <c r="H28" s="159">
        <f>IF(I28="مخالفات",50,Basic3456789101112131415161718[[#This Row],[قيمة الرسوم / العموله]]+Basic3456789101112131415161718[[#This Row],[قيمة الشحنه]])</f>
        <v>0</v>
      </c>
      <c r="I28" s="90"/>
      <c r="J28" s="142" t="str">
        <f t="shared" si="0"/>
        <v>15.5.2026</v>
      </c>
      <c r="L28" s="153">
        <v>17</v>
      </c>
      <c r="M28" s="92"/>
      <c r="O28" s="147" t="s">
        <v>27</v>
      </c>
      <c r="P28" s="135">
        <f>P22-P25</f>
        <v>-4</v>
      </c>
    </row>
    <row r="29" spans="1:21" ht="21.6" x14ac:dyDescent="0.65">
      <c r="A29" s="195"/>
      <c r="B29" s="144">
        <v>26</v>
      </c>
      <c r="C29" s="2"/>
      <c r="D29" s="1"/>
      <c r="E29" s="3"/>
      <c r="F29" s="1"/>
      <c r="G29" s="141">
        <f>IF(Basic3456789101112131415161718[[#This Row],[نوع الخدمة]]="مخالفات", 50,
IF(Basic3456789101112131415161718[[#This Row],[نوع الخدمة]]="كاش ان",
    IF(F29&lt;=100, 18, IF(F29&lt;=250, 23, IF(F29&lt;=500, 35, IF(F29&lt;=1000, 40, F29*0.04)))),
IF(Basic3456789101112131415161718[[#This Row],[نوع الخدمة]]="كاش اوت",
    IF(F29&lt;=100, 15, IF(F29&lt;=250, 20, IF(F29&lt;=500, 30, IF(F29&lt;=1000, 35, F29*0.035)))),
0)))</f>
        <v>0</v>
      </c>
      <c r="H29" s="159">
        <f>IF(I29="مخالفات",50,Basic3456789101112131415161718[[#This Row],[قيمة الرسوم / العموله]]+Basic3456789101112131415161718[[#This Row],[قيمة الشحنه]])</f>
        <v>0</v>
      </c>
      <c r="I29" s="90"/>
      <c r="J29" s="142" t="str">
        <f t="shared" si="0"/>
        <v>15.5.2026</v>
      </c>
      <c r="L29" s="153">
        <v>18</v>
      </c>
      <c r="M29" s="92"/>
      <c r="O29" s="147" t="s">
        <v>28</v>
      </c>
      <c r="P29" s="135">
        <f>P23-P26</f>
        <v>0</v>
      </c>
    </row>
    <row r="30" spans="1:21" ht="21.6" x14ac:dyDescent="0.65">
      <c r="A30" s="195"/>
      <c r="B30" s="140">
        <v>27</v>
      </c>
      <c r="C30" s="2"/>
      <c r="D30" s="1"/>
      <c r="E30" s="3"/>
      <c r="F30" s="1"/>
      <c r="G30" s="141">
        <f>IF(Basic3456789101112131415161718[[#This Row],[نوع الخدمة]]="مخالفات", 50,
IF(Basic3456789101112131415161718[[#This Row],[نوع الخدمة]]="كاش ان",
    IF(F30&lt;=100, 18, IF(F30&lt;=250, 23, IF(F30&lt;=500, 35, IF(F30&lt;=1000, 40, F30*0.04)))),
IF(Basic3456789101112131415161718[[#This Row],[نوع الخدمة]]="كاش اوت",
    IF(F30&lt;=100, 15, IF(F30&lt;=250, 20, IF(F30&lt;=500, 30, IF(F30&lt;=1000, 35, F30*0.035)))),
0)))</f>
        <v>0</v>
      </c>
      <c r="H30" s="159">
        <f>IF(I30="مخالفات",50,Basic3456789101112131415161718[[#This Row],[قيمة الرسوم / العموله]]+Basic3456789101112131415161718[[#This Row],[قيمة الشحنه]])</f>
        <v>0</v>
      </c>
      <c r="I30" s="90"/>
      <c r="J30" s="142" t="str">
        <f t="shared" si="0"/>
        <v>15.5.2026</v>
      </c>
      <c r="L30" s="153">
        <v>19</v>
      </c>
      <c r="M30" s="92"/>
    </row>
    <row r="31" spans="1:21" ht="21.6" x14ac:dyDescent="0.65">
      <c r="A31" s="195"/>
      <c r="B31" s="140">
        <v>28</v>
      </c>
      <c r="C31" s="2"/>
      <c r="D31" s="1"/>
      <c r="E31" s="3"/>
      <c r="F31" s="1"/>
      <c r="G31" s="141">
        <f>IF(Basic3456789101112131415161718[[#This Row],[نوع الخدمة]]="مخالفات", 50,
IF(Basic3456789101112131415161718[[#This Row],[نوع الخدمة]]="كاش ان",
    IF(F31&lt;=100, 18, IF(F31&lt;=250, 23, IF(F31&lt;=500, 35, IF(F31&lt;=1000, 40, F31*0.04)))),
IF(Basic3456789101112131415161718[[#This Row],[نوع الخدمة]]="كاش اوت",
    IF(F31&lt;=100, 15, IF(F31&lt;=250, 20, IF(F31&lt;=500, 30, IF(F31&lt;=1000, 35, F31*0.035)))),
0)))</f>
        <v>0</v>
      </c>
      <c r="H31" s="159">
        <f>IF(I31="مخالفات",50,Basic3456789101112131415161718[[#This Row],[قيمة الرسوم / العموله]]+Basic3456789101112131415161718[[#This Row],[قيمة الشحنه]])</f>
        <v>0</v>
      </c>
      <c r="I31" s="90"/>
      <c r="J31" s="142" t="str">
        <f t="shared" si="0"/>
        <v>15.5.2026</v>
      </c>
      <c r="L31" s="153">
        <v>20</v>
      </c>
      <c r="M31" s="92"/>
    </row>
    <row r="32" spans="1:21" ht="21.6" x14ac:dyDescent="0.65">
      <c r="A32" s="195"/>
      <c r="B32" s="140">
        <v>29</v>
      </c>
      <c r="C32" s="2"/>
      <c r="D32" s="1"/>
      <c r="E32" s="3"/>
      <c r="F32" s="1"/>
      <c r="G32" s="141">
        <f>IF(Basic3456789101112131415161718[[#This Row],[نوع الخدمة]]="مخالفات", 50,
IF(Basic3456789101112131415161718[[#This Row],[نوع الخدمة]]="كاش ان",
    IF(F32&lt;=100, 18, IF(F32&lt;=250, 23, IF(F32&lt;=500, 35, IF(F32&lt;=1000, 40, F32*0.04)))),
IF(Basic3456789101112131415161718[[#This Row],[نوع الخدمة]]="كاش اوت",
    IF(F32&lt;=100, 15, IF(F32&lt;=250, 20, IF(F32&lt;=500, 30, IF(F32&lt;=1000, 35, F32*0.035)))),
0)))</f>
        <v>0</v>
      </c>
      <c r="H32" s="159">
        <f>IF(I32="مخالفات",50,Basic3456789101112131415161718[[#This Row],[قيمة الرسوم / العموله]]+Basic3456789101112131415161718[[#This Row],[قيمة الشحنه]])</f>
        <v>0</v>
      </c>
      <c r="I32" s="90"/>
      <c r="J32" s="142" t="str">
        <f t="shared" si="0"/>
        <v>15.5.2026</v>
      </c>
      <c r="L32" s="153">
        <v>21</v>
      </c>
      <c r="M32" s="92"/>
    </row>
    <row r="33" spans="1:13" ht="21.6" x14ac:dyDescent="0.65">
      <c r="A33" s="195"/>
      <c r="B33" s="144">
        <v>30</v>
      </c>
      <c r="C33" s="2"/>
      <c r="D33" s="1"/>
      <c r="E33" s="3"/>
      <c r="F33" s="1"/>
      <c r="G33" s="141">
        <f>IF(Basic3456789101112131415161718[[#This Row],[نوع الخدمة]]="مخالفات", 50,
IF(Basic3456789101112131415161718[[#This Row],[نوع الخدمة]]="كاش ان",
    IF(F33&lt;=100, 18, IF(F33&lt;=250, 23, IF(F33&lt;=500, 35, IF(F33&lt;=1000, 40, F33*0.04)))),
IF(Basic3456789101112131415161718[[#This Row],[نوع الخدمة]]="كاش اوت",
    IF(F33&lt;=100, 15, IF(F33&lt;=250, 20, IF(F33&lt;=500, 30, IF(F33&lt;=1000, 35, F33*0.035)))),
0)))</f>
        <v>0</v>
      </c>
      <c r="H33" s="159">
        <f>IF(I33="مخالفات",50,Basic3456789101112131415161718[[#This Row],[قيمة الرسوم / العموله]]+Basic3456789101112131415161718[[#This Row],[قيمة الشحنه]])</f>
        <v>0</v>
      </c>
      <c r="I33" s="90"/>
      <c r="J33" s="142" t="str">
        <f t="shared" si="0"/>
        <v>15.5.2026</v>
      </c>
      <c r="L33" s="153">
        <v>22</v>
      </c>
      <c r="M33" s="92"/>
    </row>
    <row r="34" spans="1:13" ht="21.6" x14ac:dyDescent="0.65">
      <c r="A34" s="195"/>
      <c r="B34" s="140">
        <v>31</v>
      </c>
      <c r="C34" s="2"/>
      <c r="D34" s="1"/>
      <c r="E34" s="3"/>
      <c r="F34" s="1"/>
      <c r="G34" s="141">
        <f>IF(Basic3456789101112131415161718[[#This Row],[نوع الخدمة]]="مخالفات", 50,
IF(Basic3456789101112131415161718[[#This Row],[نوع الخدمة]]="كاش ان",
    IF(F34&lt;=100, 18, IF(F34&lt;=250, 23, IF(F34&lt;=500, 35, IF(F34&lt;=1000, 40, F34*0.04)))),
IF(Basic3456789101112131415161718[[#This Row],[نوع الخدمة]]="كاش اوت",
    IF(F34&lt;=100, 15, IF(F34&lt;=250, 20, IF(F34&lt;=500, 30, IF(F34&lt;=1000, 35, F34*0.035)))),
0)))</f>
        <v>0</v>
      </c>
      <c r="H34" s="159">
        <f>IF(I34="مخالفات",50,Basic3456789101112131415161718[[#This Row],[قيمة الرسوم / العموله]]+Basic3456789101112131415161718[[#This Row],[قيمة الشحنه]])</f>
        <v>0</v>
      </c>
      <c r="I34" s="90"/>
      <c r="J34" s="142" t="str">
        <f t="shared" si="0"/>
        <v>15.5.2026</v>
      </c>
      <c r="L34" s="153">
        <v>23</v>
      </c>
      <c r="M34" s="92"/>
    </row>
    <row r="35" spans="1:13" ht="21.6" x14ac:dyDescent="0.65">
      <c r="A35" s="195"/>
      <c r="B35" s="140">
        <v>32</v>
      </c>
      <c r="C35" s="2"/>
      <c r="D35" s="1"/>
      <c r="E35" s="3"/>
      <c r="F35" s="1"/>
      <c r="G35" s="141">
        <f>IF(Basic3456789101112131415161718[[#This Row],[نوع الخدمة]]="مخالفات", 50,
IF(Basic3456789101112131415161718[[#This Row],[نوع الخدمة]]="كاش ان",
    IF(F35&lt;=100, 18, IF(F35&lt;=250, 23, IF(F35&lt;=500, 35, IF(F35&lt;=1000, 40, F35*0.04)))),
IF(Basic3456789101112131415161718[[#This Row],[نوع الخدمة]]="كاش اوت",
    IF(F35&lt;=100, 15, IF(F35&lt;=250, 20, IF(F35&lt;=500, 30, IF(F35&lt;=1000, 35, F35*0.035)))),
0)))</f>
        <v>0</v>
      </c>
      <c r="H35" s="159">
        <f>IF(I35="مخالفات",50,Basic3456789101112131415161718[[#This Row],[قيمة الرسوم / العموله]]+Basic3456789101112131415161718[[#This Row],[قيمة الشحنه]])</f>
        <v>0</v>
      </c>
      <c r="I35" s="90"/>
      <c r="J35" s="142" t="str">
        <f t="shared" si="0"/>
        <v>15.5.2026</v>
      </c>
      <c r="L35" s="153">
        <v>24</v>
      </c>
      <c r="M35" s="92"/>
    </row>
    <row r="36" spans="1:13" ht="21.6" x14ac:dyDescent="0.65">
      <c r="A36" s="195"/>
      <c r="B36" s="140">
        <v>33</v>
      </c>
      <c r="C36" s="2"/>
      <c r="D36" s="1"/>
      <c r="E36" s="3"/>
      <c r="F36" s="1"/>
      <c r="G36" s="141">
        <f>IF(Basic3456789101112131415161718[[#This Row],[نوع الخدمة]]="مخالفات", 50,
IF(Basic3456789101112131415161718[[#This Row],[نوع الخدمة]]="كاش ان",
    IF(F36&lt;=100, 18, IF(F36&lt;=250, 23, IF(F36&lt;=500, 35, IF(F36&lt;=1000, 40, F36*0.04)))),
IF(Basic3456789101112131415161718[[#This Row],[نوع الخدمة]]="كاش اوت",
    IF(F36&lt;=100, 15, IF(F36&lt;=250, 20, IF(F36&lt;=500, 30, IF(F36&lt;=1000, 35, F36*0.035)))),
0)))</f>
        <v>0</v>
      </c>
      <c r="H36" s="159">
        <f>IF(I36="مخالفات",50,Basic3456789101112131415161718[[#This Row],[قيمة الرسوم / العموله]]+Basic3456789101112131415161718[[#This Row],[قيمة الشحنه]])</f>
        <v>0</v>
      </c>
      <c r="I36" s="90"/>
      <c r="J36" s="142" t="str">
        <f t="shared" si="0"/>
        <v>15.5.2026</v>
      </c>
      <c r="L36" s="153">
        <v>25</v>
      </c>
      <c r="M36" s="92"/>
    </row>
    <row r="37" spans="1:13" ht="21.6" x14ac:dyDescent="0.65">
      <c r="A37" s="195"/>
      <c r="B37" s="144">
        <v>34</v>
      </c>
      <c r="C37" s="2"/>
      <c r="D37" s="1"/>
      <c r="E37" s="3"/>
      <c r="F37" s="1"/>
      <c r="G37" s="141">
        <f>IF(Basic3456789101112131415161718[[#This Row],[نوع الخدمة]]="مخالفات", 50,
IF(Basic3456789101112131415161718[[#This Row],[نوع الخدمة]]="كاش ان",
    IF(F37&lt;=100, 18, IF(F37&lt;=250, 23, IF(F37&lt;=500, 35, IF(F37&lt;=1000, 40, F37*0.04)))),
IF(Basic3456789101112131415161718[[#This Row],[نوع الخدمة]]="كاش اوت",
    IF(F37&lt;=100, 15, IF(F37&lt;=250, 20, IF(F37&lt;=500, 30, IF(F37&lt;=1000, 35, F37*0.035)))),
0)))</f>
        <v>0</v>
      </c>
      <c r="H37" s="159">
        <f>IF(I37="مخالفات",50,Basic3456789101112131415161718[[#This Row],[قيمة الرسوم / العموله]]+Basic3456789101112131415161718[[#This Row],[قيمة الشحنه]])</f>
        <v>0</v>
      </c>
      <c r="I37" s="90"/>
      <c r="J37" s="142" t="str">
        <f t="shared" si="0"/>
        <v>15.5.2026</v>
      </c>
      <c r="L37" s="153">
        <v>26</v>
      </c>
      <c r="M37" s="92"/>
    </row>
    <row r="38" spans="1:13" ht="21.6" x14ac:dyDescent="0.65">
      <c r="A38" s="195"/>
      <c r="B38" s="140">
        <v>35</v>
      </c>
      <c r="C38" s="2"/>
      <c r="D38" s="1"/>
      <c r="E38" s="3"/>
      <c r="F38" s="1"/>
      <c r="G38" s="141">
        <f>IF(Basic3456789101112131415161718[[#This Row],[نوع الخدمة]]="مخالفات", 50,
IF(Basic3456789101112131415161718[[#This Row],[نوع الخدمة]]="كاش ان",
    IF(F38&lt;=100, 18, IF(F38&lt;=250, 23, IF(F38&lt;=500, 35, IF(F38&lt;=1000, 40, F38*0.04)))),
IF(Basic3456789101112131415161718[[#This Row],[نوع الخدمة]]="كاش اوت",
    IF(F38&lt;=100, 15, IF(F38&lt;=250, 20, IF(F38&lt;=500, 30, IF(F38&lt;=1000, 35, F38*0.035)))),
0)))</f>
        <v>0</v>
      </c>
      <c r="H38" s="159">
        <f>IF(I38="مخالفات",50,Basic3456789101112131415161718[[#This Row],[قيمة الرسوم / العموله]]+Basic3456789101112131415161718[[#This Row],[قيمة الشحنه]])</f>
        <v>0</v>
      </c>
      <c r="I38" s="90"/>
      <c r="J38" s="142" t="str">
        <f t="shared" si="0"/>
        <v>15.5.2026</v>
      </c>
      <c r="L38" s="153">
        <v>27</v>
      </c>
      <c r="M38" s="92"/>
    </row>
    <row r="39" spans="1:13" ht="21.6" x14ac:dyDescent="0.65">
      <c r="A39" s="195"/>
      <c r="B39" s="140">
        <v>36</v>
      </c>
      <c r="C39" s="2"/>
      <c r="D39" s="1"/>
      <c r="E39" s="3"/>
      <c r="F39" s="1"/>
      <c r="G39" s="141">
        <f>IF(Basic3456789101112131415161718[[#This Row],[نوع الخدمة]]="مخالفات", 50,
IF(Basic3456789101112131415161718[[#This Row],[نوع الخدمة]]="كاش ان",
    IF(F39&lt;=100, 18, IF(F39&lt;=250, 23, IF(F39&lt;=500, 35, IF(F39&lt;=1000, 40, F39*0.04)))),
IF(Basic3456789101112131415161718[[#This Row],[نوع الخدمة]]="كاش اوت",
    IF(F39&lt;=100, 15, IF(F39&lt;=250, 20, IF(F39&lt;=500, 30, IF(F39&lt;=1000, 35, F39*0.035)))),
0)))</f>
        <v>0</v>
      </c>
      <c r="H39" s="159">
        <f>IF(I39="مخالفات",50,Basic3456789101112131415161718[[#This Row],[قيمة الرسوم / العموله]]+Basic3456789101112131415161718[[#This Row],[قيمة الشحنه]])</f>
        <v>0</v>
      </c>
      <c r="I39" s="90"/>
      <c r="J39" s="142" t="str">
        <f t="shared" si="0"/>
        <v>15.5.2026</v>
      </c>
      <c r="L39" s="153">
        <v>28</v>
      </c>
      <c r="M39" s="92"/>
    </row>
    <row r="40" spans="1:13" ht="21.6" x14ac:dyDescent="0.65">
      <c r="A40" s="195"/>
      <c r="B40" s="140">
        <v>37</v>
      </c>
      <c r="C40" s="2"/>
      <c r="D40" s="1"/>
      <c r="E40" s="3"/>
      <c r="F40" s="1"/>
      <c r="G40" s="141">
        <f>IF(Basic3456789101112131415161718[[#This Row],[نوع الخدمة]]="مخالفات", 50,
IF(Basic3456789101112131415161718[[#This Row],[نوع الخدمة]]="كاش ان",
    IF(F40&lt;=100, 18, IF(F40&lt;=250, 23, IF(F40&lt;=500, 35, IF(F40&lt;=1000, 40, F40*0.04)))),
IF(Basic3456789101112131415161718[[#This Row],[نوع الخدمة]]="كاش اوت",
    IF(F40&lt;=100, 15, IF(F40&lt;=250, 20, IF(F40&lt;=500, 30, IF(F40&lt;=1000, 35, F40*0.035)))),
0)))</f>
        <v>0</v>
      </c>
      <c r="H40" s="159">
        <f>IF(I40="مخالفات",50,Basic3456789101112131415161718[[#This Row],[قيمة الرسوم / العموله]]+Basic3456789101112131415161718[[#This Row],[قيمة الشحنه]])</f>
        <v>0</v>
      </c>
      <c r="I40" s="90"/>
      <c r="J40" s="142" t="str">
        <f t="shared" si="0"/>
        <v>15.5.2026</v>
      </c>
      <c r="L40" s="153">
        <v>29</v>
      </c>
      <c r="M40" s="92"/>
    </row>
    <row r="41" spans="1:13" ht="21.6" x14ac:dyDescent="0.65">
      <c r="A41" s="195"/>
      <c r="B41" s="144">
        <v>38</v>
      </c>
      <c r="C41" s="2"/>
      <c r="D41" s="1"/>
      <c r="E41" s="3"/>
      <c r="F41" s="1"/>
      <c r="G41" s="141">
        <f>IF(Basic3456789101112131415161718[[#This Row],[نوع الخدمة]]="مخالفات", 50,
IF(Basic3456789101112131415161718[[#This Row],[نوع الخدمة]]="كاش ان",
    IF(F41&lt;=100, 18, IF(F41&lt;=250, 23, IF(F41&lt;=500, 35, IF(F41&lt;=1000, 40, F41*0.04)))),
IF(Basic3456789101112131415161718[[#This Row],[نوع الخدمة]]="كاش اوت",
    IF(F41&lt;=100, 15, IF(F41&lt;=250, 20, IF(F41&lt;=500, 30, IF(F41&lt;=1000, 35, F41*0.035)))),
0)))</f>
        <v>0</v>
      </c>
      <c r="H41" s="159">
        <f>IF(I41="مخالفات",50,Basic3456789101112131415161718[[#This Row],[قيمة الرسوم / العموله]]+Basic3456789101112131415161718[[#This Row],[قيمة الشحنه]])</f>
        <v>0</v>
      </c>
      <c r="I41" s="90"/>
      <c r="J41" s="142" t="str">
        <f t="shared" si="0"/>
        <v>15.5.2026</v>
      </c>
      <c r="L41" s="153">
        <v>30</v>
      </c>
      <c r="M41" s="92"/>
    </row>
    <row r="42" spans="1:13" ht="21.6" x14ac:dyDescent="0.65">
      <c r="A42" s="195"/>
      <c r="B42" s="140">
        <v>39</v>
      </c>
      <c r="C42" s="2"/>
      <c r="D42" s="1"/>
      <c r="E42" s="3"/>
      <c r="F42" s="1"/>
      <c r="G42" s="141">
        <f>IF(Basic3456789101112131415161718[[#This Row],[نوع الخدمة]]="مخالفات", 50,
IF(Basic3456789101112131415161718[[#This Row],[نوع الخدمة]]="كاش ان",
    IF(F42&lt;=100, 18, IF(F42&lt;=250, 23, IF(F42&lt;=500, 35, IF(F42&lt;=1000, 40, F42*0.04)))),
IF(Basic3456789101112131415161718[[#This Row],[نوع الخدمة]]="كاش اوت",
    IF(F42&lt;=100, 15, IF(F42&lt;=250, 20, IF(F42&lt;=500, 30, IF(F42&lt;=1000, 35, F42*0.035)))),
0)))</f>
        <v>0</v>
      </c>
      <c r="H42" s="159">
        <f>IF(I42="مخالفات",50,Basic3456789101112131415161718[[#This Row],[قيمة الرسوم / العموله]]+Basic3456789101112131415161718[[#This Row],[قيمة الشحنه]])</f>
        <v>0</v>
      </c>
      <c r="I42" s="90"/>
      <c r="J42" s="142" t="str">
        <f t="shared" si="0"/>
        <v>15.5.2026</v>
      </c>
      <c r="L42" s="153">
        <v>31</v>
      </c>
      <c r="M42" s="92"/>
    </row>
    <row r="43" spans="1:13" ht="21.6" x14ac:dyDescent="0.65">
      <c r="A43" s="195"/>
      <c r="B43" s="140">
        <v>40</v>
      </c>
      <c r="C43" s="2"/>
      <c r="D43" s="1"/>
      <c r="E43" s="3"/>
      <c r="F43" s="1"/>
      <c r="G43" s="141">
        <f>IF(Basic3456789101112131415161718[[#This Row],[نوع الخدمة]]="مخالفات", 50,
IF(Basic3456789101112131415161718[[#This Row],[نوع الخدمة]]="كاش ان",
    IF(F43&lt;=100, 18, IF(F43&lt;=250, 23, IF(F43&lt;=500, 35, IF(F43&lt;=1000, 40, F43*0.04)))),
IF(Basic3456789101112131415161718[[#This Row],[نوع الخدمة]]="كاش اوت",
    IF(F43&lt;=100, 15, IF(F43&lt;=250, 20, IF(F43&lt;=500, 30, IF(F43&lt;=1000, 35, F43*0.035)))),
0)))</f>
        <v>0</v>
      </c>
      <c r="H43" s="159">
        <f>IF(I43="مخالفات",50,Basic3456789101112131415161718[[#This Row],[قيمة الرسوم / العموله]]+Basic3456789101112131415161718[[#This Row],[قيمة الشحنه]])</f>
        <v>0</v>
      </c>
      <c r="I43" s="90"/>
      <c r="J43" s="142" t="str">
        <f t="shared" si="0"/>
        <v>15.5.2026</v>
      </c>
      <c r="L43" s="153">
        <v>32</v>
      </c>
      <c r="M43" s="92"/>
    </row>
    <row r="44" spans="1:13" ht="21.6" x14ac:dyDescent="0.65">
      <c r="A44" s="195"/>
      <c r="B44" s="140">
        <v>41</v>
      </c>
      <c r="C44" s="2"/>
      <c r="D44" s="1"/>
      <c r="E44" s="3"/>
      <c r="F44" s="1"/>
      <c r="G44" s="141">
        <f>IF(Basic3456789101112131415161718[[#This Row],[نوع الخدمة]]="مخالفات", 50,
IF(Basic3456789101112131415161718[[#This Row],[نوع الخدمة]]="كاش ان",
    IF(F44&lt;=100, 18, IF(F44&lt;=250, 23, IF(F44&lt;=500, 35, IF(F44&lt;=1000, 40, F44*0.04)))),
IF(Basic3456789101112131415161718[[#This Row],[نوع الخدمة]]="كاش اوت",
    IF(F44&lt;=100, 15, IF(F44&lt;=250, 20, IF(F44&lt;=500, 30, IF(F44&lt;=1000, 35, F44*0.035)))),
0)))</f>
        <v>0</v>
      </c>
      <c r="H44" s="159">
        <f>IF(I44="مخالفات",50,Basic3456789101112131415161718[[#This Row],[قيمة الرسوم / العموله]]+Basic3456789101112131415161718[[#This Row],[قيمة الشحنه]])</f>
        <v>0</v>
      </c>
      <c r="I44" s="90"/>
      <c r="J44" s="142" t="str">
        <f t="shared" si="0"/>
        <v>15.5.2026</v>
      </c>
      <c r="L44" s="153">
        <v>33</v>
      </c>
      <c r="M44" s="92"/>
    </row>
    <row r="45" spans="1:13" ht="21.6" x14ac:dyDescent="0.65">
      <c r="A45" s="195"/>
      <c r="B45" s="144">
        <v>42</v>
      </c>
      <c r="C45" s="2"/>
      <c r="D45" s="1"/>
      <c r="E45" s="3"/>
      <c r="F45" s="1"/>
      <c r="G45" s="141">
        <f>IF(Basic3456789101112131415161718[[#This Row],[نوع الخدمة]]="مخالفات", 50,
IF(Basic3456789101112131415161718[[#This Row],[نوع الخدمة]]="كاش ان",
    IF(F45&lt;=100, 18, IF(F45&lt;=250, 23, IF(F45&lt;=500, 35, IF(F45&lt;=1000, 40, F45*0.04)))),
IF(Basic3456789101112131415161718[[#This Row],[نوع الخدمة]]="كاش اوت",
    IF(F45&lt;=100, 15, IF(F45&lt;=250, 20, IF(F45&lt;=500, 30, IF(F45&lt;=1000, 35, F45*0.035)))),
0)))</f>
        <v>0</v>
      </c>
      <c r="H45" s="159">
        <f>IF(I45="مخالفات",50,Basic3456789101112131415161718[[#This Row],[قيمة الرسوم / العموله]]+Basic3456789101112131415161718[[#This Row],[قيمة الشحنه]])</f>
        <v>0</v>
      </c>
      <c r="I45" s="90"/>
      <c r="J45" s="142" t="str">
        <f t="shared" si="0"/>
        <v>15.5.2026</v>
      </c>
      <c r="L45" s="153">
        <v>34</v>
      </c>
      <c r="M45" s="92"/>
    </row>
    <row r="46" spans="1:13" ht="21.6" x14ac:dyDescent="0.65">
      <c r="A46" s="195"/>
      <c r="B46" s="140">
        <v>43</v>
      </c>
      <c r="C46" s="2"/>
      <c r="D46" s="1"/>
      <c r="E46" s="3"/>
      <c r="F46" s="1"/>
      <c r="G46" s="141">
        <f>IF(Basic3456789101112131415161718[[#This Row],[نوع الخدمة]]="مخالفات", 50,
IF(Basic3456789101112131415161718[[#This Row],[نوع الخدمة]]="كاش ان",
    IF(F46&lt;=100, 18, IF(F46&lt;=250, 23, IF(F46&lt;=500, 35, IF(F46&lt;=1000, 40, F46*0.04)))),
IF(Basic3456789101112131415161718[[#This Row],[نوع الخدمة]]="كاش اوت",
    IF(F46&lt;=100, 15, IF(F46&lt;=250, 20, IF(F46&lt;=500, 30, IF(F46&lt;=1000, 35, F46*0.035)))),
0)))</f>
        <v>0</v>
      </c>
      <c r="H46" s="159">
        <f>IF(I46="مخالفات",50,Basic3456789101112131415161718[[#This Row],[قيمة الرسوم / العموله]]+Basic3456789101112131415161718[[#This Row],[قيمة الشحنه]])</f>
        <v>0</v>
      </c>
      <c r="I46" s="90"/>
      <c r="J46" s="142" t="str">
        <f t="shared" si="0"/>
        <v>15.5.2026</v>
      </c>
      <c r="L46" s="153">
        <v>35</v>
      </c>
      <c r="M46" s="92"/>
    </row>
    <row r="47" spans="1:13" ht="21.6" x14ac:dyDescent="0.65">
      <c r="A47" s="195"/>
      <c r="B47" s="140">
        <v>44</v>
      </c>
      <c r="C47" s="2"/>
      <c r="D47" s="1"/>
      <c r="E47" s="3"/>
      <c r="F47" s="1"/>
      <c r="G47" s="141">
        <f>IF(Basic3456789101112131415161718[[#This Row],[نوع الخدمة]]="مخالفات", 50,
IF(Basic3456789101112131415161718[[#This Row],[نوع الخدمة]]="كاش ان",
    IF(F47&lt;=100, 18, IF(F47&lt;=250, 23, IF(F47&lt;=500, 35, IF(F47&lt;=1000, 40, F47*0.04)))),
IF(Basic3456789101112131415161718[[#This Row],[نوع الخدمة]]="كاش اوت",
    IF(F47&lt;=100, 15, IF(F47&lt;=250, 20, IF(F47&lt;=500, 30, IF(F47&lt;=1000, 35, F47*0.035)))),
0)))</f>
        <v>0</v>
      </c>
      <c r="H47" s="159">
        <f>IF(I47="مخالفات",50,Basic3456789101112131415161718[[#This Row],[قيمة الرسوم / العموله]]+Basic3456789101112131415161718[[#This Row],[قيمة الشحنه]])</f>
        <v>0</v>
      </c>
      <c r="I47" s="90"/>
      <c r="J47" s="142" t="str">
        <f t="shared" si="0"/>
        <v>15.5.2026</v>
      </c>
      <c r="L47" s="153">
        <v>36</v>
      </c>
      <c r="M47" s="92"/>
    </row>
    <row r="48" spans="1:13" ht="21.6" x14ac:dyDescent="0.65">
      <c r="A48" s="195"/>
      <c r="B48" s="140">
        <v>45</v>
      </c>
      <c r="C48" s="2"/>
      <c r="D48" s="1"/>
      <c r="E48" s="3"/>
      <c r="F48" s="1"/>
      <c r="G48" s="141">
        <f>IF(Basic3456789101112131415161718[[#This Row],[نوع الخدمة]]="مخالفات", 50,
IF(Basic3456789101112131415161718[[#This Row],[نوع الخدمة]]="كاش ان",
    IF(F48&lt;=100, 18, IF(F48&lt;=250, 23, IF(F48&lt;=500, 35, IF(F48&lt;=1000, 40, F48*0.04)))),
IF(Basic3456789101112131415161718[[#This Row],[نوع الخدمة]]="كاش اوت",
    IF(F48&lt;=100, 15, IF(F48&lt;=250, 20, IF(F48&lt;=500, 30, IF(F48&lt;=1000, 35, F48*0.035)))),
0)))</f>
        <v>0</v>
      </c>
      <c r="H48" s="159">
        <f>IF(I48="مخالفات",50,Basic3456789101112131415161718[[#This Row],[قيمة الرسوم / العموله]]+Basic3456789101112131415161718[[#This Row],[قيمة الشحنه]])</f>
        <v>0</v>
      </c>
      <c r="I48" s="90"/>
      <c r="J48" s="142" t="str">
        <f t="shared" si="0"/>
        <v>15.5.2026</v>
      </c>
      <c r="L48" s="153">
        <v>37</v>
      </c>
      <c r="M48" s="92"/>
    </row>
    <row r="49" spans="1:13" ht="21.6" x14ac:dyDescent="0.65">
      <c r="A49" s="195"/>
      <c r="B49" s="144">
        <v>46</v>
      </c>
      <c r="C49" s="2"/>
      <c r="D49" s="1"/>
      <c r="E49" s="3"/>
      <c r="F49" s="1"/>
      <c r="G49" s="141">
        <f>IF(Basic3456789101112131415161718[[#This Row],[نوع الخدمة]]="مخالفات", 50,
IF(Basic3456789101112131415161718[[#This Row],[نوع الخدمة]]="كاش ان",
    IF(F49&lt;=100, 18, IF(F49&lt;=250, 23, IF(F49&lt;=500, 35, IF(F49&lt;=1000, 40, F49*0.04)))),
IF(Basic3456789101112131415161718[[#This Row],[نوع الخدمة]]="كاش اوت",
    IF(F49&lt;=100, 15, IF(F49&lt;=250, 20, IF(F49&lt;=500, 30, IF(F49&lt;=1000, 35, F49*0.035)))),
0)))</f>
        <v>0</v>
      </c>
      <c r="H49" s="159">
        <f>IF(I49="مخالفات",50,Basic3456789101112131415161718[[#This Row],[قيمة الرسوم / العموله]]+Basic3456789101112131415161718[[#This Row],[قيمة الشحنه]])</f>
        <v>0</v>
      </c>
      <c r="I49" s="90"/>
      <c r="J49" s="142" t="str">
        <f t="shared" si="0"/>
        <v>15.5.2026</v>
      </c>
      <c r="L49" s="153">
        <v>38</v>
      </c>
      <c r="M49" s="92"/>
    </row>
    <row r="50" spans="1:13" ht="21.6" x14ac:dyDescent="0.65">
      <c r="A50" s="195"/>
      <c r="B50" s="140">
        <v>47</v>
      </c>
      <c r="C50" s="2"/>
      <c r="D50" s="1"/>
      <c r="E50" s="3"/>
      <c r="F50" s="1"/>
      <c r="G50" s="141">
        <f>IF(Basic3456789101112131415161718[[#This Row],[نوع الخدمة]]="مخالفات", 50,
IF(Basic3456789101112131415161718[[#This Row],[نوع الخدمة]]="كاش ان",
    IF(F50&lt;=100, 18, IF(F50&lt;=250, 23, IF(F50&lt;=500, 35, IF(F50&lt;=1000, 40, F50*0.04)))),
IF(Basic3456789101112131415161718[[#This Row],[نوع الخدمة]]="كاش اوت",
    IF(F50&lt;=100, 15, IF(F50&lt;=250, 20, IF(F50&lt;=500, 30, IF(F50&lt;=1000, 35, F50*0.035)))),
0)))</f>
        <v>0</v>
      </c>
      <c r="H50" s="159">
        <f>IF(I50="مخالفات",50,Basic3456789101112131415161718[[#This Row],[قيمة الرسوم / العموله]]+Basic3456789101112131415161718[[#This Row],[قيمة الشحنه]])</f>
        <v>0</v>
      </c>
      <c r="I50" s="90"/>
      <c r="J50" s="142" t="str">
        <f t="shared" si="0"/>
        <v>15.5.2026</v>
      </c>
      <c r="L50" s="153">
        <v>39</v>
      </c>
      <c r="M50" s="92"/>
    </row>
    <row r="51" spans="1:13" ht="21.6" x14ac:dyDescent="0.65">
      <c r="A51" s="195"/>
      <c r="B51" s="140">
        <v>48</v>
      </c>
      <c r="C51" s="2"/>
      <c r="D51" s="1"/>
      <c r="E51" s="3"/>
      <c r="F51" s="1"/>
      <c r="G51" s="141">
        <f>IF(Basic3456789101112131415161718[[#This Row],[نوع الخدمة]]="مخالفات", 50,
IF(Basic3456789101112131415161718[[#This Row],[نوع الخدمة]]="كاش ان",
    IF(F51&lt;=100, 18, IF(F51&lt;=250, 23, IF(F51&lt;=500, 35, IF(F51&lt;=1000, 40, F51*0.04)))),
IF(Basic3456789101112131415161718[[#This Row],[نوع الخدمة]]="كاش اوت",
    IF(F51&lt;=100, 15, IF(F51&lt;=250, 20, IF(F51&lt;=500, 30, IF(F51&lt;=1000, 35, F51*0.035)))),
0)))</f>
        <v>0</v>
      </c>
      <c r="H51" s="159">
        <f>IF(I51="مخالفات",50,Basic3456789101112131415161718[[#This Row],[قيمة الرسوم / العموله]]+Basic3456789101112131415161718[[#This Row],[قيمة الشحنه]])</f>
        <v>0</v>
      </c>
      <c r="I51" s="90"/>
      <c r="J51" s="142" t="str">
        <f t="shared" si="0"/>
        <v>15.5.2026</v>
      </c>
      <c r="L51" s="153">
        <v>40</v>
      </c>
      <c r="M51" s="92"/>
    </row>
    <row r="52" spans="1:13" ht="21.6" x14ac:dyDescent="0.65">
      <c r="A52" s="195"/>
      <c r="B52" s="140">
        <v>49</v>
      </c>
      <c r="C52" s="2"/>
      <c r="D52" s="1"/>
      <c r="E52" s="3"/>
      <c r="F52" s="1"/>
      <c r="G52" s="141">
        <f>IF(Basic3456789101112131415161718[[#This Row],[نوع الخدمة]]="مخالفات", 50,
IF(Basic3456789101112131415161718[[#This Row],[نوع الخدمة]]="كاش ان",
    IF(F52&lt;=100, 18, IF(F52&lt;=250, 23, IF(F52&lt;=500, 35, IF(F52&lt;=1000, 40, F52*0.04)))),
IF(Basic3456789101112131415161718[[#This Row],[نوع الخدمة]]="كاش اوت",
    IF(F52&lt;=100, 15, IF(F52&lt;=250, 20, IF(F52&lt;=500, 30, IF(F52&lt;=1000, 35, F52*0.035)))),
0)))</f>
        <v>0</v>
      </c>
      <c r="H52" s="159">
        <f>IF(I52="مخالفات",50,Basic3456789101112131415161718[[#This Row],[قيمة الرسوم / العموله]]+Basic3456789101112131415161718[[#This Row],[قيمة الشحنه]])</f>
        <v>0</v>
      </c>
      <c r="I52" s="90"/>
      <c r="J52" s="142" t="str">
        <f t="shared" si="0"/>
        <v>15.5.2026</v>
      </c>
      <c r="L52" s="153">
        <v>41</v>
      </c>
      <c r="M52" s="92"/>
    </row>
    <row r="53" spans="1:13" ht="21.6" x14ac:dyDescent="0.65">
      <c r="A53" s="195"/>
      <c r="B53" s="144">
        <v>50</v>
      </c>
      <c r="C53" s="2"/>
      <c r="D53" s="1"/>
      <c r="E53" s="3"/>
      <c r="F53" s="1"/>
      <c r="G53" s="141">
        <f>IF(Basic3456789101112131415161718[[#This Row],[نوع الخدمة]]="مخالفات", 50,
IF(Basic3456789101112131415161718[[#This Row],[نوع الخدمة]]="كاش ان",
    IF(F53&lt;=100, 18, IF(F53&lt;=250, 23, IF(F53&lt;=500, 35, IF(F53&lt;=1000, 40, F53*0.04)))),
IF(Basic3456789101112131415161718[[#This Row],[نوع الخدمة]]="كاش اوت",
    IF(F53&lt;=100, 15, IF(F53&lt;=250, 20, IF(F53&lt;=500, 30, IF(F53&lt;=1000, 35, F53*0.035)))),
0)))</f>
        <v>0</v>
      </c>
      <c r="H53" s="159">
        <f>IF(I53="مخالفات",50,Basic3456789101112131415161718[[#This Row],[قيمة الرسوم / العموله]]+Basic3456789101112131415161718[[#This Row],[قيمة الشحنه]])</f>
        <v>0</v>
      </c>
      <c r="I53" s="90"/>
      <c r="J53" s="142" t="str">
        <f t="shared" si="0"/>
        <v>15.5.2026</v>
      </c>
      <c r="L53" s="153">
        <v>42</v>
      </c>
      <c r="M53" s="92"/>
    </row>
    <row r="54" spans="1:13" ht="21.6" x14ac:dyDescent="0.65">
      <c r="A54" s="195"/>
      <c r="B54" s="140">
        <v>51</v>
      </c>
      <c r="C54" s="2"/>
      <c r="D54" s="1"/>
      <c r="E54" s="3"/>
      <c r="F54" s="1"/>
      <c r="G54" s="141">
        <f>IF(Basic3456789101112131415161718[[#This Row],[نوع الخدمة]]="مخالفات", 50,
IF(Basic3456789101112131415161718[[#This Row],[نوع الخدمة]]="كاش ان",
    IF(F54&lt;=100, 18, IF(F54&lt;=250, 23, IF(F54&lt;=500, 35, IF(F54&lt;=1000, 40, F54*0.04)))),
IF(Basic3456789101112131415161718[[#This Row],[نوع الخدمة]]="كاش اوت",
    IF(F54&lt;=100, 15, IF(F54&lt;=250, 20, IF(F54&lt;=500, 30, IF(F54&lt;=1000, 35, F54*0.035)))),
0)))</f>
        <v>0</v>
      </c>
      <c r="H54" s="159">
        <f>IF(I54="مخالفات",50,Basic3456789101112131415161718[[#This Row],[قيمة الرسوم / العموله]]+Basic3456789101112131415161718[[#This Row],[قيمة الشحنه]])</f>
        <v>0</v>
      </c>
      <c r="I54" s="90"/>
      <c r="J54" s="142" t="str">
        <f t="shared" si="0"/>
        <v>15.5.2026</v>
      </c>
      <c r="L54" s="153">
        <v>43</v>
      </c>
      <c r="M54" s="92"/>
    </row>
    <row r="55" spans="1:13" ht="21.6" x14ac:dyDescent="0.65">
      <c r="A55" s="195"/>
      <c r="B55" s="140">
        <v>52</v>
      </c>
      <c r="C55" s="2"/>
      <c r="D55" s="1"/>
      <c r="E55" s="3"/>
      <c r="F55" s="1"/>
      <c r="G55" s="141">
        <f>IF(Basic3456789101112131415161718[[#This Row],[نوع الخدمة]]="مخالفات", 50,
IF(Basic3456789101112131415161718[[#This Row],[نوع الخدمة]]="كاش ان",
    IF(F55&lt;=100, 18, IF(F55&lt;=250, 23, IF(F55&lt;=500, 35, IF(F55&lt;=1000, 40, F55*0.04)))),
IF(Basic3456789101112131415161718[[#This Row],[نوع الخدمة]]="كاش اوت",
    IF(F55&lt;=100, 15, IF(F55&lt;=250, 20, IF(F55&lt;=500, 30, IF(F55&lt;=1000, 35, F55*0.035)))),
0)))</f>
        <v>0</v>
      </c>
      <c r="H55" s="159">
        <f>IF(I55="مخالفات",50,Basic3456789101112131415161718[[#This Row],[قيمة الرسوم / العموله]]+Basic3456789101112131415161718[[#This Row],[قيمة الشحنه]])</f>
        <v>0</v>
      </c>
      <c r="I55" s="90"/>
      <c r="J55" s="142" t="str">
        <f t="shared" si="0"/>
        <v>15.5.2026</v>
      </c>
      <c r="L55" s="153">
        <v>44</v>
      </c>
      <c r="M55" s="92"/>
    </row>
    <row r="56" spans="1:13" ht="21.6" x14ac:dyDescent="0.65">
      <c r="A56" s="195"/>
      <c r="B56" s="140">
        <v>53</v>
      </c>
      <c r="C56" s="2"/>
      <c r="D56" s="1"/>
      <c r="E56" s="3"/>
      <c r="F56" s="1"/>
      <c r="G56" s="141">
        <f>IF(Basic3456789101112131415161718[[#This Row],[نوع الخدمة]]="مخالفات", 50,
IF(Basic3456789101112131415161718[[#This Row],[نوع الخدمة]]="كاش ان",
    IF(F56&lt;=100, 18, IF(F56&lt;=250, 23, IF(F56&lt;=500, 35, IF(F56&lt;=1000, 40, F56*0.04)))),
IF(Basic3456789101112131415161718[[#This Row],[نوع الخدمة]]="كاش اوت",
    IF(F56&lt;=100, 15, IF(F56&lt;=250, 20, IF(F56&lt;=500, 30, IF(F56&lt;=1000, 35, F56*0.035)))),
0)))</f>
        <v>0</v>
      </c>
      <c r="H56" s="159">
        <f>IF(I56="مخالفات",50,Basic3456789101112131415161718[[#This Row],[قيمة الرسوم / العموله]]+Basic3456789101112131415161718[[#This Row],[قيمة الشحنه]])</f>
        <v>0</v>
      </c>
      <c r="I56" s="90"/>
      <c r="J56" s="142" t="str">
        <f t="shared" si="0"/>
        <v>15.5.2026</v>
      </c>
      <c r="L56" s="153">
        <v>45</v>
      </c>
      <c r="M56" s="92"/>
    </row>
    <row r="57" spans="1:13" ht="21.6" x14ac:dyDescent="0.65">
      <c r="A57" s="195"/>
      <c r="B57" s="144">
        <v>54</v>
      </c>
      <c r="C57" s="2"/>
      <c r="D57" s="1"/>
      <c r="E57" s="3"/>
      <c r="F57" s="1"/>
      <c r="G57" s="141">
        <f>IF(Basic3456789101112131415161718[[#This Row],[نوع الخدمة]]="مخالفات", 50,
IF(Basic3456789101112131415161718[[#This Row],[نوع الخدمة]]="كاش ان",
    IF(F57&lt;=100, 18, IF(F57&lt;=250, 23, IF(F57&lt;=500, 35, IF(F57&lt;=1000, 40, F57*0.04)))),
IF(Basic3456789101112131415161718[[#This Row],[نوع الخدمة]]="كاش اوت",
    IF(F57&lt;=100, 15, IF(F57&lt;=250, 20, IF(F57&lt;=500, 30, IF(F57&lt;=1000, 35, F57*0.035)))),
0)))</f>
        <v>0</v>
      </c>
      <c r="H57" s="159">
        <f>IF(I57="مخالفات",50,Basic3456789101112131415161718[[#This Row],[قيمة الرسوم / العموله]]+Basic3456789101112131415161718[[#This Row],[قيمة الشحنه]])</f>
        <v>0</v>
      </c>
      <c r="I57" s="90"/>
      <c r="J57" s="142" t="str">
        <f t="shared" si="0"/>
        <v>15.5.2026</v>
      </c>
      <c r="L57" s="153">
        <v>46</v>
      </c>
      <c r="M57" s="92"/>
    </row>
    <row r="58" spans="1:13" ht="21.6" x14ac:dyDescent="0.65">
      <c r="A58" s="195"/>
      <c r="B58" s="140">
        <v>55</v>
      </c>
      <c r="C58" s="2"/>
      <c r="D58" s="1"/>
      <c r="E58" s="3"/>
      <c r="F58" s="1"/>
      <c r="G58" s="141">
        <f>IF(Basic3456789101112131415161718[[#This Row],[نوع الخدمة]]="مخالفات", 50,
IF(Basic3456789101112131415161718[[#This Row],[نوع الخدمة]]="كاش ان",
    IF(F58&lt;=100, 18, IF(F58&lt;=250, 23, IF(F58&lt;=500, 35, IF(F58&lt;=1000, 40, F58*0.04)))),
IF(Basic3456789101112131415161718[[#This Row],[نوع الخدمة]]="كاش اوت",
    IF(F58&lt;=100, 15, IF(F58&lt;=250, 20, IF(F58&lt;=500, 30, IF(F58&lt;=1000, 35, F58*0.035)))),
0)))</f>
        <v>0</v>
      </c>
      <c r="H58" s="159">
        <f>IF(I58="مخالفات",50,Basic3456789101112131415161718[[#This Row],[قيمة الرسوم / العموله]]+Basic3456789101112131415161718[[#This Row],[قيمة الشحنه]])</f>
        <v>0</v>
      </c>
      <c r="I58" s="90"/>
      <c r="J58" s="142" t="str">
        <f t="shared" si="0"/>
        <v>15.5.2026</v>
      </c>
      <c r="L58" s="153">
        <v>47</v>
      </c>
      <c r="M58" s="92"/>
    </row>
    <row r="59" spans="1:13" ht="21.6" x14ac:dyDescent="0.65">
      <c r="A59" s="195"/>
      <c r="B59" s="140">
        <v>56</v>
      </c>
      <c r="C59" s="2"/>
      <c r="D59" s="1"/>
      <c r="E59" s="3"/>
      <c r="F59" s="1"/>
      <c r="G59" s="141">
        <f>IF(Basic3456789101112131415161718[[#This Row],[نوع الخدمة]]="مخالفات", 50,
IF(Basic3456789101112131415161718[[#This Row],[نوع الخدمة]]="كاش ان",
    IF(F59&lt;=100, 18, IF(F59&lt;=250, 23, IF(F59&lt;=500, 35, IF(F59&lt;=1000, 40, F59*0.04)))),
IF(Basic3456789101112131415161718[[#This Row],[نوع الخدمة]]="كاش اوت",
    IF(F59&lt;=100, 15, IF(F59&lt;=250, 20, IF(F59&lt;=500, 30, IF(F59&lt;=1000, 35, F59*0.035)))),
0)))</f>
        <v>0</v>
      </c>
      <c r="H59" s="159">
        <f>IF(I59="مخالفات",50,Basic3456789101112131415161718[[#This Row],[قيمة الرسوم / العموله]]+Basic3456789101112131415161718[[#This Row],[قيمة الشحنه]])</f>
        <v>0</v>
      </c>
      <c r="I59" s="90"/>
      <c r="J59" s="142" t="str">
        <f t="shared" si="0"/>
        <v>15.5.2026</v>
      </c>
      <c r="L59" s="153">
        <v>48</v>
      </c>
      <c r="M59" s="92"/>
    </row>
    <row r="60" spans="1:13" ht="21.6" x14ac:dyDescent="0.65">
      <c r="A60" s="195"/>
      <c r="B60" s="140">
        <v>57</v>
      </c>
      <c r="C60" s="2"/>
      <c r="D60" s="1"/>
      <c r="E60" s="3"/>
      <c r="F60" s="1"/>
      <c r="G60" s="141">
        <f>IF(Basic3456789101112131415161718[[#This Row],[نوع الخدمة]]="مخالفات", 50,
IF(Basic3456789101112131415161718[[#This Row],[نوع الخدمة]]="كاش ان",
    IF(F60&lt;=100, 18, IF(F60&lt;=250, 23, IF(F60&lt;=500, 35, IF(F60&lt;=1000, 40, F60*0.04)))),
IF(Basic3456789101112131415161718[[#This Row],[نوع الخدمة]]="كاش اوت",
    IF(F60&lt;=100, 15, IF(F60&lt;=250, 20, IF(F60&lt;=500, 30, IF(F60&lt;=1000, 35, F60*0.035)))),
0)))</f>
        <v>0</v>
      </c>
      <c r="H60" s="159">
        <f>IF(I60="مخالفات",50,Basic3456789101112131415161718[[#This Row],[قيمة الرسوم / العموله]]+Basic3456789101112131415161718[[#This Row],[قيمة الشحنه]])</f>
        <v>0</v>
      </c>
      <c r="I60" s="90"/>
      <c r="J60" s="142" t="str">
        <f t="shared" si="0"/>
        <v>15.5.2026</v>
      </c>
      <c r="L60" s="153">
        <v>49</v>
      </c>
      <c r="M60" s="92"/>
    </row>
    <row r="61" spans="1:13" ht="21.6" x14ac:dyDescent="0.65">
      <c r="A61" s="195"/>
      <c r="B61" s="144">
        <v>58</v>
      </c>
      <c r="C61" s="2"/>
      <c r="D61" s="1"/>
      <c r="E61" s="3"/>
      <c r="F61" s="1"/>
      <c r="G61" s="141">
        <f>IF(Basic3456789101112131415161718[[#This Row],[نوع الخدمة]]="مخالفات", 50,
IF(Basic3456789101112131415161718[[#This Row],[نوع الخدمة]]="كاش ان",
    IF(F61&lt;=100, 18, IF(F61&lt;=250, 23, IF(F61&lt;=500, 35, IF(F61&lt;=1000, 40, F61*0.04)))),
IF(Basic3456789101112131415161718[[#This Row],[نوع الخدمة]]="كاش اوت",
    IF(F61&lt;=100, 15, IF(F61&lt;=250, 20, IF(F61&lt;=500, 30, IF(F61&lt;=1000, 35, F61*0.035)))),
0)))</f>
        <v>0</v>
      </c>
      <c r="H61" s="159">
        <f>IF(I61="مخالفات",50,Basic3456789101112131415161718[[#This Row],[قيمة الرسوم / العموله]]+Basic3456789101112131415161718[[#This Row],[قيمة الشحنه]])</f>
        <v>0</v>
      </c>
      <c r="I61" s="90"/>
      <c r="J61" s="142" t="str">
        <f t="shared" si="0"/>
        <v>15.5.2026</v>
      </c>
      <c r="L61" s="153">
        <v>50</v>
      </c>
      <c r="M61" s="92"/>
    </row>
    <row r="62" spans="1:13" ht="21.6" x14ac:dyDescent="0.65">
      <c r="A62" s="195"/>
      <c r="B62" s="140">
        <v>59</v>
      </c>
      <c r="C62" s="2"/>
      <c r="D62" s="1"/>
      <c r="E62" s="3"/>
      <c r="F62" s="1"/>
      <c r="G62" s="141">
        <f>IF(Basic3456789101112131415161718[[#This Row],[نوع الخدمة]]="مخالفات", 50,
IF(Basic3456789101112131415161718[[#This Row],[نوع الخدمة]]="كاش ان",
    IF(F62&lt;=100, 18, IF(F62&lt;=250, 23, IF(F62&lt;=500, 35, IF(F62&lt;=1000, 40, F62*0.04)))),
IF(Basic3456789101112131415161718[[#This Row],[نوع الخدمة]]="كاش اوت",
    IF(F62&lt;=100, 15, IF(F62&lt;=250, 20, IF(F62&lt;=500, 30, IF(F62&lt;=1000, 35, F62*0.035)))),
0)))</f>
        <v>0</v>
      </c>
      <c r="H62" s="159">
        <f>IF(I62="مخالفات",50,Basic3456789101112131415161718[[#This Row],[قيمة الرسوم / العموله]]+Basic3456789101112131415161718[[#This Row],[قيمة الشحنه]])</f>
        <v>0</v>
      </c>
      <c r="I62" s="90"/>
      <c r="J62" s="142" t="str">
        <f t="shared" si="0"/>
        <v>15.5.2026</v>
      </c>
      <c r="L62" s="153">
        <v>51</v>
      </c>
      <c r="M62" s="92"/>
    </row>
    <row r="63" spans="1:13" ht="21.6" x14ac:dyDescent="0.65">
      <c r="A63" s="195"/>
      <c r="B63" s="140">
        <v>60</v>
      </c>
      <c r="C63" s="2"/>
      <c r="D63" s="1"/>
      <c r="E63" s="3"/>
      <c r="F63" s="1"/>
      <c r="G63" s="141">
        <f>IF(Basic3456789101112131415161718[[#This Row],[نوع الخدمة]]="مخالفات", 50,
IF(Basic3456789101112131415161718[[#This Row],[نوع الخدمة]]="كاش ان",
    IF(F63&lt;=100, 18, IF(F63&lt;=250, 23, IF(F63&lt;=500, 35, IF(F63&lt;=1000, 40, F63*0.04)))),
IF(Basic3456789101112131415161718[[#This Row],[نوع الخدمة]]="كاش اوت",
    IF(F63&lt;=100, 15, IF(F63&lt;=250, 20, IF(F63&lt;=500, 30, IF(F63&lt;=1000, 35, F63*0.035)))),
0)))</f>
        <v>0</v>
      </c>
      <c r="H63" s="159">
        <f>IF(I63="مخالفات",50,Basic3456789101112131415161718[[#This Row],[قيمة الرسوم / العموله]]+Basic3456789101112131415161718[[#This Row],[قيمة الشحنه]])</f>
        <v>0</v>
      </c>
      <c r="I63" s="90"/>
      <c r="J63" s="142" t="str">
        <f t="shared" si="0"/>
        <v>15.5.2026</v>
      </c>
      <c r="L63" s="153">
        <v>52</v>
      </c>
      <c r="M63" s="92"/>
    </row>
    <row r="64" spans="1:13" ht="21.6" x14ac:dyDescent="0.65">
      <c r="A64" s="195"/>
      <c r="B64" s="140">
        <v>61</v>
      </c>
      <c r="C64" s="2"/>
      <c r="D64" s="1"/>
      <c r="E64" s="3"/>
      <c r="F64" s="1"/>
      <c r="G64" s="141">
        <f>IF(Basic3456789101112131415161718[[#This Row],[نوع الخدمة]]="مخالفات", 50,
IF(Basic3456789101112131415161718[[#This Row],[نوع الخدمة]]="كاش ان",
    IF(F64&lt;=100, 18, IF(F64&lt;=250, 23, IF(F64&lt;=500, 35, IF(F64&lt;=1000, 40, F64*0.04)))),
IF(Basic3456789101112131415161718[[#This Row],[نوع الخدمة]]="كاش اوت",
    IF(F64&lt;=100, 15, IF(F64&lt;=250, 20, IF(F64&lt;=500, 30, IF(F64&lt;=1000, 35, F64*0.035)))),
0)))</f>
        <v>0</v>
      </c>
      <c r="H64" s="159">
        <f>IF(I64="مخالفات",50,Basic3456789101112131415161718[[#This Row],[قيمة الرسوم / العموله]]+Basic3456789101112131415161718[[#This Row],[قيمة الشحنه]])</f>
        <v>0</v>
      </c>
      <c r="I64" s="90"/>
      <c r="J64" s="142" t="str">
        <f t="shared" si="0"/>
        <v>15.5.2026</v>
      </c>
      <c r="L64" s="153">
        <v>53</v>
      </c>
      <c r="M64" s="92"/>
    </row>
    <row r="65" spans="1:13" ht="21.6" x14ac:dyDescent="0.65">
      <c r="A65" s="195"/>
      <c r="B65" s="144">
        <v>62</v>
      </c>
      <c r="C65" s="2"/>
      <c r="D65" s="1"/>
      <c r="E65" s="3"/>
      <c r="F65" s="1"/>
      <c r="G65" s="141">
        <f>IF(Basic3456789101112131415161718[[#This Row],[نوع الخدمة]]="مخالفات", 50,
IF(Basic3456789101112131415161718[[#This Row],[نوع الخدمة]]="كاش ان",
    IF(F65&lt;=100, 18, IF(F65&lt;=250, 23, IF(F65&lt;=500, 35, IF(F65&lt;=1000, 40, F65*0.04)))),
IF(Basic3456789101112131415161718[[#This Row],[نوع الخدمة]]="كاش اوت",
    IF(F65&lt;=100, 15, IF(F65&lt;=250, 20, IF(F65&lt;=500, 30, IF(F65&lt;=1000, 35, F65*0.035)))),
0)))</f>
        <v>0</v>
      </c>
      <c r="H65" s="159">
        <f>IF(I65="مخالفات",50,Basic3456789101112131415161718[[#This Row],[قيمة الرسوم / العموله]]+Basic3456789101112131415161718[[#This Row],[قيمة الشحنه]])</f>
        <v>0</v>
      </c>
      <c r="I65" s="90"/>
      <c r="J65" s="142" t="str">
        <f t="shared" si="0"/>
        <v>15.5.2026</v>
      </c>
      <c r="L65" s="153">
        <v>54</v>
      </c>
      <c r="M65" s="92"/>
    </row>
    <row r="66" spans="1:13" ht="21.6" x14ac:dyDescent="0.65">
      <c r="A66" s="195"/>
      <c r="B66" s="140">
        <v>63</v>
      </c>
      <c r="C66" s="2"/>
      <c r="D66" s="1"/>
      <c r="E66" s="3"/>
      <c r="F66" s="1"/>
      <c r="G66" s="141">
        <f>IF(Basic3456789101112131415161718[[#This Row],[نوع الخدمة]]="مخالفات", 50,
IF(Basic3456789101112131415161718[[#This Row],[نوع الخدمة]]="كاش ان",
    IF(F66&lt;=100, 18, IF(F66&lt;=250, 23, IF(F66&lt;=500, 35, IF(F66&lt;=1000, 40, F66*0.04)))),
IF(Basic3456789101112131415161718[[#This Row],[نوع الخدمة]]="كاش اوت",
    IF(F66&lt;=100, 15, IF(F66&lt;=250, 20, IF(F66&lt;=500, 30, IF(F66&lt;=1000, 35, F66*0.035)))),
0)))</f>
        <v>0</v>
      </c>
      <c r="H66" s="159">
        <f>IF(I66="مخالفات",50,Basic3456789101112131415161718[[#This Row],[قيمة الرسوم / العموله]]+Basic3456789101112131415161718[[#This Row],[قيمة الشحنه]])</f>
        <v>0</v>
      </c>
      <c r="I66" s="90"/>
      <c r="J66" s="142" t="str">
        <f t="shared" si="0"/>
        <v>15.5.2026</v>
      </c>
      <c r="L66" s="153">
        <v>55</v>
      </c>
      <c r="M66" s="92"/>
    </row>
    <row r="67" spans="1:13" ht="21.6" x14ac:dyDescent="0.65">
      <c r="A67" s="195"/>
      <c r="B67" s="140">
        <v>64</v>
      </c>
      <c r="C67" s="2"/>
      <c r="D67" s="1"/>
      <c r="E67" s="3"/>
      <c r="F67" s="1"/>
      <c r="G67" s="141">
        <f>IF(Basic3456789101112131415161718[[#This Row],[نوع الخدمة]]="مخالفات", 50,
IF(Basic3456789101112131415161718[[#This Row],[نوع الخدمة]]="كاش ان",
    IF(F67&lt;=100, 18, IF(F67&lt;=250, 23, IF(F67&lt;=500, 35, IF(F67&lt;=1000, 40, F67*0.04)))),
IF(Basic3456789101112131415161718[[#This Row],[نوع الخدمة]]="كاش اوت",
    IF(F67&lt;=100, 15, IF(F67&lt;=250, 20, IF(F67&lt;=500, 30, IF(F67&lt;=1000, 35, F67*0.035)))),
0)))</f>
        <v>0</v>
      </c>
      <c r="H67" s="159">
        <f>IF(I67="مخالفات",50,Basic3456789101112131415161718[[#This Row],[قيمة الرسوم / العموله]]+Basic3456789101112131415161718[[#This Row],[قيمة الشحنه]])</f>
        <v>0</v>
      </c>
      <c r="I67" s="90"/>
      <c r="J67" s="142" t="str">
        <f t="shared" si="0"/>
        <v>15.5.2026</v>
      </c>
      <c r="L67" s="153">
        <v>56</v>
      </c>
      <c r="M67" s="92"/>
    </row>
    <row r="68" spans="1:13" ht="21.6" x14ac:dyDescent="0.65">
      <c r="A68" s="195"/>
      <c r="B68" s="140">
        <v>65</v>
      </c>
      <c r="C68" s="2"/>
      <c r="D68" s="1"/>
      <c r="E68" s="3"/>
      <c r="F68" s="1"/>
      <c r="G68" s="141">
        <f>IF(Basic3456789101112131415161718[[#This Row],[نوع الخدمة]]="مخالفات", 50,
IF(Basic3456789101112131415161718[[#This Row],[نوع الخدمة]]="كاش ان",
    IF(F68&lt;=100, 18, IF(F68&lt;=250, 23, IF(F68&lt;=500, 35, IF(F68&lt;=1000, 40, F68*0.04)))),
IF(Basic3456789101112131415161718[[#This Row],[نوع الخدمة]]="كاش اوت",
    IF(F68&lt;=100, 15, IF(F68&lt;=250, 20, IF(F68&lt;=500, 30, IF(F68&lt;=1000, 35, F68*0.035)))),
0)))</f>
        <v>0</v>
      </c>
      <c r="H68" s="159">
        <f>IF(I68="مخالفات",50,Basic3456789101112131415161718[[#This Row],[قيمة الرسوم / العموله]]+Basic3456789101112131415161718[[#This Row],[قيمة الشحنه]])</f>
        <v>0</v>
      </c>
      <c r="I68" s="90"/>
      <c r="J68" s="142" t="str">
        <f t="shared" ref="J68:J131" si="1">M$3</f>
        <v>15.5.2026</v>
      </c>
      <c r="L68" s="153">
        <v>57</v>
      </c>
      <c r="M68" s="92"/>
    </row>
    <row r="69" spans="1:13" ht="21.6" x14ac:dyDescent="0.65">
      <c r="A69" s="195"/>
      <c r="B69" s="144">
        <v>66</v>
      </c>
      <c r="C69" s="2"/>
      <c r="D69" s="1"/>
      <c r="E69" s="3"/>
      <c r="F69" s="1"/>
      <c r="G69" s="141">
        <f>IF(Basic3456789101112131415161718[[#This Row],[نوع الخدمة]]="مخالفات", 50,
IF(Basic3456789101112131415161718[[#This Row],[نوع الخدمة]]="كاش ان",
    IF(F69&lt;=100, 18, IF(F69&lt;=250, 23, IF(F69&lt;=500, 35, IF(F69&lt;=1000, 40, F69*0.04)))),
IF(Basic3456789101112131415161718[[#This Row],[نوع الخدمة]]="كاش اوت",
    IF(F69&lt;=100, 15, IF(F69&lt;=250, 20, IF(F69&lt;=500, 30, IF(F69&lt;=1000, 35, F69*0.035)))),
0)))</f>
        <v>0</v>
      </c>
      <c r="H69" s="159">
        <f>IF(I69="مخالفات",50,Basic3456789101112131415161718[[#This Row],[قيمة الرسوم / العموله]]+Basic3456789101112131415161718[[#This Row],[قيمة الشحنه]])</f>
        <v>0</v>
      </c>
      <c r="I69" s="90"/>
      <c r="J69" s="142" t="str">
        <f t="shared" si="1"/>
        <v>15.5.2026</v>
      </c>
      <c r="L69" s="153">
        <v>58</v>
      </c>
      <c r="M69" s="92"/>
    </row>
    <row r="70" spans="1:13" ht="21.6" x14ac:dyDescent="0.65">
      <c r="A70" s="195"/>
      <c r="B70" s="140">
        <v>67</v>
      </c>
      <c r="C70" s="2"/>
      <c r="D70" s="1"/>
      <c r="E70" s="3"/>
      <c r="F70" s="1"/>
      <c r="G70" s="141">
        <f>IF(Basic3456789101112131415161718[[#This Row],[نوع الخدمة]]="مخالفات", 50,
IF(Basic3456789101112131415161718[[#This Row],[نوع الخدمة]]="كاش ان",
    IF(F70&lt;=100, 18, IF(F70&lt;=250, 23, IF(F70&lt;=500, 35, IF(F70&lt;=1000, 40, F70*0.04)))),
IF(Basic3456789101112131415161718[[#This Row],[نوع الخدمة]]="كاش اوت",
    IF(F70&lt;=100, 15, IF(F70&lt;=250, 20, IF(F70&lt;=500, 30, IF(F70&lt;=1000, 35, F70*0.035)))),
0)))</f>
        <v>0</v>
      </c>
      <c r="H70" s="159">
        <f>IF(I70="مخالفات",50,Basic3456789101112131415161718[[#This Row],[قيمة الرسوم / العموله]]+Basic3456789101112131415161718[[#This Row],[قيمة الشحنه]])</f>
        <v>0</v>
      </c>
      <c r="I70" s="90"/>
      <c r="J70" s="142" t="str">
        <f t="shared" si="1"/>
        <v>15.5.2026</v>
      </c>
      <c r="L70" s="153">
        <v>59</v>
      </c>
      <c r="M70" s="92"/>
    </row>
    <row r="71" spans="1:13" ht="21.6" x14ac:dyDescent="0.65">
      <c r="A71" s="195"/>
      <c r="B71" s="140">
        <v>68</v>
      </c>
      <c r="C71" s="2"/>
      <c r="D71" s="1"/>
      <c r="E71" s="3"/>
      <c r="F71" s="1"/>
      <c r="G71" s="141">
        <f>IF(Basic3456789101112131415161718[[#This Row],[نوع الخدمة]]="مخالفات", 50,
IF(Basic3456789101112131415161718[[#This Row],[نوع الخدمة]]="كاش ان",
    IF(F71&lt;=100, 18, IF(F71&lt;=250, 23, IF(F71&lt;=500, 35, IF(F71&lt;=1000, 40, F71*0.04)))),
IF(Basic3456789101112131415161718[[#This Row],[نوع الخدمة]]="كاش اوت",
    IF(F71&lt;=100, 15, IF(F71&lt;=250, 20, IF(F71&lt;=500, 30, IF(F71&lt;=1000, 35, F71*0.035)))),
0)))</f>
        <v>0</v>
      </c>
      <c r="H71" s="159">
        <f>IF(I71="مخالفات",50,Basic3456789101112131415161718[[#This Row],[قيمة الرسوم / العموله]]+Basic3456789101112131415161718[[#This Row],[قيمة الشحنه]])</f>
        <v>0</v>
      </c>
      <c r="I71" s="90"/>
      <c r="J71" s="142" t="str">
        <f t="shared" si="1"/>
        <v>15.5.2026</v>
      </c>
      <c r="L71" s="153">
        <v>60</v>
      </c>
      <c r="M71" s="92"/>
    </row>
    <row r="72" spans="1:13" ht="21.6" x14ac:dyDescent="0.65">
      <c r="A72" s="195"/>
      <c r="B72" s="140">
        <v>69</v>
      </c>
      <c r="C72" s="2"/>
      <c r="D72" s="1"/>
      <c r="E72" s="3"/>
      <c r="F72" s="1"/>
      <c r="G72" s="141">
        <f>IF(Basic3456789101112131415161718[[#This Row],[نوع الخدمة]]="مخالفات", 50,
IF(Basic3456789101112131415161718[[#This Row],[نوع الخدمة]]="كاش ان",
    IF(F72&lt;=100, 18, IF(F72&lt;=250, 23, IF(F72&lt;=500, 35, IF(F72&lt;=1000, 40, F72*0.04)))),
IF(Basic3456789101112131415161718[[#This Row],[نوع الخدمة]]="كاش اوت",
    IF(F72&lt;=100, 15, IF(F72&lt;=250, 20, IF(F72&lt;=500, 30, IF(F72&lt;=1000, 35, F72*0.035)))),
0)))</f>
        <v>0</v>
      </c>
      <c r="H72" s="159">
        <f>IF(I72="مخالفات",50,Basic3456789101112131415161718[[#This Row],[قيمة الرسوم / العموله]]+Basic3456789101112131415161718[[#This Row],[قيمة الشحنه]])</f>
        <v>0</v>
      </c>
      <c r="I72" s="90"/>
      <c r="J72" s="142" t="str">
        <f t="shared" si="1"/>
        <v>15.5.2026</v>
      </c>
      <c r="L72" s="153">
        <v>61</v>
      </c>
      <c r="M72" s="92"/>
    </row>
    <row r="73" spans="1:13" ht="21.6" x14ac:dyDescent="0.65">
      <c r="A73" s="195"/>
      <c r="B73" s="144">
        <v>70</v>
      </c>
      <c r="C73" s="2"/>
      <c r="D73" s="1"/>
      <c r="E73" s="3"/>
      <c r="F73" s="1"/>
      <c r="G73" s="141">
        <f>IF(Basic3456789101112131415161718[[#This Row],[نوع الخدمة]]="مخالفات", 50,
IF(Basic3456789101112131415161718[[#This Row],[نوع الخدمة]]="كاش ان",
    IF(F73&lt;=100, 18, IF(F73&lt;=250, 23, IF(F73&lt;=500, 35, IF(F73&lt;=1000, 40, F73*0.04)))),
IF(Basic3456789101112131415161718[[#This Row],[نوع الخدمة]]="كاش اوت",
    IF(F73&lt;=100, 15, IF(F73&lt;=250, 20, IF(F73&lt;=500, 30, IF(F73&lt;=1000, 35, F73*0.035)))),
0)))</f>
        <v>0</v>
      </c>
      <c r="H73" s="159">
        <f>IF(I73="مخالفات",50,Basic3456789101112131415161718[[#This Row],[قيمة الرسوم / العموله]]+Basic3456789101112131415161718[[#This Row],[قيمة الشحنه]])</f>
        <v>0</v>
      </c>
      <c r="I73" s="90"/>
      <c r="J73" s="142" t="str">
        <f t="shared" si="1"/>
        <v>15.5.2026</v>
      </c>
      <c r="L73" s="153">
        <v>62</v>
      </c>
      <c r="M73" s="92"/>
    </row>
    <row r="74" spans="1:13" ht="21.6" x14ac:dyDescent="0.65">
      <c r="A74" s="195"/>
      <c r="B74" s="140">
        <v>71</v>
      </c>
      <c r="C74" s="2"/>
      <c r="D74" s="1"/>
      <c r="E74" s="3"/>
      <c r="F74" s="1"/>
      <c r="G74" s="141">
        <f>IF(Basic3456789101112131415161718[[#This Row],[نوع الخدمة]]="مخالفات", 50,
IF(Basic3456789101112131415161718[[#This Row],[نوع الخدمة]]="كاش ان",
    IF(F74&lt;=100, 18, IF(F74&lt;=250, 23, IF(F74&lt;=500, 35, IF(F74&lt;=1000, 40, F74*0.04)))),
IF(Basic3456789101112131415161718[[#This Row],[نوع الخدمة]]="كاش اوت",
    IF(F74&lt;=100, 15, IF(F74&lt;=250, 20, IF(F74&lt;=500, 30, IF(F74&lt;=1000, 35, F74*0.035)))),
0)))</f>
        <v>0</v>
      </c>
      <c r="H74" s="159">
        <f>IF(I74="مخالفات",50,Basic3456789101112131415161718[[#This Row],[قيمة الرسوم / العموله]]+Basic3456789101112131415161718[[#This Row],[قيمة الشحنه]])</f>
        <v>0</v>
      </c>
      <c r="I74" s="90"/>
      <c r="J74" s="142" t="str">
        <f t="shared" si="1"/>
        <v>15.5.2026</v>
      </c>
      <c r="L74" s="153">
        <v>63</v>
      </c>
      <c r="M74" s="92"/>
    </row>
    <row r="75" spans="1:13" ht="21.6" x14ac:dyDescent="0.65">
      <c r="A75" s="195"/>
      <c r="B75" s="140">
        <v>72</v>
      </c>
      <c r="C75" s="2"/>
      <c r="D75" s="1"/>
      <c r="E75" s="3"/>
      <c r="F75" s="1"/>
      <c r="G75" s="141">
        <f>IF(Basic3456789101112131415161718[[#This Row],[نوع الخدمة]]="مخالفات", 50,
IF(Basic3456789101112131415161718[[#This Row],[نوع الخدمة]]="كاش ان",
    IF(F75&lt;=100, 18, IF(F75&lt;=250, 23, IF(F75&lt;=500, 35, IF(F75&lt;=1000, 40, F75*0.04)))),
IF(Basic3456789101112131415161718[[#This Row],[نوع الخدمة]]="كاش اوت",
    IF(F75&lt;=100, 15, IF(F75&lt;=250, 20, IF(F75&lt;=500, 30, IF(F75&lt;=1000, 35, F75*0.035)))),
0)))</f>
        <v>0</v>
      </c>
      <c r="H75" s="159">
        <f>IF(I75="مخالفات",50,Basic3456789101112131415161718[[#This Row],[قيمة الرسوم / العموله]]+Basic3456789101112131415161718[[#This Row],[قيمة الشحنه]])</f>
        <v>0</v>
      </c>
      <c r="I75" s="90"/>
      <c r="J75" s="142" t="str">
        <f t="shared" si="1"/>
        <v>15.5.2026</v>
      </c>
      <c r="L75" s="153">
        <v>64</v>
      </c>
      <c r="M75" s="92"/>
    </row>
    <row r="76" spans="1:13" ht="21.6" x14ac:dyDescent="0.65">
      <c r="A76" s="195"/>
      <c r="B76" s="140">
        <v>73</v>
      </c>
      <c r="C76" s="2"/>
      <c r="D76" s="1"/>
      <c r="E76" s="3"/>
      <c r="F76" s="1"/>
      <c r="G76" s="141">
        <f>IF(Basic3456789101112131415161718[[#This Row],[نوع الخدمة]]="مخالفات", 50,
IF(Basic3456789101112131415161718[[#This Row],[نوع الخدمة]]="كاش ان",
    IF(F76&lt;=100, 18, IF(F76&lt;=250, 23, IF(F76&lt;=500, 35, IF(F76&lt;=1000, 40, F76*0.04)))),
IF(Basic3456789101112131415161718[[#This Row],[نوع الخدمة]]="كاش اوت",
    IF(F76&lt;=100, 15, IF(F76&lt;=250, 20, IF(F76&lt;=500, 30, IF(F76&lt;=1000, 35, F76*0.035)))),
0)))</f>
        <v>0</v>
      </c>
      <c r="H76" s="159">
        <f>IF(I76="مخالفات",50,Basic3456789101112131415161718[[#This Row],[قيمة الرسوم / العموله]]+Basic3456789101112131415161718[[#This Row],[قيمة الشحنه]])</f>
        <v>0</v>
      </c>
      <c r="I76" s="90"/>
      <c r="J76" s="142" t="str">
        <f t="shared" si="1"/>
        <v>15.5.2026</v>
      </c>
      <c r="L76" s="153">
        <v>65</v>
      </c>
      <c r="M76" s="92"/>
    </row>
    <row r="77" spans="1:13" ht="21.6" x14ac:dyDescent="0.65">
      <c r="A77" s="195"/>
      <c r="B77" s="144">
        <v>74</v>
      </c>
      <c r="C77" s="2"/>
      <c r="D77" s="1"/>
      <c r="E77" s="3"/>
      <c r="F77" s="1"/>
      <c r="G77" s="141">
        <f>IF(Basic3456789101112131415161718[[#This Row],[نوع الخدمة]]="مخالفات", 50,
IF(Basic3456789101112131415161718[[#This Row],[نوع الخدمة]]="كاش ان",
    IF(F77&lt;=100, 18, IF(F77&lt;=250, 23, IF(F77&lt;=500, 35, IF(F77&lt;=1000, 40, F77*0.04)))),
IF(Basic3456789101112131415161718[[#This Row],[نوع الخدمة]]="كاش اوت",
    IF(F77&lt;=100, 15, IF(F77&lt;=250, 20, IF(F77&lt;=500, 30, IF(F77&lt;=1000, 35, F77*0.035)))),
0)))</f>
        <v>0</v>
      </c>
      <c r="H77" s="159">
        <f>IF(I77="مخالفات",50,Basic3456789101112131415161718[[#This Row],[قيمة الرسوم / العموله]]+Basic3456789101112131415161718[[#This Row],[قيمة الشحنه]])</f>
        <v>0</v>
      </c>
      <c r="I77" s="90"/>
      <c r="J77" s="142" t="str">
        <f t="shared" si="1"/>
        <v>15.5.2026</v>
      </c>
      <c r="L77" s="153">
        <v>66</v>
      </c>
      <c r="M77" s="92"/>
    </row>
    <row r="78" spans="1:13" ht="21.6" x14ac:dyDescent="0.65">
      <c r="A78" s="195"/>
      <c r="B78" s="140">
        <v>75</v>
      </c>
      <c r="C78" s="2"/>
      <c r="D78" s="1"/>
      <c r="E78" s="3"/>
      <c r="F78" s="1"/>
      <c r="G78" s="141">
        <f>IF(Basic3456789101112131415161718[[#This Row],[نوع الخدمة]]="مخالفات", 50,
IF(Basic3456789101112131415161718[[#This Row],[نوع الخدمة]]="كاش ان",
    IF(F78&lt;=100, 18, IF(F78&lt;=250, 23, IF(F78&lt;=500, 35, IF(F78&lt;=1000, 40, F78*0.04)))),
IF(Basic3456789101112131415161718[[#This Row],[نوع الخدمة]]="كاش اوت",
    IF(F78&lt;=100, 15, IF(F78&lt;=250, 20, IF(F78&lt;=500, 30, IF(F78&lt;=1000, 35, F78*0.035)))),
0)))</f>
        <v>0</v>
      </c>
      <c r="H78" s="159">
        <f>IF(I78="مخالفات",50,Basic3456789101112131415161718[[#This Row],[قيمة الرسوم / العموله]]+Basic3456789101112131415161718[[#This Row],[قيمة الشحنه]])</f>
        <v>0</v>
      </c>
      <c r="I78" s="90"/>
      <c r="J78" s="142" t="str">
        <f t="shared" si="1"/>
        <v>15.5.2026</v>
      </c>
      <c r="L78" s="153">
        <v>67</v>
      </c>
      <c r="M78" s="92"/>
    </row>
    <row r="79" spans="1:13" ht="21.6" x14ac:dyDescent="0.65">
      <c r="A79" s="195"/>
      <c r="B79" s="140">
        <v>76</v>
      </c>
      <c r="C79" s="2"/>
      <c r="D79" s="1"/>
      <c r="E79" s="3"/>
      <c r="F79" s="1"/>
      <c r="G79" s="141">
        <f>IF(Basic3456789101112131415161718[[#This Row],[نوع الخدمة]]="مخالفات", 50,
IF(Basic3456789101112131415161718[[#This Row],[نوع الخدمة]]="كاش ان",
    IF(F79&lt;=100, 18, IF(F79&lt;=250, 23, IF(F79&lt;=500, 35, IF(F79&lt;=1000, 40, F79*0.04)))),
IF(Basic3456789101112131415161718[[#This Row],[نوع الخدمة]]="كاش اوت",
    IF(F79&lt;=100, 15, IF(F79&lt;=250, 20, IF(F79&lt;=500, 30, IF(F79&lt;=1000, 35, F79*0.035)))),
0)))</f>
        <v>0</v>
      </c>
      <c r="H79" s="159">
        <f>IF(I79="مخالفات",50,Basic3456789101112131415161718[[#This Row],[قيمة الرسوم / العموله]]+Basic3456789101112131415161718[[#This Row],[قيمة الشحنه]])</f>
        <v>0</v>
      </c>
      <c r="I79" s="90"/>
      <c r="J79" s="142" t="str">
        <f t="shared" si="1"/>
        <v>15.5.2026</v>
      </c>
      <c r="L79" s="153">
        <v>68</v>
      </c>
      <c r="M79" s="92"/>
    </row>
    <row r="80" spans="1:13" ht="21.6" x14ac:dyDescent="0.65">
      <c r="A80" s="195"/>
      <c r="B80" s="140">
        <v>77</v>
      </c>
      <c r="C80" s="2"/>
      <c r="D80" s="1"/>
      <c r="E80" s="3"/>
      <c r="F80" s="1"/>
      <c r="G80" s="141">
        <f>IF(Basic3456789101112131415161718[[#This Row],[نوع الخدمة]]="مخالفات", 50,
IF(Basic3456789101112131415161718[[#This Row],[نوع الخدمة]]="كاش ان",
    IF(F80&lt;=100, 18, IF(F80&lt;=250, 23, IF(F80&lt;=500, 35, IF(F80&lt;=1000, 40, F80*0.04)))),
IF(Basic3456789101112131415161718[[#This Row],[نوع الخدمة]]="كاش اوت",
    IF(F80&lt;=100, 15, IF(F80&lt;=250, 20, IF(F80&lt;=500, 30, IF(F80&lt;=1000, 35, F80*0.035)))),
0)))</f>
        <v>0</v>
      </c>
      <c r="H80" s="159">
        <f>IF(I80="مخالفات",50,Basic3456789101112131415161718[[#This Row],[قيمة الرسوم / العموله]]+Basic3456789101112131415161718[[#This Row],[قيمة الشحنه]])</f>
        <v>0</v>
      </c>
      <c r="I80" s="90"/>
      <c r="J80" s="142" t="str">
        <f t="shared" si="1"/>
        <v>15.5.2026</v>
      </c>
      <c r="L80" s="153">
        <v>69</v>
      </c>
      <c r="M80" s="92"/>
    </row>
    <row r="81" spans="1:13" ht="21.6" x14ac:dyDescent="0.65">
      <c r="A81" s="195"/>
      <c r="B81" s="144">
        <v>78</v>
      </c>
      <c r="C81" s="2"/>
      <c r="D81" s="1"/>
      <c r="E81" s="3"/>
      <c r="F81" s="1"/>
      <c r="G81" s="141">
        <f>IF(Basic3456789101112131415161718[[#This Row],[نوع الخدمة]]="مخالفات", 50,
IF(Basic3456789101112131415161718[[#This Row],[نوع الخدمة]]="كاش ان",
    IF(F81&lt;=100, 18, IF(F81&lt;=250, 23, IF(F81&lt;=500, 35, IF(F81&lt;=1000, 40, F81*0.04)))),
IF(Basic3456789101112131415161718[[#This Row],[نوع الخدمة]]="كاش اوت",
    IF(F81&lt;=100, 15, IF(F81&lt;=250, 20, IF(F81&lt;=500, 30, IF(F81&lt;=1000, 35, F81*0.035)))),
0)))</f>
        <v>0</v>
      </c>
      <c r="H81" s="159">
        <f>IF(I81="مخالفات",50,Basic3456789101112131415161718[[#This Row],[قيمة الرسوم / العموله]]+Basic3456789101112131415161718[[#This Row],[قيمة الشحنه]])</f>
        <v>0</v>
      </c>
      <c r="I81" s="90"/>
      <c r="J81" s="142" t="str">
        <f t="shared" si="1"/>
        <v>15.5.2026</v>
      </c>
      <c r="L81" s="153">
        <v>70</v>
      </c>
      <c r="M81" s="92"/>
    </row>
    <row r="82" spans="1:13" ht="21.6" x14ac:dyDescent="0.65">
      <c r="A82" s="195"/>
      <c r="B82" s="140">
        <v>79</v>
      </c>
      <c r="C82" s="2"/>
      <c r="D82" s="1"/>
      <c r="E82" s="3"/>
      <c r="F82" s="1"/>
      <c r="G82" s="141">
        <f>IF(Basic3456789101112131415161718[[#This Row],[نوع الخدمة]]="مخالفات", 50,
IF(Basic3456789101112131415161718[[#This Row],[نوع الخدمة]]="كاش ان",
    IF(F82&lt;=100, 18, IF(F82&lt;=250, 23, IF(F82&lt;=500, 35, IF(F82&lt;=1000, 40, F82*0.04)))),
IF(Basic3456789101112131415161718[[#This Row],[نوع الخدمة]]="كاش اوت",
    IF(F82&lt;=100, 15, IF(F82&lt;=250, 20, IF(F82&lt;=500, 30, IF(F82&lt;=1000, 35, F82*0.035)))),
0)))</f>
        <v>0</v>
      </c>
      <c r="H82" s="159">
        <f>IF(I82="مخالفات",50,Basic3456789101112131415161718[[#This Row],[قيمة الرسوم / العموله]]+Basic3456789101112131415161718[[#This Row],[قيمة الشحنه]])</f>
        <v>0</v>
      </c>
      <c r="I82" s="90"/>
      <c r="J82" s="142" t="str">
        <f t="shared" si="1"/>
        <v>15.5.2026</v>
      </c>
      <c r="L82" s="153">
        <v>71</v>
      </c>
      <c r="M82" s="92"/>
    </row>
    <row r="83" spans="1:13" ht="21.6" x14ac:dyDescent="0.65">
      <c r="A83" s="195"/>
      <c r="B83" s="140">
        <v>80</v>
      </c>
      <c r="C83" s="2"/>
      <c r="D83" s="1"/>
      <c r="E83" s="3"/>
      <c r="F83" s="1"/>
      <c r="G83" s="141">
        <f>IF(Basic3456789101112131415161718[[#This Row],[نوع الخدمة]]="مخالفات", 50,
IF(Basic3456789101112131415161718[[#This Row],[نوع الخدمة]]="كاش ان",
    IF(F83&lt;=100, 18, IF(F83&lt;=250, 23, IF(F83&lt;=500, 35, IF(F83&lt;=1000, 40, F83*0.04)))),
IF(Basic3456789101112131415161718[[#This Row],[نوع الخدمة]]="كاش اوت",
    IF(F83&lt;=100, 15, IF(F83&lt;=250, 20, IF(F83&lt;=500, 30, IF(F83&lt;=1000, 35, F83*0.035)))),
0)))</f>
        <v>0</v>
      </c>
      <c r="H83" s="159">
        <f>IF(I83="مخالفات",50,Basic3456789101112131415161718[[#This Row],[قيمة الرسوم / العموله]]+Basic3456789101112131415161718[[#This Row],[قيمة الشحنه]])</f>
        <v>0</v>
      </c>
      <c r="I83" s="90"/>
      <c r="J83" s="142" t="str">
        <f t="shared" si="1"/>
        <v>15.5.2026</v>
      </c>
      <c r="L83" s="153">
        <v>72</v>
      </c>
      <c r="M83" s="92"/>
    </row>
    <row r="84" spans="1:13" ht="21.6" x14ac:dyDescent="0.65">
      <c r="A84" s="195"/>
      <c r="B84" s="140">
        <v>81</v>
      </c>
      <c r="C84" s="2"/>
      <c r="D84" s="1"/>
      <c r="E84" s="3"/>
      <c r="F84" s="1"/>
      <c r="G84" s="141">
        <f>IF(Basic3456789101112131415161718[[#This Row],[نوع الخدمة]]="مخالفات", 50,
IF(Basic3456789101112131415161718[[#This Row],[نوع الخدمة]]="كاش ان",
    IF(F84&lt;=100, 18, IF(F84&lt;=250, 23, IF(F84&lt;=500, 35, IF(F84&lt;=1000, 40, F84*0.04)))),
IF(Basic3456789101112131415161718[[#This Row],[نوع الخدمة]]="كاش اوت",
    IF(F84&lt;=100, 15, IF(F84&lt;=250, 20, IF(F84&lt;=500, 30, IF(F84&lt;=1000, 35, F84*0.035)))),
0)))</f>
        <v>0</v>
      </c>
      <c r="H84" s="159">
        <f>IF(I84="مخالفات",50,Basic3456789101112131415161718[[#This Row],[قيمة الرسوم / العموله]]+Basic3456789101112131415161718[[#This Row],[قيمة الشحنه]])</f>
        <v>0</v>
      </c>
      <c r="I84" s="90"/>
      <c r="J84" s="142" t="str">
        <f t="shared" si="1"/>
        <v>15.5.2026</v>
      </c>
      <c r="L84" s="153">
        <v>73</v>
      </c>
      <c r="M84" s="92"/>
    </row>
    <row r="85" spans="1:13" ht="21.6" x14ac:dyDescent="0.65">
      <c r="A85" s="195"/>
      <c r="B85" s="144">
        <v>82</v>
      </c>
      <c r="C85" s="2"/>
      <c r="D85" s="1"/>
      <c r="E85" s="3"/>
      <c r="F85" s="1"/>
      <c r="G85" s="141">
        <f>IF(Basic3456789101112131415161718[[#This Row],[نوع الخدمة]]="مخالفات", 50,
IF(Basic3456789101112131415161718[[#This Row],[نوع الخدمة]]="كاش ان",
    IF(F85&lt;=100, 18, IF(F85&lt;=250, 23, IF(F85&lt;=500, 35, IF(F85&lt;=1000, 40, F85*0.04)))),
IF(Basic3456789101112131415161718[[#This Row],[نوع الخدمة]]="كاش اوت",
    IF(F85&lt;=100, 15, IF(F85&lt;=250, 20, IF(F85&lt;=500, 30, IF(F85&lt;=1000, 35, F85*0.035)))),
0)))</f>
        <v>0</v>
      </c>
      <c r="H85" s="159">
        <f>IF(I85="مخالفات",50,Basic3456789101112131415161718[[#This Row],[قيمة الرسوم / العموله]]+Basic3456789101112131415161718[[#This Row],[قيمة الشحنه]])</f>
        <v>0</v>
      </c>
      <c r="I85" s="90"/>
      <c r="J85" s="142" t="str">
        <f t="shared" si="1"/>
        <v>15.5.2026</v>
      </c>
      <c r="L85" s="153">
        <v>74</v>
      </c>
      <c r="M85" s="92"/>
    </row>
    <row r="86" spans="1:13" ht="21.6" x14ac:dyDescent="0.65">
      <c r="A86" s="195"/>
      <c r="B86" s="140">
        <v>83</v>
      </c>
      <c r="C86" s="2"/>
      <c r="D86" s="1"/>
      <c r="E86" s="3"/>
      <c r="F86" s="1"/>
      <c r="G86" s="141">
        <f>IF(Basic3456789101112131415161718[[#This Row],[نوع الخدمة]]="مخالفات", 50,
IF(Basic3456789101112131415161718[[#This Row],[نوع الخدمة]]="كاش ان",
    IF(F86&lt;=100, 18, IF(F86&lt;=250, 23, IF(F86&lt;=500, 35, IF(F86&lt;=1000, 40, F86*0.04)))),
IF(Basic3456789101112131415161718[[#This Row],[نوع الخدمة]]="كاش اوت",
    IF(F86&lt;=100, 15, IF(F86&lt;=250, 20, IF(F86&lt;=500, 30, IF(F86&lt;=1000, 35, F86*0.035)))),
0)))</f>
        <v>0</v>
      </c>
      <c r="H86" s="159">
        <f>IF(I86="مخالفات",50,Basic3456789101112131415161718[[#This Row],[قيمة الرسوم / العموله]]+Basic3456789101112131415161718[[#This Row],[قيمة الشحنه]])</f>
        <v>0</v>
      </c>
      <c r="I86" s="90"/>
      <c r="J86" s="142" t="str">
        <f t="shared" si="1"/>
        <v>15.5.2026</v>
      </c>
      <c r="L86" s="153">
        <v>75</v>
      </c>
      <c r="M86" s="92"/>
    </row>
    <row r="87" spans="1:13" ht="21.6" x14ac:dyDescent="0.65">
      <c r="A87" s="195"/>
      <c r="B87" s="140">
        <v>84</v>
      </c>
      <c r="C87" s="2"/>
      <c r="D87" s="1"/>
      <c r="E87" s="3"/>
      <c r="F87" s="1"/>
      <c r="G87" s="141">
        <f>IF(Basic3456789101112131415161718[[#This Row],[نوع الخدمة]]="مخالفات", 50,
IF(Basic3456789101112131415161718[[#This Row],[نوع الخدمة]]="كاش ان",
    IF(F87&lt;=100, 18, IF(F87&lt;=250, 23, IF(F87&lt;=500, 35, IF(F87&lt;=1000, 40, F87*0.04)))),
IF(Basic3456789101112131415161718[[#This Row],[نوع الخدمة]]="كاش اوت",
    IF(F87&lt;=100, 15, IF(F87&lt;=250, 20, IF(F87&lt;=500, 30, IF(F87&lt;=1000, 35, F87*0.035)))),
0)))</f>
        <v>0</v>
      </c>
      <c r="H87" s="159">
        <f>IF(I87="مخالفات",50,Basic3456789101112131415161718[[#This Row],[قيمة الرسوم / العموله]]+Basic3456789101112131415161718[[#This Row],[قيمة الشحنه]])</f>
        <v>0</v>
      </c>
      <c r="I87" s="90"/>
      <c r="J87" s="142" t="str">
        <f t="shared" si="1"/>
        <v>15.5.2026</v>
      </c>
      <c r="L87" s="153">
        <v>76</v>
      </c>
      <c r="M87" s="92"/>
    </row>
    <row r="88" spans="1:13" ht="21.6" x14ac:dyDescent="0.65">
      <c r="A88" s="195"/>
      <c r="B88" s="140">
        <v>85</v>
      </c>
      <c r="C88" s="2"/>
      <c r="D88" s="1"/>
      <c r="E88" s="3"/>
      <c r="F88" s="1"/>
      <c r="G88" s="141">
        <f>IF(Basic3456789101112131415161718[[#This Row],[نوع الخدمة]]="مخالفات", 50,
IF(Basic3456789101112131415161718[[#This Row],[نوع الخدمة]]="كاش ان",
    IF(F88&lt;=100, 18, IF(F88&lt;=250, 23, IF(F88&lt;=500, 35, IF(F88&lt;=1000, 40, F88*0.04)))),
IF(Basic3456789101112131415161718[[#This Row],[نوع الخدمة]]="كاش اوت",
    IF(F88&lt;=100, 15, IF(F88&lt;=250, 20, IF(F88&lt;=500, 30, IF(F88&lt;=1000, 35, F88*0.035)))),
0)))</f>
        <v>0</v>
      </c>
      <c r="H88" s="159">
        <f>IF(I88="مخالفات",50,Basic3456789101112131415161718[[#This Row],[قيمة الرسوم / العموله]]+Basic3456789101112131415161718[[#This Row],[قيمة الشحنه]])</f>
        <v>0</v>
      </c>
      <c r="I88" s="90"/>
      <c r="J88" s="142" t="str">
        <f t="shared" si="1"/>
        <v>15.5.2026</v>
      </c>
      <c r="L88" s="153">
        <v>77</v>
      </c>
      <c r="M88" s="92"/>
    </row>
    <row r="89" spans="1:13" ht="21.6" x14ac:dyDescent="0.65">
      <c r="A89" s="195"/>
      <c r="B89" s="144">
        <v>86</v>
      </c>
      <c r="C89" s="2"/>
      <c r="D89" s="1"/>
      <c r="E89" s="3"/>
      <c r="F89" s="1"/>
      <c r="G89" s="141">
        <f>IF(Basic3456789101112131415161718[[#This Row],[نوع الخدمة]]="مخالفات", 50,
IF(Basic3456789101112131415161718[[#This Row],[نوع الخدمة]]="كاش ان",
    IF(F89&lt;=100, 18, IF(F89&lt;=250, 23, IF(F89&lt;=500, 35, IF(F89&lt;=1000, 40, F89*0.04)))),
IF(Basic3456789101112131415161718[[#This Row],[نوع الخدمة]]="كاش اوت",
    IF(F89&lt;=100, 15, IF(F89&lt;=250, 20, IF(F89&lt;=500, 30, IF(F89&lt;=1000, 35, F89*0.035)))),
0)))</f>
        <v>0</v>
      </c>
      <c r="H89" s="159">
        <f>IF(I89="مخالفات",50,Basic3456789101112131415161718[[#This Row],[قيمة الرسوم / العموله]]+Basic3456789101112131415161718[[#This Row],[قيمة الشحنه]])</f>
        <v>0</v>
      </c>
      <c r="I89" s="90"/>
      <c r="J89" s="142" t="str">
        <f t="shared" si="1"/>
        <v>15.5.2026</v>
      </c>
      <c r="L89" s="153">
        <v>78</v>
      </c>
      <c r="M89" s="92"/>
    </row>
    <row r="90" spans="1:13" ht="21.6" x14ac:dyDescent="0.65">
      <c r="A90" s="195"/>
      <c r="B90" s="140">
        <v>87</v>
      </c>
      <c r="C90" s="2"/>
      <c r="D90" s="1"/>
      <c r="E90" s="3"/>
      <c r="F90" s="1"/>
      <c r="G90" s="141">
        <f>IF(Basic3456789101112131415161718[[#This Row],[نوع الخدمة]]="مخالفات", 50,
IF(Basic3456789101112131415161718[[#This Row],[نوع الخدمة]]="كاش ان",
    IF(F90&lt;=100, 18, IF(F90&lt;=250, 23, IF(F90&lt;=500, 35, IF(F90&lt;=1000, 40, F90*0.04)))),
IF(Basic3456789101112131415161718[[#This Row],[نوع الخدمة]]="كاش اوت",
    IF(F90&lt;=100, 15, IF(F90&lt;=250, 20, IF(F90&lt;=500, 30, IF(F90&lt;=1000, 35, F90*0.035)))),
0)))</f>
        <v>0</v>
      </c>
      <c r="H90" s="159">
        <f>IF(I90="مخالفات",50,Basic3456789101112131415161718[[#This Row],[قيمة الرسوم / العموله]]+Basic3456789101112131415161718[[#This Row],[قيمة الشحنه]])</f>
        <v>0</v>
      </c>
      <c r="I90" s="90"/>
      <c r="J90" s="142" t="str">
        <f t="shared" si="1"/>
        <v>15.5.2026</v>
      </c>
      <c r="L90" s="153">
        <v>79</v>
      </c>
      <c r="M90" s="92"/>
    </row>
    <row r="91" spans="1:13" ht="21.6" x14ac:dyDescent="0.65">
      <c r="A91" s="195"/>
      <c r="B91" s="140">
        <v>88</v>
      </c>
      <c r="C91" s="2"/>
      <c r="D91" s="1"/>
      <c r="E91" s="3"/>
      <c r="F91" s="1"/>
      <c r="G91" s="141">
        <f>IF(Basic3456789101112131415161718[[#This Row],[نوع الخدمة]]="مخالفات", 50,
IF(Basic3456789101112131415161718[[#This Row],[نوع الخدمة]]="كاش ان",
    IF(F91&lt;=100, 18, IF(F91&lt;=250, 23, IF(F91&lt;=500, 35, IF(F91&lt;=1000, 40, F91*0.04)))),
IF(Basic3456789101112131415161718[[#This Row],[نوع الخدمة]]="كاش اوت",
    IF(F91&lt;=100, 15, IF(F91&lt;=250, 20, IF(F91&lt;=500, 30, IF(F91&lt;=1000, 35, F91*0.035)))),
0)))</f>
        <v>0</v>
      </c>
      <c r="H91" s="159">
        <f>IF(I91="مخالفات",50,Basic3456789101112131415161718[[#This Row],[قيمة الرسوم / العموله]]+Basic3456789101112131415161718[[#This Row],[قيمة الشحنه]])</f>
        <v>0</v>
      </c>
      <c r="I91" s="90"/>
      <c r="J91" s="142" t="str">
        <f t="shared" si="1"/>
        <v>15.5.2026</v>
      </c>
      <c r="L91" s="153">
        <v>80</v>
      </c>
      <c r="M91" s="92"/>
    </row>
    <row r="92" spans="1:13" ht="21.6" x14ac:dyDescent="0.65">
      <c r="A92" s="195"/>
      <c r="B92" s="140">
        <v>89</v>
      </c>
      <c r="C92" s="2"/>
      <c r="D92" s="1"/>
      <c r="E92" s="3"/>
      <c r="F92" s="1"/>
      <c r="G92" s="141">
        <f>IF(Basic3456789101112131415161718[[#This Row],[نوع الخدمة]]="مخالفات", 50,
IF(Basic3456789101112131415161718[[#This Row],[نوع الخدمة]]="كاش ان",
    IF(F92&lt;=100, 18, IF(F92&lt;=250, 23, IF(F92&lt;=500, 35, IF(F92&lt;=1000, 40, F92*0.04)))),
IF(Basic3456789101112131415161718[[#This Row],[نوع الخدمة]]="كاش اوت",
    IF(F92&lt;=100, 15, IF(F92&lt;=250, 20, IF(F92&lt;=500, 30, IF(F92&lt;=1000, 35, F92*0.035)))),
0)))</f>
        <v>0</v>
      </c>
      <c r="H92" s="159">
        <f>IF(I92="مخالفات",50,Basic3456789101112131415161718[[#This Row],[قيمة الرسوم / العموله]]+Basic3456789101112131415161718[[#This Row],[قيمة الشحنه]])</f>
        <v>0</v>
      </c>
      <c r="I92" s="90"/>
      <c r="J92" s="142" t="str">
        <f t="shared" si="1"/>
        <v>15.5.2026</v>
      </c>
      <c r="L92" s="153">
        <v>81</v>
      </c>
      <c r="M92" s="92"/>
    </row>
    <row r="93" spans="1:13" ht="21.6" x14ac:dyDescent="0.65">
      <c r="A93" s="195"/>
      <c r="B93" s="144">
        <v>90</v>
      </c>
      <c r="C93" s="2"/>
      <c r="D93" s="1"/>
      <c r="E93" s="3"/>
      <c r="F93" s="1"/>
      <c r="G93" s="141">
        <f>IF(Basic3456789101112131415161718[[#This Row],[نوع الخدمة]]="مخالفات", 50,
IF(Basic3456789101112131415161718[[#This Row],[نوع الخدمة]]="كاش ان",
    IF(F93&lt;=100, 18, IF(F93&lt;=250, 23, IF(F93&lt;=500, 35, IF(F93&lt;=1000, 40, F93*0.04)))),
IF(Basic3456789101112131415161718[[#This Row],[نوع الخدمة]]="كاش اوت",
    IF(F93&lt;=100, 15, IF(F93&lt;=250, 20, IF(F93&lt;=500, 30, IF(F93&lt;=1000, 35, F93*0.035)))),
0)))</f>
        <v>0</v>
      </c>
      <c r="H93" s="159">
        <f>IF(I93="مخالفات",50,Basic3456789101112131415161718[[#This Row],[قيمة الرسوم / العموله]]+Basic3456789101112131415161718[[#This Row],[قيمة الشحنه]])</f>
        <v>0</v>
      </c>
      <c r="I93" s="90"/>
      <c r="J93" s="142" t="str">
        <f t="shared" si="1"/>
        <v>15.5.2026</v>
      </c>
      <c r="L93" s="153">
        <v>82</v>
      </c>
      <c r="M93" s="92"/>
    </row>
    <row r="94" spans="1:13" ht="21.6" x14ac:dyDescent="0.65">
      <c r="A94" s="195"/>
      <c r="B94" s="140">
        <v>91</v>
      </c>
      <c r="C94" s="2"/>
      <c r="D94" s="1"/>
      <c r="E94" s="3"/>
      <c r="F94" s="1"/>
      <c r="G94" s="141">
        <f>IF(Basic3456789101112131415161718[[#This Row],[نوع الخدمة]]="مخالفات", 50,
IF(Basic3456789101112131415161718[[#This Row],[نوع الخدمة]]="كاش ان",
    IF(F94&lt;=100, 18, IF(F94&lt;=250, 23, IF(F94&lt;=500, 35, IF(F94&lt;=1000, 40, F94*0.04)))),
IF(Basic3456789101112131415161718[[#This Row],[نوع الخدمة]]="كاش اوت",
    IF(F94&lt;=100, 15, IF(F94&lt;=250, 20, IF(F94&lt;=500, 30, IF(F94&lt;=1000, 35, F94*0.035)))),
0)))</f>
        <v>0</v>
      </c>
      <c r="H94" s="159">
        <f>IF(I94="مخالفات",50,Basic3456789101112131415161718[[#This Row],[قيمة الرسوم / العموله]]+Basic3456789101112131415161718[[#This Row],[قيمة الشحنه]])</f>
        <v>0</v>
      </c>
      <c r="I94" s="90"/>
      <c r="J94" s="142" t="str">
        <f t="shared" si="1"/>
        <v>15.5.2026</v>
      </c>
      <c r="L94" s="153">
        <v>83</v>
      </c>
      <c r="M94" s="92"/>
    </row>
    <row r="95" spans="1:13" ht="21.6" x14ac:dyDescent="0.65">
      <c r="A95" s="195"/>
      <c r="B95" s="140">
        <v>92</v>
      </c>
      <c r="C95" s="2"/>
      <c r="D95" s="1"/>
      <c r="E95" s="3"/>
      <c r="F95" s="1"/>
      <c r="G95" s="141">
        <f>IF(Basic3456789101112131415161718[[#This Row],[نوع الخدمة]]="مخالفات", 50,
IF(Basic3456789101112131415161718[[#This Row],[نوع الخدمة]]="كاش ان",
    IF(F95&lt;=100, 18, IF(F95&lt;=250, 23, IF(F95&lt;=500, 35, IF(F95&lt;=1000, 40, F95*0.04)))),
IF(Basic3456789101112131415161718[[#This Row],[نوع الخدمة]]="كاش اوت",
    IF(F95&lt;=100, 15, IF(F95&lt;=250, 20, IF(F95&lt;=500, 30, IF(F95&lt;=1000, 35, F95*0.035)))),
0)))</f>
        <v>0</v>
      </c>
      <c r="H95" s="159">
        <f>IF(I95="مخالفات",50,Basic3456789101112131415161718[[#This Row],[قيمة الرسوم / العموله]]+Basic3456789101112131415161718[[#This Row],[قيمة الشحنه]])</f>
        <v>0</v>
      </c>
      <c r="I95" s="90"/>
      <c r="J95" s="142" t="str">
        <f t="shared" si="1"/>
        <v>15.5.2026</v>
      </c>
      <c r="L95" s="153">
        <v>84</v>
      </c>
      <c r="M95" s="92"/>
    </row>
    <row r="96" spans="1:13" ht="21.6" x14ac:dyDescent="0.65">
      <c r="A96" s="195"/>
      <c r="B96" s="140">
        <v>93</v>
      </c>
      <c r="C96" s="2"/>
      <c r="D96" s="1"/>
      <c r="E96" s="3"/>
      <c r="F96" s="1"/>
      <c r="G96" s="141">
        <f>IF(Basic3456789101112131415161718[[#This Row],[نوع الخدمة]]="مخالفات", 50,
IF(Basic3456789101112131415161718[[#This Row],[نوع الخدمة]]="كاش ان",
    IF(F96&lt;=100, 18, IF(F96&lt;=250, 23, IF(F96&lt;=500, 35, IF(F96&lt;=1000, 40, F96*0.04)))),
IF(Basic3456789101112131415161718[[#This Row],[نوع الخدمة]]="كاش اوت",
    IF(F96&lt;=100, 15, IF(F96&lt;=250, 20, IF(F96&lt;=500, 30, IF(F96&lt;=1000, 35, F96*0.035)))),
0)))</f>
        <v>0</v>
      </c>
      <c r="H96" s="159">
        <f>IF(I96="مخالفات",50,Basic3456789101112131415161718[[#This Row],[قيمة الرسوم / العموله]]+Basic3456789101112131415161718[[#This Row],[قيمة الشحنه]])</f>
        <v>0</v>
      </c>
      <c r="I96" s="90"/>
      <c r="J96" s="142" t="str">
        <f t="shared" si="1"/>
        <v>15.5.2026</v>
      </c>
      <c r="L96" s="153">
        <v>85</v>
      </c>
      <c r="M96" s="92"/>
    </row>
    <row r="97" spans="1:13" ht="21.6" x14ac:dyDescent="0.65">
      <c r="A97" s="195"/>
      <c r="B97" s="144">
        <v>94</v>
      </c>
      <c r="C97" s="2"/>
      <c r="D97" s="1"/>
      <c r="E97" s="3"/>
      <c r="F97" s="1"/>
      <c r="G97" s="141">
        <f>IF(Basic3456789101112131415161718[[#This Row],[نوع الخدمة]]="مخالفات", 50,
IF(Basic3456789101112131415161718[[#This Row],[نوع الخدمة]]="كاش ان",
    IF(F97&lt;=100, 18, IF(F97&lt;=250, 23, IF(F97&lt;=500, 35, IF(F97&lt;=1000, 40, F97*0.04)))),
IF(Basic3456789101112131415161718[[#This Row],[نوع الخدمة]]="كاش اوت",
    IF(F97&lt;=100, 15, IF(F97&lt;=250, 20, IF(F97&lt;=500, 30, IF(F97&lt;=1000, 35, F97*0.035)))),
0)))</f>
        <v>0</v>
      </c>
      <c r="H97" s="159">
        <f>IF(I97="مخالفات",50,Basic3456789101112131415161718[[#This Row],[قيمة الرسوم / العموله]]+Basic3456789101112131415161718[[#This Row],[قيمة الشحنه]])</f>
        <v>0</v>
      </c>
      <c r="I97" s="90"/>
      <c r="J97" s="142" t="str">
        <f t="shared" si="1"/>
        <v>15.5.2026</v>
      </c>
      <c r="L97" s="153">
        <v>86</v>
      </c>
      <c r="M97" s="92"/>
    </row>
    <row r="98" spans="1:13" ht="21.6" x14ac:dyDescent="0.65">
      <c r="A98" s="195"/>
      <c r="B98" s="140">
        <v>95</v>
      </c>
      <c r="C98" s="2"/>
      <c r="D98" s="1"/>
      <c r="E98" s="3"/>
      <c r="F98" s="1"/>
      <c r="G98" s="141">
        <f>IF(Basic3456789101112131415161718[[#This Row],[نوع الخدمة]]="مخالفات", 50,
IF(Basic3456789101112131415161718[[#This Row],[نوع الخدمة]]="كاش ان",
    IF(F98&lt;=100, 18, IF(F98&lt;=250, 23, IF(F98&lt;=500, 35, IF(F98&lt;=1000, 40, F98*0.04)))),
IF(Basic3456789101112131415161718[[#This Row],[نوع الخدمة]]="كاش اوت",
    IF(F98&lt;=100, 15, IF(F98&lt;=250, 20, IF(F98&lt;=500, 30, IF(F98&lt;=1000, 35, F98*0.035)))),
0)))</f>
        <v>0</v>
      </c>
      <c r="H98" s="159">
        <f>IF(I98="مخالفات",50,Basic3456789101112131415161718[[#This Row],[قيمة الرسوم / العموله]]+Basic3456789101112131415161718[[#This Row],[قيمة الشحنه]])</f>
        <v>0</v>
      </c>
      <c r="I98" s="90"/>
      <c r="J98" s="142" t="str">
        <f t="shared" si="1"/>
        <v>15.5.2026</v>
      </c>
      <c r="L98" s="153">
        <v>87</v>
      </c>
      <c r="M98" s="92"/>
    </row>
    <row r="99" spans="1:13" ht="21.6" x14ac:dyDescent="0.65">
      <c r="A99" s="195"/>
      <c r="B99" s="140">
        <v>96</v>
      </c>
      <c r="C99" s="2"/>
      <c r="D99" s="1"/>
      <c r="E99" s="3"/>
      <c r="F99" s="1"/>
      <c r="G99" s="141">
        <f>IF(Basic3456789101112131415161718[[#This Row],[نوع الخدمة]]="مخالفات", 50,
IF(Basic3456789101112131415161718[[#This Row],[نوع الخدمة]]="كاش ان",
    IF(F99&lt;=100, 18, IF(F99&lt;=250, 23, IF(F99&lt;=500, 35, IF(F99&lt;=1000, 40, F99*0.04)))),
IF(Basic3456789101112131415161718[[#This Row],[نوع الخدمة]]="كاش اوت",
    IF(F99&lt;=100, 15, IF(F99&lt;=250, 20, IF(F99&lt;=500, 30, IF(F99&lt;=1000, 35, F99*0.035)))),
0)))</f>
        <v>0</v>
      </c>
      <c r="H99" s="159">
        <f>IF(I99="مخالفات",50,Basic3456789101112131415161718[[#This Row],[قيمة الرسوم / العموله]]+Basic3456789101112131415161718[[#This Row],[قيمة الشحنه]])</f>
        <v>0</v>
      </c>
      <c r="I99" s="90"/>
      <c r="J99" s="142" t="str">
        <f t="shared" si="1"/>
        <v>15.5.2026</v>
      </c>
      <c r="L99" s="153">
        <v>88</v>
      </c>
      <c r="M99" s="92"/>
    </row>
    <row r="100" spans="1:13" ht="21.6" x14ac:dyDescent="0.65">
      <c r="A100" s="195"/>
      <c r="B100" s="140">
        <v>97</v>
      </c>
      <c r="C100" s="2"/>
      <c r="D100" s="1"/>
      <c r="E100" s="3"/>
      <c r="F100" s="1"/>
      <c r="G100" s="141">
        <f>IF(Basic3456789101112131415161718[[#This Row],[نوع الخدمة]]="مخالفات", 50,
IF(Basic3456789101112131415161718[[#This Row],[نوع الخدمة]]="كاش ان",
    IF(F100&lt;=100, 18, IF(F100&lt;=250, 23, IF(F100&lt;=500, 35, IF(F100&lt;=1000, 40, F100*0.04)))),
IF(Basic3456789101112131415161718[[#This Row],[نوع الخدمة]]="كاش اوت",
    IF(F100&lt;=100, 15, IF(F100&lt;=250, 20, IF(F100&lt;=500, 30, IF(F100&lt;=1000, 35, F100*0.035)))),
0)))</f>
        <v>0</v>
      </c>
      <c r="H100" s="159">
        <f>IF(I100="مخالفات",50,Basic3456789101112131415161718[[#This Row],[قيمة الرسوم / العموله]]+Basic3456789101112131415161718[[#This Row],[قيمة الشحنه]])</f>
        <v>0</v>
      </c>
      <c r="I100" s="90"/>
      <c r="J100" s="142" t="str">
        <f t="shared" si="1"/>
        <v>15.5.2026</v>
      </c>
      <c r="L100" s="153">
        <v>89</v>
      </c>
      <c r="M100" s="92"/>
    </row>
    <row r="101" spans="1:13" ht="21.6" x14ac:dyDescent="0.65">
      <c r="A101" s="195"/>
      <c r="B101" s="144">
        <v>98</v>
      </c>
      <c r="C101" s="2"/>
      <c r="D101" s="1"/>
      <c r="E101" s="3"/>
      <c r="F101" s="1"/>
      <c r="G101" s="141">
        <f>IF(Basic3456789101112131415161718[[#This Row],[نوع الخدمة]]="مخالفات", 50,
IF(Basic3456789101112131415161718[[#This Row],[نوع الخدمة]]="كاش ان",
    IF(F101&lt;=100, 18, IF(F101&lt;=250, 23, IF(F101&lt;=500, 35, IF(F101&lt;=1000, 40, F101*0.04)))),
IF(Basic3456789101112131415161718[[#This Row],[نوع الخدمة]]="كاش اوت",
    IF(F101&lt;=100, 15, IF(F101&lt;=250, 20, IF(F101&lt;=500, 30, IF(F101&lt;=1000, 35, F101*0.035)))),
0)))</f>
        <v>0</v>
      </c>
      <c r="H101" s="159">
        <f>IF(I101="مخالفات",50,Basic3456789101112131415161718[[#This Row],[قيمة الرسوم / العموله]]+Basic3456789101112131415161718[[#This Row],[قيمة الشحنه]])</f>
        <v>0</v>
      </c>
      <c r="I101" s="90"/>
      <c r="J101" s="142" t="str">
        <f t="shared" si="1"/>
        <v>15.5.2026</v>
      </c>
      <c r="L101" s="153">
        <v>90</v>
      </c>
      <c r="M101" s="92"/>
    </row>
    <row r="102" spans="1:13" ht="21.6" x14ac:dyDescent="0.65">
      <c r="A102" s="195"/>
      <c r="B102" s="140">
        <v>99</v>
      </c>
      <c r="C102" s="2"/>
      <c r="D102" s="1"/>
      <c r="E102" s="3"/>
      <c r="F102" s="1"/>
      <c r="G102" s="141">
        <f>IF(Basic3456789101112131415161718[[#This Row],[نوع الخدمة]]="مخالفات", 50,
IF(Basic3456789101112131415161718[[#This Row],[نوع الخدمة]]="كاش ان",
    IF(F102&lt;=100, 18, IF(F102&lt;=250, 23, IF(F102&lt;=500, 35, IF(F102&lt;=1000, 40, F102*0.04)))),
IF(Basic3456789101112131415161718[[#This Row],[نوع الخدمة]]="كاش اوت",
    IF(F102&lt;=100, 15, IF(F102&lt;=250, 20, IF(F102&lt;=500, 30, IF(F102&lt;=1000, 35, F102*0.035)))),
0)))</f>
        <v>0</v>
      </c>
      <c r="H102" s="159">
        <f>IF(I102="مخالفات",50,Basic3456789101112131415161718[[#This Row],[قيمة الرسوم / العموله]]+Basic3456789101112131415161718[[#This Row],[قيمة الشحنه]])</f>
        <v>0</v>
      </c>
      <c r="I102" s="90"/>
      <c r="J102" s="142" t="str">
        <f t="shared" si="1"/>
        <v>15.5.2026</v>
      </c>
      <c r="L102" s="153">
        <v>91</v>
      </c>
      <c r="M102" s="92"/>
    </row>
    <row r="103" spans="1:13" ht="21.6" x14ac:dyDescent="0.65">
      <c r="A103" s="195"/>
      <c r="B103" s="140">
        <v>100</v>
      </c>
      <c r="C103" s="2"/>
      <c r="D103" s="1"/>
      <c r="E103" s="3"/>
      <c r="F103" s="1"/>
      <c r="G103" s="141">
        <f>IF(Basic3456789101112131415161718[[#This Row],[نوع الخدمة]]="مخالفات", 50,
IF(Basic3456789101112131415161718[[#This Row],[نوع الخدمة]]="كاش ان",
    IF(F103&lt;=100, 18, IF(F103&lt;=250, 23, IF(F103&lt;=500, 35, IF(F103&lt;=1000, 40, F103*0.04)))),
IF(Basic3456789101112131415161718[[#This Row],[نوع الخدمة]]="كاش اوت",
    IF(F103&lt;=100, 15, IF(F103&lt;=250, 20, IF(F103&lt;=500, 30, IF(F103&lt;=1000, 35, F103*0.035)))),
0)))</f>
        <v>0</v>
      </c>
      <c r="H103" s="159">
        <f>IF(I103="مخالفات",50,Basic3456789101112131415161718[[#This Row],[قيمة الرسوم / العموله]]+Basic3456789101112131415161718[[#This Row],[قيمة الشحنه]])</f>
        <v>0</v>
      </c>
      <c r="I103" s="90"/>
      <c r="J103" s="142" t="str">
        <f t="shared" si="1"/>
        <v>15.5.2026</v>
      </c>
      <c r="L103" s="153">
        <v>92</v>
      </c>
      <c r="M103" s="92"/>
    </row>
    <row r="104" spans="1:13" ht="21.6" x14ac:dyDescent="0.65">
      <c r="A104" s="195"/>
      <c r="B104" s="140">
        <v>101</v>
      </c>
      <c r="C104" s="2"/>
      <c r="D104" s="1"/>
      <c r="E104" s="3"/>
      <c r="F104" s="1"/>
      <c r="G104" s="141">
        <f>IF(Basic3456789101112131415161718[[#This Row],[نوع الخدمة]]="مخالفات", 50,
IF(Basic3456789101112131415161718[[#This Row],[نوع الخدمة]]="كاش ان",
    IF(F104&lt;=100, 18, IF(F104&lt;=250, 23, IF(F104&lt;=500, 35, IF(F104&lt;=1000, 40, F104*0.04)))),
IF(Basic3456789101112131415161718[[#This Row],[نوع الخدمة]]="كاش اوت",
    IF(F104&lt;=100, 15, IF(F104&lt;=250, 20, IF(F104&lt;=500, 30, IF(F104&lt;=1000, 35, F104*0.035)))),
0)))</f>
        <v>0</v>
      </c>
      <c r="H104" s="159">
        <f>IF(I104="مخالفات",50,Basic3456789101112131415161718[[#This Row],[قيمة الرسوم / العموله]]+Basic3456789101112131415161718[[#This Row],[قيمة الشحنه]])</f>
        <v>0</v>
      </c>
      <c r="I104" s="90"/>
      <c r="J104" s="142" t="str">
        <f t="shared" si="1"/>
        <v>15.5.2026</v>
      </c>
      <c r="L104" s="153">
        <v>93</v>
      </c>
      <c r="M104" s="92"/>
    </row>
    <row r="105" spans="1:13" ht="21.6" x14ac:dyDescent="0.65">
      <c r="A105" s="195"/>
      <c r="B105" s="144">
        <v>102</v>
      </c>
      <c r="C105" s="2"/>
      <c r="D105" s="1"/>
      <c r="E105" s="3"/>
      <c r="F105" s="1"/>
      <c r="G105" s="141">
        <f>IF(Basic3456789101112131415161718[[#This Row],[نوع الخدمة]]="مخالفات", 50,
IF(Basic3456789101112131415161718[[#This Row],[نوع الخدمة]]="كاش ان",
    IF(F105&lt;=100, 18, IF(F105&lt;=250, 23, IF(F105&lt;=500, 35, IF(F105&lt;=1000, 40, F105*0.04)))),
IF(Basic3456789101112131415161718[[#This Row],[نوع الخدمة]]="كاش اوت",
    IF(F105&lt;=100, 15, IF(F105&lt;=250, 20, IF(F105&lt;=500, 30, IF(F105&lt;=1000, 35, F105*0.035)))),
0)))</f>
        <v>0</v>
      </c>
      <c r="H105" s="159">
        <f>IF(I105="مخالفات",50,Basic3456789101112131415161718[[#This Row],[قيمة الرسوم / العموله]]+Basic3456789101112131415161718[[#This Row],[قيمة الشحنه]])</f>
        <v>0</v>
      </c>
      <c r="I105" s="90"/>
      <c r="J105" s="142" t="str">
        <f t="shared" si="1"/>
        <v>15.5.2026</v>
      </c>
      <c r="L105" s="153">
        <v>94</v>
      </c>
      <c r="M105" s="92"/>
    </row>
    <row r="106" spans="1:13" ht="21.6" x14ac:dyDescent="0.65">
      <c r="A106" s="195"/>
      <c r="B106" s="140">
        <v>103</v>
      </c>
      <c r="C106" s="2"/>
      <c r="D106" s="1"/>
      <c r="E106" s="3"/>
      <c r="F106" s="1"/>
      <c r="G106" s="141">
        <f>IF(Basic3456789101112131415161718[[#This Row],[نوع الخدمة]]="مخالفات", 50,
IF(Basic3456789101112131415161718[[#This Row],[نوع الخدمة]]="كاش ان",
    IF(F106&lt;=100, 18, IF(F106&lt;=250, 23, IF(F106&lt;=500, 35, IF(F106&lt;=1000, 40, F106*0.04)))),
IF(Basic3456789101112131415161718[[#This Row],[نوع الخدمة]]="كاش اوت",
    IF(F106&lt;=100, 15, IF(F106&lt;=250, 20, IF(F106&lt;=500, 30, IF(F106&lt;=1000, 35, F106*0.035)))),
0)))</f>
        <v>0</v>
      </c>
      <c r="H106" s="159">
        <f>IF(I106="مخالفات",50,Basic3456789101112131415161718[[#This Row],[قيمة الرسوم / العموله]]+Basic3456789101112131415161718[[#This Row],[قيمة الشحنه]])</f>
        <v>0</v>
      </c>
      <c r="I106" s="90"/>
      <c r="J106" s="142" t="str">
        <f t="shared" si="1"/>
        <v>15.5.2026</v>
      </c>
      <c r="L106" s="153">
        <v>95</v>
      </c>
      <c r="M106" s="92"/>
    </row>
    <row r="107" spans="1:13" ht="21.6" x14ac:dyDescent="0.65">
      <c r="A107" s="195"/>
      <c r="B107" s="140">
        <v>104</v>
      </c>
      <c r="C107" s="2"/>
      <c r="D107" s="1"/>
      <c r="E107" s="3"/>
      <c r="F107" s="1"/>
      <c r="G107" s="141">
        <f>IF(Basic3456789101112131415161718[[#This Row],[نوع الخدمة]]="مخالفات", 50,
IF(Basic3456789101112131415161718[[#This Row],[نوع الخدمة]]="كاش ان",
    IF(F107&lt;=100, 18, IF(F107&lt;=250, 23, IF(F107&lt;=500, 35, IF(F107&lt;=1000, 40, F107*0.04)))),
IF(Basic3456789101112131415161718[[#This Row],[نوع الخدمة]]="كاش اوت",
    IF(F107&lt;=100, 15, IF(F107&lt;=250, 20, IF(F107&lt;=500, 30, IF(F107&lt;=1000, 35, F107*0.035)))),
0)))</f>
        <v>0</v>
      </c>
      <c r="H107" s="159">
        <f>IF(I107="مخالفات",50,Basic3456789101112131415161718[[#This Row],[قيمة الرسوم / العموله]]+Basic3456789101112131415161718[[#This Row],[قيمة الشحنه]])</f>
        <v>0</v>
      </c>
      <c r="I107" s="90"/>
      <c r="J107" s="142" t="str">
        <f t="shared" si="1"/>
        <v>15.5.2026</v>
      </c>
      <c r="L107" s="153">
        <v>96</v>
      </c>
      <c r="M107" s="92"/>
    </row>
    <row r="108" spans="1:13" ht="21.6" x14ac:dyDescent="0.65">
      <c r="A108" s="195"/>
      <c r="B108" s="140">
        <v>105</v>
      </c>
      <c r="C108" s="2"/>
      <c r="D108" s="1"/>
      <c r="E108" s="3"/>
      <c r="F108" s="1"/>
      <c r="G108" s="141">
        <f>IF(Basic3456789101112131415161718[[#This Row],[نوع الخدمة]]="مخالفات", 50,
IF(Basic3456789101112131415161718[[#This Row],[نوع الخدمة]]="كاش ان",
    IF(F108&lt;=100, 18, IF(F108&lt;=250, 23, IF(F108&lt;=500, 35, IF(F108&lt;=1000, 40, F108*0.04)))),
IF(Basic3456789101112131415161718[[#This Row],[نوع الخدمة]]="كاش اوت",
    IF(F108&lt;=100, 15, IF(F108&lt;=250, 20, IF(F108&lt;=500, 30, IF(F108&lt;=1000, 35, F108*0.035)))),
0)))</f>
        <v>0</v>
      </c>
      <c r="H108" s="159">
        <f>IF(I108="مخالفات",50,Basic3456789101112131415161718[[#This Row],[قيمة الرسوم / العموله]]+Basic3456789101112131415161718[[#This Row],[قيمة الشحنه]])</f>
        <v>0</v>
      </c>
      <c r="I108" s="90"/>
      <c r="J108" s="142" t="str">
        <f t="shared" si="1"/>
        <v>15.5.2026</v>
      </c>
      <c r="L108" s="153">
        <v>97</v>
      </c>
      <c r="M108" s="92"/>
    </row>
    <row r="109" spans="1:13" ht="21.6" x14ac:dyDescent="0.65">
      <c r="A109" s="195"/>
      <c r="B109" s="144">
        <v>106</v>
      </c>
      <c r="C109" s="2"/>
      <c r="D109" s="1"/>
      <c r="E109" s="3"/>
      <c r="F109" s="1"/>
      <c r="G109" s="141">
        <f>IF(Basic3456789101112131415161718[[#This Row],[نوع الخدمة]]="مخالفات", 50,
IF(Basic3456789101112131415161718[[#This Row],[نوع الخدمة]]="كاش ان",
    IF(F109&lt;=100, 18, IF(F109&lt;=250, 23, IF(F109&lt;=500, 35, IF(F109&lt;=1000, 40, F109*0.04)))),
IF(Basic3456789101112131415161718[[#This Row],[نوع الخدمة]]="كاش اوت",
    IF(F109&lt;=100, 15, IF(F109&lt;=250, 20, IF(F109&lt;=500, 30, IF(F109&lt;=1000, 35, F109*0.035)))),
0)))</f>
        <v>0</v>
      </c>
      <c r="H109" s="159">
        <f>IF(I109="مخالفات",50,Basic3456789101112131415161718[[#This Row],[قيمة الرسوم / العموله]]+Basic3456789101112131415161718[[#This Row],[قيمة الشحنه]])</f>
        <v>0</v>
      </c>
      <c r="I109" s="90"/>
      <c r="J109" s="142" t="str">
        <f t="shared" si="1"/>
        <v>15.5.2026</v>
      </c>
      <c r="L109" s="153">
        <v>98</v>
      </c>
      <c r="M109" s="92"/>
    </row>
    <row r="110" spans="1:13" ht="21.6" x14ac:dyDescent="0.65">
      <c r="A110" s="195"/>
      <c r="B110" s="140">
        <v>107</v>
      </c>
      <c r="C110" s="2"/>
      <c r="D110" s="1"/>
      <c r="E110" s="3"/>
      <c r="F110" s="1"/>
      <c r="G110" s="141">
        <f>IF(Basic3456789101112131415161718[[#This Row],[نوع الخدمة]]="مخالفات", 50,
IF(Basic3456789101112131415161718[[#This Row],[نوع الخدمة]]="كاش ان",
    IF(F110&lt;=100, 18, IF(F110&lt;=250, 23, IF(F110&lt;=500, 35, IF(F110&lt;=1000, 40, F110*0.04)))),
IF(Basic3456789101112131415161718[[#This Row],[نوع الخدمة]]="كاش اوت",
    IF(F110&lt;=100, 15, IF(F110&lt;=250, 20, IF(F110&lt;=500, 30, IF(F110&lt;=1000, 35, F110*0.035)))),
0)))</f>
        <v>0</v>
      </c>
      <c r="H110" s="159">
        <f>IF(I110="مخالفات",50,Basic3456789101112131415161718[[#This Row],[قيمة الرسوم / العموله]]+Basic3456789101112131415161718[[#This Row],[قيمة الشحنه]])</f>
        <v>0</v>
      </c>
      <c r="I110" s="90"/>
      <c r="J110" s="142" t="str">
        <f t="shared" si="1"/>
        <v>15.5.2026</v>
      </c>
      <c r="L110" s="153">
        <v>99</v>
      </c>
      <c r="M110" s="92"/>
    </row>
    <row r="111" spans="1:13" ht="21.6" x14ac:dyDescent="0.65">
      <c r="A111" s="195"/>
      <c r="B111" s="140">
        <v>108</v>
      </c>
      <c r="C111" s="2"/>
      <c r="D111" s="1"/>
      <c r="E111" s="3"/>
      <c r="F111" s="1"/>
      <c r="G111" s="141">
        <f>IF(Basic3456789101112131415161718[[#This Row],[نوع الخدمة]]="مخالفات", 50,
IF(Basic3456789101112131415161718[[#This Row],[نوع الخدمة]]="كاش ان",
    IF(F111&lt;=100, 18, IF(F111&lt;=250, 23, IF(F111&lt;=500, 35, IF(F111&lt;=1000, 40, F111*0.04)))),
IF(Basic3456789101112131415161718[[#This Row],[نوع الخدمة]]="كاش اوت",
    IF(F111&lt;=100, 15, IF(F111&lt;=250, 20, IF(F111&lt;=500, 30, IF(F111&lt;=1000, 35, F111*0.035)))),
0)))</f>
        <v>0</v>
      </c>
      <c r="H111" s="159">
        <f>IF(I111="مخالفات",50,Basic3456789101112131415161718[[#This Row],[قيمة الرسوم / العموله]]+Basic3456789101112131415161718[[#This Row],[قيمة الشحنه]])</f>
        <v>0</v>
      </c>
      <c r="I111" s="90"/>
      <c r="J111" s="142" t="str">
        <f t="shared" si="1"/>
        <v>15.5.2026</v>
      </c>
      <c r="L111" s="153">
        <v>100</v>
      </c>
      <c r="M111" s="92"/>
    </row>
    <row r="112" spans="1:13" ht="21.6" x14ac:dyDescent="0.65">
      <c r="A112" s="195"/>
      <c r="B112" s="140">
        <v>109</v>
      </c>
      <c r="C112" s="2"/>
      <c r="D112" s="1"/>
      <c r="E112" s="3"/>
      <c r="F112" s="1"/>
      <c r="G112" s="141">
        <f>IF(Basic3456789101112131415161718[[#This Row],[نوع الخدمة]]="مخالفات", 50,
IF(Basic3456789101112131415161718[[#This Row],[نوع الخدمة]]="كاش ان",
    IF(F112&lt;=100, 18, IF(F112&lt;=250, 23, IF(F112&lt;=500, 35, IF(F112&lt;=1000, 40, F112*0.04)))),
IF(Basic3456789101112131415161718[[#This Row],[نوع الخدمة]]="كاش اوت",
    IF(F112&lt;=100, 15, IF(F112&lt;=250, 20, IF(F112&lt;=500, 30, IF(F112&lt;=1000, 35, F112*0.035)))),
0)))</f>
        <v>0</v>
      </c>
      <c r="H112" s="159">
        <f>IF(I112="مخالفات",50,Basic3456789101112131415161718[[#This Row],[قيمة الرسوم / العموله]]+Basic3456789101112131415161718[[#This Row],[قيمة الشحنه]])</f>
        <v>0</v>
      </c>
      <c r="I112" s="90"/>
      <c r="J112" s="142" t="str">
        <f t="shared" si="1"/>
        <v>15.5.2026</v>
      </c>
      <c r="L112" s="153">
        <v>101</v>
      </c>
      <c r="M112" s="92"/>
    </row>
    <row r="113" spans="1:13" ht="21.6" x14ac:dyDescent="0.65">
      <c r="A113" s="195"/>
      <c r="B113" s="144">
        <v>110</v>
      </c>
      <c r="C113" s="2"/>
      <c r="D113" s="1"/>
      <c r="E113" s="3"/>
      <c r="F113" s="1"/>
      <c r="G113" s="141">
        <f>IF(Basic3456789101112131415161718[[#This Row],[نوع الخدمة]]="مخالفات", 50,
IF(Basic3456789101112131415161718[[#This Row],[نوع الخدمة]]="كاش ان",
    IF(F113&lt;=100, 18, IF(F113&lt;=250, 23, IF(F113&lt;=500, 35, IF(F113&lt;=1000, 40, F113*0.04)))),
IF(Basic3456789101112131415161718[[#This Row],[نوع الخدمة]]="كاش اوت",
    IF(F113&lt;=100, 15, IF(F113&lt;=250, 20, IF(F113&lt;=500, 30, IF(F113&lt;=1000, 35, F113*0.035)))),
0)))</f>
        <v>0</v>
      </c>
      <c r="H113" s="159">
        <f>IF(I113="مخالفات",50,Basic3456789101112131415161718[[#This Row],[قيمة الرسوم / العموله]]+Basic3456789101112131415161718[[#This Row],[قيمة الشحنه]])</f>
        <v>0</v>
      </c>
      <c r="I113" s="90"/>
      <c r="J113" s="142" t="str">
        <f t="shared" si="1"/>
        <v>15.5.2026</v>
      </c>
      <c r="L113" s="153">
        <v>102</v>
      </c>
      <c r="M113" s="92"/>
    </row>
    <row r="114" spans="1:13" ht="21.6" x14ac:dyDescent="0.65">
      <c r="A114" s="195"/>
      <c r="B114" s="140">
        <v>111</v>
      </c>
      <c r="C114" s="2"/>
      <c r="D114" s="1"/>
      <c r="E114" s="3"/>
      <c r="F114" s="1"/>
      <c r="G114" s="141">
        <f>IF(Basic3456789101112131415161718[[#This Row],[نوع الخدمة]]="مخالفات", 50,
IF(Basic3456789101112131415161718[[#This Row],[نوع الخدمة]]="كاش ان",
    IF(F114&lt;=100, 18, IF(F114&lt;=250, 23, IF(F114&lt;=500, 35, IF(F114&lt;=1000, 40, F114*0.04)))),
IF(Basic3456789101112131415161718[[#This Row],[نوع الخدمة]]="كاش اوت",
    IF(F114&lt;=100, 15, IF(F114&lt;=250, 20, IF(F114&lt;=500, 30, IF(F114&lt;=1000, 35, F114*0.035)))),
0)))</f>
        <v>0</v>
      </c>
      <c r="H114" s="159">
        <f>IF(I114="مخالفات",50,Basic3456789101112131415161718[[#This Row],[قيمة الرسوم / العموله]]+Basic3456789101112131415161718[[#This Row],[قيمة الشحنه]])</f>
        <v>0</v>
      </c>
      <c r="I114" s="90"/>
      <c r="J114" s="142" t="str">
        <f t="shared" si="1"/>
        <v>15.5.2026</v>
      </c>
      <c r="L114" s="153">
        <v>103</v>
      </c>
      <c r="M114" s="92"/>
    </row>
    <row r="115" spans="1:13" ht="21.6" x14ac:dyDescent="0.65">
      <c r="A115" s="195"/>
      <c r="B115" s="140">
        <v>112</v>
      </c>
      <c r="C115" s="2"/>
      <c r="D115" s="1"/>
      <c r="E115" s="3"/>
      <c r="F115" s="1"/>
      <c r="G115" s="141">
        <f>IF(Basic3456789101112131415161718[[#This Row],[نوع الخدمة]]="مخالفات", 50,
IF(Basic3456789101112131415161718[[#This Row],[نوع الخدمة]]="كاش ان",
    IF(F115&lt;=100, 18, IF(F115&lt;=250, 23, IF(F115&lt;=500, 35, IF(F115&lt;=1000, 40, F115*0.04)))),
IF(Basic3456789101112131415161718[[#This Row],[نوع الخدمة]]="كاش اوت",
    IF(F115&lt;=100, 15, IF(F115&lt;=250, 20, IF(F115&lt;=500, 30, IF(F115&lt;=1000, 35, F115*0.035)))),
0)))</f>
        <v>0</v>
      </c>
      <c r="H115" s="159">
        <f>IF(I115="مخالفات",50,Basic3456789101112131415161718[[#This Row],[قيمة الرسوم / العموله]]+Basic3456789101112131415161718[[#This Row],[قيمة الشحنه]])</f>
        <v>0</v>
      </c>
      <c r="I115" s="90"/>
      <c r="J115" s="142" t="str">
        <f t="shared" si="1"/>
        <v>15.5.2026</v>
      </c>
      <c r="L115" s="153">
        <v>104</v>
      </c>
      <c r="M115" s="92"/>
    </row>
    <row r="116" spans="1:13" ht="21.6" x14ac:dyDescent="0.65">
      <c r="A116" s="195"/>
      <c r="B116" s="140">
        <v>113</v>
      </c>
      <c r="C116" s="2"/>
      <c r="D116" s="1"/>
      <c r="E116" s="3"/>
      <c r="F116" s="1"/>
      <c r="G116" s="141">
        <f>IF(Basic3456789101112131415161718[[#This Row],[نوع الخدمة]]="مخالفات", 50,
IF(Basic3456789101112131415161718[[#This Row],[نوع الخدمة]]="كاش ان",
    IF(F116&lt;=100, 18, IF(F116&lt;=250, 23, IF(F116&lt;=500, 35, IF(F116&lt;=1000, 40, F116*0.04)))),
IF(Basic3456789101112131415161718[[#This Row],[نوع الخدمة]]="كاش اوت",
    IF(F116&lt;=100, 15, IF(F116&lt;=250, 20, IF(F116&lt;=500, 30, IF(F116&lt;=1000, 35, F116*0.035)))),
0)))</f>
        <v>0</v>
      </c>
      <c r="H116" s="159">
        <f>IF(I116="مخالفات",50,Basic3456789101112131415161718[[#This Row],[قيمة الرسوم / العموله]]+Basic3456789101112131415161718[[#This Row],[قيمة الشحنه]])</f>
        <v>0</v>
      </c>
      <c r="I116" s="90"/>
      <c r="J116" s="142" t="str">
        <f t="shared" si="1"/>
        <v>15.5.2026</v>
      </c>
      <c r="L116" s="153">
        <v>105</v>
      </c>
      <c r="M116" s="92"/>
    </row>
    <row r="117" spans="1:13" ht="21.6" x14ac:dyDescent="0.65">
      <c r="A117" s="195"/>
      <c r="B117" s="144">
        <v>114</v>
      </c>
      <c r="C117" s="2"/>
      <c r="D117" s="1"/>
      <c r="E117" s="3"/>
      <c r="F117" s="1"/>
      <c r="G117" s="141">
        <f>IF(Basic3456789101112131415161718[[#This Row],[نوع الخدمة]]="مخالفات", 50,
IF(Basic3456789101112131415161718[[#This Row],[نوع الخدمة]]="كاش ان",
    IF(F117&lt;=100, 18, IF(F117&lt;=250, 23, IF(F117&lt;=500, 35, IF(F117&lt;=1000, 40, F117*0.04)))),
IF(Basic3456789101112131415161718[[#This Row],[نوع الخدمة]]="كاش اوت",
    IF(F117&lt;=100, 15, IF(F117&lt;=250, 20, IF(F117&lt;=500, 30, IF(F117&lt;=1000, 35, F117*0.035)))),
0)))</f>
        <v>0</v>
      </c>
      <c r="H117" s="159">
        <f>IF(I117="مخالفات",50,Basic3456789101112131415161718[[#This Row],[قيمة الرسوم / العموله]]+Basic3456789101112131415161718[[#This Row],[قيمة الشحنه]])</f>
        <v>0</v>
      </c>
      <c r="I117" s="90"/>
      <c r="J117" s="142" t="str">
        <f t="shared" si="1"/>
        <v>15.5.2026</v>
      </c>
      <c r="L117" s="153">
        <v>106</v>
      </c>
      <c r="M117" s="92"/>
    </row>
    <row r="118" spans="1:13" ht="21.6" x14ac:dyDescent="0.65">
      <c r="A118" s="195"/>
      <c r="B118" s="140">
        <v>115</v>
      </c>
      <c r="C118" s="2"/>
      <c r="D118" s="1"/>
      <c r="E118" s="3"/>
      <c r="F118" s="1"/>
      <c r="G118" s="141">
        <f>IF(Basic3456789101112131415161718[[#This Row],[نوع الخدمة]]="مخالفات", 50,
IF(Basic3456789101112131415161718[[#This Row],[نوع الخدمة]]="كاش ان",
    IF(F118&lt;=100, 18, IF(F118&lt;=250, 23, IF(F118&lt;=500, 35, IF(F118&lt;=1000, 40, F118*0.04)))),
IF(Basic3456789101112131415161718[[#This Row],[نوع الخدمة]]="كاش اوت",
    IF(F118&lt;=100, 15, IF(F118&lt;=250, 20, IF(F118&lt;=500, 30, IF(F118&lt;=1000, 35, F118*0.035)))),
0)))</f>
        <v>0</v>
      </c>
      <c r="H118" s="159">
        <f>IF(I118="مخالفات",50,Basic3456789101112131415161718[[#This Row],[قيمة الرسوم / العموله]]+Basic3456789101112131415161718[[#This Row],[قيمة الشحنه]])</f>
        <v>0</v>
      </c>
      <c r="I118" s="90"/>
      <c r="J118" s="142" t="str">
        <f t="shared" si="1"/>
        <v>15.5.2026</v>
      </c>
      <c r="L118" s="153">
        <v>107</v>
      </c>
      <c r="M118" s="92"/>
    </row>
    <row r="119" spans="1:13" ht="21.6" x14ac:dyDescent="0.65">
      <c r="A119" s="195"/>
      <c r="B119" s="140">
        <v>116</v>
      </c>
      <c r="C119" s="2"/>
      <c r="D119" s="1"/>
      <c r="E119" s="3"/>
      <c r="F119" s="1"/>
      <c r="G119" s="141">
        <f>IF(Basic3456789101112131415161718[[#This Row],[نوع الخدمة]]="مخالفات", 50,
IF(Basic3456789101112131415161718[[#This Row],[نوع الخدمة]]="كاش ان",
    IF(F119&lt;=100, 18, IF(F119&lt;=250, 23, IF(F119&lt;=500, 35, IF(F119&lt;=1000, 40, F119*0.04)))),
IF(Basic3456789101112131415161718[[#This Row],[نوع الخدمة]]="كاش اوت",
    IF(F119&lt;=100, 15, IF(F119&lt;=250, 20, IF(F119&lt;=500, 30, IF(F119&lt;=1000, 35, F119*0.035)))),
0)))</f>
        <v>0</v>
      </c>
      <c r="H119" s="159">
        <f>IF(I119="مخالفات",50,Basic3456789101112131415161718[[#This Row],[قيمة الرسوم / العموله]]+Basic3456789101112131415161718[[#This Row],[قيمة الشحنه]])</f>
        <v>0</v>
      </c>
      <c r="I119" s="90"/>
      <c r="J119" s="142" t="str">
        <f t="shared" si="1"/>
        <v>15.5.2026</v>
      </c>
      <c r="L119" s="153">
        <v>108</v>
      </c>
      <c r="M119" s="92"/>
    </row>
    <row r="120" spans="1:13" ht="21.6" x14ac:dyDescent="0.65">
      <c r="A120" s="195"/>
      <c r="B120" s="140">
        <v>117</v>
      </c>
      <c r="C120" s="2"/>
      <c r="D120" s="1"/>
      <c r="E120" s="3"/>
      <c r="F120" s="1"/>
      <c r="G120" s="141">
        <f>IF(Basic3456789101112131415161718[[#This Row],[نوع الخدمة]]="مخالفات", 50,
IF(Basic3456789101112131415161718[[#This Row],[نوع الخدمة]]="كاش ان",
    IF(F120&lt;=100, 18, IF(F120&lt;=250, 23, IF(F120&lt;=500, 35, IF(F120&lt;=1000, 40, F120*0.04)))),
IF(Basic3456789101112131415161718[[#This Row],[نوع الخدمة]]="كاش اوت",
    IF(F120&lt;=100, 15, IF(F120&lt;=250, 20, IF(F120&lt;=500, 30, IF(F120&lt;=1000, 35, F120*0.035)))),
0)))</f>
        <v>0</v>
      </c>
      <c r="H120" s="159">
        <f>IF(I120="مخالفات",50,Basic3456789101112131415161718[[#This Row],[قيمة الرسوم / العموله]]+Basic3456789101112131415161718[[#This Row],[قيمة الشحنه]])</f>
        <v>0</v>
      </c>
      <c r="I120" s="90"/>
      <c r="J120" s="142" t="str">
        <f t="shared" si="1"/>
        <v>15.5.2026</v>
      </c>
      <c r="L120" s="153">
        <v>109</v>
      </c>
      <c r="M120" s="92"/>
    </row>
    <row r="121" spans="1:13" ht="21.6" x14ac:dyDescent="0.65">
      <c r="A121" s="195"/>
      <c r="B121" s="144">
        <v>118</v>
      </c>
      <c r="C121" s="2"/>
      <c r="D121" s="1"/>
      <c r="E121" s="3"/>
      <c r="F121" s="1"/>
      <c r="G121" s="141">
        <f>IF(Basic3456789101112131415161718[[#This Row],[نوع الخدمة]]="مخالفات", 50,
IF(Basic3456789101112131415161718[[#This Row],[نوع الخدمة]]="كاش ان",
    IF(F121&lt;=100, 18, IF(F121&lt;=250, 23, IF(F121&lt;=500, 35, IF(F121&lt;=1000, 40, F121*0.04)))),
IF(Basic3456789101112131415161718[[#This Row],[نوع الخدمة]]="كاش اوت",
    IF(F121&lt;=100, 15, IF(F121&lt;=250, 20, IF(F121&lt;=500, 30, IF(F121&lt;=1000, 35, F121*0.035)))),
0)))</f>
        <v>0</v>
      </c>
      <c r="H121" s="159">
        <f>IF(I121="مخالفات",50,Basic3456789101112131415161718[[#This Row],[قيمة الرسوم / العموله]]+Basic3456789101112131415161718[[#This Row],[قيمة الشحنه]])</f>
        <v>0</v>
      </c>
      <c r="I121" s="90"/>
      <c r="J121" s="142" t="str">
        <f t="shared" si="1"/>
        <v>15.5.2026</v>
      </c>
      <c r="L121" s="153">
        <v>110</v>
      </c>
      <c r="M121" s="92"/>
    </row>
    <row r="122" spans="1:13" ht="21.6" x14ac:dyDescent="0.65">
      <c r="A122" s="195"/>
      <c r="B122" s="140">
        <v>119</v>
      </c>
      <c r="C122" s="2"/>
      <c r="D122" s="1"/>
      <c r="E122" s="3"/>
      <c r="F122" s="1"/>
      <c r="G122" s="141">
        <f>IF(Basic3456789101112131415161718[[#This Row],[نوع الخدمة]]="مخالفات", 50,
IF(Basic3456789101112131415161718[[#This Row],[نوع الخدمة]]="كاش ان",
    IF(F122&lt;=100, 18, IF(F122&lt;=250, 23, IF(F122&lt;=500, 35, IF(F122&lt;=1000, 40, F122*0.04)))),
IF(Basic3456789101112131415161718[[#This Row],[نوع الخدمة]]="كاش اوت",
    IF(F122&lt;=100, 15, IF(F122&lt;=250, 20, IF(F122&lt;=500, 30, IF(F122&lt;=1000, 35, F122*0.035)))),
0)))</f>
        <v>0</v>
      </c>
      <c r="H122" s="159">
        <f>IF(I122="مخالفات",50,Basic3456789101112131415161718[[#This Row],[قيمة الرسوم / العموله]]+Basic3456789101112131415161718[[#This Row],[قيمة الشحنه]])</f>
        <v>0</v>
      </c>
      <c r="I122" s="90"/>
      <c r="J122" s="142" t="str">
        <f t="shared" si="1"/>
        <v>15.5.2026</v>
      </c>
      <c r="L122" s="153">
        <v>111</v>
      </c>
      <c r="M122" s="92"/>
    </row>
    <row r="123" spans="1:13" ht="21.6" x14ac:dyDescent="0.65">
      <c r="A123" s="195"/>
      <c r="B123" s="140">
        <v>120</v>
      </c>
      <c r="C123" s="2"/>
      <c r="D123" s="1"/>
      <c r="E123" s="3"/>
      <c r="F123" s="1"/>
      <c r="G123" s="141">
        <f>IF(Basic3456789101112131415161718[[#This Row],[نوع الخدمة]]="مخالفات", 50,
IF(Basic3456789101112131415161718[[#This Row],[نوع الخدمة]]="كاش ان",
    IF(F123&lt;=100, 18, IF(F123&lt;=250, 23, IF(F123&lt;=500, 35, IF(F123&lt;=1000, 40, F123*0.04)))),
IF(Basic3456789101112131415161718[[#This Row],[نوع الخدمة]]="كاش اوت",
    IF(F123&lt;=100, 15, IF(F123&lt;=250, 20, IF(F123&lt;=500, 30, IF(F123&lt;=1000, 35, F123*0.035)))),
0)))</f>
        <v>0</v>
      </c>
      <c r="H123" s="159">
        <f>IF(I123="مخالفات",50,Basic3456789101112131415161718[[#This Row],[قيمة الرسوم / العموله]]+Basic3456789101112131415161718[[#This Row],[قيمة الشحنه]])</f>
        <v>0</v>
      </c>
      <c r="I123" s="90"/>
      <c r="J123" s="142" t="str">
        <f t="shared" si="1"/>
        <v>15.5.2026</v>
      </c>
      <c r="L123" s="153">
        <v>112</v>
      </c>
      <c r="M123" s="92"/>
    </row>
    <row r="124" spans="1:13" ht="21.6" x14ac:dyDescent="0.65">
      <c r="A124" s="195"/>
      <c r="B124" s="140">
        <v>121</v>
      </c>
      <c r="C124" s="2"/>
      <c r="D124" s="1"/>
      <c r="E124" s="3"/>
      <c r="F124" s="1"/>
      <c r="G124" s="141">
        <f>IF(Basic3456789101112131415161718[[#This Row],[نوع الخدمة]]="مخالفات", 50,
IF(Basic3456789101112131415161718[[#This Row],[نوع الخدمة]]="كاش ان",
    IF(F124&lt;=100, 18, IF(F124&lt;=250, 23, IF(F124&lt;=500, 35, IF(F124&lt;=1000, 40, F124*0.04)))),
IF(Basic3456789101112131415161718[[#This Row],[نوع الخدمة]]="كاش اوت",
    IF(F124&lt;=100, 15, IF(F124&lt;=250, 20, IF(F124&lt;=500, 30, IF(F124&lt;=1000, 35, F124*0.035)))),
0)))</f>
        <v>0</v>
      </c>
      <c r="H124" s="159">
        <f>IF(I124="مخالفات",50,Basic3456789101112131415161718[[#This Row],[قيمة الرسوم / العموله]]+Basic3456789101112131415161718[[#This Row],[قيمة الشحنه]])</f>
        <v>0</v>
      </c>
      <c r="I124" s="90"/>
      <c r="J124" s="142" t="str">
        <f t="shared" si="1"/>
        <v>15.5.2026</v>
      </c>
      <c r="L124" s="153">
        <v>113</v>
      </c>
      <c r="M124" s="92"/>
    </row>
    <row r="125" spans="1:13" ht="21.6" x14ac:dyDescent="0.65">
      <c r="A125" s="195"/>
      <c r="B125" s="144">
        <v>122</v>
      </c>
      <c r="C125" s="2"/>
      <c r="D125" s="1"/>
      <c r="E125" s="3"/>
      <c r="F125" s="1"/>
      <c r="G125" s="141">
        <f>IF(Basic3456789101112131415161718[[#This Row],[نوع الخدمة]]="مخالفات", 50,
IF(Basic3456789101112131415161718[[#This Row],[نوع الخدمة]]="كاش ان",
    IF(F125&lt;=100, 18, IF(F125&lt;=250, 23, IF(F125&lt;=500, 35, IF(F125&lt;=1000, 40, F125*0.04)))),
IF(Basic3456789101112131415161718[[#This Row],[نوع الخدمة]]="كاش اوت",
    IF(F125&lt;=100, 15, IF(F125&lt;=250, 20, IF(F125&lt;=500, 30, IF(F125&lt;=1000, 35, F125*0.035)))),
0)))</f>
        <v>0</v>
      </c>
      <c r="H125" s="159">
        <f>IF(I125="مخالفات",50,Basic3456789101112131415161718[[#This Row],[قيمة الرسوم / العموله]]+Basic3456789101112131415161718[[#This Row],[قيمة الشحنه]])</f>
        <v>0</v>
      </c>
      <c r="I125" s="90"/>
      <c r="J125" s="142" t="str">
        <f t="shared" si="1"/>
        <v>15.5.2026</v>
      </c>
      <c r="L125" s="153">
        <v>114</v>
      </c>
      <c r="M125" s="92"/>
    </row>
    <row r="126" spans="1:13" ht="21.6" x14ac:dyDescent="0.65">
      <c r="A126" s="195"/>
      <c r="B126" s="140">
        <v>123</v>
      </c>
      <c r="C126" s="2"/>
      <c r="D126" s="1"/>
      <c r="E126" s="3"/>
      <c r="F126" s="1"/>
      <c r="G126" s="141">
        <f>IF(Basic3456789101112131415161718[[#This Row],[نوع الخدمة]]="مخالفات", 50,
IF(Basic3456789101112131415161718[[#This Row],[نوع الخدمة]]="كاش ان",
    IF(F126&lt;=100, 18, IF(F126&lt;=250, 23, IF(F126&lt;=500, 35, IF(F126&lt;=1000, 40, F126*0.04)))),
IF(Basic3456789101112131415161718[[#This Row],[نوع الخدمة]]="كاش اوت",
    IF(F126&lt;=100, 15, IF(F126&lt;=250, 20, IF(F126&lt;=500, 30, IF(F126&lt;=1000, 35, F126*0.035)))),
0)))</f>
        <v>0</v>
      </c>
      <c r="H126" s="159">
        <f>IF(I126="مخالفات",50,Basic3456789101112131415161718[[#This Row],[قيمة الرسوم / العموله]]+Basic3456789101112131415161718[[#This Row],[قيمة الشحنه]])</f>
        <v>0</v>
      </c>
      <c r="I126" s="90"/>
      <c r="J126" s="142" t="str">
        <f t="shared" si="1"/>
        <v>15.5.2026</v>
      </c>
      <c r="L126" s="153">
        <v>115</v>
      </c>
      <c r="M126" s="92"/>
    </row>
    <row r="127" spans="1:13" ht="21.6" x14ac:dyDescent="0.65">
      <c r="A127" s="195"/>
      <c r="B127" s="140">
        <v>124</v>
      </c>
      <c r="C127" s="2"/>
      <c r="D127" s="1"/>
      <c r="E127" s="3"/>
      <c r="F127" s="1"/>
      <c r="G127" s="141">
        <f>IF(Basic3456789101112131415161718[[#This Row],[نوع الخدمة]]="مخالفات", 50,
IF(Basic3456789101112131415161718[[#This Row],[نوع الخدمة]]="كاش ان",
    IF(F127&lt;=100, 18, IF(F127&lt;=250, 23, IF(F127&lt;=500, 35, IF(F127&lt;=1000, 40, F127*0.04)))),
IF(Basic3456789101112131415161718[[#This Row],[نوع الخدمة]]="كاش اوت",
    IF(F127&lt;=100, 15, IF(F127&lt;=250, 20, IF(F127&lt;=500, 30, IF(F127&lt;=1000, 35, F127*0.035)))),
0)))</f>
        <v>0</v>
      </c>
      <c r="H127" s="159">
        <f>IF(I127="مخالفات",50,Basic3456789101112131415161718[[#This Row],[قيمة الرسوم / العموله]]+Basic3456789101112131415161718[[#This Row],[قيمة الشحنه]])</f>
        <v>0</v>
      </c>
      <c r="I127" s="90"/>
      <c r="J127" s="142" t="str">
        <f t="shared" si="1"/>
        <v>15.5.2026</v>
      </c>
      <c r="L127" s="153">
        <v>116</v>
      </c>
      <c r="M127" s="92"/>
    </row>
    <row r="128" spans="1:13" ht="21.6" x14ac:dyDescent="0.65">
      <c r="A128" s="195"/>
      <c r="B128" s="140">
        <v>125</v>
      </c>
      <c r="C128" s="2"/>
      <c r="D128" s="1"/>
      <c r="E128" s="3"/>
      <c r="F128" s="1"/>
      <c r="G128" s="141">
        <f>IF(Basic3456789101112131415161718[[#This Row],[نوع الخدمة]]="مخالفات", 50,
IF(Basic3456789101112131415161718[[#This Row],[نوع الخدمة]]="كاش ان",
    IF(F128&lt;=100, 18, IF(F128&lt;=250, 23, IF(F128&lt;=500, 35, IF(F128&lt;=1000, 40, F128*0.04)))),
IF(Basic3456789101112131415161718[[#This Row],[نوع الخدمة]]="كاش اوت",
    IF(F128&lt;=100, 15, IF(F128&lt;=250, 20, IF(F128&lt;=500, 30, IF(F128&lt;=1000, 35, F128*0.035)))),
0)))</f>
        <v>0</v>
      </c>
      <c r="H128" s="159">
        <f>IF(I128="مخالفات",50,Basic3456789101112131415161718[[#This Row],[قيمة الرسوم / العموله]]+Basic3456789101112131415161718[[#This Row],[قيمة الشحنه]])</f>
        <v>0</v>
      </c>
      <c r="I128" s="90"/>
      <c r="J128" s="142" t="str">
        <f t="shared" si="1"/>
        <v>15.5.2026</v>
      </c>
      <c r="L128" s="153">
        <v>117</v>
      </c>
      <c r="M128" s="92"/>
    </row>
    <row r="129" spans="1:13" ht="21.6" x14ac:dyDescent="0.65">
      <c r="A129" s="195"/>
      <c r="B129" s="144">
        <v>126</v>
      </c>
      <c r="C129" s="2"/>
      <c r="D129" s="1"/>
      <c r="E129" s="3"/>
      <c r="F129" s="1"/>
      <c r="G129" s="141">
        <f>IF(Basic3456789101112131415161718[[#This Row],[نوع الخدمة]]="مخالفات", 50,
IF(Basic3456789101112131415161718[[#This Row],[نوع الخدمة]]="كاش ان",
    IF(F129&lt;=100, 18, IF(F129&lt;=250, 23, IF(F129&lt;=500, 35, IF(F129&lt;=1000, 40, F129*0.04)))),
IF(Basic3456789101112131415161718[[#This Row],[نوع الخدمة]]="كاش اوت",
    IF(F129&lt;=100, 15, IF(F129&lt;=250, 20, IF(F129&lt;=500, 30, IF(F129&lt;=1000, 35, F129*0.035)))),
0)))</f>
        <v>0</v>
      </c>
      <c r="H129" s="159">
        <f>IF(I129="مخالفات",50,Basic3456789101112131415161718[[#This Row],[قيمة الرسوم / العموله]]+Basic3456789101112131415161718[[#This Row],[قيمة الشحنه]])</f>
        <v>0</v>
      </c>
      <c r="I129" s="90"/>
      <c r="J129" s="142" t="str">
        <f t="shared" si="1"/>
        <v>15.5.2026</v>
      </c>
      <c r="L129" s="153">
        <v>118</v>
      </c>
      <c r="M129" s="92"/>
    </row>
    <row r="130" spans="1:13" ht="21.6" x14ac:dyDescent="0.65">
      <c r="A130" s="195"/>
      <c r="B130" s="140">
        <v>127</v>
      </c>
      <c r="C130" s="2"/>
      <c r="D130" s="1"/>
      <c r="E130" s="3"/>
      <c r="F130" s="1"/>
      <c r="G130" s="141">
        <f>IF(Basic3456789101112131415161718[[#This Row],[نوع الخدمة]]="مخالفات", 50,
IF(Basic3456789101112131415161718[[#This Row],[نوع الخدمة]]="كاش ان",
    IF(F130&lt;=100, 18, IF(F130&lt;=250, 23, IF(F130&lt;=500, 35, IF(F130&lt;=1000, 40, F130*0.04)))),
IF(Basic3456789101112131415161718[[#This Row],[نوع الخدمة]]="كاش اوت",
    IF(F130&lt;=100, 15, IF(F130&lt;=250, 20, IF(F130&lt;=500, 30, IF(F130&lt;=1000, 35, F130*0.035)))),
0)))</f>
        <v>0</v>
      </c>
      <c r="H130" s="159">
        <f>IF(I130="مخالفات",50,Basic3456789101112131415161718[[#This Row],[قيمة الرسوم / العموله]]+Basic3456789101112131415161718[[#This Row],[قيمة الشحنه]])</f>
        <v>0</v>
      </c>
      <c r="I130" s="90"/>
      <c r="J130" s="142" t="str">
        <f t="shared" si="1"/>
        <v>15.5.2026</v>
      </c>
      <c r="L130" s="153">
        <v>119</v>
      </c>
      <c r="M130" s="92"/>
    </row>
    <row r="131" spans="1:13" ht="21.6" x14ac:dyDescent="0.65">
      <c r="A131" s="195"/>
      <c r="B131" s="140">
        <v>128</v>
      </c>
      <c r="C131" s="2"/>
      <c r="D131" s="1"/>
      <c r="E131" s="3"/>
      <c r="F131" s="1"/>
      <c r="G131" s="141">
        <f>IF(Basic3456789101112131415161718[[#This Row],[نوع الخدمة]]="مخالفات", 50,
IF(Basic3456789101112131415161718[[#This Row],[نوع الخدمة]]="كاش ان",
    IF(F131&lt;=100, 18, IF(F131&lt;=250, 23, IF(F131&lt;=500, 35, IF(F131&lt;=1000, 40, F131*0.04)))),
IF(Basic3456789101112131415161718[[#This Row],[نوع الخدمة]]="كاش اوت",
    IF(F131&lt;=100, 15, IF(F131&lt;=250, 20, IF(F131&lt;=500, 30, IF(F131&lt;=1000, 35, F131*0.035)))),
0)))</f>
        <v>0</v>
      </c>
      <c r="H131" s="159">
        <f>IF(I131="مخالفات",50,Basic3456789101112131415161718[[#This Row],[قيمة الرسوم / العموله]]+Basic3456789101112131415161718[[#This Row],[قيمة الشحنه]])</f>
        <v>0</v>
      </c>
      <c r="I131" s="90"/>
      <c r="J131" s="142" t="str">
        <f t="shared" si="1"/>
        <v>15.5.2026</v>
      </c>
      <c r="L131" s="153">
        <v>120</v>
      </c>
      <c r="M131" s="92"/>
    </row>
    <row r="132" spans="1:13" ht="21.6" x14ac:dyDescent="0.65">
      <c r="A132" s="195"/>
      <c r="B132" s="140">
        <v>129</v>
      </c>
      <c r="C132" s="2"/>
      <c r="D132" s="1"/>
      <c r="E132" s="3"/>
      <c r="F132" s="1"/>
      <c r="G132" s="141">
        <f>IF(Basic3456789101112131415161718[[#This Row],[نوع الخدمة]]="مخالفات", 50,
IF(Basic3456789101112131415161718[[#This Row],[نوع الخدمة]]="كاش ان",
    IF(F132&lt;=100, 18, IF(F132&lt;=250, 23, IF(F132&lt;=500, 35, IF(F132&lt;=1000, 40, F132*0.04)))),
IF(Basic3456789101112131415161718[[#This Row],[نوع الخدمة]]="كاش اوت",
    IF(F132&lt;=100, 15, IF(F132&lt;=250, 20, IF(F132&lt;=500, 30, IF(F132&lt;=1000, 35, F132*0.035)))),
0)))</f>
        <v>0</v>
      </c>
      <c r="H132" s="159">
        <f>IF(I132="مخالفات",50,Basic3456789101112131415161718[[#This Row],[قيمة الرسوم / العموله]]+Basic3456789101112131415161718[[#This Row],[قيمة الشحنه]])</f>
        <v>0</v>
      </c>
      <c r="I132" s="90"/>
      <c r="J132" s="142" t="str">
        <f t="shared" ref="J132:J195" si="2">M$3</f>
        <v>15.5.2026</v>
      </c>
      <c r="L132" s="153">
        <v>121</v>
      </c>
      <c r="M132" s="92"/>
    </row>
    <row r="133" spans="1:13" ht="21.6" x14ac:dyDescent="0.65">
      <c r="A133" s="195"/>
      <c r="B133" s="144">
        <v>130</v>
      </c>
      <c r="C133" s="2"/>
      <c r="D133" s="1"/>
      <c r="E133" s="3"/>
      <c r="F133" s="1"/>
      <c r="G133" s="141">
        <f>IF(Basic3456789101112131415161718[[#This Row],[نوع الخدمة]]="مخالفات", 50,
IF(Basic3456789101112131415161718[[#This Row],[نوع الخدمة]]="كاش ان",
    IF(F133&lt;=100, 18, IF(F133&lt;=250, 23, IF(F133&lt;=500, 35, IF(F133&lt;=1000, 40, F133*0.04)))),
IF(Basic3456789101112131415161718[[#This Row],[نوع الخدمة]]="كاش اوت",
    IF(F133&lt;=100, 15, IF(F133&lt;=250, 20, IF(F133&lt;=500, 30, IF(F133&lt;=1000, 35, F133*0.035)))),
0)))</f>
        <v>0</v>
      </c>
      <c r="H133" s="159">
        <f>IF(I133="مخالفات",50,Basic3456789101112131415161718[[#This Row],[قيمة الرسوم / العموله]]+Basic3456789101112131415161718[[#This Row],[قيمة الشحنه]])</f>
        <v>0</v>
      </c>
      <c r="I133" s="90"/>
      <c r="J133" s="142" t="str">
        <f t="shared" si="2"/>
        <v>15.5.2026</v>
      </c>
      <c r="L133" s="153">
        <v>122</v>
      </c>
      <c r="M133" s="92"/>
    </row>
    <row r="134" spans="1:13" ht="21.6" x14ac:dyDescent="0.65">
      <c r="A134" s="195"/>
      <c r="B134" s="140">
        <v>131</v>
      </c>
      <c r="C134" s="2"/>
      <c r="D134" s="1"/>
      <c r="E134" s="3"/>
      <c r="F134" s="1"/>
      <c r="G134" s="141">
        <f>IF(Basic3456789101112131415161718[[#This Row],[نوع الخدمة]]="مخالفات", 50,
IF(Basic3456789101112131415161718[[#This Row],[نوع الخدمة]]="كاش ان",
    IF(F134&lt;=100, 18, IF(F134&lt;=250, 23, IF(F134&lt;=500, 35, IF(F134&lt;=1000, 40, F134*0.04)))),
IF(Basic3456789101112131415161718[[#This Row],[نوع الخدمة]]="كاش اوت",
    IF(F134&lt;=100, 15, IF(F134&lt;=250, 20, IF(F134&lt;=500, 30, IF(F134&lt;=1000, 35, F134*0.035)))),
0)))</f>
        <v>0</v>
      </c>
      <c r="H134" s="159">
        <f>IF(I134="مخالفات",50,Basic3456789101112131415161718[[#This Row],[قيمة الرسوم / العموله]]+Basic3456789101112131415161718[[#This Row],[قيمة الشحنه]])</f>
        <v>0</v>
      </c>
      <c r="I134" s="90"/>
      <c r="J134" s="142" t="str">
        <f t="shared" si="2"/>
        <v>15.5.2026</v>
      </c>
      <c r="L134" s="153">
        <v>123</v>
      </c>
      <c r="M134" s="92"/>
    </row>
    <row r="135" spans="1:13" ht="21.6" x14ac:dyDescent="0.65">
      <c r="A135" s="195"/>
      <c r="B135" s="140">
        <v>132</v>
      </c>
      <c r="C135" s="2"/>
      <c r="D135" s="1"/>
      <c r="E135" s="3"/>
      <c r="F135" s="1"/>
      <c r="G135" s="141">
        <f>IF(Basic3456789101112131415161718[[#This Row],[نوع الخدمة]]="مخالفات", 50,
IF(Basic3456789101112131415161718[[#This Row],[نوع الخدمة]]="كاش ان",
    IF(F135&lt;=100, 18, IF(F135&lt;=250, 23, IF(F135&lt;=500, 35, IF(F135&lt;=1000, 40, F135*0.04)))),
IF(Basic3456789101112131415161718[[#This Row],[نوع الخدمة]]="كاش اوت",
    IF(F135&lt;=100, 15, IF(F135&lt;=250, 20, IF(F135&lt;=500, 30, IF(F135&lt;=1000, 35, F135*0.035)))),
0)))</f>
        <v>0</v>
      </c>
      <c r="H135" s="159">
        <f>IF(I135="مخالفات",50,Basic3456789101112131415161718[[#This Row],[قيمة الرسوم / العموله]]+Basic3456789101112131415161718[[#This Row],[قيمة الشحنه]])</f>
        <v>0</v>
      </c>
      <c r="I135" s="90"/>
      <c r="J135" s="142" t="str">
        <f t="shared" si="2"/>
        <v>15.5.2026</v>
      </c>
      <c r="L135" s="153">
        <v>124</v>
      </c>
      <c r="M135" s="92"/>
    </row>
    <row r="136" spans="1:13" ht="21.6" x14ac:dyDescent="0.65">
      <c r="A136" s="195"/>
      <c r="B136" s="140">
        <v>133</v>
      </c>
      <c r="C136" s="2"/>
      <c r="D136" s="1"/>
      <c r="E136" s="3"/>
      <c r="F136" s="1"/>
      <c r="G136" s="141">
        <f>IF(Basic3456789101112131415161718[[#This Row],[نوع الخدمة]]="مخالفات", 50,
IF(Basic3456789101112131415161718[[#This Row],[نوع الخدمة]]="كاش ان",
    IF(F136&lt;=100, 18, IF(F136&lt;=250, 23, IF(F136&lt;=500, 35, IF(F136&lt;=1000, 40, F136*0.04)))),
IF(Basic3456789101112131415161718[[#This Row],[نوع الخدمة]]="كاش اوت",
    IF(F136&lt;=100, 15, IF(F136&lt;=250, 20, IF(F136&lt;=500, 30, IF(F136&lt;=1000, 35, F136*0.035)))),
0)))</f>
        <v>0</v>
      </c>
      <c r="H136" s="159">
        <f>IF(I136="مخالفات",50,Basic3456789101112131415161718[[#This Row],[قيمة الرسوم / العموله]]+Basic3456789101112131415161718[[#This Row],[قيمة الشحنه]])</f>
        <v>0</v>
      </c>
      <c r="I136" s="90"/>
      <c r="J136" s="142" t="str">
        <f t="shared" si="2"/>
        <v>15.5.2026</v>
      </c>
      <c r="L136" s="153">
        <v>125</v>
      </c>
      <c r="M136" s="92"/>
    </row>
    <row r="137" spans="1:13" ht="21.6" x14ac:dyDescent="0.65">
      <c r="A137" s="195"/>
      <c r="B137" s="144">
        <v>134</v>
      </c>
      <c r="C137" s="2"/>
      <c r="D137" s="1"/>
      <c r="E137" s="3"/>
      <c r="F137" s="1"/>
      <c r="G137" s="141">
        <f>IF(Basic3456789101112131415161718[[#This Row],[نوع الخدمة]]="مخالفات", 50,
IF(Basic3456789101112131415161718[[#This Row],[نوع الخدمة]]="كاش ان",
    IF(F137&lt;=100, 18, IF(F137&lt;=250, 23, IF(F137&lt;=500, 35, IF(F137&lt;=1000, 40, F137*0.04)))),
IF(Basic3456789101112131415161718[[#This Row],[نوع الخدمة]]="كاش اوت",
    IF(F137&lt;=100, 15, IF(F137&lt;=250, 20, IF(F137&lt;=500, 30, IF(F137&lt;=1000, 35, F137*0.035)))),
0)))</f>
        <v>0</v>
      </c>
      <c r="H137" s="159">
        <f>IF(I137="مخالفات",50,Basic3456789101112131415161718[[#This Row],[قيمة الرسوم / العموله]]+Basic3456789101112131415161718[[#This Row],[قيمة الشحنه]])</f>
        <v>0</v>
      </c>
      <c r="I137" s="90"/>
      <c r="J137" s="142" t="str">
        <f t="shared" si="2"/>
        <v>15.5.2026</v>
      </c>
      <c r="L137" s="153">
        <v>126</v>
      </c>
      <c r="M137" s="92"/>
    </row>
    <row r="138" spans="1:13" ht="21.6" x14ac:dyDescent="0.65">
      <c r="A138" s="195"/>
      <c r="B138" s="140">
        <v>135</v>
      </c>
      <c r="C138" s="2"/>
      <c r="D138" s="1"/>
      <c r="E138" s="3"/>
      <c r="F138" s="1"/>
      <c r="G138" s="141">
        <f>IF(Basic3456789101112131415161718[[#This Row],[نوع الخدمة]]="مخالفات", 50,
IF(Basic3456789101112131415161718[[#This Row],[نوع الخدمة]]="كاش ان",
    IF(F138&lt;=100, 18, IF(F138&lt;=250, 23, IF(F138&lt;=500, 35, IF(F138&lt;=1000, 40, F138*0.04)))),
IF(Basic3456789101112131415161718[[#This Row],[نوع الخدمة]]="كاش اوت",
    IF(F138&lt;=100, 15, IF(F138&lt;=250, 20, IF(F138&lt;=500, 30, IF(F138&lt;=1000, 35, F138*0.035)))),
0)))</f>
        <v>0</v>
      </c>
      <c r="H138" s="159">
        <f>IF(I138="مخالفات",50,Basic3456789101112131415161718[[#This Row],[قيمة الرسوم / العموله]]+Basic3456789101112131415161718[[#This Row],[قيمة الشحنه]])</f>
        <v>0</v>
      </c>
      <c r="I138" s="90"/>
      <c r="J138" s="142" t="str">
        <f t="shared" si="2"/>
        <v>15.5.2026</v>
      </c>
      <c r="L138" s="153">
        <v>127</v>
      </c>
      <c r="M138" s="92"/>
    </row>
    <row r="139" spans="1:13" ht="21.6" x14ac:dyDescent="0.65">
      <c r="A139" s="195"/>
      <c r="B139" s="140">
        <v>136</v>
      </c>
      <c r="C139" s="2"/>
      <c r="D139" s="1"/>
      <c r="E139" s="3"/>
      <c r="F139" s="1"/>
      <c r="G139" s="141">
        <f>IF(Basic3456789101112131415161718[[#This Row],[نوع الخدمة]]="مخالفات", 50,
IF(Basic3456789101112131415161718[[#This Row],[نوع الخدمة]]="كاش ان",
    IF(F139&lt;=100, 18, IF(F139&lt;=250, 23, IF(F139&lt;=500, 35, IF(F139&lt;=1000, 40, F139*0.04)))),
IF(Basic3456789101112131415161718[[#This Row],[نوع الخدمة]]="كاش اوت",
    IF(F139&lt;=100, 15, IF(F139&lt;=250, 20, IF(F139&lt;=500, 30, IF(F139&lt;=1000, 35, F139*0.035)))),
0)))</f>
        <v>0</v>
      </c>
      <c r="H139" s="159">
        <f>IF(I139="مخالفات",50,Basic3456789101112131415161718[[#This Row],[قيمة الرسوم / العموله]]+Basic3456789101112131415161718[[#This Row],[قيمة الشحنه]])</f>
        <v>0</v>
      </c>
      <c r="I139" s="90"/>
      <c r="J139" s="142" t="str">
        <f t="shared" si="2"/>
        <v>15.5.2026</v>
      </c>
      <c r="L139" s="153">
        <v>128</v>
      </c>
      <c r="M139" s="92"/>
    </row>
    <row r="140" spans="1:13" ht="21.6" x14ac:dyDescent="0.65">
      <c r="A140" s="195"/>
      <c r="B140" s="140">
        <v>137</v>
      </c>
      <c r="C140" s="2"/>
      <c r="D140" s="1"/>
      <c r="E140" s="3"/>
      <c r="F140" s="1"/>
      <c r="G140" s="141">
        <f>IF(Basic3456789101112131415161718[[#This Row],[نوع الخدمة]]="مخالفات", 50,
IF(Basic3456789101112131415161718[[#This Row],[نوع الخدمة]]="كاش ان",
    IF(F140&lt;=100, 18, IF(F140&lt;=250, 23, IF(F140&lt;=500, 35, IF(F140&lt;=1000, 40, F140*0.04)))),
IF(Basic3456789101112131415161718[[#This Row],[نوع الخدمة]]="كاش اوت",
    IF(F140&lt;=100, 15, IF(F140&lt;=250, 20, IF(F140&lt;=500, 30, IF(F140&lt;=1000, 35, F140*0.035)))),
0)))</f>
        <v>0</v>
      </c>
      <c r="H140" s="159">
        <f>IF(I140="مخالفات",50,Basic3456789101112131415161718[[#This Row],[قيمة الرسوم / العموله]]+Basic3456789101112131415161718[[#This Row],[قيمة الشحنه]])</f>
        <v>0</v>
      </c>
      <c r="I140" s="90"/>
      <c r="J140" s="142" t="str">
        <f t="shared" si="2"/>
        <v>15.5.2026</v>
      </c>
      <c r="L140" s="153">
        <v>129</v>
      </c>
      <c r="M140" s="92"/>
    </row>
    <row r="141" spans="1:13" ht="21.6" x14ac:dyDescent="0.65">
      <c r="A141" s="195"/>
      <c r="B141" s="144">
        <v>138</v>
      </c>
      <c r="C141" s="2"/>
      <c r="D141" s="1"/>
      <c r="E141" s="3"/>
      <c r="F141" s="1"/>
      <c r="G141" s="141">
        <f>IF(Basic3456789101112131415161718[[#This Row],[نوع الخدمة]]="مخالفات", 50,
IF(Basic3456789101112131415161718[[#This Row],[نوع الخدمة]]="كاش ان",
    IF(F141&lt;=100, 18, IF(F141&lt;=250, 23, IF(F141&lt;=500, 35, IF(F141&lt;=1000, 40, F141*0.04)))),
IF(Basic3456789101112131415161718[[#This Row],[نوع الخدمة]]="كاش اوت",
    IF(F141&lt;=100, 15, IF(F141&lt;=250, 20, IF(F141&lt;=500, 30, IF(F141&lt;=1000, 35, F141*0.035)))),
0)))</f>
        <v>0</v>
      </c>
      <c r="H141" s="159">
        <f>IF(I141="مخالفات",50,Basic3456789101112131415161718[[#This Row],[قيمة الرسوم / العموله]]+Basic3456789101112131415161718[[#This Row],[قيمة الشحنه]])</f>
        <v>0</v>
      </c>
      <c r="I141" s="90"/>
      <c r="J141" s="142" t="str">
        <f t="shared" si="2"/>
        <v>15.5.2026</v>
      </c>
      <c r="L141" s="153">
        <v>130</v>
      </c>
      <c r="M141" s="92"/>
    </row>
    <row r="142" spans="1:13" ht="21.6" x14ac:dyDescent="0.65">
      <c r="A142" s="195"/>
      <c r="B142" s="140">
        <v>139</v>
      </c>
      <c r="C142" s="2"/>
      <c r="D142" s="1"/>
      <c r="E142" s="3"/>
      <c r="F142" s="1"/>
      <c r="G142" s="141">
        <f>IF(Basic3456789101112131415161718[[#This Row],[نوع الخدمة]]="مخالفات", 50,
IF(Basic3456789101112131415161718[[#This Row],[نوع الخدمة]]="كاش ان",
    IF(F142&lt;=100, 18, IF(F142&lt;=250, 23, IF(F142&lt;=500, 35, IF(F142&lt;=1000, 40, F142*0.04)))),
IF(Basic3456789101112131415161718[[#This Row],[نوع الخدمة]]="كاش اوت",
    IF(F142&lt;=100, 15, IF(F142&lt;=250, 20, IF(F142&lt;=500, 30, IF(F142&lt;=1000, 35, F142*0.035)))),
0)))</f>
        <v>0</v>
      </c>
      <c r="H142" s="159">
        <f>IF(I142="مخالفات",50,Basic3456789101112131415161718[[#This Row],[قيمة الرسوم / العموله]]+Basic3456789101112131415161718[[#This Row],[قيمة الشحنه]])</f>
        <v>0</v>
      </c>
      <c r="I142" s="90"/>
      <c r="J142" s="142" t="str">
        <f t="shared" si="2"/>
        <v>15.5.2026</v>
      </c>
      <c r="L142" s="153">
        <v>131</v>
      </c>
      <c r="M142" s="92"/>
    </row>
    <row r="143" spans="1:13" ht="21.6" x14ac:dyDescent="0.65">
      <c r="A143" s="195"/>
      <c r="B143" s="140">
        <v>140</v>
      </c>
      <c r="C143" s="2"/>
      <c r="D143" s="1"/>
      <c r="E143" s="3"/>
      <c r="F143" s="1"/>
      <c r="G143" s="141">
        <f>IF(Basic3456789101112131415161718[[#This Row],[نوع الخدمة]]="مخالفات", 50,
IF(Basic3456789101112131415161718[[#This Row],[نوع الخدمة]]="كاش ان",
    IF(F143&lt;=100, 18, IF(F143&lt;=250, 23, IF(F143&lt;=500, 35, IF(F143&lt;=1000, 40, F143*0.04)))),
IF(Basic3456789101112131415161718[[#This Row],[نوع الخدمة]]="كاش اوت",
    IF(F143&lt;=100, 15, IF(F143&lt;=250, 20, IF(F143&lt;=500, 30, IF(F143&lt;=1000, 35, F143*0.035)))),
0)))</f>
        <v>0</v>
      </c>
      <c r="H143" s="159">
        <f>IF(I143="مخالفات",50,Basic3456789101112131415161718[[#This Row],[قيمة الرسوم / العموله]]+Basic3456789101112131415161718[[#This Row],[قيمة الشحنه]])</f>
        <v>0</v>
      </c>
      <c r="I143" s="90"/>
      <c r="J143" s="142" t="str">
        <f t="shared" si="2"/>
        <v>15.5.2026</v>
      </c>
      <c r="L143" s="153">
        <v>132</v>
      </c>
      <c r="M143" s="92"/>
    </row>
    <row r="144" spans="1:13" ht="21.6" x14ac:dyDescent="0.65">
      <c r="A144" s="195"/>
      <c r="B144" s="140">
        <v>141</v>
      </c>
      <c r="C144" s="2"/>
      <c r="D144" s="1"/>
      <c r="E144" s="3"/>
      <c r="F144" s="1"/>
      <c r="G144" s="141">
        <f>IF(Basic3456789101112131415161718[[#This Row],[نوع الخدمة]]="مخالفات", 50,
IF(Basic3456789101112131415161718[[#This Row],[نوع الخدمة]]="كاش ان",
    IF(F144&lt;=100, 18, IF(F144&lt;=250, 23, IF(F144&lt;=500, 35, IF(F144&lt;=1000, 40, F144*0.04)))),
IF(Basic3456789101112131415161718[[#This Row],[نوع الخدمة]]="كاش اوت",
    IF(F144&lt;=100, 15, IF(F144&lt;=250, 20, IF(F144&lt;=500, 30, IF(F144&lt;=1000, 35, F144*0.035)))),
0)))</f>
        <v>0</v>
      </c>
      <c r="H144" s="159">
        <f>IF(I144="مخالفات",50,Basic3456789101112131415161718[[#This Row],[قيمة الرسوم / العموله]]+Basic3456789101112131415161718[[#This Row],[قيمة الشحنه]])</f>
        <v>0</v>
      </c>
      <c r="I144" s="90"/>
      <c r="J144" s="142" t="str">
        <f t="shared" si="2"/>
        <v>15.5.2026</v>
      </c>
      <c r="L144" s="153">
        <v>133</v>
      </c>
      <c r="M144" s="92"/>
    </row>
    <row r="145" spans="1:13" ht="21.6" x14ac:dyDescent="0.65">
      <c r="A145" s="195"/>
      <c r="B145" s="144">
        <v>142</v>
      </c>
      <c r="C145" s="2"/>
      <c r="D145" s="1"/>
      <c r="E145" s="3"/>
      <c r="F145" s="1"/>
      <c r="G145" s="141">
        <f>IF(Basic3456789101112131415161718[[#This Row],[نوع الخدمة]]="مخالفات", 50,
IF(Basic3456789101112131415161718[[#This Row],[نوع الخدمة]]="كاش ان",
    IF(F145&lt;=100, 18, IF(F145&lt;=250, 23, IF(F145&lt;=500, 35, IF(F145&lt;=1000, 40, F145*0.04)))),
IF(Basic3456789101112131415161718[[#This Row],[نوع الخدمة]]="كاش اوت",
    IF(F145&lt;=100, 15, IF(F145&lt;=250, 20, IF(F145&lt;=500, 30, IF(F145&lt;=1000, 35, F145*0.035)))),
0)))</f>
        <v>0</v>
      </c>
      <c r="H145" s="159">
        <f>IF(I145="مخالفات",50,Basic3456789101112131415161718[[#This Row],[قيمة الرسوم / العموله]]+Basic3456789101112131415161718[[#This Row],[قيمة الشحنه]])</f>
        <v>0</v>
      </c>
      <c r="I145" s="90"/>
      <c r="J145" s="142" t="str">
        <f t="shared" si="2"/>
        <v>15.5.2026</v>
      </c>
      <c r="L145" s="153">
        <v>134</v>
      </c>
      <c r="M145" s="92"/>
    </row>
    <row r="146" spans="1:13" ht="21.6" x14ac:dyDescent="0.65">
      <c r="A146" s="195"/>
      <c r="B146" s="140">
        <v>143</v>
      </c>
      <c r="C146" s="2"/>
      <c r="D146" s="1"/>
      <c r="E146" s="3"/>
      <c r="F146" s="1"/>
      <c r="G146" s="141">
        <f>IF(Basic3456789101112131415161718[[#This Row],[نوع الخدمة]]="مخالفات", 50,
IF(Basic3456789101112131415161718[[#This Row],[نوع الخدمة]]="كاش ان",
    IF(F146&lt;=100, 18, IF(F146&lt;=250, 23, IF(F146&lt;=500, 35, IF(F146&lt;=1000, 40, F146*0.04)))),
IF(Basic3456789101112131415161718[[#This Row],[نوع الخدمة]]="كاش اوت",
    IF(F146&lt;=100, 15, IF(F146&lt;=250, 20, IF(F146&lt;=500, 30, IF(F146&lt;=1000, 35, F146*0.035)))),
0)))</f>
        <v>0</v>
      </c>
      <c r="H146" s="159">
        <f>IF(I146="مخالفات",50,Basic3456789101112131415161718[[#This Row],[قيمة الرسوم / العموله]]+Basic3456789101112131415161718[[#This Row],[قيمة الشحنه]])</f>
        <v>0</v>
      </c>
      <c r="I146" s="90"/>
      <c r="J146" s="142" t="str">
        <f t="shared" si="2"/>
        <v>15.5.2026</v>
      </c>
      <c r="L146" s="153">
        <v>135</v>
      </c>
      <c r="M146" s="92"/>
    </row>
    <row r="147" spans="1:13" ht="21.6" x14ac:dyDescent="0.65">
      <c r="A147" s="195"/>
      <c r="B147" s="140">
        <v>144</v>
      </c>
      <c r="C147" s="2"/>
      <c r="D147" s="1"/>
      <c r="E147" s="3"/>
      <c r="F147" s="1"/>
      <c r="G147" s="141">
        <f>IF(Basic3456789101112131415161718[[#This Row],[نوع الخدمة]]="مخالفات", 50,
IF(Basic3456789101112131415161718[[#This Row],[نوع الخدمة]]="كاش ان",
    IF(F147&lt;=100, 18, IF(F147&lt;=250, 23, IF(F147&lt;=500, 35, IF(F147&lt;=1000, 40, F147*0.04)))),
IF(Basic3456789101112131415161718[[#This Row],[نوع الخدمة]]="كاش اوت",
    IF(F147&lt;=100, 15, IF(F147&lt;=250, 20, IF(F147&lt;=500, 30, IF(F147&lt;=1000, 35, F147*0.035)))),
0)))</f>
        <v>0</v>
      </c>
      <c r="H147" s="159">
        <f>IF(I147="مخالفات",50,Basic3456789101112131415161718[[#This Row],[قيمة الرسوم / العموله]]+Basic3456789101112131415161718[[#This Row],[قيمة الشحنه]])</f>
        <v>0</v>
      </c>
      <c r="I147" s="90"/>
      <c r="J147" s="142" t="str">
        <f t="shared" si="2"/>
        <v>15.5.2026</v>
      </c>
      <c r="L147" s="153">
        <v>136</v>
      </c>
      <c r="M147" s="92"/>
    </row>
    <row r="148" spans="1:13" ht="21.6" x14ac:dyDescent="0.65">
      <c r="A148" s="195"/>
      <c r="B148" s="140">
        <v>145</v>
      </c>
      <c r="C148" s="2"/>
      <c r="D148" s="1"/>
      <c r="E148" s="3"/>
      <c r="F148" s="1"/>
      <c r="G148" s="141">
        <f>IF(Basic3456789101112131415161718[[#This Row],[نوع الخدمة]]="مخالفات", 50,
IF(Basic3456789101112131415161718[[#This Row],[نوع الخدمة]]="كاش ان",
    IF(F148&lt;=100, 18, IF(F148&lt;=250, 23, IF(F148&lt;=500, 35, IF(F148&lt;=1000, 40, F148*0.04)))),
IF(Basic3456789101112131415161718[[#This Row],[نوع الخدمة]]="كاش اوت",
    IF(F148&lt;=100, 15, IF(F148&lt;=250, 20, IF(F148&lt;=500, 30, IF(F148&lt;=1000, 35, F148*0.035)))),
0)))</f>
        <v>0</v>
      </c>
      <c r="H148" s="159">
        <f>IF(I148="مخالفات",50,Basic3456789101112131415161718[[#This Row],[قيمة الرسوم / العموله]]+Basic3456789101112131415161718[[#This Row],[قيمة الشحنه]])</f>
        <v>0</v>
      </c>
      <c r="I148" s="90"/>
      <c r="J148" s="142" t="str">
        <f t="shared" si="2"/>
        <v>15.5.2026</v>
      </c>
      <c r="L148" s="153">
        <v>137</v>
      </c>
      <c r="M148" s="92"/>
    </row>
    <row r="149" spans="1:13" ht="21.6" x14ac:dyDescent="0.65">
      <c r="A149" s="195"/>
      <c r="B149" s="144">
        <v>146</v>
      </c>
      <c r="C149" s="2"/>
      <c r="D149" s="1"/>
      <c r="E149" s="3"/>
      <c r="F149" s="1"/>
      <c r="G149" s="141">
        <f>IF(Basic3456789101112131415161718[[#This Row],[نوع الخدمة]]="مخالفات", 50,
IF(Basic3456789101112131415161718[[#This Row],[نوع الخدمة]]="كاش ان",
    IF(F149&lt;=100, 18, IF(F149&lt;=250, 23, IF(F149&lt;=500, 35, IF(F149&lt;=1000, 40, F149*0.04)))),
IF(Basic3456789101112131415161718[[#This Row],[نوع الخدمة]]="كاش اوت",
    IF(F149&lt;=100, 15, IF(F149&lt;=250, 20, IF(F149&lt;=500, 30, IF(F149&lt;=1000, 35, F149*0.035)))),
0)))</f>
        <v>0</v>
      </c>
      <c r="H149" s="159">
        <f>IF(I149="مخالفات",50,Basic3456789101112131415161718[[#This Row],[قيمة الرسوم / العموله]]+Basic3456789101112131415161718[[#This Row],[قيمة الشحنه]])</f>
        <v>0</v>
      </c>
      <c r="I149" s="90"/>
      <c r="J149" s="142" t="str">
        <f t="shared" si="2"/>
        <v>15.5.2026</v>
      </c>
      <c r="L149" s="153">
        <v>138</v>
      </c>
      <c r="M149" s="92"/>
    </row>
    <row r="150" spans="1:13" ht="21.6" x14ac:dyDescent="0.65">
      <c r="A150" s="195"/>
      <c r="B150" s="140">
        <v>147</v>
      </c>
      <c r="C150" s="2"/>
      <c r="D150" s="1"/>
      <c r="E150" s="3"/>
      <c r="F150" s="1"/>
      <c r="G150" s="141">
        <f>IF(Basic3456789101112131415161718[[#This Row],[نوع الخدمة]]="مخالفات", 50,
IF(Basic3456789101112131415161718[[#This Row],[نوع الخدمة]]="كاش ان",
    IF(F150&lt;=100, 18, IF(F150&lt;=250, 23, IF(F150&lt;=500, 35, IF(F150&lt;=1000, 40, F150*0.04)))),
IF(Basic3456789101112131415161718[[#This Row],[نوع الخدمة]]="كاش اوت",
    IF(F150&lt;=100, 15, IF(F150&lt;=250, 20, IF(F150&lt;=500, 30, IF(F150&lt;=1000, 35, F150*0.035)))),
0)))</f>
        <v>0</v>
      </c>
      <c r="H150" s="159">
        <f>IF(I150="مخالفات",50,Basic3456789101112131415161718[[#This Row],[قيمة الرسوم / العموله]]+Basic3456789101112131415161718[[#This Row],[قيمة الشحنه]])</f>
        <v>0</v>
      </c>
      <c r="I150" s="90"/>
      <c r="J150" s="142" t="str">
        <f t="shared" si="2"/>
        <v>15.5.2026</v>
      </c>
      <c r="L150" s="153">
        <v>139</v>
      </c>
      <c r="M150" s="92"/>
    </row>
    <row r="151" spans="1:13" ht="21.6" x14ac:dyDescent="0.65">
      <c r="A151" s="195"/>
      <c r="B151" s="140">
        <v>148</v>
      </c>
      <c r="C151" s="2"/>
      <c r="D151" s="1"/>
      <c r="E151" s="3"/>
      <c r="F151" s="1"/>
      <c r="G151" s="141">
        <f>IF(Basic3456789101112131415161718[[#This Row],[نوع الخدمة]]="مخالفات", 50,
IF(Basic3456789101112131415161718[[#This Row],[نوع الخدمة]]="كاش ان",
    IF(F151&lt;=100, 18, IF(F151&lt;=250, 23, IF(F151&lt;=500, 35, IF(F151&lt;=1000, 40, F151*0.04)))),
IF(Basic3456789101112131415161718[[#This Row],[نوع الخدمة]]="كاش اوت",
    IF(F151&lt;=100, 15, IF(F151&lt;=250, 20, IF(F151&lt;=500, 30, IF(F151&lt;=1000, 35, F151*0.035)))),
0)))</f>
        <v>0</v>
      </c>
      <c r="H151" s="159">
        <f>IF(I151="مخالفات",50,Basic3456789101112131415161718[[#This Row],[قيمة الرسوم / العموله]]+Basic3456789101112131415161718[[#This Row],[قيمة الشحنه]])</f>
        <v>0</v>
      </c>
      <c r="I151" s="90"/>
      <c r="J151" s="142" t="str">
        <f t="shared" si="2"/>
        <v>15.5.2026</v>
      </c>
      <c r="L151" s="153">
        <v>140</v>
      </c>
      <c r="M151" s="92"/>
    </row>
    <row r="152" spans="1:13" ht="21.6" x14ac:dyDescent="0.65">
      <c r="A152" s="195"/>
      <c r="B152" s="140">
        <v>149</v>
      </c>
      <c r="C152" s="2"/>
      <c r="D152" s="1"/>
      <c r="E152" s="3"/>
      <c r="F152" s="1"/>
      <c r="G152" s="141">
        <f>IF(Basic3456789101112131415161718[[#This Row],[نوع الخدمة]]="مخالفات", 50,
IF(Basic3456789101112131415161718[[#This Row],[نوع الخدمة]]="كاش ان",
    IF(F152&lt;=100, 18, IF(F152&lt;=250, 23, IF(F152&lt;=500, 35, IF(F152&lt;=1000, 40, F152*0.04)))),
IF(Basic3456789101112131415161718[[#This Row],[نوع الخدمة]]="كاش اوت",
    IF(F152&lt;=100, 15, IF(F152&lt;=250, 20, IF(F152&lt;=500, 30, IF(F152&lt;=1000, 35, F152*0.035)))),
0)))</f>
        <v>0</v>
      </c>
      <c r="H152" s="159">
        <f>IF(I152="مخالفات",50,Basic3456789101112131415161718[[#This Row],[قيمة الرسوم / العموله]]+Basic3456789101112131415161718[[#This Row],[قيمة الشحنه]])</f>
        <v>0</v>
      </c>
      <c r="I152" s="90"/>
      <c r="J152" s="142" t="str">
        <f t="shared" si="2"/>
        <v>15.5.2026</v>
      </c>
      <c r="L152" s="153">
        <v>141</v>
      </c>
      <c r="M152" s="92"/>
    </row>
    <row r="153" spans="1:13" ht="21.6" x14ac:dyDescent="0.65">
      <c r="A153" s="195"/>
      <c r="B153" s="144">
        <v>150</v>
      </c>
      <c r="C153" s="2"/>
      <c r="D153" s="1"/>
      <c r="E153" s="3"/>
      <c r="F153" s="1"/>
      <c r="G153" s="141">
        <f>IF(Basic3456789101112131415161718[[#This Row],[نوع الخدمة]]="مخالفات", 50,
IF(Basic3456789101112131415161718[[#This Row],[نوع الخدمة]]="كاش ان",
    IF(F153&lt;=100, 18, IF(F153&lt;=250, 23, IF(F153&lt;=500, 35, IF(F153&lt;=1000, 40, F153*0.04)))),
IF(Basic3456789101112131415161718[[#This Row],[نوع الخدمة]]="كاش اوت",
    IF(F153&lt;=100, 15, IF(F153&lt;=250, 20, IF(F153&lt;=500, 30, IF(F153&lt;=1000, 35, F153*0.035)))),
0)))</f>
        <v>0</v>
      </c>
      <c r="H153" s="159">
        <f>IF(I153="مخالفات",50,Basic3456789101112131415161718[[#This Row],[قيمة الرسوم / العموله]]+Basic3456789101112131415161718[[#This Row],[قيمة الشحنه]])</f>
        <v>0</v>
      </c>
      <c r="I153" s="90"/>
      <c r="J153" s="142" t="str">
        <f t="shared" si="2"/>
        <v>15.5.2026</v>
      </c>
      <c r="L153" s="153">
        <v>142</v>
      </c>
      <c r="M153" s="92"/>
    </row>
    <row r="154" spans="1:13" ht="21.6" x14ac:dyDescent="0.65">
      <c r="A154" s="195"/>
      <c r="B154" s="140">
        <v>151</v>
      </c>
      <c r="C154" s="2"/>
      <c r="D154" s="1"/>
      <c r="E154" s="3"/>
      <c r="F154" s="1"/>
      <c r="G154" s="141">
        <f>IF(Basic3456789101112131415161718[[#This Row],[نوع الخدمة]]="مخالفات", 50,
IF(Basic3456789101112131415161718[[#This Row],[نوع الخدمة]]="كاش ان",
    IF(F154&lt;=100, 18, IF(F154&lt;=250, 23, IF(F154&lt;=500, 35, IF(F154&lt;=1000, 40, F154*0.04)))),
IF(Basic3456789101112131415161718[[#This Row],[نوع الخدمة]]="كاش اوت",
    IF(F154&lt;=100, 15, IF(F154&lt;=250, 20, IF(F154&lt;=500, 30, IF(F154&lt;=1000, 35, F154*0.035)))),
0)))</f>
        <v>0</v>
      </c>
      <c r="H154" s="159">
        <f>IF(I154="مخالفات",50,Basic3456789101112131415161718[[#This Row],[قيمة الرسوم / العموله]]+Basic3456789101112131415161718[[#This Row],[قيمة الشحنه]])</f>
        <v>0</v>
      </c>
      <c r="I154" s="90"/>
      <c r="J154" s="142" t="str">
        <f t="shared" si="2"/>
        <v>15.5.2026</v>
      </c>
      <c r="L154" s="153">
        <v>143</v>
      </c>
      <c r="M154" s="92"/>
    </row>
    <row r="155" spans="1:13" ht="21.6" x14ac:dyDescent="0.65">
      <c r="A155" s="195"/>
      <c r="B155" s="140">
        <v>152</v>
      </c>
      <c r="C155" s="2"/>
      <c r="D155" s="1"/>
      <c r="E155" s="3"/>
      <c r="F155" s="1"/>
      <c r="G155" s="141">
        <f>IF(Basic3456789101112131415161718[[#This Row],[نوع الخدمة]]="مخالفات", 50,
IF(Basic3456789101112131415161718[[#This Row],[نوع الخدمة]]="كاش ان",
    IF(F155&lt;=100, 18, IF(F155&lt;=250, 23, IF(F155&lt;=500, 35, IF(F155&lt;=1000, 40, F155*0.04)))),
IF(Basic3456789101112131415161718[[#This Row],[نوع الخدمة]]="كاش اوت",
    IF(F155&lt;=100, 15, IF(F155&lt;=250, 20, IF(F155&lt;=500, 30, IF(F155&lt;=1000, 35, F155*0.035)))),
0)))</f>
        <v>0</v>
      </c>
      <c r="H155" s="159">
        <f>IF(I155="مخالفات",50,Basic3456789101112131415161718[[#This Row],[قيمة الرسوم / العموله]]+Basic3456789101112131415161718[[#This Row],[قيمة الشحنه]])</f>
        <v>0</v>
      </c>
      <c r="I155" s="90"/>
      <c r="J155" s="142" t="str">
        <f t="shared" si="2"/>
        <v>15.5.2026</v>
      </c>
      <c r="L155" s="153">
        <v>144</v>
      </c>
      <c r="M155" s="92"/>
    </row>
    <row r="156" spans="1:13" ht="21.6" x14ac:dyDescent="0.65">
      <c r="A156" s="195"/>
      <c r="B156" s="140">
        <v>153</v>
      </c>
      <c r="C156" s="2"/>
      <c r="D156" s="1"/>
      <c r="E156" s="3"/>
      <c r="F156" s="1"/>
      <c r="G156" s="141">
        <f>IF(Basic3456789101112131415161718[[#This Row],[نوع الخدمة]]="مخالفات", 50,
IF(Basic3456789101112131415161718[[#This Row],[نوع الخدمة]]="كاش ان",
    IF(F156&lt;=100, 18, IF(F156&lt;=250, 23, IF(F156&lt;=500, 35, IF(F156&lt;=1000, 40, F156*0.04)))),
IF(Basic3456789101112131415161718[[#This Row],[نوع الخدمة]]="كاش اوت",
    IF(F156&lt;=100, 15, IF(F156&lt;=250, 20, IF(F156&lt;=500, 30, IF(F156&lt;=1000, 35, F156*0.035)))),
0)))</f>
        <v>0</v>
      </c>
      <c r="H156" s="159">
        <f>IF(I156="مخالفات",50,Basic3456789101112131415161718[[#This Row],[قيمة الرسوم / العموله]]+Basic3456789101112131415161718[[#This Row],[قيمة الشحنه]])</f>
        <v>0</v>
      </c>
      <c r="I156" s="90"/>
      <c r="J156" s="142" t="str">
        <f t="shared" si="2"/>
        <v>15.5.2026</v>
      </c>
      <c r="L156" s="153">
        <v>145</v>
      </c>
      <c r="M156" s="92"/>
    </row>
    <row r="157" spans="1:13" ht="21.6" x14ac:dyDescent="0.65">
      <c r="A157" s="195"/>
      <c r="B157" s="144">
        <v>154</v>
      </c>
      <c r="C157" s="2"/>
      <c r="D157" s="1"/>
      <c r="E157" s="3"/>
      <c r="F157" s="1"/>
      <c r="G157" s="141">
        <f>IF(Basic3456789101112131415161718[[#This Row],[نوع الخدمة]]="مخالفات", 50,
IF(Basic3456789101112131415161718[[#This Row],[نوع الخدمة]]="كاش ان",
    IF(F157&lt;=100, 18, IF(F157&lt;=250, 23, IF(F157&lt;=500, 35, IF(F157&lt;=1000, 40, F157*0.04)))),
IF(Basic3456789101112131415161718[[#This Row],[نوع الخدمة]]="كاش اوت",
    IF(F157&lt;=100, 15, IF(F157&lt;=250, 20, IF(F157&lt;=500, 30, IF(F157&lt;=1000, 35, F157*0.035)))),
0)))</f>
        <v>0</v>
      </c>
      <c r="H157" s="159">
        <f>IF(I157="مخالفات",50,Basic3456789101112131415161718[[#This Row],[قيمة الرسوم / العموله]]+Basic3456789101112131415161718[[#This Row],[قيمة الشحنه]])</f>
        <v>0</v>
      </c>
      <c r="I157" s="90"/>
      <c r="J157" s="142" t="str">
        <f t="shared" si="2"/>
        <v>15.5.2026</v>
      </c>
      <c r="L157" s="153">
        <v>146</v>
      </c>
      <c r="M157" s="92"/>
    </row>
    <row r="158" spans="1:13" ht="21.6" x14ac:dyDescent="0.65">
      <c r="A158" s="195"/>
      <c r="B158" s="140">
        <v>155</v>
      </c>
      <c r="C158" s="2"/>
      <c r="D158" s="1"/>
      <c r="E158" s="3"/>
      <c r="F158" s="1"/>
      <c r="G158" s="141">
        <f>IF(Basic3456789101112131415161718[[#This Row],[نوع الخدمة]]="مخالفات", 50,
IF(Basic3456789101112131415161718[[#This Row],[نوع الخدمة]]="كاش ان",
    IF(F158&lt;=100, 18, IF(F158&lt;=250, 23, IF(F158&lt;=500, 35, IF(F158&lt;=1000, 40, F158*0.04)))),
IF(Basic3456789101112131415161718[[#This Row],[نوع الخدمة]]="كاش اوت",
    IF(F158&lt;=100, 15, IF(F158&lt;=250, 20, IF(F158&lt;=500, 30, IF(F158&lt;=1000, 35, F158*0.035)))),
0)))</f>
        <v>0</v>
      </c>
      <c r="H158" s="159">
        <f>IF(I158="مخالفات",50,Basic3456789101112131415161718[[#This Row],[قيمة الرسوم / العموله]]+Basic3456789101112131415161718[[#This Row],[قيمة الشحنه]])</f>
        <v>0</v>
      </c>
      <c r="I158" s="90"/>
      <c r="J158" s="142" t="str">
        <f t="shared" si="2"/>
        <v>15.5.2026</v>
      </c>
      <c r="L158" s="153">
        <v>147</v>
      </c>
      <c r="M158" s="92"/>
    </row>
    <row r="159" spans="1:13" ht="21.6" x14ac:dyDescent="0.65">
      <c r="A159" s="195"/>
      <c r="B159" s="140">
        <v>156</v>
      </c>
      <c r="C159" s="2"/>
      <c r="D159" s="1"/>
      <c r="E159" s="3"/>
      <c r="F159" s="1"/>
      <c r="G159" s="141">
        <f>IF(Basic3456789101112131415161718[[#This Row],[نوع الخدمة]]="مخالفات", 50,
IF(Basic3456789101112131415161718[[#This Row],[نوع الخدمة]]="كاش ان",
    IF(F159&lt;=100, 18, IF(F159&lt;=250, 23, IF(F159&lt;=500, 35, IF(F159&lt;=1000, 40, F159*0.04)))),
IF(Basic3456789101112131415161718[[#This Row],[نوع الخدمة]]="كاش اوت",
    IF(F159&lt;=100, 15, IF(F159&lt;=250, 20, IF(F159&lt;=500, 30, IF(F159&lt;=1000, 35, F159*0.035)))),
0)))</f>
        <v>0</v>
      </c>
      <c r="H159" s="159">
        <f>IF(I159="مخالفات",50,Basic3456789101112131415161718[[#This Row],[قيمة الرسوم / العموله]]+Basic3456789101112131415161718[[#This Row],[قيمة الشحنه]])</f>
        <v>0</v>
      </c>
      <c r="I159" s="90"/>
      <c r="J159" s="142" t="str">
        <f t="shared" si="2"/>
        <v>15.5.2026</v>
      </c>
      <c r="L159" s="153">
        <v>148</v>
      </c>
      <c r="M159" s="92"/>
    </row>
    <row r="160" spans="1:13" ht="21.6" x14ac:dyDescent="0.65">
      <c r="A160" s="195"/>
      <c r="B160" s="140">
        <v>157</v>
      </c>
      <c r="C160" s="2"/>
      <c r="D160" s="1"/>
      <c r="E160" s="3"/>
      <c r="F160" s="1"/>
      <c r="G160" s="141">
        <f>IF(Basic3456789101112131415161718[[#This Row],[نوع الخدمة]]="مخالفات", 50,
IF(Basic3456789101112131415161718[[#This Row],[نوع الخدمة]]="كاش ان",
    IF(F160&lt;=100, 18, IF(F160&lt;=250, 23, IF(F160&lt;=500, 35, IF(F160&lt;=1000, 40, F160*0.04)))),
IF(Basic3456789101112131415161718[[#This Row],[نوع الخدمة]]="كاش اوت",
    IF(F160&lt;=100, 15, IF(F160&lt;=250, 20, IF(F160&lt;=500, 30, IF(F160&lt;=1000, 35, F160*0.035)))),
0)))</f>
        <v>0</v>
      </c>
      <c r="H160" s="159">
        <f>IF(I160="مخالفات",50,Basic3456789101112131415161718[[#This Row],[قيمة الرسوم / العموله]]+Basic3456789101112131415161718[[#This Row],[قيمة الشحنه]])</f>
        <v>0</v>
      </c>
      <c r="I160" s="90"/>
      <c r="J160" s="142" t="str">
        <f t="shared" si="2"/>
        <v>15.5.2026</v>
      </c>
      <c r="L160" s="153">
        <v>149</v>
      </c>
      <c r="M160" s="92"/>
    </row>
    <row r="161" spans="1:13" ht="21.6" x14ac:dyDescent="0.65">
      <c r="A161" s="195"/>
      <c r="B161" s="144">
        <v>158</v>
      </c>
      <c r="C161" s="2"/>
      <c r="D161" s="1"/>
      <c r="E161" s="3"/>
      <c r="F161" s="1"/>
      <c r="G161" s="141">
        <f>IF(Basic3456789101112131415161718[[#This Row],[نوع الخدمة]]="مخالفات", 50,
IF(Basic3456789101112131415161718[[#This Row],[نوع الخدمة]]="كاش ان",
    IF(F161&lt;=100, 18, IF(F161&lt;=250, 23, IF(F161&lt;=500, 35, IF(F161&lt;=1000, 40, F161*0.04)))),
IF(Basic3456789101112131415161718[[#This Row],[نوع الخدمة]]="كاش اوت",
    IF(F161&lt;=100, 15, IF(F161&lt;=250, 20, IF(F161&lt;=500, 30, IF(F161&lt;=1000, 35, F161*0.035)))),
0)))</f>
        <v>0</v>
      </c>
      <c r="H161" s="159">
        <f>IF(I161="مخالفات",50,Basic3456789101112131415161718[[#This Row],[قيمة الرسوم / العموله]]+Basic3456789101112131415161718[[#This Row],[قيمة الشحنه]])</f>
        <v>0</v>
      </c>
      <c r="I161" s="90"/>
      <c r="J161" s="142" t="str">
        <f t="shared" si="2"/>
        <v>15.5.2026</v>
      </c>
      <c r="L161" s="153">
        <v>150</v>
      </c>
      <c r="M161" s="92"/>
    </row>
    <row r="162" spans="1:13" ht="21.6" x14ac:dyDescent="0.65">
      <c r="A162" s="195"/>
      <c r="B162" s="140">
        <v>159</v>
      </c>
      <c r="C162" s="2"/>
      <c r="D162" s="1"/>
      <c r="E162" s="3"/>
      <c r="F162" s="1"/>
      <c r="G162" s="141">
        <f>IF(Basic3456789101112131415161718[[#This Row],[نوع الخدمة]]="مخالفات", 50,
IF(Basic3456789101112131415161718[[#This Row],[نوع الخدمة]]="كاش ان",
    IF(F162&lt;=100, 18, IF(F162&lt;=250, 23, IF(F162&lt;=500, 35, IF(F162&lt;=1000, 40, F162*0.04)))),
IF(Basic3456789101112131415161718[[#This Row],[نوع الخدمة]]="كاش اوت",
    IF(F162&lt;=100, 15, IF(F162&lt;=250, 20, IF(F162&lt;=500, 30, IF(F162&lt;=1000, 35, F162*0.035)))),
0)))</f>
        <v>0</v>
      </c>
      <c r="H162" s="159">
        <f>IF(I162="مخالفات",50,Basic3456789101112131415161718[[#This Row],[قيمة الرسوم / العموله]]+Basic3456789101112131415161718[[#This Row],[قيمة الشحنه]])</f>
        <v>0</v>
      </c>
      <c r="I162" s="90"/>
      <c r="J162" s="142" t="str">
        <f t="shared" si="2"/>
        <v>15.5.2026</v>
      </c>
      <c r="L162" s="153">
        <v>151</v>
      </c>
      <c r="M162" s="92"/>
    </row>
    <row r="163" spans="1:13" ht="21.6" x14ac:dyDescent="0.65">
      <c r="A163" s="195"/>
      <c r="B163" s="140">
        <v>160</v>
      </c>
      <c r="C163" s="2"/>
      <c r="D163" s="1"/>
      <c r="E163" s="3"/>
      <c r="F163" s="1"/>
      <c r="G163" s="141">
        <f>IF(Basic3456789101112131415161718[[#This Row],[نوع الخدمة]]="مخالفات", 50,
IF(Basic3456789101112131415161718[[#This Row],[نوع الخدمة]]="كاش ان",
    IF(F163&lt;=100, 18, IF(F163&lt;=250, 23, IF(F163&lt;=500, 35, IF(F163&lt;=1000, 40, F163*0.04)))),
IF(Basic3456789101112131415161718[[#This Row],[نوع الخدمة]]="كاش اوت",
    IF(F163&lt;=100, 15, IF(F163&lt;=250, 20, IF(F163&lt;=500, 30, IF(F163&lt;=1000, 35, F163*0.035)))),
0)))</f>
        <v>0</v>
      </c>
      <c r="H163" s="159">
        <f>IF(I163="مخالفات",50,Basic3456789101112131415161718[[#This Row],[قيمة الرسوم / العموله]]+Basic3456789101112131415161718[[#This Row],[قيمة الشحنه]])</f>
        <v>0</v>
      </c>
      <c r="I163" s="90"/>
      <c r="J163" s="142" t="str">
        <f t="shared" si="2"/>
        <v>15.5.2026</v>
      </c>
      <c r="L163" s="153">
        <v>152</v>
      </c>
      <c r="M163" s="92"/>
    </row>
    <row r="164" spans="1:13" ht="21.6" x14ac:dyDescent="0.65">
      <c r="A164" s="195"/>
      <c r="B164" s="140">
        <v>161</v>
      </c>
      <c r="C164" s="2"/>
      <c r="D164" s="1"/>
      <c r="E164" s="3"/>
      <c r="F164" s="1"/>
      <c r="G164" s="141">
        <f>IF(Basic3456789101112131415161718[[#This Row],[نوع الخدمة]]="مخالفات", 50,
IF(Basic3456789101112131415161718[[#This Row],[نوع الخدمة]]="كاش ان",
    IF(F164&lt;=100, 18, IF(F164&lt;=250, 23, IF(F164&lt;=500, 35, IF(F164&lt;=1000, 40, F164*0.04)))),
IF(Basic3456789101112131415161718[[#This Row],[نوع الخدمة]]="كاش اوت",
    IF(F164&lt;=100, 15, IF(F164&lt;=250, 20, IF(F164&lt;=500, 30, IF(F164&lt;=1000, 35, F164*0.035)))),
0)))</f>
        <v>0</v>
      </c>
      <c r="H164" s="159">
        <f>IF(I164="مخالفات",50,Basic3456789101112131415161718[[#This Row],[قيمة الرسوم / العموله]]+Basic3456789101112131415161718[[#This Row],[قيمة الشحنه]])</f>
        <v>0</v>
      </c>
      <c r="I164" s="90"/>
      <c r="J164" s="142" t="str">
        <f t="shared" si="2"/>
        <v>15.5.2026</v>
      </c>
      <c r="L164" s="153">
        <v>153</v>
      </c>
      <c r="M164" s="92"/>
    </row>
    <row r="165" spans="1:13" ht="21.6" x14ac:dyDescent="0.65">
      <c r="A165" s="195"/>
      <c r="B165" s="144">
        <v>162</v>
      </c>
      <c r="C165" s="2"/>
      <c r="D165" s="1"/>
      <c r="E165" s="3"/>
      <c r="F165" s="1"/>
      <c r="G165" s="141">
        <f>IF(Basic3456789101112131415161718[[#This Row],[نوع الخدمة]]="مخالفات", 50,
IF(Basic3456789101112131415161718[[#This Row],[نوع الخدمة]]="كاش ان",
    IF(F165&lt;=100, 18, IF(F165&lt;=250, 23, IF(F165&lt;=500, 35, IF(F165&lt;=1000, 40, F165*0.04)))),
IF(Basic3456789101112131415161718[[#This Row],[نوع الخدمة]]="كاش اوت",
    IF(F165&lt;=100, 15, IF(F165&lt;=250, 20, IF(F165&lt;=500, 30, IF(F165&lt;=1000, 35, F165*0.035)))),
0)))</f>
        <v>0</v>
      </c>
      <c r="H165" s="159">
        <f>IF(I165="مخالفات",50,Basic3456789101112131415161718[[#This Row],[قيمة الرسوم / العموله]]+Basic3456789101112131415161718[[#This Row],[قيمة الشحنه]])</f>
        <v>0</v>
      </c>
      <c r="I165" s="90"/>
      <c r="J165" s="142" t="str">
        <f t="shared" si="2"/>
        <v>15.5.2026</v>
      </c>
      <c r="L165" s="153">
        <v>154</v>
      </c>
      <c r="M165" s="92"/>
    </row>
    <row r="166" spans="1:13" ht="21.6" x14ac:dyDescent="0.65">
      <c r="A166" s="195"/>
      <c r="B166" s="140">
        <v>163</v>
      </c>
      <c r="C166" s="2"/>
      <c r="D166" s="1"/>
      <c r="E166" s="3"/>
      <c r="F166" s="1"/>
      <c r="G166" s="141">
        <f>IF(Basic3456789101112131415161718[[#This Row],[نوع الخدمة]]="مخالفات", 50,
IF(Basic3456789101112131415161718[[#This Row],[نوع الخدمة]]="كاش ان",
    IF(F166&lt;=100, 18, IF(F166&lt;=250, 23, IF(F166&lt;=500, 35, IF(F166&lt;=1000, 40, F166*0.04)))),
IF(Basic3456789101112131415161718[[#This Row],[نوع الخدمة]]="كاش اوت",
    IF(F166&lt;=100, 15, IF(F166&lt;=250, 20, IF(F166&lt;=500, 30, IF(F166&lt;=1000, 35, F166*0.035)))),
0)))</f>
        <v>0</v>
      </c>
      <c r="H166" s="159">
        <f>IF(I166="مخالفات",50,Basic3456789101112131415161718[[#This Row],[قيمة الرسوم / العموله]]+Basic3456789101112131415161718[[#This Row],[قيمة الشحنه]])</f>
        <v>0</v>
      </c>
      <c r="I166" s="90"/>
      <c r="J166" s="142" t="str">
        <f t="shared" si="2"/>
        <v>15.5.2026</v>
      </c>
      <c r="L166" s="153">
        <v>155</v>
      </c>
      <c r="M166" s="92"/>
    </row>
    <row r="167" spans="1:13" ht="21.6" x14ac:dyDescent="0.65">
      <c r="A167" s="195"/>
      <c r="B167" s="140">
        <v>164</v>
      </c>
      <c r="C167" s="2"/>
      <c r="D167" s="1"/>
      <c r="E167" s="3"/>
      <c r="F167" s="1"/>
      <c r="G167" s="141">
        <f>IF(Basic3456789101112131415161718[[#This Row],[نوع الخدمة]]="مخالفات", 50,
IF(Basic3456789101112131415161718[[#This Row],[نوع الخدمة]]="كاش ان",
    IF(F167&lt;=100, 18, IF(F167&lt;=250, 23, IF(F167&lt;=500, 35, IF(F167&lt;=1000, 40, F167*0.04)))),
IF(Basic3456789101112131415161718[[#This Row],[نوع الخدمة]]="كاش اوت",
    IF(F167&lt;=100, 15, IF(F167&lt;=250, 20, IF(F167&lt;=500, 30, IF(F167&lt;=1000, 35, F167*0.035)))),
0)))</f>
        <v>0</v>
      </c>
      <c r="H167" s="159">
        <f>IF(I167="مخالفات",50,Basic3456789101112131415161718[[#This Row],[قيمة الرسوم / العموله]]+Basic3456789101112131415161718[[#This Row],[قيمة الشحنه]])</f>
        <v>0</v>
      </c>
      <c r="I167" s="90"/>
      <c r="J167" s="142" t="str">
        <f t="shared" si="2"/>
        <v>15.5.2026</v>
      </c>
      <c r="L167" s="153">
        <v>156</v>
      </c>
      <c r="M167" s="92"/>
    </row>
    <row r="168" spans="1:13" ht="21.6" x14ac:dyDescent="0.65">
      <c r="A168" s="195"/>
      <c r="B168" s="140">
        <v>165</v>
      </c>
      <c r="C168" s="2"/>
      <c r="D168" s="1"/>
      <c r="E168" s="3"/>
      <c r="F168" s="1"/>
      <c r="G168" s="141">
        <f>IF(Basic3456789101112131415161718[[#This Row],[نوع الخدمة]]="مخالفات", 50,
IF(Basic3456789101112131415161718[[#This Row],[نوع الخدمة]]="كاش ان",
    IF(F168&lt;=100, 18, IF(F168&lt;=250, 23, IF(F168&lt;=500, 35, IF(F168&lt;=1000, 40, F168*0.04)))),
IF(Basic3456789101112131415161718[[#This Row],[نوع الخدمة]]="كاش اوت",
    IF(F168&lt;=100, 15, IF(F168&lt;=250, 20, IF(F168&lt;=500, 30, IF(F168&lt;=1000, 35, F168*0.035)))),
0)))</f>
        <v>0</v>
      </c>
      <c r="H168" s="159">
        <f>IF(I168="مخالفات",50,Basic3456789101112131415161718[[#This Row],[قيمة الرسوم / العموله]]+Basic3456789101112131415161718[[#This Row],[قيمة الشحنه]])</f>
        <v>0</v>
      </c>
      <c r="I168" s="90"/>
      <c r="J168" s="142" t="str">
        <f t="shared" si="2"/>
        <v>15.5.2026</v>
      </c>
      <c r="L168" s="153">
        <v>157</v>
      </c>
      <c r="M168" s="92"/>
    </row>
    <row r="169" spans="1:13" ht="21.6" x14ac:dyDescent="0.65">
      <c r="A169" s="195"/>
      <c r="B169" s="144">
        <v>166</v>
      </c>
      <c r="C169" s="2"/>
      <c r="D169" s="1"/>
      <c r="E169" s="3"/>
      <c r="F169" s="1"/>
      <c r="G169" s="141">
        <f>IF(Basic3456789101112131415161718[[#This Row],[نوع الخدمة]]="مخالفات", 50,
IF(Basic3456789101112131415161718[[#This Row],[نوع الخدمة]]="كاش ان",
    IF(F169&lt;=100, 18, IF(F169&lt;=250, 23, IF(F169&lt;=500, 35, IF(F169&lt;=1000, 40, F169*0.04)))),
IF(Basic3456789101112131415161718[[#This Row],[نوع الخدمة]]="كاش اوت",
    IF(F169&lt;=100, 15, IF(F169&lt;=250, 20, IF(F169&lt;=500, 30, IF(F169&lt;=1000, 35, F169*0.035)))),
0)))</f>
        <v>0</v>
      </c>
      <c r="H169" s="159">
        <f>IF(I169="مخالفات",50,Basic3456789101112131415161718[[#This Row],[قيمة الرسوم / العموله]]+Basic3456789101112131415161718[[#This Row],[قيمة الشحنه]])</f>
        <v>0</v>
      </c>
      <c r="I169" s="90"/>
      <c r="J169" s="142" t="str">
        <f t="shared" si="2"/>
        <v>15.5.2026</v>
      </c>
      <c r="L169" s="153">
        <v>158</v>
      </c>
      <c r="M169" s="92"/>
    </row>
    <row r="170" spans="1:13" ht="21.6" x14ac:dyDescent="0.65">
      <c r="A170" s="195"/>
      <c r="B170" s="140">
        <v>167</v>
      </c>
      <c r="C170" s="2"/>
      <c r="D170" s="1"/>
      <c r="E170" s="3"/>
      <c r="F170" s="1"/>
      <c r="G170" s="141">
        <f>IF(Basic3456789101112131415161718[[#This Row],[نوع الخدمة]]="مخالفات", 50,
IF(Basic3456789101112131415161718[[#This Row],[نوع الخدمة]]="كاش ان",
    IF(F170&lt;=100, 18, IF(F170&lt;=250, 23, IF(F170&lt;=500, 35, IF(F170&lt;=1000, 40, F170*0.04)))),
IF(Basic3456789101112131415161718[[#This Row],[نوع الخدمة]]="كاش اوت",
    IF(F170&lt;=100, 15, IF(F170&lt;=250, 20, IF(F170&lt;=500, 30, IF(F170&lt;=1000, 35, F170*0.035)))),
0)))</f>
        <v>0</v>
      </c>
      <c r="H170" s="159">
        <f>IF(I170="مخالفات",50,Basic3456789101112131415161718[[#This Row],[قيمة الرسوم / العموله]]+Basic3456789101112131415161718[[#This Row],[قيمة الشحنه]])</f>
        <v>0</v>
      </c>
      <c r="I170" s="90"/>
      <c r="J170" s="142" t="str">
        <f t="shared" si="2"/>
        <v>15.5.2026</v>
      </c>
      <c r="L170" s="153">
        <v>159</v>
      </c>
      <c r="M170" s="92"/>
    </row>
    <row r="171" spans="1:13" ht="21.6" x14ac:dyDescent="0.65">
      <c r="A171" s="195"/>
      <c r="B171" s="140">
        <v>168</v>
      </c>
      <c r="C171" s="2"/>
      <c r="D171" s="1"/>
      <c r="E171" s="3"/>
      <c r="F171" s="1"/>
      <c r="G171" s="141">
        <f>IF(Basic3456789101112131415161718[[#This Row],[نوع الخدمة]]="مخالفات", 50,
IF(Basic3456789101112131415161718[[#This Row],[نوع الخدمة]]="كاش ان",
    IF(F171&lt;=100, 18, IF(F171&lt;=250, 23, IF(F171&lt;=500, 35, IF(F171&lt;=1000, 40, F171*0.04)))),
IF(Basic3456789101112131415161718[[#This Row],[نوع الخدمة]]="كاش اوت",
    IF(F171&lt;=100, 15, IF(F171&lt;=250, 20, IF(F171&lt;=500, 30, IF(F171&lt;=1000, 35, F171*0.035)))),
0)))</f>
        <v>0</v>
      </c>
      <c r="H171" s="159">
        <f>IF(I171="مخالفات",50,Basic3456789101112131415161718[[#This Row],[قيمة الرسوم / العموله]]+Basic3456789101112131415161718[[#This Row],[قيمة الشحنه]])</f>
        <v>0</v>
      </c>
      <c r="I171" s="90"/>
      <c r="J171" s="142" t="str">
        <f t="shared" si="2"/>
        <v>15.5.2026</v>
      </c>
      <c r="L171" s="153">
        <v>160</v>
      </c>
      <c r="M171" s="92"/>
    </row>
    <row r="172" spans="1:13" ht="21.6" x14ac:dyDescent="0.65">
      <c r="A172" s="195"/>
      <c r="B172" s="140">
        <v>169</v>
      </c>
      <c r="C172" s="2"/>
      <c r="D172" s="1"/>
      <c r="E172" s="3"/>
      <c r="F172" s="1"/>
      <c r="G172" s="141">
        <f>IF(Basic3456789101112131415161718[[#This Row],[نوع الخدمة]]="مخالفات", 50,
IF(Basic3456789101112131415161718[[#This Row],[نوع الخدمة]]="كاش ان",
    IF(F172&lt;=100, 18, IF(F172&lt;=250, 23, IF(F172&lt;=500, 35, IF(F172&lt;=1000, 40, F172*0.04)))),
IF(Basic3456789101112131415161718[[#This Row],[نوع الخدمة]]="كاش اوت",
    IF(F172&lt;=100, 15, IF(F172&lt;=250, 20, IF(F172&lt;=500, 30, IF(F172&lt;=1000, 35, F172*0.035)))),
0)))</f>
        <v>0</v>
      </c>
      <c r="H172" s="159">
        <f>IF(I172="مخالفات",50,Basic3456789101112131415161718[[#This Row],[قيمة الرسوم / العموله]]+Basic3456789101112131415161718[[#This Row],[قيمة الشحنه]])</f>
        <v>0</v>
      </c>
      <c r="I172" s="90"/>
      <c r="J172" s="142" t="str">
        <f t="shared" si="2"/>
        <v>15.5.2026</v>
      </c>
      <c r="L172" s="153">
        <v>161</v>
      </c>
      <c r="M172" s="92"/>
    </row>
    <row r="173" spans="1:13" ht="21.6" x14ac:dyDescent="0.65">
      <c r="A173" s="195"/>
      <c r="B173" s="144">
        <v>170</v>
      </c>
      <c r="C173" s="2"/>
      <c r="D173" s="1"/>
      <c r="E173" s="3"/>
      <c r="F173" s="1"/>
      <c r="G173" s="141">
        <f>IF(Basic3456789101112131415161718[[#This Row],[نوع الخدمة]]="مخالفات", 50,
IF(Basic3456789101112131415161718[[#This Row],[نوع الخدمة]]="كاش ان",
    IF(F173&lt;=100, 18, IF(F173&lt;=250, 23, IF(F173&lt;=500, 35, IF(F173&lt;=1000, 40, F173*0.04)))),
IF(Basic3456789101112131415161718[[#This Row],[نوع الخدمة]]="كاش اوت",
    IF(F173&lt;=100, 15, IF(F173&lt;=250, 20, IF(F173&lt;=500, 30, IF(F173&lt;=1000, 35, F173*0.035)))),
0)))</f>
        <v>0</v>
      </c>
      <c r="H173" s="159">
        <f>IF(I173="مخالفات",50,Basic3456789101112131415161718[[#This Row],[قيمة الرسوم / العموله]]+Basic3456789101112131415161718[[#This Row],[قيمة الشحنه]])</f>
        <v>0</v>
      </c>
      <c r="I173" s="90"/>
      <c r="J173" s="142" t="str">
        <f t="shared" si="2"/>
        <v>15.5.2026</v>
      </c>
      <c r="L173" s="153">
        <v>162</v>
      </c>
      <c r="M173" s="92"/>
    </row>
    <row r="174" spans="1:13" ht="21.6" x14ac:dyDescent="0.65">
      <c r="A174" s="195"/>
      <c r="B174" s="140">
        <v>171</v>
      </c>
      <c r="C174" s="2"/>
      <c r="D174" s="1"/>
      <c r="E174" s="3"/>
      <c r="F174" s="1"/>
      <c r="G174" s="141">
        <f>IF(Basic3456789101112131415161718[[#This Row],[نوع الخدمة]]="مخالفات", 50,
IF(Basic3456789101112131415161718[[#This Row],[نوع الخدمة]]="كاش ان",
    IF(F174&lt;=100, 18, IF(F174&lt;=250, 23, IF(F174&lt;=500, 35, IF(F174&lt;=1000, 40, F174*0.04)))),
IF(Basic3456789101112131415161718[[#This Row],[نوع الخدمة]]="كاش اوت",
    IF(F174&lt;=100, 15, IF(F174&lt;=250, 20, IF(F174&lt;=500, 30, IF(F174&lt;=1000, 35, F174*0.035)))),
0)))</f>
        <v>0</v>
      </c>
      <c r="H174" s="159">
        <f>IF(I174="مخالفات",50,Basic3456789101112131415161718[[#This Row],[قيمة الرسوم / العموله]]+Basic3456789101112131415161718[[#This Row],[قيمة الشحنه]])</f>
        <v>0</v>
      </c>
      <c r="I174" s="90"/>
      <c r="J174" s="142" t="str">
        <f t="shared" si="2"/>
        <v>15.5.2026</v>
      </c>
      <c r="L174" s="153">
        <v>163</v>
      </c>
      <c r="M174" s="92"/>
    </row>
    <row r="175" spans="1:13" ht="21.6" x14ac:dyDescent="0.65">
      <c r="A175" s="195"/>
      <c r="B175" s="140">
        <v>172</v>
      </c>
      <c r="C175" s="2"/>
      <c r="D175" s="1"/>
      <c r="E175" s="3"/>
      <c r="F175" s="1"/>
      <c r="G175" s="141">
        <f>IF(Basic3456789101112131415161718[[#This Row],[نوع الخدمة]]="مخالفات", 50,
IF(Basic3456789101112131415161718[[#This Row],[نوع الخدمة]]="كاش ان",
    IF(F175&lt;=100, 18, IF(F175&lt;=250, 23, IF(F175&lt;=500, 35, IF(F175&lt;=1000, 40, F175*0.04)))),
IF(Basic3456789101112131415161718[[#This Row],[نوع الخدمة]]="كاش اوت",
    IF(F175&lt;=100, 15, IF(F175&lt;=250, 20, IF(F175&lt;=500, 30, IF(F175&lt;=1000, 35, F175*0.035)))),
0)))</f>
        <v>0</v>
      </c>
      <c r="H175" s="159">
        <f>IF(I175="مخالفات",50,Basic3456789101112131415161718[[#This Row],[قيمة الرسوم / العموله]]+Basic3456789101112131415161718[[#This Row],[قيمة الشحنه]])</f>
        <v>0</v>
      </c>
      <c r="I175" s="90"/>
      <c r="J175" s="142" t="str">
        <f t="shared" si="2"/>
        <v>15.5.2026</v>
      </c>
      <c r="L175" s="153">
        <v>164</v>
      </c>
      <c r="M175" s="92"/>
    </row>
    <row r="176" spans="1:13" ht="21.6" x14ac:dyDescent="0.65">
      <c r="A176" s="195"/>
      <c r="B176" s="140">
        <v>173</v>
      </c>
      <c r="C176" s="2"/>
      <c r="D176" s="1"/>
      <c r="E176" s="3"/>
      <c r="F176" s="1"/>
      <c r="G176" s="141">
        <f>IF(Basic3456789101112131415161718[[#This Row],[نوع الخدمة]]="مخالفات", 50,
IF(Basic3456789101112131415161718[[#This Row],[نوع الخدمة]]="كاش ان",
    IF(F176&lt;=100, 18, IF(F176&lt;=250, 23, IF(F176&lt;=500, 35, IF(F176&lt;=1000, 40, F176*0.04)))),
IF(Basic3456789101112131415161718[[#This Row],[نوع الخدمة]]="كاش اوت",
    IF(F176&lt;=100, 15, IF(F176&lt;=250, 20, IF(F176&lt;=500, 30, IF(F176&lt;=1000, 35, F176*0.035)))),
0)))</f>
        <v>0</v>
      </c>
      <c r="H176" s="159">
        <f>IF(I176="مخالفات",50,Basic3456789101112131415161718[[#This Row],[قيمة الرسوم / العموله]]+Basic3456789101112131415161718[[#This Row],[قيمة الشحنه]])</f>
        <v>0</v>
      </c>
      <c r="I176" s="90"/>
      <c r="J176" s="142" t="str">
        <f t="shared" si="2"/>
        <v>15.5.2026</v>
      </c>
      <c r="L176" s="153">
        <v>165</v>
      </c>
      <c r="M176" s="92"/>
    </row>
    <row r="177" spans="1:13" ht="21.6" x14ac:dyDescent="0.65">
      <c r="A177" s="195"/>
      <c r="B177" s="144">
        <v>174</v>
      </c>
      <c r="C177" s="2"/>
      <c r="D177" s="1"/>
      <c r="E177" s="3"/>
      <c r="F177" s="1"/>
      <c r="G177" s="141">
        <f>IF(Basic3456789101112131415161718[[#This Row],[نوع الخدمة]]="مخالفات", 50,
IF(Basic3456789101112131415161718[[#This Row],[نوع الخدمة]]="كاش ان",
    IF(F177&lt;=100, 18, IF(F177&lt;=250, 23, IF(F177&lt;=500, 35, IF(F177&lt;=1000, 40, F177*0.04)))),
IF(Basic3456789101112131415161718[[#This Row],[نوع الخدمة]]="كاش اوت",
    IF(F177&lt;=100, 15, IF(F177&lt;=250, 20, IF(F177&lt;=500, 30, IF(F177&lt;=1000, 35, F177*0.035)))),
0)))</f>
        <v>0</v>
      </c>
      <c r="H177" s="159">
        <f>IF(I177="مخالفات",50,Basic3456789101112131415161718[[#This Row],[قيمة الرسوم / العموله]]+Basic3456789101112131415161718[[#This Row],[قيمة الشحنه]])</f>
        <v>0</v>
      </c>
      <c r="I177" s="90"/>
      <c r="J177" s="142" t="str">
        <f t="shared" si="2"/>
        <v>15.5.2026</v>
      </c>
      <c r="L177" s="153">
        <v>166</v>
      </c>
      <c r="M177" s="92"/>
    </row>
    <row r="178" spans="1:13" ht="21.6" x14ac:dyDescent="0.65">
      <c r="A178" s="195"/>
      <c r="B178" s="140">
        <v>175</v>
      </c>
      <c r="C178" s="2"/>
      <c r="D178" s="1"/>
      <c r="E178" s="3"/>
      <c r="F178" s="1"/>
      <c r="G178" s="141">
        <f>IF(Basic3456789101112131415161718[[#This Row],[نوع الخدمة]]="مخالفات", 50,
IF(Basic3456789101112131415161718[[#This Row],[نوع الخدمة]]="كاش ان",
    IF(F178&lt;=100, 18, IF(F178&lt;=250, 23, IF(F178&lt;=500, 35, IF(F178&lt;=1000, 40, F178*0.04)))),
IF(Basic3456789101112131415161718[[#This Row],[نوع الخدمة]]="كاش اوت",
    IF(F178&lt;=100, 15, IF(F178&lt;=250, 20, IF(F178&lt;=500, 30, IF(F178&lt;=1000, 35, F178*0.035)))),
0)))</f>
        <v>0</v>
      </c>
      <c r="H178" s="159">
        <f>IF(I178="مخالفات",50,Basic3456789101112131415161718[[#This Row],[قيمة الرسوم / العموله]]+Basic3456789101112131415161718[[#This Row],[قيمة الشحنه]])</f>
        <v>0</v>
      </c>
      <c r="I178" s="90"/>
      <c r="J178" s="142" t="str">
        <f t="shared" si="2"/>
        <v>15.5.2026</v>
      </c>
      <c r="L178" s="153">
        <v>167</v>
      </c>
      <c r="M178" s="92"/>
    </row>
    <row r="179" spans="1:13" ht="21.6" x14ac:dyDescent="0.65">
      <c r="A179" s="195"/>
      <c r="B179" s="140">
        <v>176</v>
      </c>
      <c r="C179" s="2"/>
      <c r="D179" s="1"/>
      <c r="E179" s="3"/>
      <c r="F179" s="1"/>
      <c r="G179" s="141">
        <f>IF(Basic3456789101112131415161718[[#This Row],[نوع الخدمة]]="مخالفات", 50,
IF(Basic3456789101112131415161718[[#This Row],[نوع الخدمة]]="كاش ان",
    IF(F179&lt;=100, 18, IF(F179&lt;=250, 23, IF(F179&lt;=500, 35, IF(F179&lt;=1000, 40, F179*0.04)))),
IF(Basic3456789101112131415161718[[#This Row],[نوع الخدمة]]="كاش اوت",
    IF(F179&lt;=100, 15, IF(F179&lt;=250, 20, IF(F179&lt;=500, 30, IF(F179&lt;=1000, 35, F179*0.035)))),
0)))</f>
        <v>0</v>
      </c>
      <c r="H179" s="159">
        <f>IF(I179="مخالفات",50,Basic3456789101112131415161718[[#This Row],[قيمة الرسوم / العموله]]+Basic3456789101112131415161718[[#This Row],[قيمة الشحنه]])</f>
        <v>0</v>
      </c>
      <c r="I179" s="90"/>
      <c r="J179" s="142" t="str">
        <f t="shared" si="2"/>
        <v>15.5.2026</v>
      </c>
      <c r="L179" s="153">
        <v>168</v>
      </c>
      <c r="M179" s="92"/>
    </row>
    <row r="180" spans="1:13" ht="21.6" x14ac:dyDescent="0.65">
      <c r="A180" s="195"/>
      <c r="B180" s="140">
        <v>177</v>
      </c>
      <c r="C180" s="2"/>
      <c r="D180" s="1"/>
      <c r="E180" s="3"/>
      <c r="F180" s="1"/>
      <c r="G180" s="141">
        <f>IF(Basic3456789101112131415161718[[#This Row],[نوع الخدمة]]="مخالفات", 50,
IF(Basic3456789101112131415161718[[#This Row],[نوع الخدمة]]="كاش ان",
    IF(F180&lt;=100, 18, IF(F180&lt;=250, 23, IF(F180&lt;=500, 35, IF(F180&lt;=1000, 40, F180*0.04)))),
IF(Basic3456789101112131415161718[[#This Row],[نوع الخدمة]]="كاش اوت",
    IF(F180&lt;=100, 15, IF(F180&lt;=250, 20, IF(F180&lt;=500, 30, IF(F180&lt;=1000, 35, F180*0.035)))),
0)))</f>
        <v>0</v>
      </c>
      <c r="H180" s="159">
        <f>IF(I180="مخالفات",50,Basic3456789101112131415161718[[#This Row],[قيمة الرسوم / العموله]]+Basic3456789101112131415161718[[#This Row],[قيمة الشحنه]])</f>
        <v>0</v>
      </c>
      <c r="I180" s="90"/>
      <c r="J180" s="142" t="str">
        <f t="shared" si="2"/>
        <v>15.5.2026</v>
      </c>
      <c r="L180" s="153">
        <v>169</v>
      </c>
      <c r="M180" s="92"/>
    </row>
    <row r="181" spans="1:13" ht="21.6" x14ac:dyDescent="0.65">
      <c r="A181" s="195"/>
      <c r="B181" s="144">
        <v>178</v>
      </c>
      <c r="C181" s="2"/>
      <c r="D181" s="1"/>
      <c r="E181" s="3"/>
      <c r="F181" s="1"/>
      <c r="G181" s="141">
        <f>IF(Basic3456789101112131415161718[[#This Row],[نوع الخدمة]]="مخالفات", 50,
IF(Basic3456789101112131415161718[[#This Row],[نوع الخدمة]]="كاش ان",
    IF(F181&lt;=100, 18, IF(F181&lt;=250, 23, IF(F181&lt;=500, 35, IF(F181&lt;=1000, 40, F181*0.04)))),
IF(Basic3456789101112131415161718[[#This Row],[نوع الخدمة]]="كاش اوت",
    IF(F181&lt;=100, 15, IF(F181&lt;=250, 20, IF(F181&lt;=500, 30, IF(F181&lt;=1000, 35, F181*0.035)))),
0)))</f>
        <v>0</v>
      </c>
      <c r="H181" s="159">
        <f>IF(I181="مخالفات",50,Basic3456789101112131415161718[[#This Row],[قيمة الرسوم / العموله]]+Basic3456789101112131415161718[[#This Row],[قيمة الشحنه]])</f>
        <v>0</v>
      </c>
      <c r="I181" s="90"/>
      <c r="J181" s="142" t="str">
        <f t="shared" si="2"/>
        <v>15.5.2026</v>
      </c>
      <c r="L181" s="153">
        <v>170</v>
      </c>
      <c r="M181" s="92"/>
    </row>
    <row r="182" spans="1:13" ht="21.6" x14ac:dyDescent="0.65">
      <c r="A182" s="195"/>
      <c r="B182" s="140">
        <v>179</v>
      </c>
      <c r="C182" s="2"/>
      <c r="D182" s="1"/>
      <c r="E182" s="3"/>
      <c r="F182" s="1"/>
      <c r="G182" s="141">
        <f>IF(Basic3456789101112131415161718[[#This Row],[نوع الخدمة]]="مخالفات", 50,
IF(Basic3456789101112131415161718[[#This Row],[نوع الخدمة]]="كاش ان",
    IF(F182&lt;=100, 18, IF(F182&lt;=250, 23, IF(F182&lt;=500, 35, IF(F182&lt;=1000, 40, F182*0.04)))),
IF(Basic3456789101112131415161718[[#This Row],[نوع الخدمة]]="كاش اوت",
    IF(F182&lt;=100, 15, IF(F182&lt;=250, 20, IF(F182&lt;=500, 30, IF(F182&lt;=1000, 35, F182*0.035)))),
0)))</f>
        <v>0</v>
      </c>
      <c r="H182" s="159">
        <f>IF(I182="مخالفات",50,Basic3456789101112131415161718[[#This Row],[قيمة الرسوم / العموله]]+Basic3456789101112131415161718[[#This Row],[قيمة الشحنه]])</f>
        <v>0</v>
      </c>
      <c r="I182" s="90"/>
      <c r="J182" s="142" t="str">
        <f t="shared" si="2"/>
        <v>15.5.2026</v>
      </c>
      <c r="L182" s="153">
        <v>171</v>
      </c>
      <c r="M182" s="92"/>
    </row>
    <row r="183" spans="1:13" ht="21.6" x14ac:dyDescent="0.65">
      <c r="A183" s="195"/>
      <c r="B183" s="140">
        <v>180</v>
      </c>
      <c r="C183" s="2"/>
      <c r="D183" s="1"/>
      <c r="E183" s="3"/>
      <c r="F183" s="1"/>
      <c r="G183" s="141">
        <f>IF(Basic3456789101112131415161718[[#This Row],[نوع الخدمة]]="مخالفات", 50,
IF(Basic3456789101112131415161718[[#This Row],[نوع الخدمة]]="كاش ان",
    IF(F183&lt;=100, 18, IF(F183&lt;=250, 23, IF(F183&lt;=500, 35, IF(F183&lt;=1000, 40, F183*0.04)))),
IF(Basic3456789101112131415161718[[#This Row],[نوع الخدمة]]="كاش اوت",
    IF(F183&lt;=100, 15, IF(F183&lt;=250, 20, IF(F183&lt;=500, 30, IF(F183&lt;=1000, 35, F183*0.035)))),
0)))</f>
        <v>0</v>
      </c>
      <c r="H183" s="159">
        <f>IF(I183="مخالفات",50,Basic3456789101112131415161718[[#This Row],[قيمة الرسوم / العموله]]+Basic3456789101112131415161718[[#This Row],[قيمة الشحنه]])</f>
        <v>0</v>
      </c>
      <c r="I183" s="90"/>
      <c r="J183" s="142" t="str">
        <f t="shared" si="2"/>
        <v>15.5.2026</v>
      </c>
      <c r="L183" s="153">
        <v>172</v>
      </c>
      <c r="M183" s="92"/>
    </row>
    <row r="184" spans="1:13" ht="21.6" x14ac:dyDescent="0.65">
      <c r="A184" s="195"/>
      <c r="B184" s="140">
        <v>181</v>
      </c>
      <c r="C184" s="2"/>
      <c r="D184" s="1"/>
      <c r="E184" s="3"/>
      <c r="F184" s="1"/>
      <c r="G184" s="141">
        <f>IF(Basic3456789101112131415161718[[#This Row],[نوع الخدمة]]="مخالفات", 50,
IF(Basic3456789101112131415161718[[#This Row],[نوع الخدمة]]="كاش ان",
    IF(F184&lt;=100, 18, IF(F184&lt;=250, 23, IF(F184&lt;=500, 35, IF(F184&lt;=1000, 40, F184*0.04)))),
IF(Basic3456789101112131415161718[[#This Row],[نوع الخدمة]]="كاش اوت",
    IF(F184&lt;=100, 15, IF(F184&lt;=250, 20, IF(F184&lt;=500, 30, IF(F184&lt;=1000, 35, F184*0.035)))),
0)))</f>
        <v>0</v>
      </c>
      <c r="H184" s="159">
        <f>IF(I184="مخالفات",50,Basic3456789101112131415161718[[#This Row],[قيمة الرسوم / العموله]]+Basic3456789101112131415161718[[#This Row],[قيمة الشحنه]])</f>
        <v>0</v>
      </c>
      <c r="I184" s="90"/>
      <c r="J184" s="142" t="str">
        <f t="shared" si="2"/>
        <v>15.5.2026</v>
      </c>
      <c r="L184" s="153">
        <v>173</v>
      </c>
      <c r="M184" s="92"/>
    </row>
    <row r="185" spans="1:13" ht="21.6" x14ac:dyDescent="0.65">
      <c r="A185" s="195"/>
      <c r="B185" s="144">
        <v>182</v>
      </c>
      <c r="C185" s="2"/>
      <c r="D185" s="1"/>
      <c r="E185" s="3"/>
      <c r="F185" s="1"/>
      <c r="G185" s="141">
        <f>IF(Basic3456789101112131415161718[[#This Row],[نوع الخدمة]]="مخالفات", 50,
IF(Basic3456789101112131415161718[[#This Row],[نوع الخدمة]]="كاش ان",
    IF(F185&lt;=100, 18, IF(F185&lt;=250, 23, IF(F185&lt;=500, 35, IF(F185&lt;=1000, 40, F185*0.04)))),
IF(Basic3456789101112131415161718[[#This Row],[نوع الخدمة]]="كاش اوت",
    IF(F185&lt;=100, 15, IF(F185&lt;=250, 20, IF(F185&lt;=500, 30, IF(F185&lt;=1000, 35, F185*0.035)))),
0)))</f>
        <v>0</v>
      </c>
      <c r="H185" s="159">
        <f>IF(I185="مخالفات",50,Basic3456789101112131415161718[[#This Row],[قيمة الرسوم / العموله]]+Basic3456789101112131415161718[[#This Row],[قيمة الشحنه]])</f>
        <v>0</v>
      </c>
      <c r="I185" s="90"/>
      <c r="J185" s="142" t="str">
        <f t="shared" si="2"/>
        <v>15.5.2026</v>
      </c>
      <c r="L185" s="153">
        <v>174</v>
      </c>
      <c r="M185" s="92"/>
    </row>
    <row r="186" spans="1:13" ht="21.6" x14ac:dyDescent="0.65">
      <c r="A186" s="195"/>
      <c r="B186" s="140">
        <v>183</v>
      </c>
      <c r="C186" s="2"/>
      <c r="D186" s="1"/>
      <c r="E186" s="3"/>
      <c r="F186" s="1"/>
      <c r="G186" s="141">
        <f>IF(Basic3456789101112131415161718[[#This Row],[نوع الخدمة]]="مخالفات", 50,
IF(Basic3456789101112131415161718[[#This Row],[نوع الخدمة]]="كاش ان",
    IF(F186&lt;=100, 18, IF(F186&lt;=250, 23, IF(F186&lt;=500, 35, IF(F186&lt;=1000, 40, F186*0.04)))),
IF(Basic3456789101112131415161718[[#This Row],[نوع الخدمة]]="كاش اوت",
    IF(F186&lt;=100, 15, IF(F186&lt;=250, 20, IF(F186&lt;=500, 30, IF(F186&lt;=1000, 35, F186*0.035)))),
0)))</f>
        <v>0</v>
      </c>
      <c r="H186" s="159">
        <f>IF(I186="مخالفات",50,Basic3456789101112131415161718[[#This Row],[قيمة الرسوم / العموله]]+Basic3456789101112131415161718[[#This Row],[قيمة الشحنه]])</f>
        <v>0</v>
      </c>
      <c r="I186" s="90"/>
      <c r="J186" s="142" t="str">
        <f t="shared" si="2"/>
        <v>15.5.2026</v>
      </c>
      <c r="L186" s="153">
        <v>175</v>
      </c>
      <c r="M186" s="92"/>
    </row>
    <row r="187" spans="1:13" ht="21.6" x14ac:dyDescent="0.65">
      <c r="A187" s="195"/>
      <c r="B187" s="140">
        <v>184</v>
      </c>
      <c r="C187" s="2"/>
      <c r="D187" s="1"/>
      <c r="E187" s="3"/>
      <c r="F187" s="1"/>
      <c r="G187" s="141">
        <f>IF(Basic3456789101112131415161718[[#This Row],[نوع الخدمة]]="مخالفات", 50,
IF(Basic3456789101112131415161718[[#This Row],[نوع الخدمة]]="كاش ان",
    IF(F187&lt;=100, 18, IF(F187&lt;=250, 23, IF(F187&lt;=500, 35, IF(F187&lt;=1000, 40, F187*0.04)))),
IF(Basic3456789101112131415161718[[#This Row],[نوع الخدمة]]="كاش اوت",
    IF(F187&lt;=100, 15, IF(F187&lt;=250, 20, IF(F187&lt;=500, 30, IF(F187&lt;=1000, 35, F187*0.035)))),
0)))</f>
        <v>0</v>
      </c>
      <c r="H187" s="159">
        <f>IF(I187="مخالفات",50,Basic3456789101112131415161718[[#This Row],[قيمة الرسوم / العموله]]+Basic3456789101112131415161718[[#This Row],[قيمة الشحنه]])</f>
        <v>0</v>
      </c>
      <c r="I187" s="90"/>
      <c r="J187" s="142" t="str">
        <f t="shared" si="2"/>
        <v>15.5.2026</v>
      </c>
      <c r="L187" s="153">
        <v>176</v>
      </c>
      <c r="M187" s="92"/>
    </row>
    <row r="188" spans="1:13" ht="21.6" x14ac:dyDescent="0.65">
      <c r="A188" s="195"/>
      <c r="B188" s="140">
        <v>185</v>
      </c>
      <c r="C188" s="2"/>
      <c r="D188" s="1"/>
      <c r="E188" s="3"/>
      <c r="F188" s="1"/>
      <c r="G188" s="141">
        <f>IF(Basic3456789101112131415161718[[#This Row],[نوع الخدمة]]="مخالفات", 50,
IF(Basic3456789101112131415161718[[#This Row],[نوع الخدمة]]="كاش ان",
    IF(F188&lt;=100, 18, IF(F188&lt;=250, 23, IF(F188&lt;=500, 35, IF(F188&lt;=1000, 40, F188*0.04)))),
IF(Basic3456789101112131415161718[[#This Row],[نوع الخدمة]]="كاش اوت",
    IF(F188&lt;=100, 15, IF(F188&lt;=250, 20, IF(F188&lt;=500, 30, IF(F188&lt;=1000, 35, F188*0.035)))),
0)))</f>
        <v>0</v>
      </c>
      <c r="H188" s="159">
        <f>IF(I188="مخالفات",50,Basic3456789101112131415161718[[#This Row],[قيمة الرسوم / العموله]]+Basic3456789101112131415161718[[#This Row],[قيمة الشحنه]])</f>
        <v>0</v>
      </c>
      <c r="I188" s="90"/>
      <c r="J188" s="142" t="str">
        <f t="shared" si="2"/>
        <v>15.5.2026</v>
      </c>
      <c r="L188" s="153">
        <v>177</v>
      </c>
      <c r="M188" s="92"/>
    </row>
    <row r="189" spans="1:13" ht="21.6" x14ac:dyDescent="0.65">
      <c r="A189" s="195"/>
      <c r="B189" s="144">
        <v>186</v>
      </c>
      <c r="C189" s="2"/>
      <c r="D189" s="1"/>
      <c r="E189" s="3"/>
      <c r="F189" s="1"/>
      <c r="G189" s="141">
        <f>IF(Basic3456789101112131415161718[[#This Row],[نوع الخدمة]]="مخالفات", 50,
IF(Basic3456789101112131415161718[[#This Row],[نوع الخدمة]]="كاش ان",
    IF(F189&lt;=100, 18, IF(F189&lt;=250, 23, IF(F189&lt;=500, 35, IF(F189&lt;=1000, 40, F189*0.04)))),
IF(Basic3456789101112131415161718[[#This Row],[نوع الخدمة]]="كاش اوت",
    IF(F189&lt;=100, 15, IF(F189&lt;=250, 20, IF(F189&lt;=500, 30, IF(F189&lt;=1000, 35, F189*0.035)))),
0)))</f>
        <v>0</v>
      </c>
      <c r="H189" s="159">
        <f>IF(I189="مخالفات",50,Basic3456789101112131415161718[[#This Row],[قيمة الرسوم / العموله]]+Basic3456789101112131415161718[[#This Row],[قيمة الشحنه]])</f>
        <v>0</v>
      </c>
      <c r="I189" s="90"/>
      <c r="J189" s="142" t="str">
        <f t="shared" si="2"/>
        <v>15.5.2026</v>
      </c>
      <c r="L189" s="153">
        <v>178</v>
      </c>
      <c r="M189" s="92"/>
    </row>
    <row r="190" spans="1:13" ht="21.6" x14ac:dyDescent="0.65">
      <c r="A190" s="195"/>
      <c r="B190" s="140">
        <v>187</v>
      </c>
      <c r="C190" s="2"/>
      <c r="D190" s="1"/>
      <c r="E190" s="3"/>
      <c r="F190" s="1"/>
      <c r="G190" s="141">
        <f>IF(Basic3456789101112131415161718[[#This Row],[نوع الخدمة]]="مخالفات", 50,
IF(Basic3456789101112131415161718[[#This Row],[نوع الخدمة]]="كاش ان",
    IF(F190&lt;=100, 18, IF(F190&lt;=250, 23, IF(F190&lt;=500, 35, IF(F190&lt;=1000, 40, F190*0.04)))),
IF(Basic3456789101112131415161718[[#This Row],[نوع الخدمة]]="كاش اوت",
    IF(F190&lt;=100, 15, IF(F190&lt;=250, 20, IF(F190&lt;=500, 30, IF(F190&lt;=1000, 35, F190*0.035)))),
0)))</f>
        <v>0</v>
      </c>
      <c r="H190" s="159">
        <f>IF(I190="مخالفات",50,Basic3456789101112131415161718[[#This Row],[قيمة الرسوم / العموله]]+Basic3456789101112131415161718[[#This Row],[قيمة الشحنه]])</f>
        <v>0</v>
      </c>
      <c r="I190" s="90"/>
      <c r="J190" s="142" t="str">
        <f t="shared" si="2"/>
        <v>15.5.2026</v>
      </c>
      <c r="L190" s="153">
        <v>179</v>
      </c>
      <c r="M190" s="92"/>
    </row>
    <row r="191" spans="1:13" ht="21.6" x14ac:dyDescent="0.65">
      <c r="A191" s="195"/>
      <c r="B191" s="140">
        <v>188</v>
      </c>
      <c r="C191" s="2"/>
      <c r="D191" s="1"/>
      <c r="E191" s="3"/>
      <c r="F191" s="1"/>
      <c r="G191" s="141">
        <f>IF(Basic3456789101112131415161718[[#This Row],[نوع الخدمة]]="مخالفات", 50,
IF(Basic3456789101112131415161718[[#This Row],[نوع الخدمة]]="كاش ان",
    IF(F191&lt;=100, 18, IF(F191&lt;=250, 23, IF(F191&lt;=500, 35, IF(F191&lt;=1000, 40, F191*0.04)))),
IF(Basic3456789101112131415161718[[#This Row],[نوع الخدمة]]="كاش اوت",
    IF(F191&lt;=100, 15, IF(F191&lt;=250, 20, IF(F191&lt;=500, 30, IF(F191&lt;=1000, 35, F191*0.035)))),
0)))</f>
        <v>0</v>
      </c>
      <c r="H191" s="159">
        <f>IF(I191="مخالفات",50,Basic3456789101112131415161718[[#This Row],[قيمة الرسوم / العموله]]+Basic3456789101112131415161718[[#This Row],[قيمة الشحنه]])</f>
        <v>0</v>
      </c>
      <c r="I191" s="90"/>
      <c r="J191" s="142" t="str">
        <f t="shared" si="2"/>
        <v>15.5.2026</v>
      </c>
      <c r="L191" s="153">
        <v>180</v>
      </c>
      <c r="M191" s="92"/>
    </row>
    <row r="192" spans="1:13" ht="21.6" x14ac:dyDescent="0.65">
      <c r="A192" s="195"/>
      <c r="B192" s="140">
        <v>189</v>
      </c>
      <c r="C192" s="2"/>
      <c r="D192" s="1"/>
      <c r="E192" s="3"/>
      <c r="F192" s="1"/>
      <c r="G192" s="141">
        <f>IF(Basic3456789101112131415161718[[#This Row],[نوع الخدمة]]="مخالفات", 50,
IF(Basic3456789101112131415161718[[#This Row],[نوع الخدمة]]="كاش ان",
    IF(F192&lt;=100, 18, IF(F192&lt;=250, 23, IF(F192&lt;=500, 35, IF(F192&lt;=1000, 40, F192*0.04)))),
IF(Basic3456789101112131415161718[[#This Row],[نوع الخدمة]]="كاش اوت",
    IF(F192&lt;=100, 15, IF(F192&lt;=250, 20, IF(F192&lt;=500, 30, IF(F192&lt;=1000, 35, F192*0.035)))),
0)))</f>
        <v>0</v>
      </c>
      <c r="H192" s="159">
        <f>IF(I192="مخالفات",50,Basic3456789101112131415161718[[#This Row],[قيمة الرسوم / العموله]]+Basic3456789101112131415161718[[#This Row],[قيمة الشحنه]])</f>
        <v>0</v>
      </c>
      <c r="I192" s="90"/>
      <c r="J192" s="142" t="str">
        <f t="shared" si="2"/>
        <v>15.5.2026</v>
      </c>
      <c r="L192" s="153">
        <v>181</v>
      </c>
      <c r="M192" s="92"/>
    </row>
    <row r="193" spans="1:13" ht="21.6" x14ac:dyDescent="0.65">
      <c r="A193" s="195"/>
      <c r="B193" s="144">
        <v>190</v>
      </c>
      <c r="C193" s="2"/>
      <c r="D193" s="1"/>
      <c r="E193" s="3"/>
      <c r="F193" s="1"/>
      <c r="G193" s="141">
        <f>IF(Basic3456789101112131415161718[[#This Row],[نوع الخدمة]]="مخالفات", 50,
IF(Basic3456789101112131415161718[[#This Row],[نوع الخدمة]]="كاش ان",
    IF(F193&lt;=100, 18, IF(F193&lt;=250, 23, IF(F193&lt;=500, 35, IF(F193&lt;=1000, 40, F193*0.04)))),
IF(Basic3456789101112131415161718[[#This Row],[نوع الخدمة]]="كاش اوت",
    IF(F193&lt;=100, 15, IF(F193&lt;=250, 20, IF(F193&lt;=500, 30, IF(F193&lt;=1000, 35, F193*0.035)))),
0)))</f>
        <v>0</v>
      </c>
      <c r="H193" s="159">
        <f>IF(I193="مخالفات",50,Basic3456789101112131415161718[[#This Row],[قيمة الرسوم / العموله]]+Basic3456789101112131415161718[[#This Row],[قيمة الشحنه]])</f>
        <v>0</v>
      </c>
      <c r="I193" s="90"/>
      <c r="J193" s="142" t="str">
        <f t="shared" si="2"/>
        <v>15.5.2026</v>
      </c>
      <c r="L193" s="153">
        <v>182</v>
      </c>
      <c r="M193" s="92"/>
    </row>
    <row r="194" spans="1:13" ht="21.6" x14ac:dyDescent="0.65">
      <c r="A194" s="195"/>
      <c r="B194" s="140">
        <v>191</v>
      </c>
      <c r="C194" s="2"/>
      <c r="D194" s="1"/>
      <c r="E194" s="3"/>
      <c r="F194" s="1"/>
      <c r="G194" s="141">
        <f>IF(Basic3456789101112131415161718[[#This Row],[نوع الخدمة]]="مخالفات", 50,
IF(Basic3456789101112131415161718[[#This Row],[نوع الخدمة]]="كاش ان",
    IF(F194&lt;=100, 18, IF(F194&lt;=250, 23, IF(F194&lt;=500, 35, IF(F194&lt;=1000, 40, F194*0.04)))),
IF(Basic3456789101112131415161718[[#This Row],[نوع الخدمة]]="كاش اوت",
    IF(F194&lt;=100, 15, IF(F194&lt;=250, 20, IF(F194&lt;=500, 30, IF(F194&lt;=1000, 35, F194*0.035)))),
0)))</f>
        <v>0</v>
      </c>
      <c r="H194" s="159">
        <f>IF(I194="مخالفات",50,Basic3456789101112131415161718[[#This Row],[قيمة الرسوم / العموله]]+Basic3456789101112131415161718[[#This Row],[قيمة الشحنه]])</f>
        <v>0</v>
      </c>
      <c r="I194" s="90"/>
      <c r="J194" s="142" t="str">
        <f t="shared" si="2"/>
        <v>15.5.2026</v>
      </c>
      <c r="L194" s="153">
        <v>183</v>
      </c>
      <c r="M194" s="92"/>
    </row>
    <row r="195" spans="1:13" ht="21.6" x14ac:dyDescent="0.65">
      <c r="A195" s="195"/>
      <c r="B195" s="140">
        <v>192</v>
      </c>
      <c r="C195" s="2"/>
      <c r="D195" s="1"/>
      <c r="E195" s="3"/>
      <c r="F195" s="1"/>
      <c r="G195" s="141">
        <f>IF(Basic3456789101112131415161718[[#This Row],[نوع الخدمة]]="مخالفات", 50,
IF(Basic3456789101112131415161718[[#This Row],[نوع الخدمة]]="كاش ان",
    IF(F195&lt;=100, 18, IF(F195&lt;=250, 23, IF(F195&lt;=500, 35, IF(F195&lt;=1000, 40, F195*0.04)))),
IF(Basic3456789101112131415161718[[#This Row],[نوع الخدمة]]="كاش اوت",
    IF(F195&lt;=100, 15, IF(F195&lt;=250, 20, IF(F195&lt;=500, 30, IF(F195&lt;=1000, 35, F195*0.035)))),
0)))</f>
        <v>0</v>
      </c>
      <c r="H195" s="159">
        <f>IF(I195="مخالفات",50,Basic3456789101112131415161718[[#This Row],[قيمة الرسوم / العموله]]+Basic3456789101112131415161718[[#This Row],[قيمة الشحنه]])</f>
        <v>0</v>
      </c>
      <c r="I195" s="90"/>
      <c r="J195" s="142" t="str">
        <f t="shared" si="2"/>
        <v>15.5.2026</v>
      </c>
      <c r="L195" s="153">
        <v>184</v>
      </c>
      <c r="M195" s="92"/>
    </row>
    <row r="196" spans="1:13" ht="21.6" x14ac:dyDescent="0.65">
      <c r="A196" s="195"/>
      <c r="B196" s="140">
        <v>193</v>
      </c>
      <c r="C196" s="2"/>
      <c r="D196" s="1"/>
      <c r="E196" s="3"/>
      <c r="F196" s="1"/>
      <c r="G196" s="141">
        <f>IF(Basic3456789101112131415161718[[#This Row],[نوع الخدمة]]="مخالفات", 50,
IF(Basic3456789101112131415161718[[#This Row],[نوع الخدمة]]="كاش ان",
    IF(F196&lt;=100, 18, IF(F196&lt;=250, 23, IF(F196&lt;=500, 35, IF(F196&lt;=1000, 40, F196*0.04)))),
IF(Basic3456789101112131415161718[[#This Row],[نوع الخدمة]]="كاش اوت",
    IF(F196&lt;=100, 15, IF(F196&lt;=250, 20, IF(F196&lt;=500, 30, IF(F196&lt;=1000, 35, F196*0.035)))),
0)))</f>
        <v>0</v>
      </c>
      <c r="H196" s="159">
        <f>IF(I196="مخالفات",50,Basic3456789101112131415161718[[#This Row],[قيمة الرسوم / العموله]]+Basic3456789101112131415161718[[#This Row],[قيمة الشحنه]])</f>
        <v>0</v>
      </c>
      <c r="I196" s="90"/>
      <c r="J196" s="142" t="str">
        <f t="shared" ref="J196:J226" si="3">M$3</f>
        <v>15.5.2026</v>
      </c>
      <c r="L196" s="153">
        <v>185</v>
      </c>
      <c r="M196" s="92"/>
    </row>
    <row r="197" spans="1:13" ht="21.6" x14ac:dyDescent="0.65">
      <c r="A197" s="195"/>
      <c r="B197" s="144">
        <v>194</v>
      </c>
      <c r="C197" s="2"/>
      <c r="D197" s="1"/>
      <c r="E197" s="3"/>
      <c r="F197" s="1"/>
      <c r="G197" s="141">
        <f>IF(Basic3456789101112131415161718[[#This Row],[نوع الخدمة]]="مخالفات", 50,
IF(Basic3456789101112131415161718[[#This Row],[نوع الخدمة]]="كاش ان",
    IF(F197&lt;=100, 18, IF(F197&lt;=250, 23, IF(F197&lt;=500, 35, IF(F197&lt;=1000, 40, F197*0.04)))),
IF(Basic3456789101112131415161718[[#This Row],[نوع الخدمة]]="كاش اوت",
    IF(F197&lt;=100, 15, IF(F197&lt;=250, 20, IF(F197&lt;=500, 30, IF(F197&lt;=1000, 35, F197*0.035)))),
0)))</f>
        <v>0</v>
      </c>
      <c r="H197" s="159">
        <f>IF(I197="مخالفات",50,Basic3456789101112131415161718[[#This Row],[قيمة الرسوم / العموله]]+Basic3456789101112131415161718[[#This Row],[قيمة الشحنه]])</f>
        <v>0</v>
      </c>
      <c r="I197" s="90"/>
      <c r="J197" s="142" t="str">
        <f t="shared" si="3"/>
        <v>15.5.2026</v>
      </c>
      <c r="L197" s="153">
        <v>186</v>
      </c>
      <c r="M197" s="92"/>
    </row>
    <row r="198" spans="1:13" ht="21.6" x14ac:dyDescent="0.65">
      <c r="A198" s="195"/>
      <c r="B198" s="140">
        <v>195</v>
      </c>
      <c r="C198" s="2"/>
      <c r="D198" s="1"/>
      <c r="E198" s="3"/>
      <c r="F198" s="1"/>
      <c r="G198" s="141">
        <f>IF(Basic3456789101112131415161718[[#This Row],[نوع الخدمة]]="مخالفات", 50,
IF(Basic3456789101112131415161718[[#This Row],[نوع الخدمة]]="كاش ان",
    IF(F198&lt;=100, 18, IF(F198&lt;=250, 23, IF(F198&lt;=500, 35, IF(F198&lt;=1000, 40, F198*0.04)))),
IF(Basic3456789101112131415161718[[#This Row],[نوع الخدمة]]="كاش اوت",
    IF(F198&lt;=100, 15, IF(F198&lt;=250, 20, IF(F198&lt;=500, 30, IF(F198&lt;=1000, 35, F198*0.035)))),
0)))</f>
        <v>0</v>
      </c>
      <c r="H198" s="159">
        <f>IF(I198="مخالفات",50,Basic3456789101112131415161718[[#This Row],[قيمة الرسوم / العموله]]+Basic3456789101112131415161718[[#This Row],[قيمة الشحنه]])</f>
        <v>0</v>
      </c>
      <c r="I198" s="90"/>
      <c r="J198" s="142" t="str">
        <f t="shared" si="3"/>
        <v>15.5.2026</v>
      </c>
      <c r="L198" s="153">
        <v>187</v>
      </c>
      <c r="M198" s="92"/>
    </row>
    <row r="199" spans="1:13" ht="21.6" x14ac:dyDescent="0.65">
      <c r="A199" s="195"/>
      <c r="B199" s="140">
        <v>196</v>
      </c>
      <c r="C199" s="2"/>
      <c r="D199" s="1"/>
      <c r="E199" s="3"/>
      <c r="F199" s="1"/>
      <c r="G199" s="141">
        <f>IF(Basic3456789101112131415161718[[#This Row],[نوع الخدمة]]="مخالفات", 50,
IF(Basic3456789101112131415161718[[#This Row],[نوع الخدمة]]="كاش ان",
    IF(F199&lt;=100, 18, IF(F199&lt;=250, 23, IF(F199&lt;=500, 35, IF(F199&lt;=1000, 40, F199*0.04)))),
IF(Basic3456789101112131415161718[[#This Row],[نوع الخدمة]]="كاش اوت",
    IF(F199&lt;=100, 15, IF(F199&lt;=250, 20, IF(F199&lt;=500, 30, IF(F199&lt;=1000, 35, F199*0.035)))),
0)))</f>
        <v>0</v>
      </c>
      <c r="H199" s="159">
        <f>IF(I199="مخالفات",50,Basic3456789101112131415161718[[#This Row],[قيمة الرسوم / العموله]]+Basic3456789101112131415161718[[#This Row],[قيمة الشحنه]])</f>
        <v>0</v>
      </c>
      <c r="I199" s="90"/>
      <c r="J199" s="142" t="str">
        <f t="shared" si="3"/>
        <v>15.5.2026</v>
      </c>
      <c r="L199" s="153">
        <v>188</v>
      </c>
      <c r="M199" s="92"/>
    </row>
    <row r="200" spans="1:13" ht="21.6" x14ac:dyDescent="0.65">
      <c r="A200" s="195"/>
      <c r="B200" s="140">
        <v>197</v>
      </c>
      <c r="C200" s="2"/>
      <c r="D200" s="1"/>
      <c r="E200" s="3"/>
      <c r="F200" s="1"/>
      <c r="G200" s="141">
        <f>IF(Basic3456789101112131415161718[[#This Row],[نوع الخدمة]]="مخالفات", 50,
IF(Basic3456789101112131415161718[[#This Row],[نوع الخدمة]]="كاش ان",
    IF(F200&lt;=100, 18, IF(F200&lt;=250, 23, IF(F200&lt;=500, 35, IF(F200&lt;=1000, 40, F200*0.04)))),
IF(Basic3456789101112131415161718[[#This Row],[نوع الخدمة]]="كاش اوت",
    IF(F200&lt;=100, 15, IF(F200&lt;=250, 20, IF(F200&lt;=500, 30, IF(F200&lt;=1000, 35, F200*0.035)))),
0)))</f>
        <v>0</v>
      </c>
      <c r="H200" s="159">
        <f>IF(I200="مخالفات",50,Basic3456789101112131415161718[[#This Row],[قيمة الرسوم / العموله]]+Basic3456789101112131415161718[[#This Row],[قيمة الشحنه]])</f>
        <v>0</v>
      </c>
      <c r="I200" s="90"/>
      <c r="J200" s="142" t="str">
        <f t="shared" si="3"/>
        <v>15.5.2026</v>
      </c>
      <c r="L200" s="153">
        <v>189</v>
      </c>
      <c r="M200" s="92"/>
    </row>
    <row r="201" spans="1:13" ht="21.6" x14ac:dyDescent="0.65">
      <c r="A201" s="195"/>
      <c r="B201" s="144">
        <v>198</v>
      </c>
      <c r="C201" s="2"/>
      <c r="D201" s="1"/>
      <c r="E201" s="3"/>
      <c r="F201" s="1"/>
      <c r="G201" s="141">
        <f>IF(Basic3456789101112131415161718[[#This Row],[نوع الخدمة]]="مخالفات", 50,
IF(Basic3456789101112131415161718[[#This Row],[نوع الخدمة]]="كاش ان",
    IF(F201&lt;=100, 18, IF(F201&lt;=250, 23, IF(F201&lt;=500, 35, IF(F201&lt;=1000, 40, F201*0.04)))),
IF(Basic3456789101112131415161718[[#This Row],[نوع الخدمة]]="كاش اوت",
    IF(F201&lt;=100, 15, IF(F201&lt;=250, 20, IF(F201&lt;=500, 30, IF(F201&lt;=1000, 35, F201*0.035)))),
0)))</f>
        <v>0</v>
      </c>
      <c r="H201" s="159">
        <f>IF(I201="مخالفات",50,Basic3456789101112131415161718[[#This Row],[قيمة الرسوم / العموله]]+Basic3456789101112131415161718[[#This Row],[قيمة الشحنه]])</f>
        <v>0</v>
      </c>
      <c r="I201" s="90"/>
      <c r="J201" s="142" t="str">
        <f t="shared" si="3"/>
        <v>15.5.2026</v>
      </c>
      <c r="L201" s="153">
        <v>190</v>
      </c>
      <c r="M201" s="92"/>
    </row>
    <row r="202" spans="1:13" ht="21.6" x14ac:dyDescent="0.65">
      <c r="A202" s="195"/>
      <c r="B202" s="140">
        <v>199</v>
      </c>
      <c r="C202" s="2"/>
      <c r="D202" s="1"/>
      <c r="E202" s="3"/>
      <c r="F202" s="1"/>
      <c r="G202" s="141">
        <f>IF(Basic3456789101112131415161718[[#This Row],[نوع الخدمة]]="مخالفات", 50,
IF(Basic3456789101112131415161718[[#This Row],[نوع الخدمة]]="كاش ان",
    IF(F202&lt;=100, 18, IF(F202&lt;=250, 23, IF(F202&lt;=500, 35, IF(F202&lt;=1000, 40, F202*0.04)))),
IF(Basic3456789101112131415161718[[#This Row],[نوع الخدمة]]="كاش اوت",
    IF(F202&lt;=100, 15, IF(F202&lt;=250, 20, IF(F202&lt;=500, 30, IF(F202&lt;=1000, 35, F202*0.035)))),
0)))</f>
        <v>0</v>
      </c>
      <c r="H202" s="159">
        <f>IF(I202="مخالفات",50,Basic3456789101112131415161718[[#This Row],[قيمة الرسوم / العموله]]+Basic3456789101112131415161718[[#This Row],[قيمة الشحنه]])</f>
        <v>0</v>
      </c>
      <c r="I202" s="90"/>
      <c r="J202" s="142" t="str">
        <f t="shared" si="3"/>
        <v>15.5.2026</v>
      </c>
      <c r="L202" s="153">
        <v>191</v>
      </c>
      <c r="M202" s="92"/>
    </row>
    <row r="203" spans="1:13" ht="21.6" x14ac:dyDescent="0.65">
      <c r="A203" s="195"/>
      <c r="B203" s="140">
        <v>200</v>
      </c>
      <c r="C203" s="2"/>
      <c r="D203" s="1"/>
      <c r="E203" s="3"/>
      <c r="F203" s="1"/>
      <c r="G203" s="141">
        <f>IF(Basic3456789101112131415161718[[#This Row],[نوع الخدمة]]="مخالفات", 50,
IF(Basic3456789101112131415161718[[#This Row],[نوع الخدمة]]="كاش ان",
    IF(F203&lt;=100, 18, IF(F203&lt;=250, 23, IF(F203&lt;=500, 35, IF(F203&lt;=1000, 40, F203*0.04)))),
IF(Basic3456789101112131415161718[[#This Row],[نوع الخدمة]]="كاش اوت",
    IF(F203&lt;=100, 15, IF(F203&lt;=250, 20, IF(F203&lt;=500, 30, IF(F203&lt;=1000, 35, F203*0.035)))),
0)))</f>
        <v>0</v>
      </c>
      <c r="H203" s="159">
        <f>IF(I203="مخالفات",50,Basic3456789101112131415161718[[#This Row],[قيمة الرسوم / العموله]]+Basic3456789101112131415161718[[#This Row],[قيمة الشحنه]])</f>
        <v>0</v>
      </c>
      <c r="I203" s="90"/>
      <c r="J203" s="142" t="str">
        <f t="shared" si="3"/>
        <v>15.5.2026</v>
      </c>
      <c r="L203" s="153">
        <v>192</v>
      </c>
      <c r="M203" s="92"/>
    </row>
    <row r="204" spans="1:13" ht="21.6" x14ac:dyDescent="0.65">
      <c r="A204" s="195"/>
      <c r="B204" s="140">
        <v>201</v>
      </c>
      <c r="C204" s="2"/>
      <c r="D204" s="1"/>
      <c r="E204" s="3"/>
      <c r="F204" s="1"/>
      <c r="G204" s="141">
        <f>IF(Basic3456789101112131415161718[[#This Row],[نوع الخدمة]]="مخالفات", 50,
IF(Basic3456789101112131415161718[[#This Row],[نوع الخدمة]]="كاش ان",
    IF(F204&lt;=100, 18, IF(F204&lt;=250, 23, IF(F204&lt;=500, 35, IF(F204&lt;=1000, 40, F204*0.04)))),
IF(Basic3456789101112131415161718[[#This Row],[نوع الخدمة]]="كاش اوت",
    IF(F204&lt;=100, 15, IF(F204&lt;=250, 20, IF(F204&lt;=500, 30, IF(F204&lt;=1000, 35, F204*0.035)))),
0)))</f>
        <v>0</v>
      </c>
      <c r="H204" s="159">
        <f>IF(I204="مخالفات",50,Basic3456789101112131415161718[[#This Row],[قيمة الرسوم / العموله]]+Basic3456789101112131415161718[[#This Row],[قيمة الشحنه]])</f>
        <v>0</v>
      </c>
      <c r="I204" s="90"/>
      <c r="J204" s="142" t="str">
        <f t="shared" si="3"/>
        <v>15.5.2026</v>
      </c>
      <c r="L204" s="153">
        <v>193</v>
      </c>
      <c r="M204" s="92"/>
    </row>
    <row r="205" spans="1:13" ht="21.6" x14ac:dyDescent="0.65">
      <c r="A205" s="195"/>
      <c r="B205" s="144">
        <v>202</v>
      </c>
      <c r="C205" s="2"/>
      <c r="D205" s="1"/>
      <c r="E205" s="3"/>
      <c r="F205" s="1"/>
      <c r="G205" s="141">
        <f>IF(Basic3456789101112131415161718[[#This Row],[نوع الخدمة]]="مخالفات", 50,
IF(Basic3456789101112131415161718[[#This Row],[نوع الخدمة]]="كاش ان",
    IF(F205&lt;=100, 18, IF(F205&lt;=250, 23, IF(F205&lt;=500, 35, IF(F205&lt;=1000, 40, F205*0.04)))),
IF(Basic3456789101112131415161718[[#This Row],[نوع الخدمة]]="كاش اوت",
    IF(F205&lt;=100, 15, IF(F205&lt;=250, 20, IF(F205&lt;=500, 30, IF(F205&lt;=1000, 35, F205*0.035)))),
0)))</f>
        <v>0</v>
      </c>
      <c r="H205" s="159">
        <f>IF(I205="مخالفات",50,Basic3456789101112131415161718[[#This Row],[قيمة الرسوم / العموله]]+Basic3456789101112131415161718[[#This Row],[قيمة الشحنه]])</f>
        <v>0</v>
      </c>
      <c r="I205" s="90"/>
      <c r="J205" s="142" t="str">
        <f t="shared" si="3"/>
        <v>15.5.2026</v>
      </c>
      <c r="L205" s="153">
        <v>194</v>
      </c>
      <c r="M205" s="92"/>
    </row>
    <row r="206" spans="1:13" ht="21.6" x14ac:dyDescent="0.65">
      <c r="A206" s="195"/>
      <c r="B206" s="140">
        <v>203</v>
      </c>
      <c r="C206" s="2"/>
      <c r="D206" s="1"/>
      <c r="E206" s="3"/>
      <c r="F206" s="1"/>
      <c r="G206" s="141">
        <f>IF(Basic3456789101112131415161718[[#This Row],[نوع الخدمة]]="مخالفات", 50,
IF(Basic3456789101112131415161718[[#This Row],[نوع الخدمة]]="كاش ان",
    IF(F206&lt;=100, 18, IF(F206&lt;=250, 23, IF(F206&lt;=500, 35, IF(F206&lt;=1000, 40, F206*0.04)))),
IF(Basic3456789101112131415161718[[#This Row],[نوع الخدمة]]="كاش اوت",
    IF(F206&lt;=100, 15, IF(F206&lt;=250, 20, IF(F206&lt;=500, 30, IF(F206&lt;=1000, 35, F206*0.035)))),
0)))</f>
        <v>0</v>
      </c>
      <c r="H206" s="159">
        <f>IF(I206="مخالفات",50,Basic3456789101112131415161718[[#This Row],[قيمة الرسوم / العموله]]+Basic3456789101112131415161718[[#This Row],[قيمة الشحنه]])</f>
        <v>0</v>
      </c>
      <c r="I206" s="90"/>
      <c r="J206" s="142" t="str">
        <f t="shared" si="3"/>
        <v>15.5.2026</v>
      </c>
      <c r="L206" s="153">
        <v>195</v>
      </c>
      <c r="M206" s="92"/>
    </row>
    <row r="207" spans="1:13" ht="21.6" x14ac:dyDescent="0.65">
      <c r="A207" s="195"/>
      <c r="B207" s="140">
        <v>204</v>
      </c>
      <c r="C207" s="2"/>
      <c r="D207" s="1"/>
      <c r="E207" s="3"/>
      <c r="F207" s="1"/>
      <c r="G207" s="141">
        <f>IF(Basic3456789101112131415161718[[#This Row],[نوع الخدمة]]="مخالفات", 50,
IF(Basic3456789101112131415161718[[#This Row],[نوع الخدمة]]="كاش ان",
    IF(F207&lt;=100, 18, IF(F207&lt;=250, 23, IF(F207&lt;=500, 35, IF(F207&lt;=1000, 40, F207*0.04)))),
IF(Basic3456789101112131415161718[[#This Row],[نوع الخدمة]]="كاش اوت",
    IF(F207&lt;=100, 15, IF(F207&lt;=250, 20, IF(F207&lt;=500, 30, IF(F207&lt;=1000, 35, F207*0.035)))),
0)))</f>
        <v>0</v>
      </c>
      <c r="H207" s="159">
        <f>IF(I207="مخالفات",50,Basic3456789101112131415161718[[#This Row],[قيمة الرسوم / العموله]]+Basic3456789101112131415161718[[#This Row],[قيمة الشحنه]])</f>
        <v>0</v>
      </c>
      <c r="I207" s="90"/>
      <c r="J207" s="142" t="str">
        <f t="shared" si="3"/>
        <v>15.5.2026</v>
      </c>
      <c r="L207" s="153">
        <v>196</v>
      </c>
      <c r="M207" s="92"/>
    </row>
    <row r="208" spans="1:13" ht="21.6" x14ac:dyDescent="0.65">
      <c r="A208" s="195"/>
      <c r="B208" s="140">
        <v>205</v>
      </c>
      <c r="C208" s="2"/>
      <c r="D208" s="1"/>
      <c r="E208" s="3"/>
      <c r="F208" s="1"/>
      <c r="G208" s="141">
        <f>IF(Basic3456789101112131415161718[[#This Row],[نوع الخدمة]]="مخالفات", 50,
IF(Basic3456789101112131415161718[[#This Row],[نوع الخدمة]]="كاش ان",
    IF(F208&lt;=100, 18, IF(F208&lt;=250, 23, IF(F208&lt;=500, 35, IF(F208&lt;=1000, 40, F208*0.04)))),
IF(Basic3456789101112131415161718[[#This Row],[نوع الخدمة]]="كاش اوت",
    IF(F208&lt;=100, 15, IF(F208&lt;=250, 20, IF(F208&lt;=500, 30, IF(F208&lt;=1000, 35, F208*0.035)))),
0)))</f>
        <v>0</v>
      </c>
      <c r="H208" s="159">
        <f>IF(I208="مخالفات",50,Basic3456789101112131415161718[[#This Row],[قيمة الرسوم / العموله]]+Basic3456789101112131415161718[[#This Row],[قيمة الشحنه]])</f>
        <v>0</v>
      </c>
      <c r="I208" s="90"/>
      <c r="J208" s="142" t="str">
        <f t="shared" si="3"/>
        <v>15.5.2026</v>
      </c>
      <c r="L208" s="153">
        <v>197</v>
      </c>
      <c r="M208" s="92"/>
    </row>
    <row r="209" spans="1:13" ht="21.6" x14ac:dyDescent="0.65">
      <c r="A209" s="195"/>
      <c r="B209" s="144">
        <v>206</v>
      </c>
      <c r="C209" s="2"/>
      <c r="D209" s="1"/>
      <c r="E209" s="3"/>
      <c r="F209" s="1"/>
      <c r="G209" s="141">
        <f>IF(Basic3456789101112131415161718[[#This Row],[نوع الخدمة]]="مخالفات", 50,
IF(Basic3456789101112131415161718[[#This Row],[نوع الخدمة]]="كاش ان",
    IF(F209&lt;=100, 18, IF(F209&lt;=250, 23, IF(F209&lt;=500, 35, IF(F209&lt;=1000, 40, F209*0.04)))),
IF(Basic3456789101112131415161718[[#This Row],[نوع الخدمة]]="كاش اوت",
    IF(F209&lt;=100, 15, IF(F209&lt;=250, 20, IF(F209&lt;=500, 30, IF(F209&lt;=1000, 35, F209*0.035)))),
0)))</f>
        <v>0</v>
      </c>
      <c r="H209" s="159">
        <f>IF(I209="مخالفات",50,Basic3456789101112131415161718[[#This Row],[قيمة الرسوم / العموله]]+Basic3456789101112131415161718[[#This Row],[قيمة الشحنه]])</f>
        <v>0</v>
      </c>
      <c r="I209" s="90"/>
      <c r="J209" s="142" t="str">
        <f t="shared" si="3"/>
        <v>15.5.2026</v>
      </c>
      <c r="L209" s="153">
        <v>198</v>
      </c>
      <c r="M209" s="92"/>
    </row>
    <row r="210" spans="1:13" ht="21.6" x14ac:dyDescent="0.65">
      <c r="A210" s="195"/>
      <c r="B210" s="140">
        <v>207</v>
      </c>
      <c r="C210" s="2"/>
      <c r="D210" s="1"/>
      <c r="E210" s="3"/>
      <c r="F210" s="1"/>
      <c r="G210" s="141">
        <f>IF(Basic3456789101112131415161718[[#This Row],[نوع الخدمة]]="مخالفات", 50,
IF(Basic3456789101112131415161718[[#This Row],[نوع الخدمة]]="كاش ان",
    IF(F210&lt;=100, 18, IF(F210&lt;=250, 23, IF(F210&lt;=500, 35, IF(F210&lt;=1000, 40, F210*0.04)))),
IF(Basic3456789101112131415161718[[#This Row],[نوع الخدمة]]="كاش اوت",
    IF(F210&lt;=100, 15, IF(F210&lt;=250, 20, IF(F210&lt;=500, 30, IF(F210&lt;=1000, 35, F210*0.035)))),
0)))</f>
        <v>0</v>
      </c>
      <c r="H210" s="159">
        <f>IF(I210="مخالفات",50,Basic3456789101112131415161718[[#This Row],[قيمة الرسوم / العموله]]+Basic3456789101112131415161718[[#This Row],[قيمة الشحنه]])</f>
        <v>0</v>
      </c>
      <c r="I210" s="90"/>
      <c r="J210" s="142" t="str">
        <f t="shared" si="3"/>
        <v>15.5.2026</v>
      </c>
      <c r="L210" s="153">
        <v>199</v>
      </c>
      <c r="M210" s="92"/>
    </row>
    <row r="211" spans="1:13" ht="21.6" x14ac:dyDescent="0.65">
      <c r="A211" s="195"/>
      <c r="B211" s="140">
        <v>208</v>
      </c>
      <c r="C211" s="2"/>
      <c r="D211" s="1"/>
      <c r="E211" s="3"/>
      <c r="F211" s="1"/>
      <c r="G211" s="141">
        <f>IF(Basic3456789101112131415161718[[#This Row],[نوع الخدمة]]="مخالفات", 50,
IF(Basic3456789101112131415161718[[#This Row],[نوع الخدمة]]="كاش ان",
    IF(F211&lt;=100, 18, IF(F211&lt;=250, 23, IF(F211&lt;=500, 35, IF(F211&lt;=1000, 40, F211*0.04)))),
IF(Basic3456789101112131415161718[[#This Row],[نوع الخدمة]]="كاش اوت",
    IF(F211&lt;=100, 15, IF(F211&lt;=250, 20, IF(F211&lt;=500, 30, IF(F211&lt;=1000, 35, F211*0.035)))),
0)))</f>
        <v>0</v>
      </c>
      <c r="H211" s="159">
        <f>IF(I211="مخالفات",50,Basic3456789101112131415161718[[#This Row],[قيمة الرسوم / العموله]]+Basic3456789101112131415161718[[#This Row],[قيمة الشحنه]])</f>
        <v>0</v>
      </c>
      <c r="I211" s="90"/>
      <c r="J211" s="142" t="str">
        <f t="shared" si="3"/>
        <v>15.5.2026</v>
      </c>
      <c r="L211" s="153">
        <v>200</v>
      </c>
      <c r="M211" s="92"/>
    </row>
    <row r="212" spans="1:13" ht="21.6" x14ac:dyDescent="0.65">
      <c r="A212" s="195"/>
      <c r="B212" s="140">
        <v>209</v>
      </c>
      <c r="C212" s="2"/>
      <c r="D212" s="1"/>
      <c r="E212" s="3"/>
      <c r="F212" s="1"/>
      <c r="G212" s="141">
        <f>IF(Basic3456789101112131415161718[[#This Row],[نوع الخدمة]]="مخالفات", 50,
IF(Basic3456789101112131415161718[[#This Row],[نوع الخدمة]]="كاش ان",
    IF(F212&lt;=100, 18, IF(F212&lt;=250, 23, IF(F212&lt;=500, 35, IF(F212&lt;=1000, 40, F212*0.04)))),
IF(Basic3456789101112131415161718[[#This Row],[نوع الخدمة]]="كاش اوت",
    IF(F212&lt;=100, 15, IF(F212&lt;=250, 20, IF(F212&lt;=500, 30, IF(F212&lt;=1000, 35, F212*0.035)))),
0)))</f>
        <v>0</v>
      </c>
      <c r="H212" s="159">
        <f>IF(I212="مخالفات",50,Basic3456789101112131415161718[[#This Row],[قيمة الرسوم / العموله]]+Basic3456789101112131415161718[[#This Row],[قيمة الشحنه]])</f>
        <v>0</v>
      </c>
      <c r="I212" s="90"/>
      <c r="J212" s="142" t="str">
        <f t="shared" si="3"/>
        <v>15.5.2026</v>
      </c>
      <c r="L212" s="153">
        <v>201</v>
      </c>
      <c r="M212" s="92"/>
    </row>
    <row r="213" spans="1:13" ht="21.6" x14ac:dyDescent="0.65">
      <c r="A213" s="195"/>
      <c r="B213" s="144">
        <v>210</v>
      </c>
      <c r="C213" s="2"/>
      <c r="D213" s="1"/>
      <c r="E213" s="3"/>
      <c r="F213" s="1"/>
      <c r="G213" s="141">
        <f>IF(Basic3456789101112131415161718[[#This Row],[نوع الخدمة]]="مخالفات", 50,
IF(Basic3456789101112131415161718[[#This Row],[نوع الخدمة]]="كاش ان",
    IF(F213&lt;=100, 18, IF(F213&lt;=250, 23, IF(F213&lt;=500, 35, IF(F213&lt;=1000, 40, F213*0.04)))),
IF(Basic3456789101112131415161718[[#This Row],[نوع الخدمة]]="كاش اوت",
    IF(F213&lt;=100, 15, IF(F213&lt;=250, 20, IF(F213&lt;=500, 30, IF(F213&lt;=1000, 35, F213*0.035)))),
0)))</f>
        <v>0</v>
      </c>
      <c r="H213" s="159">
        <f>IF(I213="مخالفات",50,Basic3456789101112131415161718[[#This Row],[قيمة الرسوم / العموله]]+Basic3456789101112131415161718[[#This Row],[قيمة الشحنه]])</f>
        <v>0</v>
      </c>
      <c r="I213" s="90"/>
      <c r="J213" s="142" t="str">
        <f t="shared" si="3"/>
        <v>15.5.2026</v>
      </c>
      <c r="L213" s="153">
        <v>202</v>
      </c>
      <c r="M213" s="92"/>
    </row>
    <row r="214" spans="1:13" ht="21.6" x14ac:dyDescent="0.65">
      <c r="A214" s="195"/>
      <c r="B214" s="140">
        <v>211</v>
      </c>
      <c r="C214" s="2"/>
      <c r="D214" s="1"/>
      <c r="E214" s="3"/>
      <c r="F214" s="1"/>
      <c r="G214" s="141">
        <f>IF(Basic3456789101112131415161718[[#This Row],[نوع الخدمة]]="مخالفات", 50,
IF(Basic3456789101112131415161718[[#This Row],[نوع الخدمة]]="كاش ان",
    IF(F214&lt;=100, 18, IF(F214&lt;=250, 23, IF(F214&lt;=500, 35, IF(F214&lt;=1000, 40, F214*0.04)))),
IF(Basic3456789101112131415161718[[#This Row],[نوع الخدمة]]="كاش اوت",
    IF(F214&lt;=100, 15, IF(F214&lt;=250, 20, IF(F214&lt;=500, 30, IF(F214&lt;=1000, 35, F214*0.035)))),
0)))</f>
        <v>0</v>
      </c>
      <c r="H214" s="159">
        <f>IF(I214="مخالفات",50,Basic3456789101112131415161718[[#This Row],[قيمة الرسوم / العموله]]+Basic3456789101112131415161718[[#This Row],[قيمة الشحنه]])</f>
        <v>0</v>
      </c>
      <c r="I214" s="90"/>
      <c r="J214" s="142" t="str">
        <f t="shared" si="3"/>
        <v>15.5.2026</v>
      </c>
      <c r="L214" s="153">
        <v>203</v>
      </c>
      <c r="M214" s="92"/>
    </row>
    <row r="215" spans="1:13" ht="21.6" x14ac:dyDescent="0.65">
      <c r="A215" s="195"/>
      <c r="B215" s="140">
        <v>212</v>
      </c>
      <c r="C215" s="2"/>
      <c r="D215" s="1"/>
      <c r="E215" s="3"/>
      <c r="F215" s="1"/>
      <c r="G215" s="141">
        <f>IF(Basic3456789101112131415161718[[#This Row],[نوع الخدمة]]="مخالفات", 50,
IF(Basic3456789101112131415161718[[#This Row],[نوع الخدمة]]="كاش ان",
    IF(F215&lt;=100, 18, IF(F215&lt;=250, 23, IF(F215&lt;=500, 35, IF(F215&lt;=1000, 40, F215*0.04)))),
IF(Basic3456789101112131415161718[[#This Row],[نوع الخدمة]]="كاش اوت",
    IF(F215&lt;=100, 15, IF(F215&lt;=250, 20, IF(F215&lt;=500, 30, IF(F215&lt;=1000, 35, F215*0.035)))),
0)))</f>
        <v>0</v>
      </c>
      <c r="H215" s="159">
        <f>IF(I215="مخالفات",50,Basic3456789101112131415161718[[#This Row],[قيمة الرسوم / العموله]]+Basic3456789101112131415161718[[#This Row],[قيمة الشحنه]])</f>
        <v>0</v>
      </c>
      <c r="I215" s="90"/>
      <c r="J215" s="142" t="str">
        <f t="shared" si="3"/>
        <v>15.5.2026</v>
      </c>
      <c r="L215" s="153">
        <v>204</v>
      </c>
      <c r="M215" s="92"/>
    </row>
    <row r="216" spans="1:13" ht="21.6" x14ac:dyDescent="0.65">
      <c r="A216" s="195"/>
      <c r="B216" s="140">
        <v>213</v>
      </c>
      <c r="C216" s="2"/>
      <c r="D216" s="1"/>
      <c r="E216" s="3"/>
      <c r="F216" s="1"/>
      <c r="G216" s="141">
        <f>IF(Basic3456789101112131415161718[[#This Row],[نوع الخدمة]]="مخالفات", 50,
IF(Basic3456789101112131415161718[[#This Row],[نوع الخدمة]]="كاش ان",
    IF(F216&lt;=100, 18, IF(F216&lt;=250, 23, IF(F216&lt;=500, 35, IF(F216&lt;=1000, 40, F216*0.04)))),
IF(Basic3456789101112131415161718[[#This Row],[نوع الخدمة]]="كاش اوت",
    IF(F216&lt;=100, 15, IF(F216&lt;=250, 20, IF(F216&lt;=500, 30, IF(F216&lt;=1000, 35, F216*0.035)))),
0)))</f>
        <v>0</v>
      </c>
      <c r="H216" s="159">
        <f>IF(I216="مخالفات",50,Basic3456789101112131415161718[[#This Row],[قيمة الرسوم / العموله]]+Basic3456789101112131415161718[[#This Row],[قيمة الشحنه]])</f>
        <v>0</v>
      </c>
      <c r="I216" s="90"/>
      <c r="J216" s="142" t="str">
        <f t="shared" si="3"/>
        <v>15.5.2026</v>
      </c>
      <c r="L216" s="153">
        <v>205</v>
      </c>
      <c r="M216" s="92"/>
    </row>
    <row r="217" spans="1:13" ht="21.6" x14ac:dyDescent="0.65">
      <c r="A217" s="195"/>
      <c r="B217" s="144">
        <v>214</v>
      </c>
      <c r="C217" s="2"/>
      <c r="D217" s="1"/>
      <c r="E217" s="3"/>
      <c r="F217" s="1"/>
      <c r="G217" s="141">
        <f>IF(Basic3456789101112131415161718[[#This Row],[نوع الخدمة]]="مخالفات", 50,
IF(Basic3456789101112131415161718[[#This Row],[نوع الخدمة]]="كاش ان",
    IF(F217&lt;=100, 18, IF(F217&lt;=250, 23, IF(F217&lt;=500, 35, IF(F217&lt;=1000, 40, F217*0.04)))),
IF(Basic3456789101112131415161718[[#This Row],[نوع الخدمة]]="كاش اوت",
    IF(F217&lt;=100, 15, IF(F217&lt;=250, 20, IF(F217&lt;=500, 30, IF(F217&lt;=1000, 35, F217*0.035)))),
0)))</f>
        <v>0</v>
      </c>
      <c r="H217" s="159">
        <f>IF(I217="مخالفات",50,Basic3456789101112131415161718[[#This Row],[قيمة الرسوم / العموله]]+Basic3456789101112131415161718[[#This Row],[قيمة الشحنه]])</f>
        <v>0</v>
      </c>
      <c r="I217" s="90"/>
      <c r="J217" s="142" t="str">
        <f t="shared" si="3"/>
        <v>15.5.2026</v>
      </c>
      <c r="L217" s="153">
        <v>206</v>
      </c>
      <c r="M217" s="92"/>
    </row>
    <row r="218" spans="1:13" ht="21.6" x14ac:dyDescent="0.65">
      <c r="A218" s="195"/>
      <c r="B218" s="140">
        <v>215</v>
      </c>
      <c r="C218" s="2"/>
      <c r="D218" s="1"/>
      <c r="E218" s="3"/>
      <c r="F218" s="1"/>
      <c r="G218" s="141">
        <f>IF(Basic3456789101112131415161718[[#This Row],[نوع الخدمة]]="مخالفات", 50,
IF(Basic3456789101112131415161718[[#This Row],[نوع الخدمة]]="كاش ان",
    IF(F218&lt;=100, 18, IF(F218&lt;=250, 23, IF(F218&lt;=500, 35, IF(F218&lt;=1000, 40, F218*0.04)))),
IF(Basic3456789101112131415161718[[#This Row],[نوع الخدمة]]="كاش اوت",
    IF(F218&lt;=100, 15, IF(F218&lt;=250, 20, IF(F218&lt;=500, 30, IF(F218&lt;=1000, 35, F218*0.035)))),
0)))</f>
        <v>0</v>
      </c>
      <c r="H218" s="159">
        <f>IF(I218="مخالفات",50,Basic3456789101112131415161718[[#This Row],[قيمة الرسوم / العموله]]+Basic3456789101112131415161718[[#This Row],[قيمة الشحنه]])</f>
        <v>0</v>
      </c>
      <c r="I218" s="90"/>
      <c r="J218" s="142" t="str">
        <f t="shared" si="3"/>
        <v>15.5.2026</v>
      </c>
      <c r="L218" s="153">
        <v>207</v>
      </c>
      <c r="M218" s="92"/>
    </row>
    <row r="219" spans="1:13" ht="21.6" x14ac:dyDescent="0.65">
      <c r="A219" s="195"/>
      <c r="B219" s="140">
        <v>216</v>
      </c>
      <c r="C219" s="2"/>
      <c r="D219" s="1"/>
      <c r="E219" s="3"/>
      <c r="F219" s="1"/>
      <c r="G219" s="141">
        <f>IF(Basic3456789101112131415161718[[#This Row],[نوع الخدمة]]="مخالفات", 50,
IF(Basic3456789101112131415161718[[#This Row],[نوع الخدمة]]="كاش ان",
    IF(F219&lt;=100, 18, IF(F219&lt;=250, 23, IF(F219&lt;=500, 35, IF(F219&lt;=1000, 40, F219*0.04)))),
IF(Basic3456789101112131415161718[[#This Row],[نوع الخدمة]]="كاش اوت",
    IF(F219&lt;=100, 15, IF(F219&lt;=250, 20, IF(F219&lt;=500, 30, IF(F219&lt;=1000, 35, F219*0.035)))),
0)))</f>
        <v>0</v>
      </c>
      <c r="H219" s="159">
        <f>IF(I219="مخالفات",50,Basic3456789101112131415161718[[#This Row],[قيمة الرسوم / العموله]]+Basic3456789101112131415161718[[#This Row],[قيمة الشحنه]])</f>
        <v>0</v>
      </c>
      <c r="I219" s="90"/>
      <c r="J219" s="142" t="str">
        <f t="shared" si="3"/>
        <v>15.5.2026</v>
      </c>
      <c r="L219" s="153">
        <v>208</v>
      </c>
      <c r="M219" s="92"/>
    </row>
    <row r="220" spans="1:13" ht="21.6" x14ac:dyDescent="0.65">
      <c r="A220" s="195"/>
      <c r="B220" s="140">
        <v>217</v>
      </c>
      <c r="C220" s="2"/>
      <c r="D220" s="1"/>
      <c r="E220" s="3"/>
      <c r="F220" s="1"/>
      <c r="G220" s="141">
        <f>IF(Basic3456789101112131415161718[[#This Row],[نوع الخدمة]]="مخالفات", 50,
IF(Basic3456789101112131415161718[[#This Row],[نوع الخدمة]]="كاش ان",
    IF(F220&lt;=100, 18, IF(F220&lt;=250, 23, IF(F220&lt;=500, 35, IF(F220&lt;=1000, 40, F220*0.04)))),
IF(Basic3456789101112131415161718[[#This Row],[نوع الخدمة]]="كاش اوت",
    IF(F220&lt;=100, 15, IF(F220&lt;=250, 20, IF(F220&lt;=500, 30, IF(F220&lt;=1000, 35, F220*0.035)))),
0)))</f>
        <v>0</v>
      </c>
      <c r="H220" s="159">
        <f>IF(I220="مخالفات",50,Basic3456789101112131415161718[[#This Row],[قيمة الرسوم / العموله]]+Basic3456789101112131415161718[[#This Row],[قيمة الشحنه]])</f>
        <v>0</v>
      </c>
      <c r="I220" s="90"/>
      <c r="J220" s="142" t="str">
        <f t="shared" si="3"/>
        <v>15.5.2026</v>
      </c>
      <c r="L220" s="153">
        <v>209</v>
      </c>
      <c r="M220" s="92"/>
    </row>
    <row r="221" spans="1:13" ht="21.6" x14ac:dyDescent="0.65">
      <c r="A221" s="195"/>
      <c r="B221" s="144">
        <v>218</v>
      </c>
      <c r="C221" s="2"/>
      <c r="D221" s="1"/>
      <c r="E221" s="3"/>
      <c r="F221" s="1"/>
      <c r="G221" s="141">
        <f>IF(Basic3456789101112131415161718[[#This Row],[نوع الخدمة]]="مخالفات", 50,
IF(Basic3456789101112131415161718[[#This Row],[نوع الخدمة]]="كاش ان",
    IF(F221&lt;=100, 18, IF(F221&lt;=250, 23, IF(F221&lt;=500, 35, IF(F221&lt;=1000, 40, F221*0.04)))),
IF(Basic3456789101112131415161718[[#This Row],[نوع الخدمة]]="كاش اوت",
    IF(F221&lt;=100, 15, IF(F221&lt;=250, 20, IF(F221&lt;=500, 30, IF(F221&lt;=1000, 35, F221*0.035)))),
0)))</f>
        <v>0</v>
      </c>
      <c r="H221" s="159">
        <f>IF(I221="مخالفات",50,Basic3456789101112131415161718[[#This Row],[قيمة الرسوم / العموله]]+Basic3456789101112131415161718[[#This Row],[قيمة الشحنه]])</f>
        <v>0</v>
      </c>
      <c r="I221" s="90"/>
      <c r="J221" s="142" t="str">
        <f t="shared" si="3"/>
        <v>15.5.2026</v>
      </c>
      <c r="L221" s="153">
        <v>210</v>
      </c>
      <c r="M221" s="92"/>
    </row>
    <row r="222" spans="1:13" ht="21.6" x14ac:dyDescent="0.65">
      <c r="A222" s="195"/>
      <c r="B222" s="140">
        <v>219</v>
      </c>
      <c r="C222" s="2"/>
      <c r="D222" s="1"/>
      <c r="E222" s="3"/>
      <c r="F222" s="1"/>
      <c r="G222" s="141">
        <f>IF(Basic3456789101112131415161718[[#This Row],[نوع الخدمة]]="مخالفات", 50,
IF(Basic3456789101112131415161718[[#This Row],[نوع الخدمة]]="كاش ان",
    IF(F222&lt;=100, 18, IF(F222&lt;=250, 23, IF(F222&lt;=500, 35, IF(F222&lt;=1000, 40, F222*0.04)))),
IF(Basic3456789101112131415161718[[#This Row],[نوع الخدمة]]="كاش اوت",
    IF(F222&lt;=100, 15, IF(F222&lt;=250, 20, IF(F222&lt;=500, 30, IF(F222&lt;=1000, 35, F222*0.035)))),
0)))</f>
        <v>0</v>
      </c>
      <c r="H222" s="159">
        <f>IF(I222="مخالفات",50,Basic3456789101112131415161718[[#This Row],[قيمة الرسوم / العموله]]+Basic3456789101112131415161718[[#This Row],[قيمة الشحنه]])</f>
        <v>0</v>
      </c>
      <c r="I222" s="90"/>
      <c r="J222" s="142" t="str">
        <f t="shared" si="3"/>
        <v>15.5.2026</v>
      </c>
      <c r="L222" s="153">
        <v>211</v>
      </c>
      <c r="M222" s="92"/>
    </row>
    <row r="223" spans="1:13" ht="21.6" x14ac:dyDescent="0.65">
      <c r="A223" s="195"/>
      <c r="B223" s="140">
        <v>220</v>
      </c>
      <c r="C223" s="2"/>
      <c r="D223" s="1"/>
      <c r="E223" s="3"/>
      <c r="F223" s="1"/>
      <c r="G223" s="141">
        <f>IF(Basic3456789101112131415161718[[#This Row],[نوع الخدمة]]="مخالفات", 50,
IF(Basic3456789101112131415161718[[#This Row],[نوع الخدمة]]="كاش ان",
    IF(F223&lt;=100, 18, IF(F223&lt;=250, 23, IF(F223&lt;=500, 35, IF(F223&lt;=1000, 40, F223*0.04)))),
IF(Basic3456789101112131415161718[[#This Row],[نوع الخدمة]]="كاش اوت",
    IF(F223&lt;=100, 15, IF(F223&lt;=250, 20, IF(F223&lt;=500, 30, IF(F223&lt;=1000, 35, F223*0.035)))),
0)))</f>
        <v>0</v>
      </c>
      <c r="H223" s="159">
        <f>IF(I223="مخالفات",50,Basic3456789101112131415161718[[#This Row],[قيمة الرسوم / العموله]]+Basic3456789101112131415161718[[#This Row],[قيمة الشحنه]])</f>
        <v>0</v>
      </c>
      <c r="I223" s="90"/>
      <c r="J223" s="142" t="str">
        <f t="shared" si="3"/>
        <v>15.5.2026</v>
      </c>
      <c r="L223" s="153">
        <v>212</v>
      </c>
      <c r="M223" s="92"/>
    </row>
    <row r="224" spans="1:13" ht="21.6" x14ac:dyDescent="0.65">
      <c r="A224" s="195"/>
      <c r="B224" s="140">
        <v>221</v>
      </c>
      <c r="C224" s="2"/>
      <c r="D224" s="1"/>
      <c r="E224" s="3"/>
      <c r="F224" s="1"/>
      <c r="G224" s="141">
        <f>IF(Basic3456789101112131415161718[[#This Row],[نوع الخدمة]]="مخالفات", 50,
IF(Basic3456789101112131415161718[[#This Row],[نوع الخدمة]]="كاش ان",
    IF(F224&lt;=100, 18, IF(F224&lt;=250, 23, IF(F224&lt;=500, 35, IF(F224&lt;=1000, 40, F224*0.04)))),
IF(Basic3456789101112131415161718[[#This Row],[نوع الخدمة]]="كاش اوت",
    IF(F224&lt;=100, 15, IF(F224&lt;=250, 20, IF(F224&lt;=500, 30, IF(F224&lt;=1000, 35, F224*0.035)))),
0)))</f>
        <v>0</v>
      </c>
      <c r="H224" s="159">
        <f>IF(I224="مخالفات",50,Basic3456789101112131415161718[[#This Row],[قيمة الرسوم / العموله]]+Basic3456789101112131415161718[[#This Row],[قيمة الشحنه]])</f>
        <v>0</v>
      </c>
      <c r="I224" s="90"/>
      <c r="J224" s="142" t="str">
        <f t="shared" si="3"/>
        <v>15.5.2026</v>
      </c>
      <c r="L224" s="153">
        <v>213</v>
      </c>
      <c r="M224" s="92"/>
    </row>
    <row r="225" spans="1:13" ht="21.6" x14ac:dyDescent="0.65">
      <c r="A225" s="195"/>
      <c r="B225" s="144">
        <v>222</v>
      </c>
      <c r="C225" s="2"/>
      <c r="D225" s="1"/>
      <c r="E225" s="3"/>
      <c r="F225" s="1"/>
      <c r="G225" s="141">
        <f>IF(Basic3456789101112131415161718[[#This Row],[نوع الخدمة]]="مخالفات", 50,
IF(Basic3456789101112131415161718[[#This Row],[نوع الخدمة]]="كاش ان",
    IF(F225&lt;=100, 18, IF(F225&lt;=250, 23, IF(F225&lt;=500, 35, IF(F225&lt;=1000, 40, F225*0.04)))),
IF(Basic3456789101112131415161718[[#This Row],[نوع الخدمة]]="كاش اوت",
    IF(F225&lt;=100, 15, IF(F225&lt;=250, 20, IF(F225&lt;=500, 30, IF(F225&lt;=1000, 35, F225*0.035)))),
0)))</f>
        <v>0</v>
      </c>
      <c r="H225" s="159">
        <f>IF(I225="مخالفات",50,Basic3456789101112131415161718[[#This Row],[قيمة الرسوم / العموله]]+Basic3456789101112131415161718[[#This Row],[قيمة الشحنه]])</f>
        <v>0</v>
      </c>
      <c r="I225" s="90"/>
      <c r="J225" s="142" t="str">
        <f t="shared" si="3"/>
        <v>15.5.2026</v>
      </c>
      <c r="L225" s="153">
        <v>214</v>
      </c>
      <c r="M225" s="92"/>
    </row>
    <row r="226" spans="1:13" ht="21.6" x14ac:dyDescent="0.65">
      <c r="A226" s="195"/>
      <c r="B226" s="140">
        <v>223</v>
      </c>
      <c r="C226" s="4"/>
      <c r="D226" s="5"/>
      <c r="E226" s="6"/>
      <c r="F226" s="5"/>
      <c r="G226" s="141">
        <f>IF(Basic3456789101112131415161718[[#This Row],[نوع الخدمة]]="مخالفات", 50,
IF(Basic3456789101112131415161718[[#This Row],[نوع الخدمة]]="كاش ان",
    IF(F226&lt;=100, 18, IF(F226&lt;=250, 23, IF(F226&lt;=500, 35, IF(F226&lt;=1000, 40, F226*0.04)))),
IF(Basic3456789101112131415161718[[#This Row],[نوع الخدمة]]="كاش اوت",
    IF(F226&lt;=100, 15, IF(F226&lt;=250, 20, IF(F226&lt;=500, 30, IF(F226&lt;=1000, 35, F226*0.035)))),
0)))</f>
        <v>0</v>
      </c>
      <c r="H226" s="160">
        <f>IF(I226="مخالفات",50,Basic3456789101112131415161718[[#This Row],[قيمة الرسوم / العموله]]+Basic3456789101112131415161718[[#This Row],[قيمة الشحنه]])</f>
        <v>0</v>
      </c>
      <c r="I226" s="90"/>
      <c r="J226" s="142" t="str">
        <f t="shared" si="3"/>
        <v>15.5.2026</v>
      </c>
      <c r="L226" s="156">
        <v>215</v>
      </c>
      <c r="M226" s="93"/>
    </row>
  </sheetData>
  <sheetProtection algorithmName="SHA-512" hashValue="+cvxESSRTMl06SAzt6e5xleB9AQIrXZ7DYsSUWFchk/VhJgRy8gC+sUbJyqDmiH3w26069K7TxjLVWUJuADavw==" saltValue="krNA54MS4D3LZOU3XXv0Aw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67" priority="12" operator="equal">
      <formula>$BH$10</formula>
    </cfRule>
    <cfRule type="cellIs" dxfId="66" priority="13" operator="equal">
      <formula>$BH$9</formula>
    </cfRule>
    <cfRule type="cellIs" dxfId="65" priority="14" operator="equal">
      <formula>$BH$8</formula>
    </cfRule>
  </conditionalFormatting>
  <conditionalFormatting sqref="P11">
    <cfRule type="cellIs" dxfId="64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{D8ED0DC0-7CD0-4F45-B277-08EB06FBA26F}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{230D778A-111E-41AD-941C-BFCAD86B10C2}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{D606FB0F-F4C4-4F85-997F-1B45F4F47364}</x14:id>
        </ext>
      </extLst>
    </cfRule>
  </conditionalFormatting>
  <dataValidations count="2">
    <dataValidation type="list" allowBlank="1" showInputMessage="1" showErrorMessage="1" sqref="I4:I226" xr:uid="{00000000-0002-0000-0E00-000000000000}">
      <formula1>$BH$8:$BH$10</formula1>
    </dataValidation>
    <dataValidation type="textLength" operator="equal" allowBlank="1" showInputMessage="1" showErrorMessage="1" errorTitle="يجب إخال رقم IPN صحيح 13 رقم" sqref="C1:C1048576" xr:uid="{00000000-0002-0000-0E00-000001000000}">
      <formula1>13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ED0DC0-7CD0-4F45-B277-08EB06FBA26F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230D778A-111E-41AD-941C-BFCAD86B10C2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D606FB0F-F4C4-4F85-997F-1B45F4F4736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H226"/>
  <sheetViews>
    <sheetView showGridLines="0" showRowColHeaders="0" rightToLeft="1" topLeftCell="D1" zoomScale="80" zoomScaleNormal="80" workbookViewId="0">
      <selection activeCell="R10" sqref="R10:W10"/>
    </sheetView>
  </sheetViews>
  <sheetFormatPr defaultColWidth="9.109375" defaultRowHeight="14.4" x14ac:dyDescent="0.3"/>
  <cols>
    <col min="1" max="1" width="4.109375" style="124" customWidth="1"/>
    <col min="2" max="2" width="6.5546875" style="125" bestFit="1" customWidth="1"/>
    <col min="3" max="3" width="28" style="126" customWidth="1"/>
    <col min="4" max="4" width="15.6640625" style="124" customWidth="1"/>
    <col min="5" max="5" width="17.5546875" style="157" customWidth="1"/>
    <col min="6" max="6" width="12.88671875" style="124" bestFit="1" customWidth="1"/>
    <col min="7" max="7" width="19" style="124" bestFit="1" customWidth="1"/>
    <col min="8" max="8" width="19" style="124" customWidth="1"/>
    <col min="9" max="9" width="12.44140625" style="128" bestFit="1" customWidth="1"/>
    <col min="10" max="10" width="17.5546875" style="129" customWidth="1"/>
    <col min="11" max="11" width="3.5546875" style="124" customWidth="1"/>
    <col min="12" max="12" width="8.5546875" style="124" bestFit="1" customWidth="1"/>
    <col min="13" max="13" width="23" style="124" customWidth="1"/>
    <col min="14" max="14" width="8.33203125" style="124" bestFit="1" customWidth="1"/>
    <col min="15" max="15" width="26.5546875" style="124" bestFit="1" customWidth="1"/>
    <col min="16" max="16" width="14.6640625" style="124" customWidth="1"/>
    <col min="17" max="17" width="3.5546875" style="124" customWidth="1"/>
    <col min="18" max="19" width="19" style="128" customWidth="1"/>
    <col min="20" max="20" width="11.5546875" style="128" bestFit="1" customWidth="1"/>
    <col min="21" max="21" width="10.5546875" style="128" bestFit="1" customWidth="1"/>
    <col min="22" max="22" width="10.109375" style="128" bestFit="1" customWidth="1"/>
    <col min="23" max="23" width="10.5546875" style="128" customWidth="1"/>
    <col min="24" max="24" width="12.6640625" style="124" customWidth="1"/>
    <col min="25" max="16384" width="9.109375" style="124"/>
  </cols>
  <sheetData>
    <row r="1" spans="1:60" x14ac:dyDescent="0.3">
      <c r="E1" s="127">
        <f>Total!F5</f>
        <v>69</v>
      </c>
      <c r="F1" s="192" t="str">
        <f>Total!G5</f>
        <v>العبور</v>
      </c>
      <c r="G1" s="192"/>
      <c r="H1" s="192"/>
    </row>
    <row r="3" spans="1:60" ht="15.6" x14ac:dyDescent="0.3">
      <c r="B3" s="130" t="s">
        <v>0</v>
      </c>
      <c r="C3" s="131" t="s">
        <v>1</v>
      </c>
      <c r="D3" s="132" t="s">
        <v>2</v>
      </c>
      <c r="E3" s="133" t="s">
        <v>3</v>
      </c>
      <c r="F3" s="132" t="s">
        <v>4</v>
      </c>
      <c r="G3" s="132" t="s">
        <v>5</v>
      </c>
      <c r="H3" s="132" t="s">
        <v>76</v>
      </c>
      <c r="I3" s="132" t="s">
        <v>6</v>
      </c>
      <c r="J3" s="134" t="s">
        <v>7</v>
      </c>
      <c r="L3" s="135" t="s">
        <v>7</v>
      </c>
      <c r="M3" s="7" t="s">
        <v>101</v>
      </c>
      <c r="O3" s="137" t="s">
        <v>17</v>
      </c>
      <c r="P3" s="138">
        <f>M5+M6</f>
        <v>0</v>
      </c>
      <c r="T3" s="173"/>
      <c r="U3" s="173"/>
      <c r="V3" s="173"/>
      <c r="W3" s="173"/>
      <c r="X3" s="139"/>
    </row>
    <row r="4" spans="1:60" ht="21.6" x14ac:dyDescent="0.65">
      <c r="A4" s="195"/>
      <c r="B4" s="140">
        <v>1</v>
      </c>
      <c r="C4" s="8"/>
      <c r="D4" s="9"/>
      <c r="E4" s="10"/>
      <c r="F4" s="9"/>
      <c r="G4" s="141">
        <f>IF(Basic34567891011121314151617[[#This Row],[نوع الخدمة]]="مخالفات", 50,
IF(Basic34567891011121314151617[[#This Row],[نوع الخدمة]]="كاش ان",
    IF(F4&lt;=100, 18, IF(F4&lt;=250, 23, IF(F4&lt;=500, 35, IF(F4&lt;=1000, 40, F4*0.04)))),
IF(Basic34567891011121314151617[[#This Row],[نوع الخدمة]]="كاش اوت",
    IF(F4&lt;=100, 15, IF(F4&lt;=250, 20, IF(F4&lt;=500, 30, IF(F4&lt;=1000, 35, F4*0.035)))),
0)))</f>
        <v>0</v>
      </c>
      <c r="H4" s="141">
        <f>IF(I4="مخالفات",50,Basic34567891011121314151617[[#This Row],[قيمة الرسوم / العموله]]+Basic34567891011121314151617[[#This Row],[قيمة الشحنه]])</f>
        <v>0</v>
      </c>
      <c r="I4" s="90"/>
      <c r="J4" s="142" t="str">
        <f t="shared" ref="J4:J67" si="0">M$3</f>
        <v>16.5.2026</v>
      </c>
      <c r="L4" s="135" t="s">
        <v>26</v>
      </c>
      <c r="M4" s="90">
        <v>0</v>
      </c>
      <c r="O4" s="137" t="s">
        <v>18</v>
      </c>
      <c r="P4" s="138">
        <f>M4</f>
        <v>0</v>
      </c>
      <c r="S4" s="180" t="s">
        <v>22</v>
      </c>
      <c r="T4" s="180" t="s">
        <v>23</v>
      </c>
      <c r="U4" s="173"/>
      <c r="V4" s="173"/>
      <c r="W4" s="173"/>
      <c r="X4" s="139"/>
    </row>
    <row r="5" spans="1:60" ht="21.6" x14ac:dyDescent="0.65">
      <c r="A5" s="195"/>
      <c r="B5" s="144">
        <v>2</v>
      </c>
      <c r="C5" s="8"/>
      <c r="D5" s="9"/>
      <c r="E5" s="10"/>
      <c r="F5" s="9"/>
      <c r="G5" s="141">
        <f>IF(Basic34567891011121314151617[[#This Row],[نوع الخدمة]]="مخالفات", 50,
IF(Basic34567891011121314151617[[#This Row],[نوع الخدمة]]="كاش ان",
    IF(F5&lt;=100, 18, IF(F5&lt;=250, 23, IF(F5&lt;=500, 35, IF(F5&lt;=1000, 40, F5*0.04)))),
IF(Basic34567891011121314151617[[#This Row],[نوع الخدمة]]="كاش اوت",
    IF(F5&lt;=100, 15, IF(F5&lt;=250, 20, IF(F5&lt;=500, 30, IF(F5&lt;=1000, 35, F5*0.035)))),
0)))</f>
        <v>0</v>
      </c>
      <c r="H5" s="141">
        <f>IF(I5="مخالفات",50,Basic34567891011121314151617[[#This Row],[قيمة الرسوم / العموله]]+Basic34567891011121314151617[[#This Row],[قيمة الشحنه]])</f>
        <v>0</v>
      </c>
      <c r="I5" s="90"/>
      <c r="J5" s="142" t="str">
        <f t="shared" si="0"/>
        <v>16.5.2026</v>
      </c>
      <c r="L5" s="135" t="s">
        <v>27</v>
      </c>
      <c r="M5" s="90"/>
      <c r="O5" s="137" t="s">
        <v>19</v>
      </c>
      <c r="P5" s="138">
        <f>SUMIF(Basic34567891011121314151617[نوع الخدمة],"كاش ان",Basic34567891011121314151617[قيمة الشحنه])</f>
        <v>0</v>
      </c>
      <c r="S5" s="181">
        <f>P5+P9+P12+P7</f>
        <v>0</v>
      </c>
      <c r="T5" s="181">
        <f>P3</f>
        <v>0</v>
      </c>
    </row>
    <row r="6" spans="1:60" ht="21.6" x14ac:dyDescent="0.65">
      <c r="A6" s="195"/>
      <c r="B6" s="140">
        <v>3</v>
      </c>
      <c r="C6" s="8"/>
      <c r="D6" s="9"/>
      <c r="E6" s="10"/>
      <c r="F6" s="9"/>
      <c r="G6" s="141">
        <f>IF(Basic34567891011121314151617[[#This Row],[نوع الخدمة]]="مخالفات", 50,
IF(Basic34567891011121314151617[[#This Row],[نوع الخدمة]]="كاش ان",
    IF(F6&lt;=100, 18, IF(F6&lt;=250, 23, IF(F6&lt;=500, 35, IF(F6&lt;=1000, 40, F6*0.04)))),
IF(Basic34567891011121314151617[[#This Row],[نوع الخدمة]]="كاش اوت",
    IF(F6&lt;=100, 15, IF(F6&lt;=250, 20, IF(F6&lt;=500, 30, IF(F6&lt;=1000, 35, F6*0.035)))),
0)))</f>
        <v>0</v>
      </c>
      <c r="H6" s="141">
        <f>IF(I6="مخالفات",50,Basic34567891011121314151617[[#This Row],[قيمة الرسوم / العموله]]+Basic34567891011121314151617[[#This Row],[قيمة الشحنه]])</f>
        <v>0</v>
      </c>
      <c r="I6" s="90"/>
      <c r="J6" s="142" t="str">
        <f t="shared" si="0"/>
        <v>16.5.2026</v>
      </c>
      <c r="L6" s="135" t="s">
        <v>28</v>
      </c>
      <c r="M6" s="90"/>
      <c r="O6" s="146" t="s">
        <v>12</v>
      </c>
      <c r="P6" s="138">
        <f>P3*150</f>
        <v>0</v>
      </c>
    </row>
    <row r="7" spans="1:60" ht="21.6" x14ac:dyDescent="0.65">
      <c r="A7" s="195"/>
      <c r="B7" s="140">
        <v>4</v>
      </c>
      <c r="C7" s="8"/>
      <c r="D7" s="9"/>
      <c r="E7" s="10"/>
      <c r="F7" s="9"/>
      <c r="G7" s="141">
        <f>IF(Basic34567891011121314151617[[#This Row],[نوع الخدمة]]="مخالفات", 50,
IF(Basic34567891011121314151617[[#This Row],[نوع الخدمة]]="كاش ان",
    IF(F7&lt;=100, 18, IF(F7&lt;=250, 23, IF(F7&lt;=500, 35, IF(F7&lt;=1000, 40, F7*0.04)))),
IF(Basic34567891011121314151617[[#This Row],[نوع الخدمة]]="كاش اوت",
    IF(F7&lt;=100, 15, IF(F7&lt;=250, 20, IF(F7&lt;=500, 30, IF(F7&lt;=1000, 35, F7*0.035)))),
0)))</f>
        <v>0</v>
      </c>
      <c r="H7" s="141">
        <f>IF(I7="مخالفات",50,Basic34567891011121314151617[[#This Row],[قيمة الرسوم / العموله]]+Basic34567891011121314151617[[#This Row],[قيمة الشحنه]])</f>
        <v>0</v>
      </c>
      <c r="I7" s="90"/>
      <c r="J7" s="142" t="str">
        <f t="shared" si="0"/>
        <v>16.5.2026</v>
      </c>
      <c r="L7" s="137" t="s">
        <v>11</v>
      </c>
      <c r="M7" s="165"/>
      <c r="O7" s="146" t="s">
        <v>75</v>
      </c>
      <c r="P7" s="138">
        <f>SUMIF(Basic34567891011121314151617[نوع الخدمة],"مخالفات",Basic34567891011121314151617[الاجمــــــــــالي])</f>
        <v>0</v>
      </c>
      <c r="R7" s="173"/>
      <c r="S7" s="173"/>
    </row>
    <row r="8" spans="1:60" ht="21.6" x14ac:dyDescent="0.65">
      <c r="A8" s="195"/>
      <c r="B8" s="140">
        <v>5</v>
      </c>
      <c r="C8" s="8"/>
      <c r="D8" s="9"/>
      <c r="E8" s="10"/>
      <c r="F8" s="9"/>
      <c r="G8" s="141">
        <f>IF(Basic34567891011121314151617[[#This Row],[نوع الخدمة]]="مخالفات", 50,
IF(Basic34567891011121314151617[[#This Row],[نوع الخدمة]]="كاش ان",
    IF(F8&lt;=100, 18, IF(F8&lt;=250, 23, IF(F8&lt;=500, 35, IF(F8&lt;=1000, 40, F8*0.04)))),
IF(Basic34567891011121314151617[[#This Row],[نوع الخدمة]]="كاش اوت",
    IF(F8&lt;=100, 15, IF(F8&lt;=250, 20, IF(F8&lt;=500, 30, IF(F8&lt;=1000, 35, F8*0.035)))),
0)))</f>
        <v>0</v>
      </c>
      <c r="H8" s="141">
        <f>IF(I8="مخالفات",50,Basic34567891011121314151617[[#This Row],[قيمة الرسوم / العموله]]+Basic34567891011121314151617[[#This Row],[قيمة الشحنه]])</f>
        <v>0</v>
      </c>
      <c r="I8" s="90"/>
      <c r="J8" s="142" t="str">
        <f t="shared" si="0"/>
        <v>16.5.2026</v>
      </c>
      <c r="L8" s="166" t="s">
        <v>79</v>
      </c>
      <c r="M8" s="167">
        <v>0</v>
      </c>
      <c r="O8" s="137" t="s">
        <v>11</v>
      </c>
      <c r="P8" s="138">
        <f>M7</f>
        <v>0</v>
      </c>
      <c r="R8" s="143" t="s">
        <v>72</v>
      </c>
      <c r="S8" s="143" t="s">
        <v>25</v>
      </c>
      <c r="T8" s="143" t="s">
        <v>24</v>
      </c>
      <c r="U8" s="143" t="s">
        <v>73</v>
      </c>
      <c r="V8" s="143" t="s">
        <v>25</v>
      </c>
      <c r="W8" s="143" t="s">
        <v>24</v>
      </c>
      <c r="BH8" s="148" t="s">
        <v>8</v>
      </c>
    </row>
    <row r="9" spans="1:60" ht="18" customHeight="1" x14ac:dyDescent="0.65">
      <c r="A9" s="195"/>
      <c r="B9" s="144">
        <v>6</v>
      </c>
      <c r="C9" s="8"/>
      <c r="D9" s="9"/>
      <c r="E9" s="10"/>
      <c r="F9" s="9"/>
      <c r="G9" s="141">
        <f>IF(Basic34567891011121314151617[[#This Row],[نوع الخدمة]]="مخالفات", 50,
IF(Basic34567891011121314151617[[#This Row],[نوع الخدمة]]="كاش ان",
    IF(F9&lt;=100, 18, IF(F9&lt;=250, 23, IF(F9&lt;=500, 35, IF(F9&lt;=1000, 40, F9*0.04)))),
IF(Basic34567891011121314151617[[#This Row],[نوع الخدمة]]="كاش اوت",
    IF(F9&lt;=100, 15, IF(F9&lt;=250, 20, IF(F9&lt;=500, 30, IF(F9&lt;=1000, 35, F9*0.035)))),
0)))</f>
        <v>0</v>
      </c>
      <c r="H9" s="141">
        <f>IF(I9="مخالفات",50,Basic34567891011121314151617[[#This Row],[قيمة الرسوم / العموله]]+Basic34567891011121314151617[[#This Row],[قيمة الشحنه]])</f>
        <v>0</v>
      </c>
      <c r="I9" s="90"/>
      <c r="J9" s="142" t="str">
        <f t="shared" si="0"/>
        <v>16.5.2026</v>
      </c>
      <c r="L9" s="166" t="s">
        <v>80</v>
      </c>
      <c r="M9" s="167">
        <v>0</v>
      </c>
      <c r="O9" s="137" t="s">
        <v>20</v>
      </c>
      <c r="P9" s="138">
        <f>SUMIF(Basic34567891011121314151617[نوع الخدمة],"كاش ان",Basic34567891011121314151617[قيمة الرسوم / العموله])</f>
        <v>0</v>
      </c>
      <c r="R9" s="149">
        <f>Total!H5/24</f>
        <v>29166.666666666668</v>
      </c>
      <c r="S9" s="149">
        <f>S5</f>
        <v>0</v>
      </c>
      <c r="T9" s="150">
        <f>S9/R9</f>
        <v>0</v>
      </c>
      <c r="U9" s="149">
        <f>Total!K5/24</f>
        <v>2.9166666666666665</v>
      </c>
      <c r="V9" s="149">
        <f>T5</f>
        <v>0</v>
      </c>
      <c r="W9" s="150">
        <f>V9/U9</f>
        <v>0</v>
      </c>
      <c r="BH9" s="148" t="s">
        <v>9</v>
      </c>
    </row>
    <row r="10" spans="1:60" ht="21.6" x14ac:dyDescent="0.65">
      <c r="A10" s="195"/>
      <c r="B10" s="140">
        <v>7</v>
      </c>
      <c r="C10" s="8"/>
      <c r="D10" s="9"/>
      <c r="E10" s="10"/>
      <c r="F10" s="9"/>
      <c r="G10" s="141">
        <f>IF(Basic34567891011121314151617[[#This Row],[نوع الخدمة]]="مخالفات", 50,
IF(Basic34567891011121314151617[[#This Row],[نوع الخدمة]]="كاش ان",
    IF(F10&lt;=100, 18, IF(F10&lt;=250, 23, IF(F10&lt;=500, 35, IF(F10&lt;=1000, 40, F10*0.04)))),
IF(Basic34567891011121314151617[[#This Row],[نوع الخدمة]]="كاش اوت",
    IF(F10&lt;=100, 15, IF(F10&lt;=250, 20, IF(F10&lt;=500, 30, IF(F10&lt;=1000, 35, F10*0.035)))),
0)))</f>
        <v>0</v>
      </c>
      <c r="H10" s="141">
        <f>IF(I10="مخالفات",50,Basic34567891011121314151617[[#This Row],[قيمة الرسوم / العموله]]+Basic34567891011121314151617[[#This Row],[قيمة الشحنه]])</f>
        <v>0</v>
      </c>
      <c r="I10" s="90"/>
      <c r="J10" s="142" t="str">
        <f t="shared" si="0"/>
        <v>16.5.2026</v>
      </c>
      <c r="O10" s="137" t="s">
        <v>16</v>
      </c>
      <c r="P10" s="138">
        <f>SUMIF(Basic34567891011121314151617[نوع الخدمة],"كاش اوت",Basic34567891011121314151617[قيمة الشحنه])</f>
        <v>0</v>
      </c>
      <c r="R10" s="191">
        <f>(W9+T9)/2</f>
        <v>0</v>
      </c>
      <c r="S10" s="191"/>
      <c r="T10" s="191"/>
      <c r="U10" s="191"/>
      <c r="V10" s="191"/>
      <c r="W10" s="191"/>
      <c r="BH10" s="148" t="s">
        <v>10</v>
      </c>
    </row>
    <row r="11" spans="1:60" ht="21.6" x14ac:dyDescent="0.65">
      <c r="A11" s="195"/>
      <c r="B11" s="140">
        <v>8</v>
      </c>
      <c r="C11" s="8"/>
      <c r="D11" s="9"/>
      <c r="E11" s="10"/>
      <c r="F11" s="9"/>
      <c r="G11" s="141">
        <f>IF(Basic34567891011121314151617[[#This Row],[نوع الخدمة]]="مخالفات", 50,
IF(Basic34567891011121314151617[[#This Row],[نوع الخدمة]]="كاش ان",
    IF(F11&lt;=100, 18, IF(F11&lt;=250, 23, IF(F11&lt;=500, 35, IF(F11&lt;=1000, 40, F11*0.04)))),
IF(Basic34567891011121314151617[[#This Row],[نوع الخدمة]]="كاش اوت",
    IF(F11&lt;=100, 15, IF(F11&lt;=250, 20, IF(F11&lt;=500, 30, IF(F11&lt;=1000, 35, F11*0.035)))),
0)))</f>
        <v>0</v>
      </c>
      <c r="H11" s="141">
        <f>IF(I11="مخالفات",50,Basic34567891011121314151617[[#This Row],[قيمة الرسوم / العموله]]+Basic34567891011121314151617[[#This Row],[قيمة الشحنه]])</f>
        <v>0</v>
      </c>
      <c r="I11" s="90"/>
      <c r="J11" s="142" t="str">
        <f t="shared" si="0"/>
        <v>16.5.2026</v>
      </c>
      <c r="L11" s="169" t="s">
        <v>77</v>
      </c>
      <c r="M11" s="168" t="s">
        <v>78</v>
      </c>
      <c r="O11" s="151" t="s">
        <v>21</v>
      </c>
      <c r="P11" s="152">
        <f>(P5+P6+P9+P7+P4)-P10-P8</f>
        <v>0</v>
      </c>
      <c r="T11" s="173"/>
    </row>
    <row r="12" spans="1:60" ht="21.6" x14ac:dyDescent="0.65">
      <c r="A12" s="195"/>
      <c r="B12" s="140">
        <v>9</v>
      </c>
      <c r="C12" s="8"/>
      <c r="D12" s="9"/>
      <c r="E12" s="10"/>
      <c r="F12" s="9"/>
      <c r="G12" s="141">
        <f>IF(Basic34567891011121314151617[[#This Row],[نوع الخدمة]]="مخالفات", 50,
IF(Basic34567891011121314151617[[#This Row],[نوع الخدمة]]="كاش ان",
    IF(F12&lt;=100, 18, IF(F12&lt;=250, 23, IF(F12&lt;=500, 35, IF(F12&lt;=1000, 40, F12*0.04)))),
IF(Basic34567891011121314151617[[#This Row],[نوع الخدمة]]="كاش اوت",
    IF(F12&lt;=100, 15, IF(F12&lt;=250, 20, IF(F12&lt;=500, 30, IF(F12&lt;=1000, 35, F12*0.035)))),
0)))</f>
        <v>0</v>
      </c>
      <c r="H12" s="141">
        <f>IF(I12="مخالفات",50,Basic34567891011121314151617[[#This Row],[قيمة الرسوم / العموله]]+Basic34567891011121314151617[[#This Row],[قيمة الشحنه]])</f>
        <v>0</v>
      </c>
      <c r="I12" s="90"/>
      <c r="J12" s="142" t="str">
        <f t="shared" si="0"/>
        <v>16.5.2026</v>
      </c>
      <c r="L12" s="153">
        <v>1</v>
      </c>
      <c r="M12" s="91"/>
      <c r="O12" s="137" t="s">
        <v>29</v>
      </c>
      <c r="P12" s="138">
        <f>SUMIF(Basic34567891011121314151617[نوع الخدمة],"كاش اوت",Basic34567891011121314151617[الاجمــــــــــالي])</f>
        <v>0</v>
      </c>
    </row>
    <row r="13" spans="1:60" ht="21.6" x14ac:dyDescent="0.65">
      <c r="A13" s="195"/>
      <c r="B13" s="144">
        <v>10</v>
      </c>
      <c r="C13" s="8"/>
      <c r="D13" s="9"/>
      <c r="E13" s="10"/>
      <c r="F13" s="9"/>
      <c r="G13" s="141">
        <f>IF(Basic34567891011121314151617[[#This Row],[نوع الخدمة]]="مخالفات", 50,
IF(Basic34567891011121314151617[[#This Row],[نوع الخدمة]]="كاش ان",
    IF(F13&lt;=100, 18, IF(F13&lt;=250, 23, IF(F13&lt;=500, 35, IF(F13&lt;=1000, 40, F13*0.04)))),
IF(Basic34567891011121314151617[[#This Row],[نوع الخدمة]]="كاش اوت",
    IF(F13&lt;=100, 15, IF(F13&lt;=250, 20, IF(F13&lt;=500, 30, IF(F13&lt;=1000, 35, F13*0.035)))),
0)))</f>
        <v>0</v>
      </c>
      <c r="H13" s="141">
        <f>IF(I13="مخالفات",50,Basic34567891011121314151617[[#This Row],[قيمة الرسوم / العموله]]+Basic34567891011121314151617[[#This Row],[قيمة الشحنه]])</f>
        <v>0</v>
      </c>
      <c r="I13" s="90"/>
      <c r="J13" s="142" t="str">
        <f t="shared" si="0"/>
        <v>16.5.2026</v>
      </c>
      <c r="L13" s="153">
        <v>2</v>
      </c>
      <c r="M13" s="92"/>
    </row>
    <row r="14" spans="1:60" ht="21.6" x14ac:dyDescent="0.65">
      <c r="A14" s="195"/>
      <c r="B14" s="140">
        <v>11</v>
      </c>
      <c r="C14" s="2"/>
      <c r="D14" s="1"/>
      <c r="E14" s="3"/>
      <c r="F14" s="1"/>
      <c r="G14" s="141">
        <f>IF(Basic34567891011121314151617[[#This Row],[نوع الخدمة]]="مخالفات", 50,
IF(Basic34567891011121314151617[[#This Row],[نوع الخدمة]]="كاش ان",
    IF(F14&lt;=100, 18, IF(F14&lt;=250, 23, IF(F14&lt;=500, 35, IF(F14&lt;=1000, 40, F14*0.04)))),
IF(Basic34567891011121314151617[[#This Row],[نوع الخدمة]]="كاش اوت",
    IF(F14&lt;=100, 15, IF(F14&lt;=250, 20, IF(F14&lt;=500, 30, IF(F14&lt;=1000, 35, F14*0.035)))),
0)))</f>
        <v>0</v>
      </c>
      <c r="H14" s="159">
        <f>IF(I14="مخالفات",50,Basic34567891011121314151617[[#This Row],[قيمة الرسوم / العموله]]+Basic34567891011121314151617[[#This Row],[قيمة الشحنه]])</f>
        <v>0</v>
      </c>
      <c r="I14" s="90"/>
      <c r="J14" s="142" t="str">
        <f t="shared" si="0"/>
        <v>16.5.2026</v>
      </c>
      <c r="L14" s="153">
        <v>3</v>
      </c>
      <c r="M14" s="92"/>
    </row>
    <row r="15" spans="1:60" ht="21.6" x14ac:dyDescent="0.65">
      <c r="A15" s="195"/>
      <c r="B15" s="140">
        <v>12</v>
      </c>
      <c r="C15" s="2"/>
      <c r="D15" s="1"/>
      <c r="E15" s="3"/>
      <c r="F15" s="1"/>
      <c r="G15" s="141">
        <f>IF(Basic34567891011121314151617[[#This Row],[نوع الخدمة]]="مخالفات", 50,
IF(Basic34567891011121314151617[[#This Row],[نوع الخدمة]]="كاش ان",
    IF(F15&lt;=100, 18, IF(F15&lt;=250, 23, IF(F15&lt;=500, 35, IF(F15&lt;=1000, 40, F15*0.04)))),
IF(Basic34567891011121314151617[[#This Row],[نوع الخدمة]]="كاش اوت",
    IF(F15&lt;=100, 15, IF(F15&lt;=250, 20, IF(F15&lt;=500, 30, IF(F15&lt;=1000, 35, F15*0.035)))),
0)))</f>
        <v>0</v>
      </c>
      <c r="H15" s="159">
        <f>IF(I15="مخالفات",50,Basic34567891011121314151617[[#This Row],[قيمة الرسوم / العموله]]+Basic34567891011121314151617[[#This Row],[قيمة الشحنه]])</f>
        <v>0</v>
      </c>
      <c r="I15" s="90"/>
      <c r="J15" s="142" t="str">
        <f t="shared" si="0"/>
        <v>16.5.2026</v>
      </c>
      <c r="L15" s="153">
        <v>4</v>
      </c>
      <c r="M15" s="92"/>
      <c r="O15" s="154" t="s">
        <v>10</v>
      </c>
      <c r="P15" s="155">
        <f>COUNTIF(Basic34567891011121314151617[نوع الخدمة],"مخالفات")</f>
        <v>0</v>
      </c>
    </row>
    <row r="16" spans="1:60" ht="21.6" x14ac:dyDescent="0.65">
      <c r="A16" s="195"/>
      <c r="B16" s="140">
        <v>13</v>
      </c>
      <c r="C16" s="2"/>
      <c r="D16" s="1"/>
      <c r="E16" s="3"/>
      <c r="F16" s="1"/>
      <c r="G16" s="141">
        <f>IF(Basic34567891011121314151617[[#This Row],[نوع الخدمة]]="مخالفات", 50,
IF(Basic34567891011121314151617[[#This Row],[نوع الخدمة]]="كاش ان",
    IF(F16&lt;=100, 18, IF(F16&lt;=250, 23, IF(F16&lt;=500, 35, IF(F16&lt;=1000, 40, F16*0.04)))),
IF(Basic34567891011121314151617[[#This Row],[نوع الخدمة]]="كاش اوت",
    IF(F16&lt;=100, 15, IF(F16&lt;=250, 20, IF(F16&lt;=500, 30, IF(F16&lt;=1000, 35, F16*0.035)))),
0)))</f>
        <v>0</v>
      </c>
      <c r="H16" s="159">
        <f>IF(I16="مخالفات",50,Basic34567891011121314151617[[#This Row],[قيمة الرسوم / العموله]]+Basic34567891011121314151617[[#This Row],[قيمة الشحنه]])</f>
        <v>0</v>
      </c>
      <c r="I16" s="90"/>
      <c r="J16" s="142" t="str">
        <f t="shared" si="0"/>
        <v>16.5.2026</v>
      </c>
      <c r="L16" s="153">
        <v>5</v>
      </c>
      <c r="M16" s="92"/>
      <c r="O16" s="154" t="s">
        <v>13</v>
      </c>
      <c r="P16" s="155">
        <f>COUNTIF(Basic34567891011121314151617[نوع الخدمة],"كاش ان")</f>
        <v>0</v>
      </c>
    </row>
    <row r="17" spans="1:21" ht="21.6" x14ac:dyDescent="0.65">
      <c r="A17" s="195"/>
      <c r="B17" s="144">
        <v>14</v>
      </c>
      <c r="C17" s="2"/>
      <c r="D17" s="1"/>
      <c r="E17" s="3"/>
      <c r="F17" s="1"/>
      <c r="G17" s="141">
        <f>IF(Basic34567891011121314151617[[#This Row],[نوع الخدمة]]="مخالفات", 50,
IF(Basic34567891011121314151617[[#This Row],[نوع الخدمة]]="كاش ان",
    IF(F17&lt;=100, 18, IF(F17&lt;=250, 23, IF(F17&lt;=500, 35, IF(F17&lt;=1000, 40, F17*0.04)))),
IF(Basic34567891011121314151617[[#This Row],[نوع الخدمة]]="كاش اوت",
    IF(F17&lt;=100, 15, IF(F17&lt;=250, 20, IF(F17&lt;=500, 30, IF(F17&lt;=1000, 35, F17*0.035)))),
0)))</f>
        <v>0</v>
      </c>
      <c r="H17" s="159">
        <f>IF(I17="مخالفات",50,Basic34567891011121314151617[[#This Row],[قيمة الرسوم / العموله]]+Basic34567891011121314151617[[#This Row],[قيمة الشحنه]])</f>
        <v>0</v>
      </c>
      <c r="I17" s="90"/>
      <c r="J17" s="142" t="str">
        <f t="shared" si="0"/>
        <v>16.5.2026</v>
      </c>
      <c r="L17" s="153">
        <v>6</v>
      </c>
      <c r="M17" s="92"/>
      <c r="O17" s="154" t="s">
        <v>14</v>
      </c>
      <c r="P17" s="155">
        <f>COUNTIF(Basic34567891011121314151617[نوع الخدمة],"كاش اوت")</f>
        <v>0</v>
      </c>
    </row>
    <row r="18" spans="1:21" ht="21.6" x14ac:dyDescent="0.65">
      <c r="A18" s="195"/>
      <c r="B18" s="140">
        <v>15</v>
      </c>
      <c r="C18" s="2"/>
      <c r="D18" s="1"/>
      <c r="E18" s="3"/>
      <c r="F18" s="1"/>
      <c r="G18" s="141">
        <f>IF(Basic34567891011121314151617[[#This Row],[نوع الخدمة]]="مخالفات", 50,
IF(Basic34567891011121314151617[[#This Row],[نوع الخدمة]]="كاش ان",
    IF(F18&lt;=100, 18, IF(F18&lt;=250, 23, IF(F18&lt;=500, 35, IF(F18&lt;=1000, 40, F18*0.04)))),
IF(Basic34567891011121314151617[[#This Row],[نوع الخدمة]]="كاش اوت",
    IF(F18&lt;=100, 15, IF(F18&lt;=250, 20, IF(F18&lt;=500, 30, IF(F18&lt;=1000, 35, F18*0.035)))),
0)))</f>
        <v>0</v>
      </c>
      <c r="H18" s="159">
        <f>IF(I18="مخالفات",50,Basic34567891011121314151617[[#This Row],[قيمة الرسوم / العموله]]+Basic34567891011121314151617[[#This Row],[قيمة الشحنه]])</f>
        <v>0</v>
      </c>
      <c r="I18" s="90"/>
      <c r="J18" s="142" t="str">
        <f t="shared" si="0"/>
        <v>16.5.2026</v>
      </c>
      <c r="L18" s="153">
        <v>7</v>
      </c>
      <c r="M18" s="92"/>
      <c r="O18" s="154" t="s">
        <v>15</v>
      </c>
      <c r="P18" s="155">
        <f>P16+P17</f>
        <v>0</v>
      </c>
    </row>
    <row r="19" spans="1:21" ht="21.6" x14ac:dyDescent="0.65">
      <c r="A19" s="195"/>
      <c r="B19" s="140">
        <v>16</v>
      </c>
      <c r="C19" s="2"/>
      <c r="D19" s="1"/>
      <c r="E19" s="3"/>
      <c r="F19" s="1"/>
      <c r="G19" s="141">
        <f>IF(Basic34567891011121314151617[[#This Row],[نوع الخدمة]]="مخالفات", 50,
IF(Basic34567891011121314151617[[#This Row],[نوع الخدمة]]="كاش ان",
    IF(F19&lt;=100, 18, IF(F19&lt;=250, 23, IF(F19&lt;=500, 35, IF(F19&lt;=1000, 40, F19*0.04)))),
IF(Basic34567891011121314151617[[#This Row],[نوع الخدمة]]="كاش اوت",
    IF(F19&lt;=100, 15, IF(F19&lt;=250, 20, IF(F19&lt;=500, 30, IF(F19&lt;=1000, 35, F19*0.035)))),
0)))</f>
        <v>0</v>
      </c>
      <c r="H19" s="159">
        <f>IF(I19="مخالفات",50,Basic34567891011121314151617[[#This Row],[قيمة الرسوم / العموله]]+Basic34567891011121314151617[[#This Row],[قيمة الشحنه]])</f>
        <v>0</v>
      </c>
      <c r="I19" s="90"/>
      <c r="J19" s="142" t="str">
        <f t="shared" si="0"/>
        <v>16.5.2026</v>
      </c>
      <c r="L19" s="153">
        <v>8</v>
      </c>
      <c r="M19" s="92"/>
    </row>
    <row r="20" spans="1:21" ht="21.6" x14ac:dyDescent="0.65">
      <c r="A20" s="195"/>
      <c r="B20" s="140">
        <v>17</v>
      </c>
      <c r="C20" s="2"/>
      <c r="D20" s="1"/>
      <c r="E20" s="3"/>
      <c r="F20" s="1"/>
      <c r="G20" s="141">
        <f>IF(Basic34567891011121314151617[[#This Row],[نوع الخدمة]]="مخالفات", 50,
IF(Basic34567891011121314151617[[#This Row],[نوع الخدمة]]="كاش ان",
    IF(F20&lt;=100, 18, IF(F20&lt;=250, 23, IF(F20&lt;=500, 35, IF(F20&lt;=1000, 40, F20*0.04)))),
IF(Basic34567891011121314151617[[#This Row],[نوع الخدمة]]="كاش اوت",
    IF(F20&lt;=100, 15, IF(F20&lt;=250, 20, IF(F20&lt;=500, 30, IF(F20&lt;=1000, 35, F20*0.035)))),
0)))</f>
        <v>0</v>
      </c>
      <c r="H20" s="159">
        <f>IF(I20="مخالفات",50,Basic34567891011121314151617[[#This Row],[قيمة الرسوم / العموله]]+Basic34567891011121314151617[[#This Row],[قيمة الشحنه]])</f>
        <v>0</v>
      </c>
      <c r="I20" s="90"/>
      <c r="J20" s="142" t="str">
        <f t="shared" si="0"/>
        <v>16.5.2026</v>
      </c>
      <c r="L20" s="153">
        <v>9</v>
      </c>
      <c r="M20" s="92"/>
      <c r="O20" s="193" t="s">
        <v>30</v>
      </c>
      <c r="P20" s="194"/>
    </row>
    <row r="21" spans="1:21" ht="21.6" x14ac:dyDescent="0.65">
      <c r="A21" s="195"/>
      <c r="B21" s="144">
        <v>18</v>
      </c>
      <c r="C21" s="2"/>
      <c r="D21" s="1"/>
      <c r="E21" s="3"/>
      <c r="F21" s="1"/>
      <c r="G21" s="141">
        <f>IF(Basic34567891011121314151617[[#This Row],[نوع الخدمة]]="مخالفات", 50,
IF(Basic34567891011121314151617[[#This Row],[نوع الخدمة]]="كاش ان",
    IF(F21&lt;=100, 18, IF(F21&lt;=250, 23, IF(F21&lt;=500, 35, IF(F21&lt;=1000, 40, F21*0.04)))),
IF(Basic34567891011121314151617[[#This Row],[نوع الخدمة]]="كاش اوت",
    IF(F21&lt;=100, 15, IF(F21&lt;=250, 20, IF(F21&lt;=500, 30, IF(F21&lt;=1000, 35, F21*0.035)))),
0)))</f>
        <v>0</v>
      </c>
      <c r="H21" s="159">
        <f>IF(I21="مخالفات",50,Basic34567891011121314151617[[#This Row],[قيمة الرسوم / العموله]]+Basic34567891011121314151617[[#This Row],[قيمة الشحنه]])</f>
        <v>0</v>
      </c>
      <c r="I21" s="90"/>
      <c r="J21" s="142" t="str">
        <f t="shared" si="0"/>
        <v>16.5.2026</v>
      </c>
      <c r="L21" s="153">
        <v>10</v>
      </c>
      <c r="M21" s="92"/>
      <c r="O21" s="196" t="s">
        <v>31</v>
      </c>
      <c r="P21" s="197"/>
    </row>
    <row r="22" spans="1:21" ht="21.6" x14ac:dyDescent="0.65">
      <c r="A22" s="195"/>
      <c r="B22" s="140">
        <v>19</v>
      </c>
      <c r="C22" s="2"/>
      <c r="D22" s="1"/>
      <c r="E22" s="3"/>
      <c r="F22" s="1"/>
      <c r="G22" s="141">
        <f>IF(Basic34567891011121314151617[[#This Row],[نوع الخدمة]]="مخالفات", 50,
IF(Basic34567891011121314151617[[#This Row],[نوع الخدمة]]="كاش ان",
    IF(F22&lt;=100, 18, IF(F22&lt;=250, 23, IF(F22&lt;=500, 35, IF(F22&lt;=1000, 40, F22*0.04)))),
IF(Basic34567891011121314151617[[#This Row],[نوع الخدمة]]="كاش اوت",
    IF(F22&lt;=100, 15, IF(F22&lt;=250, 20, IF(F22&lt;=500, 30, IF(F22&lt;=1000, 35, F22*0.035)))),
0)))</f>
        <v>0</v>
      </c>
      <c r="H22" s="159">
        <f>IF(I22="مخالفات",50,Basic34567891011121314151617[[#This Row],[قيمة الرسوم / العموله]]+Basic34567891011121314151617[[#This Row],[قيمة الشحنه]])</f>
        <v>0</v>
      </c>
      <c r="I22" s="90"/>
      <c r="J22" s="142" t="str">
        <f t="shared" si="0"/>
        <v>16.5.2026</v>
      </c>
      <c r="L22" s="153">
        <v>11</v>
      </c>
      <c r="M22" s="92"/>
      <c r="O22" s="147" t="s">
        <v>27</v>
      </c>
      <c r="P22" s="135">
        <f>M8+'15'!P28</f>
        <v>-4</v>
      </c>
    </row>
    <row r="23" spans="1:21" ht="21.6" x14ac:dyDescent="0.65">
      <c r="A23" s="195"/>
      <c r="B23" s="140">
        <v>20</v>
      </c>
      <c r="C23" s="2"/>
      <c r="D23" s="1"/>
      <c r="E23" s="3"/>
      <c r="F23" s="1"/>
      <c r="G23" s="141">
        <f>IF(Basic34567891011121314151617[[#This Row],[نوع الخدمة]]="مخالفات", 50,
IF(Basic34567891011121314151617[[#This Row],[نوع الخدمة]]="كاش ان",
    IF(F23&lt;=100, 18, IF(F23&lt;=250, 23, IF(F23&lt;=500, 35, IF(F23&lt;=1000, 40, F23*0.04)))),
IF(Basic34567891011121314151617[[#This Row],[نوع الخدمة]]="كاش اوت",
    IF(F23&lt;=100, 15, IF(F23&lt;=250, 20, IF(F23&lt;=500, 30, IF(F23&lt;=1000, 35, F23*0.035)))),
0)))</f>
        <v>0</v>
      </c>
      <c r="H23" s="159">
        <f>IF(I23="مخالفات",50,Basic34567891011121314151617[[#This Row],[قيمة الرسوم / العموله]]+Basic34567891011121314151617[[#This Row],[قيمة الشحنه]])</f>
        <v>0</v>
      </c>
      <c r="I23" s="90"/>
      <c r="J23" s="142" t="str">
        <f t="shared" si="0"/>
        <v>16.5.2026</v>
      </c>
      <c r="L23" s="153">
        <v>12</v>
      </c>
      <c r="M23" s="92"/>
      <c r="O23" s="147" t="s">
        <v>28</v>
      </c>
      <c r="P23" s="135">
        <f>M9+'15'!P29</f>
        <v>0</v>
      </c>
      <c r="T23" s="173"/>
      <c r="U23" s="173"/>
    </row>
    <row r="24" spans="1:21" ht="21.6" x14ac:dyDescent="0.65">
      <c r="A24" s="195"/>
      <c r="B24" s="140">
        <v>21</v>
      </c>
      <c r="C24" s="2"/>
      <c r="D24" s="1"/>
      <c r="E24" s="3"/>
      <c r="F24" s="1"/>
      <c r="G24" s="141">
        <f>IF(Basic34567891011121314151617[[#This Row],[نوع الخدمة]]="مخالفات", 50,
IF(Basic34567891011121314151617[[#This Row],[نوع الخدمة]]="كاش ان",
    IF(F24&lt;=100, 18, IF(F24&lt;=250, 23, IF(F24&lt;=500, 35, IF(F24&lt;=1000, 40, F24*0.04)))),
IF(Basic34567891011121314151617[[#This Row],[نوع الخدمة]]="كاش اوت",
    IF(F24&lt;=100, 15, IF(F24&lt;=250, 20, IF(F24&lt;=500, 30, IF(F24&lt;=1000, 35, F24*0.035)))),
0)))</f>
        <v>0</v>
      </c>
      <c r="H24" s="159">
        <f>IF(I24="مخالفات",50,Basic34567891011121314151617[[#This Row],[قيمة الرسوم / العموله]]+Basic34567891011121314151617[[#This Row],[قيمة الشحنه]])</f>
        <v>0</v>
      </c>
      <c r="I24" s="90"/>
      <c r="J24" s="142" t="str">
        <f t="shared" si="0"/>
        <v>16.5.2026</v>
      </c>
      <c r="L24" s="153">
        <v>13</v>
      </c>
      <c r="M24" s="92"/>
      <c r="O24" s="196" t="s">
        <v>32</v>
      </c>
      <c r="P24" s="197"/>
    </row>
    <row r="25" spans="1:21" ht="21.6" x14ac:dyDescent="0.65">
      <c r="A25" s="195"/>
      <c r="B25" s="144">
        <v>22</v>
      </c>
      <c r="C25" s="2"/>
      <c r="D25" s="1"/>
      <c r="E25" s="3"/>
      <c r="F25" s="1"/>
      <c r="G25" s="141">
        <f>IF(Basic34567891011121314151617[[#This Row],[نوع الخدمة]]="مخالفات", 50,
IF(Basic34567891011121314151617[[#This Row],[نوع الخدمة]]="كاش ان",
    IF(F25&lt;=100, 18, IF(F25&lt;=250, 23, IF(F25&lt;=500, 35, IF(F25&lt;=1000, 40, F25*0.04)))),
IF(Basic34567891011121314151617[[#This Row],[نوع الخدمة]]="كاش اوت",
    IF(F25&lt;=100, 15, IF(F25&lt;=250, 20, IF(F25&lt;=500, 30, IF(F25&lt;=1000, 35, F25*0.035)))),
0)))</f>
        <v>0</v>
      </c>
      <c r="H25" s="159">
        <f>IF(I25="مخالفات",50,Basic34567891011121314151617[[#This Row],[قيمة الرسوم / العموله]]+Basic34567891011121314151617[[#This Row],[قيمة الشحنه]])</f>
        <v>0</v>
      </c>
      <c r="I25" s="90"/>
      <c r="J25" s="142" t="str">
        <f t="shared" si="0"/>
        <v>16.5.2026</v>
      </c>
      <c r="L25" s="153">
        <v>14</v>
      </c>
      <c r="M25" s="92"/>
      <c r="O25" s="147" t="s">
        <v>27</v>
      </c>
      <c r="P25" s="135">
        <f>M5</f>
        <v>0</v>
      </c>
    </row>
    <row r="26" spans="1:21" ht="21.6" x14ac:dyDescent="0.65">
      <c r="A26" s="195"/>
      <c r="B26" s="140">
        <v>23</v>
      </c>
      <c r="C26" s="2"/>
      <c r="D26" s="1"/>
      <c r="E26" s="3"/>
      <c r="F26" s="1"/>
      <c r="G26" s="141">
        <f>IF(Basic34567891011121314151617[[#This Row],[نوع الخدمة]]="مخالفات", 50,
IF(Basic34567891011121314151617[[#This Row],[نوع الخدمة]]="كاش ان",
    IF(F26&lt;=100, 18, IF(F26&lt;=250, 23, IF(F26&lt;=500, 35, IF(F26&lt;=1000, 40, F26*0.04)))),
IF(Basic34567891011121314151617[[#This Row],[نوع الخدمة]]="كاش اوت",
    IF(F26&lt;=100, 15, IF(F26&lt;=250, 20, IF(F26&lt;=500, 30, IF(F26&lt;=1000, 35, F26*0.035)))),
0)))</f>
        <v>0</v>
      </c>
      <c r="H26" s="159">
        <f>IF(I26="مخالفات",50,Basic34567891011121314151617[[#This Row],[قيمة الرسوم / العموله]]+Basic34567891011121314151617[[#This Row],[قيمة الشحنه]])</f>
        <v>0</v>
      </c>
      <c r="I26" s="90"/>
      <c r="J26" s="142" t="str">
        <f t="shared" si="0"/>
        <v>16.5.2026</v>
      </c>
      <c r="L26" s="153">
        <v>15</v>
      </c>
      <c r="M26" s="92"/>
      <c r="O26" s="147" t="s">
        <v>28</v>
      </c>
      <c r="P26" s="135">
        <f>M6</f>
        <v>0</v>
      </c>
    </row>
    <row r="27" spans="1:21" ht="21.6" x14ac:dyDescent="0.65">
      <c r="A27" s="195"/>
      <c r="B27" s="140">
        <v>24</v>
      </c>
      <c r="C27" s="2"/>
      <c r="D27" s="1"/>
      <c r="E27" s="3"/>
      <c r="F27" s="1"/>
      <c r="G27" s="141">
        <f>IF(Basic34567891011121314151617[[#This Row],[نوع الخدمة]]="مخالفات", 50,
IF(Basic34567891011121314151617[[#This Row],[نوع الخدمة]]="كاش ان",
    IF(F27&lt;=100, 18, IF(F27&lt;=250, 23, IF(F27&lt;=500, 35, IF(F27&lt;=1000, 40, F27*0.04)))),
IF(Basic34567891011121314151617[[#This Row],[نوع الخدمة]]="كاش اوت",
    IF(F27&lt;=100, 15, IF(F27&lt;=250, 20, IF(F27&lt;=500, 30, IF(F27&lt;=1000, 35, F27*0.035)))),
0)))</f>
        <v>0</v>
      </c>
      <c r="H27" s="159">
        <f>IF(I27="مخالفات",50,Basic34567891011121314151617[[#This Row],[قيمة الرسوم / العموله]]+Basic34567891011121314151617[[#This Row],[قيمة الشحنه]])</f>
        <v>0</v>
      </c>
      <c r="I27" s="90"/>
      <c r="J27" s="142" t="str">
        <f t="shared" si="0"/>
        <v>16.5.2026</v>
      </c>
      <c r="L27" s="153">
        <v>16</v>
      </c>
      <c r="M27" s="92"/>
      <c r="O27" s="196" t="s">
        <v>33</v>
      </c>
      <c r="P27" s="197"/>
    </row>
    <row r="28" spans="1:21" ht="21.6" x14ac:dyDescent="0.65">
      <c r="A28" s="195"/>
      <c r="B28" s="140">
        <v>25</v>
      </c>
      <c r="C28" s="2"/>
      <c r="D28" s="1"/>
      <c r="E28" s="3"/>
      <c r="F28" s="1"/>
      <c r="G28" s="141">
        <f>IF(Basic34567891011121314151617[[#This Row],[نوع الخدمة]]="مخالفات", 50,
IF(Basic34567891011121314151617[[#This Row],[نوع الخدمة]]="كاش ان",
    IF(F28&lt;=100, 18, IF(F28&lt;=250, 23, IF(F28&lt;=500, 35, IF(F28&lt;=1000, 40, F28*0.04)))),
IF(Basic34567891011121314151617[[#This Row],[نوع الخدمة]]="كاش اوت",
    IF(F28&lt;=100, 15, IF(F28&lt;=250, 20, IF(F28&lt;=500, 30, IF(F28&lt;=1000, 35, F28*0.035)))),
0)))</f>
        <v>0</v>
      </c>
      <c r="H28" s="159">
        <f>IF(I28="مخالفات",50,Basic34567891011121314151617[[#This Row],[قيمة الرسوم / العموله]]+Basic34567891011121314151617[[#This Row],[قيمة الشحنه]])</f>
        <v>0</v>
      </c>
      <c r="I28" s="90"/>
      <c r="J28" s="142" t="str">
        <f t="shared" si="0"/>
        <v>16.5.2026</v>
      </c>
      <c r="L28" s="153">
        <v>17</v>
      </c>
      <c r="M28" s="92"/>
      <c r="O28" s="147" t="s">
        <v>27</v>
      </c>
      <c r="P28" s="135">
        <f>P22-P25</f>
        <v>-4</v>
      </c>
    </row>
    <row r="29" spans="1:21" ht="21.6" x14ac:dyDescent="0.65">
      <c r="A29" s="195"/>
      <c r="B29" s="144">
        <v>26</v>
      </c>
      <c r="C29" s="2"/>
      <c r="D29" s="1"/>
      <c r="E29" s="3"/>
      <c r="F29" s="1"/>
      <c r="G29" s="141">
        <f>IF(Basic34567891011121314151617[[#This Row],[نوع الخدمة]]="مخالفات", 50,
IF(Basic34567891011121314151617[[#This Row],[نوع الخدمة]]="كاش ان",
    IF(F29&lt;=100, 18, IF(F29&lt;=250, 23, IF(F29&lt;=500, 35, IF(F29&lt;=1000, 40, F29*0.04)))),
IF(Basic34567891011121314151617[[#This Row],[نوع الخدمة]]="كاش اوت",
    IF(F29&lt;=100, 15, IF(F29&lt;=250, 20, IF(F29&lt;=500, 30, IF(F29&lt;=1000, 35, F29*0.035)))),
0)))</f>
        <v>0</v>
      </c>
      <c r="H29" s="159">
        <f>IF(I29="مخالفات",50,Basic34567891011121314151617[[#This Row],[قيمة الرسوم / العموله]]+Basic34567891011121314151617[[#This Row],[قيمة الشحنه]])</f>
        <v>0</v>
      </c>
      <c r="I29" s="90"/>
      <c r="J29" s="142" t="str">
        <f t="shared" si="0"/>
        <v>16.5.2026</v>
      </c>
      <c r="L29" s="153">
        <v>18</v>
      </c>
      <c r="M29" s="92"/>
      <c r="O29" s="147" t="s">
        <v>28</v>
      </c>
      <c r="P29" s="135">
        <f>P23-P26</f>
        <v>0</v>
      </c>
    </row>
    <row r="30" spans="1:21" ht="21.6" x14ac:dyDescent="0.65">
      <c r="A30" s="195"/>
      <c r="B30" s="140">
        <v>27</v>
      </c>
      <c r="C30" s="2"/>
      <c r="D30" s="1"/>
      <c r="E30" s="3"/>
      <c r="F30" s="1"/>
      <c r="G30" s="141">
        <f>IF(Basic34567891011121314151617[[#This Row],[نوع الخدمة]]="مخالفات", 50,
IF(Basic34567891011121314151617[[#This Row],[نوع الخدمة]]="كاش ان",
    IF(F30&lt;=100, 18, IF(F30&lt;=250, 23, IF(F30&lt;=500, 35, IF(F30&lt;=1000, 40, F30*0.04)))),
IF(Basic34567891011121314151617[[#This Row],[نوع الخدمة]]="كاش اوت",
    IF(F30&lt;=100, 15, IF(F30&lt;=250, 20, IF(F30&lt;=500, 30, IF(F30&lt;=1000, 35, F30*0.035)))),
0)))</f>
        <v>0</v>
      </c>
      <c r="H30" s="159">
        <f>IF(I30="مخالفات",50,Basic34567891011121314151617[[#This Row],[قيمة الرسوم / العموله]]+Basic34567891011121314151617[[#This Row],[قيمة الشحنه]])</f>
        <v>0</v>
      </c>
      <c r="I30" s="90"/>
      <c r="J30" s="142" t="str">
        <f t="shared" si="0"/>
        <v>16.5.2026</v>
      </c>
      <c r="L30" s="153">
        <v>19</v>
      </c>
      <c r="M30" s="92"/>
    </row>
    <row r="31" spans="1:21" ht="21.6" x14ac:dyDescent="0.65">
      <c r="A31" s="195"/>
      <c r="B31" s="140">
        <v>28</v>
      </c>
      <c r="C31" s="2"/>
      <c r="D31" s="1"/>
      <c r="E31" s="3"/>
      <c r="F31" s="1"/>
      <c r="G31" s="141">
        <f>IF(Basic34567891011121314151617[[#This Row],[نوع الخدمة]]="مخالفات", 50,
IF(Basic34567891011121314151617[[#This Row],[نوع الخدمة]]="كاش ان",
    IF(F31&lt;=100, 18, IF(F31&lt;=250, 23, IF(F31&lt;=500, 35, IF(F31&lt;=1000, 40, F31*0.04)))),
IF(Basic34567891011121314151617[[#This Row],[نوع الخدمة]]="كاش اوت",
    IF(F31&lt;=100, 15, IF(F31&lt;=250, 20, IF(F31&lt;=500, 30, IF(F31&lt;=1000, 35, F31*0.035)))),
0)))</f>
        <v>0</v>
      </c>
      <c r="H31" s="159">
        <f>IF(I31="مخالفات",50,Basic34567891011121314151617[[#This Row],[قيمة الرسوم / العموله]]+Basic34567891011121314151617[[#This Row],[قيمة الشحنه]])</f>
        <v>0</v>
      </c>
      <c r="I31" s="90"/>
      <c r="J31" s="142" t="str">
        <f t="shared" si="0"/>
        <v>16.5.2026</v>
      </c>
      <c r="L31" s="153">
        <v>20</v>
      </c>
      <c r="M31" s="92"/>
    </row>
    <row r="32" spans="1:21" ht="21.6" x14ac:dyDescent="0.65">
      <c r="A32" s="195"/>
      <c r="B32" s="140">
        <v>29</v>
      </c>
      <c r="C32" s="2"/>
      <c r="D32" s="1"/>
      <c r="E32" s="3"/>
      <c r="F32" s="1"/>
      <c r="G32" s="141">
        <f>IF(Basic34567891011121314151617[[#This Row],[نوع الخدمة]]="مخالفات", 50,
IF(Basic34567891011121314151617[[#This Row],[نوع الخدمة]]="كاش ان",
    IF(F32&lt;=100, 18, IF(F32&lt;=250, 23, IF(F32&lt;=500, 35, IF(F32&lt;=1000, 40, F32*0.04)))),
IF(Basic34567891011121314151617[[#This Row],[نوع الخدمة]]="كاش اوت",
    IF(F32&lt;=100, 15, IF(F32&lt;=250, 20, IF(F32&lt;=500, 30, IF(F32&lt;=1000, 35, F32*0.035)))),
0)))</f>
        <v>0</v>
      </c>
      <c r="H32" s="159">
        <f>IF(I32="مخالفات",50,Basic34567891011121314151617[[#This Row],[قيمة الرسوم / العموله]]+Basic34567891011121314151617[[#This Row],[قيمة الشحنه]])</f>
        <v>0</v>
      </c>
      <c r="I32" s="90"/>
      <c r="J32" s="142" t="str">
        <f t="shared" si="0"/>
        <v>16.5.2026</v>
      </c>
      <c r="L32" s="153">
        <v>21</v>
      </c>
      <c r="M32" s="92"/>
    </row>
    <row r="33" spans="1:13" ht="21.6" x14ac:dyDescent="0.65">
      <c r="A33" s="195"/>
      <c r="B33" s="144">
        <v>30</v>
      </c>
      <c r="C33" s="2"/>
      <c r="D33" s="1"/>
      <c r="E33" s="3"/>
      <c r="F33" s="1"/>
      <c r="G33" s="141">
        <f>IF(Basic34567891011121314151617[[#This Row],[نوع الخدمة]]="مخالفات", 50,
IF(Basic34567891011121314151617[[#This Row],[نوع الخدمة]]="كاش ان",
    IF(F33&lt;=100, 18, IF(F33&lt;=250, 23, IF(F33&lt;=500, 35, IF(F33&lt;=1000, 40, F33*0.04)))),
IF(Basic34567891011121314151617[[#This Row],[نوع الخدمة]]="كاش اوت",
    IF(F33&lt;=100, 15, IF(F33&lt;=250, 20, IF(F33&lt;=500, 30, IF(F33&lt;=1000, 35, F33*0.035)))),
0)))</f>
        <v>0</v>
      </c>
      <c r="H33" s="159">
        <f>IF(I33="مخالفات",50,Basic34567891011121314151617[[#This Row],[قيمة الرسوم / العموله]]+Basic34567891011121314151617[[#This Row],[قيمة الشحنه]])</f>
        <v>0</v>
      </c>
      <c r="I33" s="90"/>
      <c r="J33" s="142" t="str">
        <f t="shared" si="0"/>
        <v>16.5.2026</v>
      </c>
      <c r="L33" s="153">
        <v>22</v>
      </c>
      <c r="M33" s="92"/>
    </row>
    <row r="34" spans="1:13" ht="21.6" x14ac:dyDescent="0.65">
      <c r="A34" s="195"/>
      <c r="B34" s="140">
        <v>31</v>
      </c>
      <c r="C34" s="2"/>
      <c r="D34" s="1"/>
      <c r="E34" s="3"/>
      <c r="F34" s="1"/>
      <c r="G34" s="141">
        <f>IF(Basic34567891011121314151617[[#This Row],[نوع الخدمة]]="مخالفات", 50,
IF(Basic34567891011121314151617[[#This Row],[نوع الخدمة]]="كاش ان",
    IF(F34&lt;=100, 18, IF(F34&lt;=250, 23, IF(F34&lt;=500, 35, IF(F34&lt;=1000, 40, F34*0.04)))),
IF(Basic34567891011121314151617[[#This Row],[نوع الخدمة]]="كاش اوت",
    IF(F34&lt;=100, 15, IF(F34&lt;=250, 20, IF(F34&lt;=500, 30, IF(F34&lt;=1000, 35, F34*0.035)))),
0)))</f>
        <v>0</v>
      </c>
      <c r="H34" s="159">
        <f>IF(I34="مخالفات",50,Basic34567891011121314151617[[#This Row],[قيمة الرسوم / العموله]]+Basic34567891011121314151617[[#This Row],[قيمة الشحنه]])</f>
        <v>0</v>
      </c>
      <c r="I34" s="90"/>
      <c r="J34" s="142" t="str">
        <f t="shared" si="0"/>
        <v>16.5.2026</v>
      </c>
      <c r="L34" s="153">
        <v>23</v>
      </c>
      <c r="M34" s="92"/>
    </row>
    <row r="35" spans="1:13" ht="21.6" x14ac:dyDescent="0.65">
      <c r="A35" s="195"/>
      <c r="B35" s="140">
        <v>32</v>
      </c>
      <c r="C35" s="2"/>
      <c r="D35" s="1"/>
      <c r="E35" s="3"/>
      <c r="F35" s="1"/>
      <c r="G35" s="141">
        <f>IF(Basic34567891011121314151617[[#This Row],[نوع الخدمة]]="مخالفات", 50,
IF(Basic34567891011121314151617[[#This Row],[نوع الخدمة]]="كاش ان",
    IF(F35&lt;=100, 18, IF(F35&lt;=250, 23, IF(F35&lt;=500, 35, IF(F35&lt;=1000, 40, F35*0.04)))),
IF(Basic34567891011121314151617[[#This Row],[نوع الخدمة]]="كاش اوت",
    IF(F35&lt;=100, 15, IF(F35&lt;=250, 20, IF(F35&lt;=500, 30, IF(F35&lt;=1000, 35, F35*0.035)))),
0)))</f>
        <v>0</v>
      </c>
      <c r="H35" s="159">
        <f>IF(I35="مخالفات",50,Basic34567891011121314151617[[#This Row],[قيمة الرسوم / العموله]]+Basic34567891011121314151617[[#This Row],[قيمة الشحنه]])</f>
        <v>0</v>
      </c>
      <c r="I35" s="90"/>
      <c r="J35" s="142" t="str">
        <f t="shared" si="0"/>
        <v>16.5.2026</v>
      </c>
      <c r="L35" s="153">
        <v>24</v>
      </c>
      <c r="M35" s="92"/>
    </row>
    <row r="36" spans="1:13" ht="21.6" x14ac:dyDescent="0.65">
      <c r="A36" s="195"/>
      <c r="B36" s="140">
        <v>33</v>
      </c>
      <c r="C36" s="2"/>
      <c r="D36" s="1"/>
      <c r="E36" s="3"/>
      <c r="F36" s="1"/>
      <c r="G36" s="141">
        <f>IF(Basic34567891011121314151617[[#This Row],[نوع الخدمة]]="مخالفات", 50,
IF(Basic34567891011121314151617[[#This Row],[نوع الخدمة]]="كاش ان",
    IF(F36&lt;=100, 18, IF(F36&lt;=250, 23, IF(F36&lt;=500, 35, IF(F36&lt;=1000, 40, F36*0.04)))),
IF(Basic34567891011121314151617[[#This Row],[نوع الخدمة]]="كاش اوت",
    IF(F36&lt;=100, 15, IF(F36&lt;=250, 20, IF(F36&lt;=500, 30, IF(F36&lt;=1000, 35, F36*0.035)))),
0)))</f>
        <v>0</v>
      </c>
      <c r="H36" s="159">
        <f>IF(I36="مخالفات",50,Basic34567891011121314151617[[#This Row],[قيمة الرسوم / العموله]]+Basic34567891011121314151617[[#This Row],[قيمة الشحنه]])</f>
        <v>0</v>
      </c>
      <c r="I36" s="90"/>
      <c r="J36" s="142" t="str">
        <f t="shared" si="0"/>
        <v>16.5.2026</v>
      </c>
      <c r="L36" s="153">
        <v>25</v>
      </c>
      <c r="M36" s="92"/>
    </row>
    <row r="37" spans="1:13" ht="21.6" x14ac:dyDescent="0.65">
      <c r="A37" s="195"/>
      <c r="B37" s="144">
        <v>34</v>
      </c>
      <c r="C37" s="2"/>
      <c r="D37" s="1"/>
      <c r="E37" s="3"/>
      <c r="F37" s="1"/>
      <c r="G37" s="141">
        <f>IF(Basic34567891011121314151617[[#This Row],[نوع الخدمة]]="مخالفات", 50,
IF(Basic34567891011121314151617[[#This Row],[نوع الخدمة]]="كاش ان",
    IF(F37&lt;=100, 18, IF(F37&lt;=250, 23, IF(F37&lt;=500, 35, IF(F37&lt;=1000, 40, F37*0.04)))),
IF(Basic34567891011121314151617[[#This Row],[نوع الخدمة]]="كاش اوت",
    IF(F37&lt;=100, 15, IF(F37&lt;=250, 20, IF(F37&lt;=500, 30, IF(F37&lt;=1000, 35, F37*0.035)))),
0)))</f>
        <v>0</v>
      </c>
      <c r="H37" s="159">
        <f>IF(I37="مخالفات",50,Basic34567891011121314151617[[#This Row],[قيمة الرسوم / العموله]]+Basic34567891011121314151617[[#This Row],[قيمة الشحنه]])</f>
        <v>0</v>
      </c>
      <c r="I37" s="90"/>
      <c r="J37" s="142" t="str">
        <f t="shared" si="0"/>
        <v>16.5.2026</v>
      </c>
      <c r="L37" s="153">
        <v>26</v>
      </c>
      <c r="M37" s="92"/>
    </row>
    <row r="38" spans="1:13" ht="21.6" x14ac:dyDescent="0.65">
      <c r="A38" s="195"/>
      <c r="B38" s="140">
        <v>35</v>
      </c>
      <c r="C38" s="2"/>
      <c r="D38" s="1"/>
      <c r="E38" s="3"/>
      <c r="F38" s="1"/>
      <c r="G38" s="141">
        <f>IF(Basic34567891011121314151617[[#This Row],[نوع الخدمة]]="مخالفات", 50,
IF(Basic34567891011121314151617[[#This Row],[نوع الخدمة]]="كاش ان",
    IF(F38&lt;=100, 18, IF(F38&lt;=250, 23, IF(F38&lt;=500, 35, IF(F38&lt;=1000, 40, F38*0.04)))),
IF(Basic34567891011121314151617[[#This Row],[نوع الخدمة]]="كاش اوت",
    IF(F38&lt;=100, 15, IF(F38&lt;=250, 20, IF(F38&lt;=500, 30, IF(F38&lt;=1000, 35, F38*0.035)))),
0)))</f>
        <v>0</v>
      </c>
      <c r="H38" s="159">
        <f>IF(I38="مخالفات",50,Basic34567891011121314151617[[#This Row],[قيمة الرسوم / العموله]]+Basic34567891011121314151617[[#This Row],[قيمة الشحنه]])</f>
        <v>0</v>
      </c>
      <c r="I38" s="90"/>
      <c r="J38" s="142" t="str">
        <f t="shared" si="0"/>
        <v>16.5.2026</v>
      </c>
      <c r="L38" s="153">
        <v>27</v>
      </c>
      <c r="M38" s="92"/>
    </row>
    <row r="39" spans="1:13" ht="21.6" x14ac:dyDescent="0.65">
      <c r="A39" s="195"/>
      <c r="B39" s="140">
        <v>36</v>
      </c>
      <c r="C39" s="2"/>
      <c r="D39" s="1"/>
      <c r="E39" s="3"/>
      <c r="F39" s="1"/>
      <c r="G39" s="141">
        <f>IF(Basic34567891011121314151617[[#This Row],[نوع الخدمة]]="مخالفات", 50,
IF(Basic34567891011121314151617[[#This Row],[نوع الخدمة]]="كاش ان",
    IF(F39&lt;=100, 18, IF(F39&lt;=250, 23, IF(F39&lt;=500, 35, IF(F39&lt;=1000, 40, F39*0.04)))),
IF(Basic34567891011121314151617[[#This Row],[نوع الخدمة]]="كاش اوت",
    IF(F39&lt;=100, 15, IF(F39&lt;=250, 20, IF(F39&lt;=500, 30, IF(F39&lt;=1000, 35, F39*0.035)))),
0)))</f>
        <v>0</v>
      </c>
      <c r="H39" s="159">
        <f>IF(I39="مخالفات",50,Basic34567891011121314151617[[#This Row],[قيمة الرسوم / العموله]]+Basic34567891011121314151617[[#This Row],[قيمة الشحنه]])</f>
        <v>0</v>
      </c>
      <c r="I39" s="90"/>
      <c r="J39" s="142" t="str">
        <f t="shared" si="0"/>
        <v>16.5.2026</v>
      </c>
      <c r="L39" s="153">
        <v>28</v>
      </c>
      <c r="M39" s="92"/>
    </row>
    <row r="40" spans="1:13" ht="21.6" x14ac:dyDescent="0.65">
      <c r="A40" s="195"/>
      <c r="B40" s="140">
        <v>37</v>
      </c>
      <c r="C40" s="2"/>
      <c r="D40" s="1"/>
      <c r="E40" s="3"/>
      <c r="F40" s="1"/>
      <c r="G40" s="141">
        <f>IF(Basic34567891011121314151617[[#This Row],[نوع الخدمة]]="مخالفات", 50,
IF(Basic34567891011121314151617[[#This Row],[نوع الخدمة]]="كاش ان",
    IF(F40&lt;=100, 18, IF(F40&lt;=250, 23, IF(F40&lt;=500, 35, IF(F40&lt;=1000, 40, F40*0.04)))),
IF(Basic34567891011121314151617[[#This Row],[نوع الخدمة]]="كاش اوت",
    IF(F40&lt;=100, 15, IF(F40&lt;=250, 20, IF(F40&lt;=500, 30, IF(F40&lt;=1000, 35, F40*0.035)))),
0)))</f>
        <v>0</v>
      </c>
      <c r="H40" s="159">
        <f>IF(I40="مخالفات",50,Basic34567891011121314151617[[#This Row],[قيمة الرسوم / العموله]]+Basic34567891011121314151617[[#This Row],[قيمة الشحنه]])</f>
        <v>0</v>
      </c>
      <c r="I40" s="90"/>
      <c r="J40" s="142" t="str">
        <f t="shared" si="0"/>
        <v>16.5.2026</v>
      </c>
      <c r="L40" s="153">
        <v>29</v>
      </c>
      <c r="M40" s="92"/>
    </row>
    <row r="41" spans="1:13" ht="21.6" x14ac:dyDescent="0.65">
      <c r="A41" s="195"/>
      <c r="B41" s="144">
        <v>38</v>
      </c>
      <c r="C41" s="2"/>
      <c r="D41" s="1"/>
      <c r="E41" s="3"/>
      <c r="F41" s="1"/>
      <c r="G41" s="141">
        <f>IF(Basic34567891011121314151617[[#This Row],[نوع الخدمة]]="مخالفات", 50,
IF(Basic34567891011121314151617[[#This Row],[نوع الخدمة]]="كاش ان",
    IF(F41&lt;=100, 18, IF(F41&lt;=250, 23, IF(F41&lt;=500, 35, IF(F41&lt;=1000, 40, F41*0.04)))),
IF(Basic34567891011121314151617[[#This Row],[نوع الخدمة]]="كاش اوت",
    IF(F41&lt;=100, 15, IF(F41&lt;=250, 20, IF(F41&lt;=500, 30, IF(F41&lt;=1000, 35, F41*0.035)))),
0)))</f>
        <v>0</v>
      </c>
      <c r="H41" s="159">
        <f>IF(I41="مخالفات",50,Basic34567891011121314151617[[#This Row],[قيمة الرسوم / العموله]]+Basic34567891011121314151617[[#This Row],[قيمة الشحنه]])</f>
        <v>0</v>
      </c>
      <c r="I41" s="90"/>
      <c r="J41" s="142" t="str">
        <f t="shared" si="0"/>
        <v>16.5.2026</v>
      </c>
      <c r="L41" s="153">
        <v>30</v>
      </c>
      <c r="M41" s="92"/>
    </row>
    <row r="42" spans="1:13" ht="21.6" x14ac:dyDescent="0.65">
      <c r="A42" s="195"/>
      <c r="B42" s="140">
        <v>39</v>
      </c>
      <c r="C42" s="2"/>
      <c r="D42" s="1"/>
      <c r="E42" s="3"/>
      <c r="F42" s="1"/>
      <c r="G42" s="141">
        <f>IF(Basic34567891011121314151617[[#This Row],[نوع الخدمة]]="مخالفات", 50,
IF(Basic34567891011121314151617[[#This Row],[نوع الخدمة]]="كاش ان",
    IF(F42&lt;=100, 18, IF(F42&lt;=250, 23, IF(F42&lt;=500, 35, IF(F42&lt;=1000, 40, F42*0.04)))),
IF(Basic34567891011121314151617[[#This Row],[نوع الخدمة]]="كاش اوت",
    IF(F42&lt;=100, 15, IF(F42&lt;=250, 20, IF(F42&lt;=500, 30, IF(F42&lt;=1000, 35, F42*0.035)))),
0)))</f>
        <v>0</v>
      </c>
      <c r="H42" s="159">
        <f>IF(I42="مخالفات",50,Basic34567891011121314151617[[#This Row],[قيمة الرسوم / العموله]]+Basic34567891011121314151617[[#This Row],[قيمة الشحنه]])</f>
        <v>0</v>
      </c>
      <c r="I42" s="90"/>
      <c r="J42" s="142" t="str">
        <f t="shared" si="0"/>
        <v>16.5.2026</v>
      </c>
      <c r="L42" s="153">
        <v>31</v>
      </c>
      <c r="M42" s="92"/>
    </row>
    <row r="43" spans="1:13" ht="21.6" x14ac:dyDescent="0.65">
      <c r="A43" s="195"/>
      <c r="B43" s="140">
        <v>40</v>
      </c>
      <c r="C43" s="2"/>
      <c r="D43" s="1"/>
      <c r="E43" s="3"/>
      <c r="F43" s="1"/>
      <c r="G43" s="141">
        <f>IF(Basic34567891011121314151617[[#This Row],[نوع الخدمة]]="مخالفات", 50,
IF(Basic34567891011121314151617[[#This Row],[نوع الخدمة]]="كاش ان",
    IF(F43&lt;=100, 18, IF(F43&lt;=250, 23, IF(F43&lt;=500, 35, IF(F43&lt;=1000, 40, F43*0.04)))),
IF(Basic34567891011121314151617[[#This Row],[نوع الخدمة]]="كاش اوت",
    IF(F43&lt;=100, 15, IF(F43&lt;=250, 20, IF(F43&lt;=500, 30, IF(F43&lt;=1000, 35, F43*0.035)))),
0)))</f>
        <v>0</v>
      </c>
      <c r="H43" s="159">
        <f>IF(I43="مخالفات",50,Basic34567891011121314151617[[#This Row],[قيمة الرسوم / العموله]]+Basic34567891011121314151617[[#This Row],[قيمة الشحنه]])</f>
        <v>0</v>
      </c>
      <c r="I43" s="90"/>
      <c r="J43" s="142" t="str">
        <f t="shared" si="0"/>
        <v>16.5.2026</v>
      </c>
      <c r="L43" s="153">
        <v>32</v>
      </c>
      <c r="M43" s="92"/>
    </row>
    <row r="44" spans="1:13" ht="21.6" x14ac:dyDescent="0.65">
      <c r="A44" s="195"/>
      <c r="B44" s="140">
        <v>41</v>
      </c>
      <c r="C44" s="2"/>
      <c r="D44" s="1"/>
      <c r="E44" s="3"/>
      <c r="F44" s="1"/>
      <c r="G44" s="141">
        <f>IF(Basic34567891011121314151617[[#This Row],[نوع الخدمة]]="مخالفات", 50,
IF(Basic34567891011121314151617[[#This Row],[نوع الخدمة]]="كاش ان",
    IF(F44&lt;=100, 18, IF(F44&lt;=250, 23, IF(F44&lt;=500, 35, IF(F44&lt;=1000, 40, F44*0.04)))),
IF(Basic34567891011121314151617[[#This Row],[نوع الخدمة]]="كاش اوت",
    IF(F44&lt;=100, 15, IF(F44&lt;=250, 20, IF(F44&lt;=500, 30, IF(F44&lt;=1000, 35, F44*0.035)))),
0)))</f>
        <v>0</v>
      </c>
      <c r="H44" s="159">
        <f>IF(I44="مخالفات",50,Basic34567891011121314151617[[#This Row],[قيمة الرسوم / العموله]]+Basic34567891011121314151617[[#This Row],[قيمة الشحنه]])</f>
        <v>0</v>
      </c>
      <c r="I44" s="90"/>
      <c r="J44" s="142" t="str">
        <f t="shared" si="0"/>
        <v>16.5.2026</v>
      </c>
      <c r="L44" s="153">
        <v>33</v>
      </c>
      <c r="M44" s="92"/>
    </row>
    <row r="45" spans="1:13" ht="21.6" x14ac:dyDescent="0.65">
      <c r="A45" s="195"/>
      <c r="B45" s="144">
        <v>42</v>
      </c>
      <c r="C45" s="2"/>
      <c r="D45" s="1"/>
      <c r="E45" s="3"/>
      <c r="F45" s="1"/>
      <c r="G45" s="141">
        <f>IF(Basic34567891011121314151617[[#This Row],[نوع الخدمة]]="مخالفات", 50,
IF(Basic34567891011121314151617[[#This Row],[نوع الخدمة]]="كاش ان",
    IF(F45&lt;=100, 18, IF(F45&lt;=250, 23, IF(F45&lt;=500, 35, IF(F45&lt;=1000, 40, F45*0.04)))),
IF(Basic34567891011121314151617[[#This Row],[نوع الخدمة]]="كاش اوت",
    IF(F45&lt;=100, 15, IF(F45&lt;=250, 20, IF(F45&lt;=500, 30, IF(F45&lt;=1000, 35, F45*0.035)))),
0)))</f>
        <v>0</v>
      </c>
      <c r="H45" s="159">
        <f>IF(I45="مخالفات",50,Basic34567891011121314151617[[#This Row],[قيمة الرسوم / العموله]]+Basic34567891011121314151617[[#This Row],[قيمة الشحنه]])</f>
        <v>0</v>
      </c>
      <c r="I45" s="90"/>
      <c r="J45" s="142" t="str">
        <f t="shared" si="0"/>
        <v>16.5.2026</v>
      </c>
      <c r="L45" s="153">
        <v>34</v>
      </c>
      <c r="M45" s="92"/>
    </row>
    <row r="46" spans="1:13" ht="21.6" x14ac:dyDescent="0.65">
      <c r="A46" s="195"/>
      <c r="B46" s="140">
        <v>43</v>
      </c>
      <c r="C46" s="2"/>
      <c r="D46" s="1"/>
      <c r="E46" s="3"/>
      <c r="F46" s="1"/>
      <c r="G46" s="141">
        <f>IF(Basic34567891011121314151617[[#This Row],[نوع الخدمة]]="مخالفات", 50,
IF(Basic34567891011121314151617[[#This Row],[نوع الخدمة]]="كاش ان",
    IF(F46&lt;=100, 18, IF(F46&lt;=250, 23, IF(F46&lt;=500, 35, IF(F46&lt;=1000, 40, F46*0.04)))),
IF(Basic34567891011121314151617[[#This Row],[نوع الخدمة]]="كاش اوت",
    IF(F46&lt;=100, 15, IF(F46&lt;=250, 20, IF(F46&lt;=500, 30, IF(F46&lt;=1000, 35, F46*0.035)))),
0)))</f>
        <v>0</v>
      </c>
      <c r="H46" s="159">
        <f>IF(I46="مخالفات",50,Basic34567891011121314151617[[#This Row],[قيمة الرسوم / العموله]]+Basic34567891011121314151617[[#This Row],[قيمة الشحنه]])</f>
        <v>0</v>
      </c>
      <c r="I46" s="90"/>
      <c r="J46" s="142" t="str">
        <f t="shared" si="0"/>
        <v>16.5.2026</v>
      </c>
      <c r="L46" s="153">
        <v>35</v>
      </c>
      <c r="M46" s="92"/>
    </row>
    <row r="47" spans="1:13" ht="21.6" x14ac:dyDescent="0.65">
      <c r="A47" s="195"/>
      <c r="B47" s="140">
        <v>44</v>
      </c>
      <c r="C47" s="2"/>
      <c r="D47" s="1"/>
      <c r="E47" s="3"/>
      <c r="F47" s="1"/>
      <c r="G47" s="141">
        <f>IF(Basic34567891011121314151617[[#This Row],[نوع الخدمة]]="مخالفات", 50,
IF(Basic34567891011121314151617[[#This Row],[نوع الخدمة]]="كاش ان",
    IF(F47&lt;=100, 18, IF(F47&lt;=250, 23, IF(F47&lt;=500, 35, IF(F47&lt;=1000, 40, F47*0.04)))),
IF(Basic34567891011121314151617[[#This Row],[نوع الخدمة]]="كاش اوت",
    IF(F47&lt;=100, 15, IF(F47&lt;=250, 20, IF(F47&lt;=500, 30, IF(F47&lt;=1000, 35, F47*0.035)))),
0)))</f>
        <v>0</v>
      </c>
      <c r="H47" s="159">
        <f>IF(I47="مخالفات",50,Basic34567891011121314151617[[#This Row],[قيمة الرسوم / العموله]]+Basic34567891011121314151617[[#This Row],[قيمة الشحنه]])</f>
        <v>0</v>
      </c>
      <c r="I47" s="90"/>
      <c r="J47" s="142" t="str">
        <f t="shared" si="0"/>
        <v>16.5.2026</v>
      </c>
      <c r="L47" s="153">
        <v>36</v>
      </c>
      <c r="M47" s="92"/>
    </row>
    <row r="48" spans="1:13" ht="21.6" x14ac:dyDescent="0.65">
      <c r="A48" s="195"/>
      <c r="B48" s="140">
        <v>45</v>
      </c>
      <c r="C48" s="2"/>
      <c r="D48" s="1"/>
      <c r="E48" s="3"/>
      <c r="F48" s="1"/>
      <c r="G48" s="141">
        <f>IF(Basic34567891011121314151617[[#This Row],[نوع الخدمة]]="مخالفات", 50,
IF(Basic34567891011121314151617[[#This Row],[نوع الخدمة]]="كاش ان",
    IF(F48&lt;=100, 18, IF(F48&lt;=250, 23, IF(F48&lt;=500, 35, IF(F48&lt;=1000, 40, F48*0.04)))),
IF(Basic34567891011121314151617[[#This Row],[نوع الخدمة]]="كاش اوت",
    IF(F48&lt;=100, 15, IF(F48&lt;=250, 20, IF(F48&lt;=500, 30, IF(F48&lt;=1000, 35, F48*0.035)))),
0)))</f>
        <v>0</v>
      </c>
      <c r="H48" s="159">
        <f>IF(I48="مخالفات",50,Basic34567891011121314151617[[#This Row],[قيمة الرسوم / العموله]]+Basic34567891011121314151617[[#This Row],[قيمة الشحنه]])</f>
        <v>0</v>
      </c>
      <c r="I48" s="90"/>
      <c r="J48" s="142" t="str">
        <f t="shared" si="0"/>
        <v>16.5.2026</v>
      </c>
      <c r="L48" s="153">
        <v>37</v>
      </c>
      <c r="M48" s="92"/>
    </row>
    <row r="49" spans="1:13" ht="21.6" x14ac:dyDescent="0.65">
      <c r="A49" s="195"/>
      <c r="B49" s="144">
        <v>46</v>
      </c>
      <c r="C49" s="2"/>
      <c r="D49" s="1"/>
      <c r="E49" s="3"/>
      <c r="F49" s="1"/>
      <c r="G49" s="141">
        <f>IF(Basic34567891011121314151617[[#This Row],[نوع الخدمة]]="مخالفات", 50,
IF(Basic34567891011121314151617[[#This Row],[نوع الخدمة]]="كاش ان",
    IF(F49&lt;=100, 18, IF(F49&lt;=250, 23, IF(F49&lt;=500, 35, IF(F49&lt;=1000, 40, F49*0.04)))),
IF(Basic34567891011121314151617[[#This Row],[نوع الخدمة]]="كاش اوت",
    IF(F49&lt;=100, 15, IF(F49&lt;=250, 20, IF(F49&lt;=500, 30, IF(F49&lt;=1000, 35, F49*0.035)))),
0)))</f>
        <v>0</v>
      </c>
      <c r="H49" s="159">
        <f>IF(I49="مخالفات",50,Basic34567891011121314151617[[#This Row],[قيمة الرسوم / العموله]]+Basic34567891011121314151617[[#This Row],[قيمة الشحنه]])</f>
        <v>0</v>
      </c>
      <c r="I49" s="90"/>
      <c r="J49" s="142" t="str">
        <f t="shared" si="0"/>
        <v>16.5.2026</v>
      </c>
      <c r="L49" s="153">
        <v>38</v>
      </c>
      <c r="M49" s="92"/>
    </row>
    <row r="50" spans="1:13" ht="21.6" x14ac:dyDescent="0.65">
      <c r="A50" s="195"/>
      <c r="B50" s="140">
        <v>47</v>
      </c>
      <c r="C50" s="2"/>
      <c r="D50" s="1"/>
      <c r="E50" s="3"/>
      <c r="F50" s="1"/>
      <c r="G50" s="141">
        <f>IF(Basic34567891011121314151617[[#This Row],[نوع الخدمة]]="مخالفات", 50,
IF(Basic34567891011121314151617[[#This Row],[نوع الخدمة]]="كاش ان",
    IF(F50&lt;=100, 18, IF(F50&lt;=250, 23, IF(F50&lt;=500, 35, IF(F50&lt;=1000, 40, F50*0.04)))),
IF(Basic34567891011121314151617[[#This Row],[نوع الخدمة]]="كاش اوت",
    IF(F50&lt;=100, 15, IF(F50&lt;=250, 20, IF(F50&lt;=500, 30, IF(F50&lt;=1000, 35, F50*0.035)))),
0)))</f>
        <v>0</v>
      </c>
      <c r="H50" s="159">
        <f>IF(I50="مخالفات",50,Basic34567891011121314151617[[#This Row],[قيمة الرسوم / العموله]]+Basic34567891011121314151617[[#This Row],[قيمة الشحنه]])</f>
        <v>0</v>
      </c>
      <c r="I50" s="90"/>
      <c r="J50" s="142" t="str">
        <f t="shared" si="0"/>
        <v>16.5.2026</v>
      </c>
      <c r="L50" s="153">
        <v>39</v>
      </c>
      <c r="M50" s="92"/>
    </row>
    <row r="51" spans="1:13" ht="21.6" x14ac:dyDescent="0.65">
      <c r="A51" s="195"/>
      <c r="B51" s="140">
        <v>48</v>
      </c>
      <c r="C51" s="2"/>
      <c r="D51" s="1"/>
      <c r="E51" s="3"/>
      <c r="F51" s="1"/>
      <c r="G51" s="141">
        <f>IF(Basic34567891011121314151617[[#This Row],[نوع الخدمة]]="مخالفات", 50,
IF(Basic34567891011121314151617[[#This Row],[نوع الخدمة]]="كاش ان",
    IF(F51&lt;=100, 18, IF(F51&lt;=250, 23, IF(F51&lt;=500, 35, IF(F51&lt;=1000, 40, F51*0.04)))),
IF(Basic34567891011121314151617[[#This Row],[نوع الخدمة]]="كاش اوت",
    IF(F51&lt;=100, 15, IF(F51&lt;=250, 20, IF(F51&lt;=500, 30, IF(F51&lt;=1000, 35, F51*0.035)))),
0)))</f>
        <v>0</v>
      </c>
      <c r="H51" s="159">
        <f>IF(I51="مخالفات",50,Basic34567891011121314151617[[#This Row],[قيمة الرسوم / العموله]]+Basic34567891011121314151617[[#This Row],[قيمة الشحنه]])</f>
        <v>0</v>
      </c>
      <c r="I51" s="90"/>
      <c r="J51" s="142" t="str">
        <f t="shared" si="0"/>
        <v>16.5.2026</v>
      </c>
      <c r="L51" s="153">
        <v>40</v>
      </c>
      <c r="M51" s="92"/>
    </row>
    <row r="52" spans="1:13" ht="21.6" x14ac:dyDescent="0.65">
      <c r="A52" s="195"/>
      <c r="B52" s="140">
        <v>49</v>
      </c>
      <c r="C52" s="2"/>
      <c r="D52" s="1"/>
      <c r="E52" s="3"/>
      <c r="F52" s="1"/>
      <c r="G52" s="141">
        <f>IF(Basic34567891011121314151617[[#This Row],[نوع الخدمة]]="مخالفات", 50,
IF(Basic34567891011121314151617[[#This Row],[نوع الخدمة]]="كاش ان",
    IF(F52&lt;=100, 18, IF(F52&lt;=250, 23, IF(F52&lt;=500, 35, IF(F52&lt;=1000, 40, F52*0.04)))),
IF(Basic34567891011121314151617[[#This Row],[نوع الخدمة]]="كاش اوت",
    IF(F52&lt;=100, 15, IF(F52&lt;=250, 20, IF(F52&lt;=500, 30, IF(F52&lt;=1000, 35, F52*0.035)))),
0)))</f>
        <v>0</v>
      </c>
      <c r="H52" s="159">
        <f>IF(I52="مخالفات",50,Basic34567891011121314151617[[#This Row],[قيمة الرسوم / العموله]]+Basic34567891011121314151617[[#This Row],[قيمة الشحنه]])</f>
        <v>0</v>
      </c>
      <c r="I52" s="90"/>
      <c r="J52" s="142" t="str">
        <f t="shared" si="0"/>
        <v>16.5.2026</v>
      </c>
      <c r="L52" s="153">
        <v>41</v>
      </c>
      <c r="M52" s="92"/>
    </row>
    <row r="53" spans="1:13" ht="21.6" x14ac:dyDescent="0.65">
      <c r="A53" s="195"/>
      <c r="B53" s="144">
        <v>50</v>
      </c>
      <c r="C53" s="2"/>
      <c r="D53" s="1"/>
      <c r="E53" s="3"/>
      <c r="F53" s="1"/>
      <c r="G53" s="141">
        <f>IF(Basic34567891011121314151617[[#This Row],[نوع الخدمة]]="مخالفات", 50,
IF(Basic34567891011121314151617[[#This Row],[نوع الخدمة]]="كاش ان",
    IF(F53&lt;=100, 18, IF(F53&lt;=250, 23, IF(F53&lt;=500, 35, IF(F53&lt;=1000, 40, F53*0.04)))),
IF(Basic34567891011121314151617[[#This Row],[نوع الخدمة]]="كاش اوت",
    IF(F53&lt;=100, 15, IF(F53&lt;=250, 20, IF(F53&lt;=500, 30, IF(F53&lt;=1000, 35, F53*0.035)))),
0)))</f>
        <v>0</v>
      </c>
      <c r="H53" s="159">
        <f>IF(I53="مخالفات",50,Basic34567891011121314151617[[#This Row],[قيمة الرسوم / العموله]]+Basic34567891011121314151617[[#This Row],[قيمة الشحنه]])</f>
        <v>0</v>
      </c>
      <c r="I53" s="90"/>
      <c r="J53" s="142" t="str">
        <f t="shared" si="0"/>
        <v>16.5.2026</v>
      </c>
      <c r="L53" s="153">
        <v>42</v>
      </c>
      <c r="M53" s="92"/>
    </row>
    <row r="54" spans="1:13" ht="21.6" x14ac:dyDescent="0.65">
      <c r="A54" s="195"/>
      <c r="B54" s="140">
        <v>51</v>
      </c>
      <c r="C54" s="2"/>
      <c r="D54" s="1"/>
      <c r="E54" s="3"/>
      <c r="F54" s="1"/>
      <c r="G54" s="141">
        <f>IF(Basic34567891011121314151617[[#This Row],[نوع الخدمة]]="مخالفات", 50,
IF(Basic34567891011121314151617[[#This Row],[نوع الخدمة]]="كاش ان",
    IF(F54&lt;=100, 18, IF(F54&lt;=250, 23, IF(F54&lt;=500, 35, IF(F54&lt;=1000, 40, F54*0.04)))),
IF(Basic34567891011121314151617[[#This Row],[نوع الخدمة]]="كاش اوت",
    IF(F54&lt;=100, 15, IF(F54&lt;=250, 20, IF(F54&lt;=500, 30, IF(F54&lt;=1000, 35, F54*0.035)))),
0)))</f>
        <v>0</v>
      </c>
      <c r="H54" s="159">
        <f>IF(I54="مخالفات",50,Basic34567891011121314151617[[#This Row],[قيمة الرسوم / العموله]]+Basic34567891011121314151617[[#This Row],[قيمة الشحنه]])</f>
        <v>0</v>
      </c>
      <c r="I54" s="90"/>
      <c r="J54" s="142" t="str">
        <f t="shared" si="0"/>
        <v>16.5.2026</v>
      </c>
      <c r="L54" s="153">
        <v>43</v>
      </c>
      <c r="M54" s="92"/>
    </row>
    <row r="55" spans="1:13" ht="21.6" x14ac:dyDescent="0.65">
      <c r="A55" s="195"/>
      <c r="B55" s="140">
        <v>52</v>
      </c>
      <c r="C55" s="2"/>
      <c r="D55" s="1"/>
      <c r="E55" s="3"/>
      <c r="F55" s="1"/>
      <c r="G55" s="141">
        <f>IF(Basic34567891011121314151617[[#This Row],[نوع الخدمة]]="مخالفات", 50,
IF(Basic34567891011121314151617[[#This Row],[نوع الخدمة]]="كاش ان",
    IF(F55&lt;=100, 18, IF(F55&lt;=250, 23, IF(F55&lt;=500, 35, IF(F55&lt;=1000, 40, F55*0.04)))),
IF(Basic34567891011121314151617[[#This Row],[نوع الخدمة]]="كاش اوت",
    IF(F55&lt;=100, 15, IF(F55&lt;=250, 20, IF(F55&lt;=500, 30, IF(F55&lt;=1000, 35, F55*0.035)))),
0)))</f>
        <v>0</v>
      </c>
      <c r="H55" s="159">
        <f>IF(I55="مخالفات",50,Basic34567891011121314151617[[#This Row],[قيمة الرسوم / العموله]]+Basic34567891011121314151617[[#This Row],[قيمة الشحنه]])</f>
        <v>0</v>
      </c>
      <c r="I55" s="90"/>
      <c r="J55" s="142" t="str">
        <f t="shared" si="0"/>
        <v>16.5.2026</v>
      </c>
      <c r="L55" s="153">
        <v>44</v>
      </c>
      <c r="M55" s="92"/>
    </row>
    <row r="56" spans="1:13" ht="21.6" x14ac:dyDescent="0.65">
      <c r="A56" s="195"/>
      <c r="B56" s="140">
        <v>53</v>
      </c>
      <c r="C56" s="2"/>
      <c r="D56" s="1"/>
      <c r="E56" s="3"/>
      <c r="F56" s="1"/>
      <c r="G56" s="141">
        <f>IF(Basic34567891011121314151617[[#This Row],[نوع الخدمة]]="مخالفات", 50,
IF(Basic34567891011121314151617[[#This Row],[نوع الخدمة]]="كاش ان",
    IF(F56&lt;=100, 18, IF(F56&lt;=250, 23, IF(F56&lt;=500, 35, IF(F56&lt;=1000, 40, F56*0.04)))),
IF(Basic34567891011121314151617[[#This Row],[نوع الخدمة]]="كاش اوت",
    IF(F56&lt;=100, 15, IF(F56&lt;=250, 20, IF(F56&lt;=500, 30, IF(F56&lt;=1000, 35, F56*0.035)))),
0)))</f>
        <v>0</v>
      </c>
      <c r="H56" s="159">
        <f>IF(I56="مخالفات",50,Basic34567891011121314151617[[#This Row],[قيمة الرسوم / العموله]]+Basic34567891011121314151617[[#This Row],[قيمة الشحنه]])</f>
        <v>0</v>
      </c>
      <c r="I56" s="90"/>
      <c r="J56" s="142" t="str">
        <f t="shared" si="0"/>
        <v>16.5.2026</v>
      </c>
      <c r="L56" s="153">
        <v>45</v>
      </c>
      <c r="M56" s="92"/>
    </row>
    <row r="57" spans="1:13" ht="21.6" x14ac:dyDescent="0.65">
      <c r="A57" s="195"/>
      <c r="B57" s="144">
        <v>54</v>
      </c>
      <c r="C57" s="2"/>
      <c r="D57" s="1"/>
      <c r="E57" s="3"/>
      <c r="F57" s="1"/>
      <c r="G57" s="141">
        <f>IF(Basic34567891011121314151617[[#This Row],[نوع الخدمة]]="مخالفات", 50,
IF(Basic34567891011121314151617[[#This Row],[نوع الخدمة]]="كاش ان",
    IF(F57&lt;=100, 18, IF(F57&lt;=250, 23, IF(F57&lt;=500, 35, IF(F57&lt;=1000, 40, F57*0.04)))),
IF(Basic34567891011121314151617[[#This Row],[نوع الخدمة]]="كاش اوت",
    IF(F57&lt;=100, 15, IF(F57&lt;=250, 20, IF(F57&lt;=500, 30, IF(F57&lt;=1000, 35, F57*0.035)))),
0)))</f>
        <v>0</v>
      </c>
      <c r="H57" s="159">
        <f>IF(I57="مخالفات",50,Basic34567891011121314151617[[#This Row],[قيمة الرسوم / العموله]]+Basic34567891011121314151617[[#This Row],[قيمة الشحنه]])</f>
        <v>0</v>
      </c>
      <c r="I57" s="90"/>
      <c r="J57" s="142" t="str">
        <f t="shared" si="0"/>
        <v>16.5.2026</v>
      </c>
      <c r="L57" s="153">
        <v>46</v>
      </c>
      <c r="M57" s="92"/>
    </row>
    <row r="58" spans="1:13" ht="21.6" x14ac:dyDescent="0.65">
      <c r="A58" s="195"/>
      <c r="B58" s="140">
        <v>55</v>
      </c>
      <c r="C58" s="2"/>
      <c r="D58" s="1"/>
      <c r="E58" s="3"/>
      <c r="F58" s="1"/>
      <c r="G58" s="141">
        <f>IF(Basic34567891011121314151617[[#This Row],[نوع الخدمة]]="مخالفات", 50,
IF(Basic34567891011121314151617[[#This Row],[نوع الخدمة]]="كاش ان",
    IF(F58&lt;=100, 18, IF(F58&lt;=250, 23, IF(F58&lt;=500, 35, IF(F58&lt;=1000, 40, F58*0.04)))),
IF(Basic34567891011121314151617[[#This Row],[نوع الخدمة]]="كاش اوت",
    IF(F58&lt;=100, 15, IF(F58&lt;=250, 20, IF(F58&lt;=500, 30, IF(F58&lt;=1000, 35, F58*0.035)))),
0)))</f>
        <v>0</v>
      </c>
      <c r="H58" s="159">
        <f>IF(I58="مخالفات",50,Basic34567891011121314151617[[#This Row],[قيمة الرسوم / العموله]]+Basic34567891011121314151617[[#This Row],[قيمة الشحنه]])</f>
        <v>0</v>
      </c>
      <c r="I58" s="90"/>
      <c r="J58" s="142" t="str">
        <f t="shared" si="0"/>
        <v>16.5.2026</v>
      </c>
      <c r="L58" s="153">
        <v>47</v>
      </c>
      <c r="M58" s="92"/>
    </row>
    <row r="59" spans="1:13" ht="21.6" x14ac:dyDescent="0.65">
      <c r="A59" s="195"/>
      <c r="B59" s="140">
        <v>56</v>
      </c>
      <c r="C59" s="2"/>
      <c r="D59" s="1"/>
      <c r="E59" s="3"/>
      <c r="F59" s="1"/>
      <c r="G59" s="141">
        <f>IF(Basic34567891011121314151617[[#This Row],[نوع الخدمة]]="مخالفات", 50,
IF(Basic34567891011121314151617[[#This Row],[نوع الخدمة]]="كاش ان",
    IF(F59&lt;=100, 18, IF(F59&lt;=250, 23, IF(F59&lt;=500, 35, IF(F59&lt;=1000, 40, F59*0.04)))),
IF(Basic34567891011121314151617[[#This Row],[نوع الخدمة]]="كاش اوت",
    IF(F59&lt;=100, 15, IF(F59&lt;=250, 20, IF(F59&lt;=500, 30, IF(F59&lt;=1000, 35, F59*0.035)))),
0)))</f>
        <v>0</v>
      </c>
      <c r="H59" s="159">
        <f>IF(I59="مخالفات",50,Basic34567891011121314151617[[#This Row],[قيمة الرسوم / العموله]]+Basic34567891011121314151617[[#This Row],[قيمة الشحنه]])</f>
        <v>0</v>
      </c>
      <c r="I59" s="90"/>
      <c r="J59" s="142" t="str">
        <f t="shared" si="0"/>
        <v>16.5.2026</v>
      </c>
      <c r="L59" s="153">
        <v>48</v>
      </c>
      <c r="M59" s="92"/>
    </row>
    <row r="60" spans="1:13" ht="21.6" x14ac:dyDescent="0.65">
      <c r="A60" s="195"/>
      <c r="B60" s="140">
        <v>57</v>
      </c>
      <c r="C60" s="2"/>
      <c r="D60" s="1"/>
      <c r="E60" s="3"/>
      <c r="F60" s="1"/>
      <c r="G60" s="141">
        <f>IF(Basic34567891011121314151617[[#This Row],[نوع الخدمة]]="مخالفات", 50,
IF(Basic34567891011121314151617[[#This Row],[نوع الخدمة]]="كاش ان",
    IF(F60&lt;=100, 18, IF(F60&lt;=250, 23, IF(F60&lt;=500, 35, IF(F60&lt;=1000, 40, F60*0.04)))),
IF(Basic34567891011121314151617[[#This Row],[نوع الخدمة]]="كاش اوت",
    IF(F60&lt;=100, 15, IF(F60&lt;=250, 20, IF(F60&lt;=500, 30, IF(F60&lt;=1000, 35, F60*0.035)))),
0)))</f>
        <v>0</v>
      </c>
      <c r="H60" s="159">
        <f>IF(I60="مخالفات",50,Basic34567891011121314151617[[#This Row],[قيمة الرسوم / العموله]]+Basic34567891011121314151617[[#This Row],[قيمة الشحنه]])</f>
        <v>0</v>
      </c>
      <c r="I60" s="90"/>
      <c r="J60" s="142" t="str">
        <f t="shared" si="0"/>
        <v>16.5.2026</v>
      </c>
      <c r="L60" s="153">
        <v>49</v>
      </c>
      <c r="M60" s="92"/>
    </row>
    <row r="61" spans="1:13" ht="21.6" x14ac:dyDescent="0.65">
      <c r="A61" s="195"/>
      <c r="B61" s="144">
        <v>58</v>
      </c>
      <c r="C61" s="2"/>
      <c r="D61" s="1"/>
      <c r="E61" s="3"/>
      <c r="F61" s="1"/>
      <c r="G61" s="141">
        <f>IF(Basic34567891011121314151617[[#This Row],[نوع الخدمة]]="مخالفات", 50,
IF(Basic34567891011121314151617[[#This Row],[نوع الخدمة]]="كاش ان",
    IF(F61&lt;=100, 18, IF(F61&lt;=250, 23, IF(F61&lt;=500, 35, IF(F61&lt;=1000, 40, F61*0.04)))),
IF(Basic34567891011121314151617[[#This Row],[نوع الخدمة]]="كاش اوت",
    IF(F61&lt;=100, 15, IF(F61&lt;=250, 20, IF(F61&lt;=500, 30, IF(F61&lt;=1000, 35, F61*0.035)))),
0)))</f>
        <v>0</v>
      </c>
      <c r="H61" s="159">
        <f>IF(I61="مخالفات",50,Basic34567891011121314151617[[#This Row],[قيمة الرسوم / العموله]]+Basic34567891011121314151617[[#This Row],[قيمة الشحنه]])</f>
        <v>0</v>
      </c>
      <c r="I61" s="90"/>
      <c r="J61" s="142" t="str">
        <f t="shared" si="0"/>
        <v>16.5.2026</v>
      </c>
      <c r="L61" s="153">
        <v>50</v>
      </c>
      <c r="M61" s="92"/>
    </row>
    <row r="62" spans="1:13" ht="21.6" x14ac:dyDescent="0.65">
      <c r="A62" s="195"/>
      <c r="B62" s="140">
        <v>59</v>
      </c>
      <c r="C62" s="2"/>
      <c r="D62" s="1"/>
      <c r="E62" s="3"/>
      <c r="F62" s="1"/>
      <c r="G62" s="141">
        <f>IF(Basic34567891011121314151617[[#This Row],[نوع الخدمة]]="مخالفات", 50,
IF(Basic34567891011121314151617[[#This Row],[نوع الخدمة]]="كاش ان",
    IF(F62&lt;=100, 18, IF(F62&lt;=250, 23, IF(F62&lt;=500, 35, IF(F62&lt;=1000, 40, F62*0.04)))),
IF(Basic34567891011121314151617[[#This Row],[نوع الخدمة]]="كاش اوت",
    IF(F62&lt;=100, 15, IF(F62&lt;=250, 20, IF(F62&lt;=500, 30, IF(F62&lt;=1000, 35, F62*0.035)))),
0)))</f>
        <v>0</v>
      </c>
      <c r="H62" s="159">
        <f>IF(I62="مخالفات",50,Basic34567891011121314151617[[#This Row],[قيمة الرسوم / العموله]]+Basic34567891011121314151617[[#This Row],[قيمة الشحنه]])</f>
        <v>0</v>
      </c>
      <c r="I62" s="90"/>
      <c r="J62" s="142" t="str">
        <f t="shared" si="0"/>
        <v>16.5.2026</v>
      </c>
      <c r="L62" s="153">
        <v>51</v>
      </c>
      <c r="M62" s="92"/>
    </row>
    <row r="63" spans="1:13" ht="21.6" x14ac:dyDescent="0.65">
      <c r="A63" s="195"/>
      <c r="B63" s="140">
        <v>60</v>
      </c>
      <c r="C63" s="2"/>
      <c r="D63" s="1"/>
      <c r="E63" s="3"/>
      <c r="F63" s="1"/>
      <c r="G63" s="141">
        <f>IF(Basic34567891011121314151617[[#This Row],[نوع الخدمة]]="مخالفات", 50,
IF(Basic34567891011121314151617[[#This Row],[نوع الخدمة]]="كاش ان",
    IF(F63&lt;=100, 18, IF(F63&lt;=250, 23, IF(F63&lt;=500, 35, IF(F63&lt;=1000, 40, F63*0.04)))),
IF(Basic34567891011121314151617[[#This Row],[نوع الخدمة]]="كاش اوت",
    IF(F63&lt;=100, 15, IF(F63&lt;=250, 20, IF(F63&lt;=500, 30, IF(F63&lt;=1000, 35, F63*0.035)))),
0)))</f>
        <v>0</v>
      </c>
      <c r="H63" s="159">
        <f>IF(I63="مخالفات",50,Basic34567891011121314151617[[#This Row],[قيمة الرسوم / العموله]]+Basic34567891011121314151617[[#This Row],[قيمة الشحنه]])</f>
        <v>0</v>
      </c>
      <c r="I63" s="90"/>
      <c r="J63" s="142" t="str">
        <f t="shared" si="0"/>
        <v>16.5.2026</v>
      </c>
      <c r="L63" s="153">
        <v>52</v>
      </c>
      <c r="M63" s="92"/>
    </row>
    <row r="64" spans="1:13" ht="21.6" x14ac:dyDescent="0.65">
      <c r="A64" s="195"/>
      <c r="B64" s="140">
        <v>61</v>
      </c>
      <c r="C64" s="2"/>
      <c r="D64" s="1"/>
      <c r="E64" s="3"/>
      <c r="F64" s="1"/>
      <c r="G64" s="141">
        <f>IF(Basic34567891011121314151617[[#This Row],[نوع الخدمة]]="مخالفات", 50,
IF(Basic34567891011121314151617[[#This Row],[نوع الخدمة]]="كاش ان",
    IF(F64&lt;=100, 18, IF(F64&lt;=250, 23, IF(F64&lt;=500, 35, IF(F64&lt;=1000, 40, F64*0.04)))),
IF(Basic34567891011121314151617[[#This Row],[نوع الخدمة]]="كاش اوت",
    IF(F64&lt;=100, 15, IF(F64&lt;=250, 20, IF(F64&lt;=500, 30, IF(F64&lt;=1000, 35, F64*0.035)))),
0)))</f>
        <v>0</v>
      </c>
      <c r="H64" s="159">
        <f>IF(I64="مخالفات",50,Basic34567891011121314151617[[#This Row],[قيمة الرسوم / العموله]]+Basic34567891011121314151617[[#This Row],[قيمة الشحنه]])</f>
        <v>0</v>
      </c>
      <c r="I64" s="90"/>
      <c r="J64" s="142" t="str">
        <f t="shared" si="0"/>
        <v>16.5.2026</v>
      </c>
      <c r="L64" s="153">
        <v>53</v>
      </c>
      <c r="M64" s="92"/>
    </row>
    <row r="65" spans="1:13" ht="21.6" x14ac:dyDescent="0.65">
      <c r="A65" s="195"/>
      <c r="B65" s="144">
        <v>62</v>
      </c>
      <c r="C65" s="2"/>
      <c r="D65" s="1"/>
      <c r="E65" s="3"/>
      <c r="F65" s="1"/>
      <c r="G65" s="141">
        <f>IF(Basic34567891011121314151617[[#This Row],[نوع الخدمة]]="مخالفات", 50,
IF(Basic34567891011121314151617[[#This Row],[نوع الخدمة]]="كاش ان",
    IF(F65&lt;=100, 18, IF(F65&lt;=250, 23, IF(F65&lt;=500, 35, IF(F65&lt;=1000, 40, F65*0.04)))),
IF(Basic34567891011121314151617[[#This Row],[نوع الخدمة]]="كاش اوت",
    IF(F65&lt;=100, 15, IF(F65&lt;=250, 20, IF(F65&lt;=500, 30, IF(F65&lt;=1000, 35, F65*0.035)))),
0)))</f>
        <v>0</v>
      </c>
      <c r="H65" s="159">
        <f>IF(I65="مخالفات",50,Basic34567891011121314151617[[#This Row],[قيمة الرسوم / العموله]]+Basic34567891011121314151617[[#This Row],[قيمة الشحنه]])</f>
        <v>0</v>
      </c>
      <c r="I65" s="90"/>
      <c r="J65" s="142" t="str">
        <f t="shared" si="0"/>
        <v>16.5.2026</v>
      </c>
      <c r="L65" s="153">
        <v>54</v>
      </c>
      <c r="M65" s="92"/>
    </row>
    <row r="66" spans="1:13" ht="21.6" x14ac:dyDescent="0.65">
      <c r="A66" s="195"/>
      <c r="B66" s="140">
        <v>63</v>
      </c>
      <c r="C66" s="2"/>
      <c r="D66" s="1"/>
      <c r="E66" s="3"/>
      <c r="F66" s="1"/>
      <c r="G66" s="141">
        <f>IF(Basic34567891011121314151617[[#This Row],[نوع الخدمة]]="مخالفات", 50,
IF(Basic34567891011121314151617[[#This Row],[نوع الخدمة]]="كاش ان",
    IF(F66&lt;=100, 18, IF(F66&lt;=250, 23, IF(F66&lt;=500, 35, IF(F66&lt;=1000, 40, F66*0.04)))),
IF(Basic34567891011121314151617[[#This Row],[نوع الخدمة]]="كاش اوت",
    IF(F66&lt;=100, 15, IF(F66&lt;=250, 20, IF(F66&lt;=500, 30, IF(F66&lt;=1000, 35, F66*0.035)))),
0)))</f>
        <v>0</v>
      </c>
      <c r="H66" s="159">
        <f>IF(I66="مخالفات",50,Basic34567891011121314151617[[#This Row],[قيمة الرسوم / العموله]]+Basic34567891011121314151617[[#This Row],[قيمة الشحنه]])</f>
        <v>0</v>
      </c>
      <c r="I66" s="90"/>
      <c r="J66" s="142" t="str">
        <f t="shared" si="0"/>
        <v>16.5.2026</v>
      </c>
      <c r="L66" s="153">
        <v>55</v>
      </c>
      <c r="M66" s="92"/>
    </row>
    <row r="67" spans="1:13" ht="21.6" x14ac:dyDescent="0.65">
      <c r="A67" s="195"/>
      <c r="B67" s="140">
        <v>64</v>
      </c>
      <c r="C67" s="2"/>
      <c r="D67" s="1"/>
      <c r="E67" s="3"/>
      <c r="F67" s="1"/>
      <c r="G67" s="141">
        <f>IF(Basic34567891011121314151617[[#This Row],[نوع الخدمة]]="مخالفات", 50,
IF(Basic34567891011121314151617[[#This Row],[نوع الخدمة]]="كاش ان",
    IF(F67&lt;=100, 18, IF(F67&lt;=250, 23, IF(F67&lt;=500, 35, IF(F67&lt;=1000, 40, F67*0.04)))),
IF(Basic34567891011121314151617[[#This Row],[نوع الخدمة]]="كاش اوت",
    IF(F67&lt;=100, 15, IF(F67&lt;=250, 20, IF(F67&lt;=500, 30, IF(F67&lt;=1000, 35, F67*0.035)))),
0)))</f>
        <v>0</v>
      </c>
      <c r="H67" s="159">
        <f>IF(I67="مخالفات",50,Basic34567891011121314151617[[#This Row],[قيمة الرسوم / العموله]]+Basic34567891011121314151617[[#This Row],[قيمة الشحنه]])</f>
        <v>0</v>
      </c>
      <c r="I67" s="90"/>
      <c r="J67" s="142" t="str">
        <f t="shared" si="0"/>
        <v>16.5.2026</v>
      </c>
      <c r="L67" s="153">
        <v>56</v>
      </c>
      <c r="M67" s="92"/>
    </row>
    <row r="68" spans="1:13" ht="21.6" x14ac:dyDescent="0.65">
      <c r="A68" s="195"/>
      <c r="B68" s="140">
        <v>65</v>
      </c>
      <c r="C68" s="2"/>
      <c r="D68" s="1"/>
      <c r="E68" s="3"/>
      <c r="F68" s="1"/>
      <c r="G68" s="141">
        <f>IF(Basic34567891011121314151617[[#This Row],[نوع الخدمة]]="مخالفات", 50,
IF(Basic34567891011121314151617[[#This Row],[نوع الخدمة]]="كاش ان",
    IF(F68&lt;=100, 18, IF(F68&lt;=250, 23, IF(F68&lt;=500, 35, IF(F68&lt;=1000, 40, F68*0.04)))),
IF(Basic34567891011121314151617[[#This Row],[نوع الخدمة]]="كاش اوت",
    IF(F68&lt;=100, 15, IF(F68&lt;=250, 20, IF(F68&lt;=500, 30, IF(F68&lt;=1000, 35, F68*0.035)))),
0)))</f>
        <v>0</v>
      </c>
      <c r="H68" s="159">
        <f>IF(I68="مخالفات",50,Basic34567891011121314151617[[#This Row],[قيمة الرسوم / العموله]]+Basic34567891011121314151617[[#This Row],[قيمة الشحنه]])</f>
        <v>0</v>
      </c>
      <c r="I68" s="90"/>
      <c r="J68" s="142" t="str">
        <f t="shared" ref="J68:J131" si="1">M$3</f>
        <v>16.5.2026</v>
      </c>
      <c r="L68" s="153">
        <v>57</v>
      </c>
      <c r="M68" s="92"/>
    </row>
    <row r="69" spans="1:13" ht="21.6" x14ac:dyDescent="0.65">
      <c r="A69" s="195"/>
      <c r="B69" s="144">
        <v>66</v>
      </c>
      <c r="C69" s="2"/>
      <c r="D69" s="1"/>
      <c r="E69" s="3"/>
      <c r="F69" s="1"/>
      <c r="G69" s="141">
        <f>IF(Basic34567891011121314151617[[#This Row],[نوع الخدمة]]="مخالفات", 50,
IF(Basic34567891011121314151617[[#This Row],[نوع الخدمة]]="كاش ان",
    IF(F69&lt;=100, 18, IF(F69&lt;=250, 23, IF(F69&lt;=500, 35, IF(F69&lt;=1000, 40, F69*0.04)))),
IF(Basic34567891011121314151617[[#This Row],[نوع الخدمة]]="كاش اوت",
    IF(F69&lt;=100, 15, IF(F69&lt;=250, 20, IF(F69&lt;=500, 30, IF(F69&lt;=1000, 35, F69*0.035)))),
0)))</f>
        <v>0</v>
      </c>
      <c r="H69" s="159">
        <f>IF(I69="مخالفات",50,Basic34567891011121314151617[[#This Row],[قيمة الرسوم / العموله]]+Basic34567891011121314151617[[#This Row],[قيمة الشحنه]])</f>
        <v>0</v>
      </c>
      <c r="I69" s="90"/>
      <c r="J69" s="142" t="str">
        <f t="shared" si="1"/>
        <v>16.5.2026</v>
      </c>
      <c r="L69" s="153">
        <v>58</v>
      </c>
      <c r="M69" s="92"/>
    </row>
    <row r="70" spans="1:13" ht="21.6" x14ac:dyDescent="0.65">
      <c r="A70" s="195"/>
      <c r="B70" s="140">
        <v>67</v>
      </c>
      <c r="C70" s="2"/>
      <c r="D70" s="1"/>
      <c r="E70" s="3"/>
      <c r="F70" s="1"/>
      <c r="G70" s="141">
        <f>IF(Basic34567891011121314151617[[#This Row],[نوع الخدمة]]="مخالفات", 50,
IF(Basic34567891011121314151617[[#This Row],[نوع الخدمة]]="كاش ان",
    IF(F70&lt;=100, 18, IF(F70&lt;=250, 23, IF(F70&lt;=500, 35, IF(F70&lt;=1000, 40, F70*0.04)))),
IF(Basic34567891011121314151617[[#This Row],[نوع الخدمة]]="كاش اوت",
    IF(F70&lt;=100, 15, IF(F70&lt;=250, 20, IF(F70&lt;=500, 30, IF(F70&lt;=1000, 35, F70*0.035)))),
0)))</f>
        <v>0</v>
      </c>
      <c r="H70" s="159">
        <f>IF(I70="مخالفات",50,Basic34567891011121314151617[[#This Row],[قيمة الرسوم / العموله]]+Basic34567891011121314151617[[#This Row],[قيمة الشحنه]])</f>
        <v>0</v>
      </c>
      <c r="I70" s="90"/>
      <c r="J70" s="142" t="str">
        <f t="shared" si="1"/>
        <v>16.5.2026</v>
      </c>
      <c r="L70" s="153">
        <v>59</v>
      </c>
      <c r="M70" s="92"/>
    </row>
    <row r="71" spans="1:13" ht="21.6" x14ac:dyDescent="0.65">
      <c r="A71" s="195"/>
      <c r="B71" s="140">
        <v>68</v>
      </c>
      <c r="C71" s="2"/>
      <c r="D71" s="1"/>
      <c r="E71" s="3"/>
      <c r="F71" s="1"/>
      <c r="G71" s="141">
        <f>IF(Basic34567891011121314151617[[#This Row],[نوع الخدمة]]="مخالفات", 50,
IF(Basic34567891011121314151617[[#This Row],[نوع الخدمة]]="كاش ان",
    IF(F71&lt;=100, 18, IF(F71&lt;=250, 23, IF(F71&lt;=500, 35, IF(F71&lt;=1000, 40, F71*0.04)))),
IF(Basic34567891011121314151617[[#This Row],[نوع الخدمة]]="كاش اوت",
    IF(F71&lt;=100, 15, IF(F71&lt;=250, 20, IF(F71&lt;=500, 30, IF(F71&lt;=1000, 35, F71*0.035)))),
0)))</f>
        <v>0</v>
      </c>
      <c r="H71" s="159">
        <f>IF(I71="مخالفات",50,Basic34567891011121314151617[[#This Row],[قيمة الرسوم / العموله]]+Basic34567891011121314151617[[#This Row],[قيمة الشحنه]])</f>
        <v>0</v>
      </c>
      <c r="I71" s="90"/>
      <c r="J71" s="142" t="str">
        <f t="shared" si="1"/>
        <v>16.5.2026</v>
      </c>
      <c r="L71" s="153">
        <v>60</v>
      </c>
      <c r="M71" s="92"/>
    </row>
    <row r="72" spans="1:13" ht="21.6" x14ac:dyDescent="0.65">
      <c r="A72" s="195"/>
      <c r="B72" s="140">
        <v>69</v>
      </c>
      <c r="C72" s="2"/>
      <c r="D72" s="1"/>
      <c r="E72" s="3"/>
      <c r="F72" s="1"/>
      <c r="G72" s="141">
        <f>IF(Basic34567891011121314151617[[#This Row],[نوع الخدمة]]="مخالفات", 50,
IF(Basic34567891011121314151617[[#This Row],[نوع الخدمة]]="كاش ان",
    IF(F72&lt;=100, 18, IF(F72&lt;=250, 23, IF(F72&lt;=500, 35, IF(F72&lt;=1000, 40, F72*0.04)))),
IF(Basic34567891011121314151617[[#This Row],[نوع الخدمة]]="كاش اوت",
    IF(F72&lt;=100, 15, IF(F72&lt;=250, 20, IF(F72&lt;=500, 30, IF(F72&lt;=1000, 35, F72*0.035)))),
0)))</f>
        <v>0</v>
      </c>
      <c r="H72" s="159">
        <f>IF(I72="مخالفات",50,Basic34567891011121314151617[[#This Row],[قيمة الرسوم / العموله]]+Basic34567891011121314151617[[#This Row],[قيمة الشحنه]])</f>
        <v>0</v>
      </c>
      <c r="I72" s="90"/>
      <c r="J72" s="142" t="str">
        <f t="shared" si="1"/>
        <v>16.5.2026</v>
      </c>
      <c r="L72" s="153">
        <v>61</v>
      </c>
      <c r="M72" s="92"/>
    </row>
    <row r="73" spans="1:13" ht="21.6" x14ac:dyDescent="0.65">
      <c r="A73" s="195"/>
      <c r="B73" s="144">
        <v>70</v>
      </c>
      <c r="C73" s="2"/>
      <c r="D73" s="1"/>
      <c r="E73" s="3"/>
      <c r="F73" s="1"/>
      <c r="G73" s="141">
        <f>IF(Basic34567891011121314151617[[#This Row],[نوع الخدمة]]="مخالفات", 50,
IF(Basic34567891011121314151617[[#This Row],[نوع الخدمة]]="كاش ان",
    IF(F73&lt;=100, 18, IF(F73&lt;=250, 23, IF(F73&lt;=500, 35, IF(F73&lt;=1000, 40, F73*0.04)))),
IF(Basic34567891011121314151617[[#This Row],[نوع الخدمة]]="كاش اوت",
    IF(F73&lt;=100, 15, IF(F73&lt;=250, 20, IF(F73&lt;=500, 30, IF(F73&lt;=1000, 35, F73*0.035)))),
0)))</f>
        <v>0</v>
      </c>
      <c r="H73" s="159">
        <f>IF(I73="مخالفات",50,Basic34567891011121314151617[[#This Row],[قيمة الرسوم / العموله]]+Basic34567891011121314151617[[#This Row],[قيمة الشحنه]])</f>
        <v>0</v>
      </c>
      <c r="I73" s="90"/>
      <c r="J73" s="142" t="str">
        <f t="shared" si="1"/>
        <v>16.5.2026</v>
      </c>
      <c r="L73" s="153">
        <v>62</v>
      </c>
      <c r="M73" s="92"/>
    </row>
    <row r="74" spans="1:13" ht="21.6" x14ac:dyDescent="0.65">
      <c r="A74" s="195"/>
      <c r="B74" s="140">
        <v>71</v>
      </c>
      <c r="C74" s="2"/>
      <c r="D74" s="1"/>
      <c r="E74" s="3"/>
      <c r="F74" s="1"/>
      <c r="G74" s="141">
        <f>IF(Basic34567891011121314151617[[#This Row],[نوع الخدمة]]="مخالفات", 50,
IF(Basic34567891011121314151617[[#This Row],[نوع الخدمة]]="كاش ان",
    IF(F74&lt;=100, 18, IF(F74&lt;=250, 23, IF(F74&lt;=500, 35, IF(F74&lt;=1000, 40, F74*0.04)))),
IF(Basic34567891011121314151617[[#This Row],[نوع الخدمة]]="كاش اوت",
    IF(F74&lt;=100, 15, IF(F74&lt;=250, 20, IF(F74&lt;=500, 30, IF(F74&lt;=1000, 35, F74*0.035)))),
0)))</f>
        <v>0</v>
      </c>
      <c r="H74" s="159">
        <f>IF(I74="مخالفات",50,Basic34567891011121314151617[[#This Row],[قيمة الرسوم / العموله]]+Basic34567891011121314151617[[#This Row],[قيمة الشحنه]])</f>
        <v>0</v>
      </c>
      <c r="I74" s="90"/>
      <c r="J74" s="142" t="str">
        <f t="shared" si="1"/>
        <v>16.5.2026</v>
      </c>
      <c r="L74" s="153">
        <v>63</v>
      </c>
      <c r="M74" s="92"/>
    </row>
    <row r="75" spans="1:13" ht="21.6" x14ac:dyDescent="0.65">
      <c r="A75" s="195"/>
      <c r="B75" s="140">
        <v>72</v>
      </c>
      <c r="C75" s="2"/>
      <c r="D75" s="1"/>
      <c r="E75" s="3"/>
      <c r="F75" s="1"/>
      <c r="G75" s="141">
        <f>IF(Basic34567891011121314151617[[#This Row],[نوع الخدمة]]="مخالفات", 50,
IF(Basic34567891011121314151617[[#This Row],[نوع الخدمة]]="كاش ان",
    IF(F75&lt;=100, 18, IF(F75&lt;=250, 23, IF(F75&lt;=500, 35, IF(F75&lt;=1000, 40, F75*0.04)))),
IF(Basic34567891011121314151617[[#This Row],[نوع الخدمة]]="كاش اوت",
    IF(F75&lt;=100, 15, IF(F75&lt;=250, 20, IF(F75&lt;=500, 30, IF(F75&lt;=1000, 35, F75*0.035)))),
0)))</f>
        <v>0</v>
      </c>
      <c r="H75" s="159">
        <f>IF(I75="مخالفات",50,Basic34567891011121314151617[[#This Row],[قيمة الرسوم / العموله]]+Basic34567891011121314151617[[#This Row],[قيمة الشحنه]])</f>
        <v>0</v>
      </c>
      <c r="I75" s="90"/>
      <c r="J75" s="142" t="str">
        <f t="shared" si="1"/>
        <v>16.5.2026</v>
      </c>
      <c r="L75" s="153">
        <v>64</v>
      </c>
      <c r="M75" s="92"/>
    </row>
    <row r="76" spans="1:13" ht="21.6" x14ac:dyDescent="0.65">
      <c r="A76" s="195"/>
      <c r="B76" s="140">
        <v>73</v>
      </c>
      <c r="C76" s="2"/>
      <c r="D76" s="1"/>
      <c r="E76" s="3"/>
      <c r="F76" s="1"/>
      <c r="G76" s="141">
        <f>IF(Basic34567891011121314151617[[#This Row],[نوع الخدمة]]="مخالفات", 50,
IF(Basic34567891011121314151617[[#This Row],[نوع الخدمة]]="كاش ان",
    IF(F76&lt;=100, 18, IF(F76&lt;=250, 23, IF(F76&lt;=500, 35, IF(F76&lt;=1000, 40, F76*0.04)))),
IF(Basic34567891011121314151617[[#This Row],[نوع الخدمة]]="كاش اوت",
    IF(F76&lt;=100, 15, IF(F76&lt;=250, 20, IF(F76&lt;=500, 30, IF(F76&lt;=1000, 35, F76*0.035)))),
0)))</f>
        <v>0</v>
      </c>
      <c r="H76" s="159">
        <f>IF(I76="مخالفات",50,Basic34567891011121314151617[[#This Row],[قيمة الرسوم / العموله]]+Basic34567891011121314151617[[#This Row],[قيمة الشحنه]])</f>
        <v>0</v>
      </c>
      <c r="I76" s="90"/>
      <c r="J76" s="142" t="str">
        <f t="shared" si="1"/>
        <v>16.5.2026</v>
      </c>
      <c r="L76" s="153">
        <v>65</v>
      </c>
      <c r="M76" s="92"/>
    </row>
    <row r="77" spans="1:13" ht="21.6" x14ac:dyDescent="0.65">
      <c r="A77" s="195"/>
      <c r="B77" s="144">
        <v>74</v>
      </c>
      <c r="C77" s="2"/>
      <c r="D77" s="1"/>
      <c r="E77" s="3"/>
      <c r="F77" s="1"/>
      <c r="G77" s="141">
        <f>IF(Basic34567891011121314151617[[#This Row],[نوع الخدمة]]="مخالفات", 50,
IF(Basic34567891011121314151617[[#This Row],[نوع الخدمة]]="كاش ان",
    IF(F77&lt;=100, 18, IF(F77&lt;=250, 23, IF(F77&lt;=500, 35, IF(F77&lt;=1000, 40, F77*0.04)))),
IF(Basic34567891011121314151617[[#This Row],[نوع الخدمة]]="كاش اوت",
    IF(F77&lt;=100, 15, IF(F77&lt;=250, 20, IF(F77&lt;=500, 30, IF(F77&lt;=1000, 35, F77*0.035)))),
0)))</f>
        <v>0</v>
      </c>
      <c r="H77" s="159">
        <f>IF(I77="مخالفات",50,Basic34567891011121314151617[[#This Row],[قيمة الرسوم / العموله]]+Basic34567891011121314151617[[#This Row],[قيمة الشحنه]])</f>
        <v>0</v>
      </c>
      <c r="I77" s="90"/>
      <c r="J77" s="142" t="str">
        <f t="shared" si="1"/>
        <v>16.5.2026</v>
      </c>
      <c r="L77" s="153">
        <v>66</v>
      </c>
      <c r="M77" s="92"/>
    </row>
    <row r="78" spans="1:13" ht="21.6" x14ac:dyDescent="0.65">
      <c r="A78" s="195"/>
      <c r="B78" s="140">
        <v>75</v>
      </c>
      <c r="C78" s="2"/>
      <c r="D78" s="1"/>
      <c r="E78" s="3"/>
      <c r="F78" s="1"/>
      <c r="G78" s="141">
        <f>IF(Basic34567891011121314151617[[#This Row],[نوع الخدمة]]="مخالفات", 50,
IF(Basic34567891011121314151617[[#This Row],[نوع الخدمة]]="كاش ان",
    IF(F78&lt;=100, 18, IF(F78&lt;=250, 23, IF(F78&lt;=500, 35, IF(F78&lt;=1000, 40, F78*0.04)))),
IF(Basic34567891011121314151617[[#This Row],[نوع الخدمة]]="كاش اوت",
    IF(F78&lt;=100, 15, IF(F78&lt;=250, 20, IF(F78&lt;=500, 30, IF(F78&lt;=1000, 35, F78*0.035)))),
0)))</f>
        <v>0</v>
      </c>
      <c r="H78" s="159">
        <f>IF(I78="مخالفات",50,Basic34567891011121314151617[[#This Row],[قيمة الرسوم / العموله]]+Basic34567891011121314151617[[#This Row],[قيمة الشحنه]])</f>
        <v>0</v>
      </c>
      <c r="I78" s="90"/>
      <c r="J78" s="142" t="str">
        <f t="shared" si="1"/>
        <v>16.5.2026</v>
      </c>
      <c r="L78" s="153">
        <v>67</v>
      </c>
      <c r="M78" s="92"/>
    </row>
    <row r="79" spans="1:13" ht="21.6" x14ac:dyDescent="0.65">
      <c r="A79" s="195"/>
      <c r="B79" s="140">
        <v>76</v>
      </c>
      <c r="C79" s="2"/>
      <c r="D79" s="1"/>
      <c r="E79" s="3"/>
      <c r="F79" s="1"/>
      <c r="G79" s="141">
        <f>IF(Basic34567891011121314151617[[#This Row],[نوع الخدمة]]="مخالفات", 50,
IF(Basic34567891011121314151617[[#This Row],[نوع الخدمة]]="كاش ان",
    IF(F79&lt;=100, 18, IF(F79&lt;=250, 23, IF(F79&lt;=500, 35, IF(F79&lt;=1000, 40, F79*0.04)))),
IF(Basic34567891011121314151617[[#This Row],[نوع الخدمة]]="كاش اوت",
    IF(F79&lt;=100, 15, IF(F79&lt;=250, 20, IF(F79&lt;=500, 30, IF(F79&lt;=1000, 35, F79*0.035)))),
0)))</f>
        <v>0</v>
      </c>
      <c r="H79" s="159">
        <f>IF(I79="مخالفات",50,Basic34567891011121314151617[[#This Row],[قيمة الرسوم / العموله]]+Basic34567891011121314151617[[#This Row],[قيمة الشحنه]])</f>
        <v>0</v>
      </c>
      <c r="I79" s="90"/>
      <c r="J79" s="142" t="str">
        <f t="shared" si="1"/>
        <v>16.5.2026</v>
      </c>
      <c r="L79" s="153">
        <v>68</v>
      </c>
      <c r="M79" s="92"/>
    </row>
    <row r="80" spans="1:13" ht="21.6" x14ac:dyDescent="0.65">
      <c r="A80" s="195"/>
      <c r="B80" s="140">
        <v>77</v>
      </c>
      <c r="C80" s="2"/>
      <c r="D80" s="1"/>
      <c r="E80" s="3"/>
      <c r="F80" s="1"/>
      <c r="G80" s="141">
        <f>IF(Basic34567891011121314151617[[#This Row],[نوع الخدمة]]="مخالفات", 50,
IF(Basic34567891011121314151617[[#This Row],[نوع الخدمة]]="كاش ان",
    IF(F80&lt;=100, 18, IF(F80&lt;=250, 23, IF(F80&lt;=500, 35, IF(F80&lt;=1000, 40, F80*0.04)))),
IF(Basic34567891011121314151617[[#This Row],[نوع الخدمة]]="كاش اوت",
    IF(F80&lt;=100, 15, IF(F80&lt;=250, 20, IF(F80&lt;=500, 30, IF(F80&lt;=1000, 35, F80*0.035)))),
0)))</f>
        <v>0</v>
      </c>
      <c r="H80" s="159">
        <f>IF(I80="مخالفات",50,Basic34567891011121314151617[[#This Row],[قيمة الرسوم / العموله]]+Basic34567891011121314151617[[#This Row],[قيمة الشحنه]])</f>
        <v>0</v>
      </c>
      <c r="I80" s="90"/>
      <c r="J80" s="142" t="str">
        <f t="shared" si="1"/>
        <v>16.5.2026</v>
      </c>
      <c r="L80" s="153">
        <v>69</v>
      </c>
      <c r="M80" s="92"/>
    </row>
    <row r="81" spans="1:13" ht="21.6" x14ac:dyDescent="0.65">
      <c r="A81" s="195"/>
      <c r="B81" s="144">
        <v>78</v>
      </c>
      <c r="C81" s="2"/>
      <c r="D81" s="1"/>
      <c r="E81" s="3"/>
      <c r="F81" s="1"/>
      <c r="G81" s="141">
        <f>IF(Basic34567891011121314151617[[#This Row],[نوع الخدمة]]="مخالفات", 50,
IF(Basic34567891011121314151617[[#This Row],[نوع الخدمة]]="كاش ان",
    IF(F81&lt;=100, 18, IF(F81&lt;=250, 23, IF(F81&lt;=500, 35, IF(F81&lt;=1000, 40, F81*0.04)))),
IF(Basic34567891011121314151617[[#This Row],[نوع الخدمة]]="كاش اوت",
    IF(F81&lt;=100, 15, IF(F81&lt;=250, 20, IF(F81&lt;=500, 30, IF(F81&lt;=1000, 35, F81*0.035)))),
0)))</f>
        <v>0</v>
      </c>
      <c r="H81" s="159">
        <f>IF(I81="مخالفات",50,Basic34567891011121314151617[[#This Row],[قيمة الرسوم / العموله]]+Basic34567891011121314151617[[#This Row],[قيمة الشحنه]])</f>
        <v>0</v>
      </c>
      <c r="I81" s="90"/>
      <c r="J81" s="142" t="str">
        <f t="shared" si="1"/>
        <v>16.5.2026</v>
      </c>
      <c r="L81" s="153">
        <v>70</v>
      </c>
      <c r="M81" s="92"/>
    </row>
    <row r="82" spans="1:13" ht="21.6" x14ac:dyDescent="0.65">
      <c r="A82" s="195"/>
      <c r="B82" s="140">
        <v>79</v>
      </c>
      <c r="C82" s="2"/>
      <c r="D82" s="1"/>
      <c r="E82" s="3"/>
      <c r="F82" s="1"/>
      <c r="G82" s="141">
        <f>IF(Basic34567891011121314151617[[#This Row],[نوع الخدمة]]="مخالفات", 50,
IF(Basic34567891011121314151617[[#This Row],[نوع الخدمة]]="كاش ان",
    IF(F82&lt;=100, 18, IF(F82&lt;=250, 23, IF(F82&lt;=500, 35, IF(F82&lt;=1000, 40, F82*0.04)))),
IF(Basic34567891011121314151617[[#This Row],[نوع الخدمة]]="كاش اوت",
    IF(F82&lt;=100, 15, IF(F82&lt;=250, 20, IF(F82&lt;=500, 30, IF(F82&lt;=1000, 35, F82*0.035)))),
0)))</f>
        <v>0</v>
      </c>
      <c r="H82" s="159">
        <f>IF(I82="مخالفات",50,Basic34567891011121314151617[[#This Row],[قيمة الرسوم / العموله]]+Basic34567891011121314151617[[#This Row],[قيمة الشحنه]])</f>
        <v>0</v>
      </c>
      <c r="I82" s="90"/>
      <c r="J82" s="142" t="str">
        <f t="shared" si="1"/>
        <v>16.5.2026</v>
      </c>
      <c r="L82" s="153">
        <v>71</v>
      </c>
      <c r="M82" s="92"/>
    </row>
    <row r="83" spans="1:13" ht="21.6" x14ac:dyDescent="0.65">
      <c r="A83" s="195"/>
      <c r="B83" s="140">
        <v>80</v>
      </c>
      <c r="C83" s="2"/>
      <c r="D83" s="1"/>
      <c r="E83" s="3"/>
      <c r="F83" s="1"/>
      <c r="G83" s="141">
        <f>IF(Basic34567891011121314151617[[#This Row],[نوع الخدمة]]="مخالفات", 50,
IF(Basic34567891011121314151617[[#This Row],[نوع الخدمة]]="كاش ان",
    IF(F83&lt;=100, 18, IF(F83&lt;=250, 23, IF(F83&lt;=500, 35, IF(F83&lt;=1000, 40, F83*0.04)))),
IF(Basic34567891011121314151617[[#This Row],[نوع الخدمة]]="كاش اوت",
    IF(F83&lt;=100, 15, IF(F83&lt;=250, 20, IF(F83&lt;=500, 30, IF(F83&lt;=1000, 35, F83*0.035)))),
0)))</f>
        <v>0</v>
      </c>
      <c r="H83" s="159">
        <f>IF(I83="مخالفات",50,Basic34567891011121314151617[[#This Row],[قيمة الرسوم / العموله]]+Basic34567891011121314151617[[#This Row],[قيمة الشحنه]])</f>
        <v>0</v>
      </c>
      <c r="I83" s="90"/>
      <c r="J83" s="142" t="str">
        <f t="shared" si="1"/>
        <v>16.5.2026</v>
      </c>
      <c r="L83" s="153">
        <v>72</v>
      </c>
      <c r="M83" s="92"/>
    </row>
    <row r="84" spans="1:13" ht="21.6" x14ac:dyDescent="0.65">
      <c r="A84" s="195"/>
      <c r="B84" s="140">
        <v>81</v>
      </c>
      <c r="C84" s="2"/>
      <c r="D84" s="1"/>
      <c r="E84" s="3"/>
      <c r="F84" s="1"/>
      <c r="G84" s="141">
        <f>IF(Basic34567891011121314151617[[#This Row],[نوع الخدمة]]="مخالفات", 50,
IF(Basic34567891011121314151617[[#This Row],[نوع الخدمة]]="كاش ان",
    IF(F84&lt;=100, 18, IF(F84&lt;=250, 23, IF(F84&lt;=500, 35, IF(F84&lt;=1000, 40, F84*0.04)))),
IF(Basic34567891011121314151617[[#This Row],[نوع الخدمة]]="كاش اوت",
    IF(F84&lt;=100, 15, IF(F84&lt;=250, 20, IF(F84&lt;=500, 30, IF(F84&lt;=1000, 35, F84*0.035)))),
0)))</f>
        <v>0</v>
      </c>
      <c r="H84" s="159">
        <f>IF(I84="مخالفات",50,Basic34567891011121314151617[[#This Row],[قيمة الرسوم / العموله]]+Basic34567891011121314151617[[#This Row],[قيمة الشحنه]])</f>
        <v>0</v>
      </c>
      <c r="I84" s="90"/>
      <c r="J84" s="142" t="str">
        <f t="shared" si="1"/>
        <v>16.5.2026</v>
      </c>
      <c r="L84" s="153">
        <v>73</v>
      </c>
      <c r="M84" s="92"/>
    </row>
    <row r="85" spans="1:13" ht="21.6" x14ac:dyDescent="0.65">
      <c r="A85" s="195"/>
      <c r="B85" s="144">
        <v>82</v>
      </c>
      <c r="C85" s="2"/>
      <c r="D85" s="1"/>
      <c r="E85" s="3"/>
      <c r="F85" s="1"/>
      <c r="G85" s="141">
        <f>IF(Basic34567891011121314151617[[#This Row],[نوع الخدمة]]="مخالفات", 50,
IF(Basic34567891011121314151617[[#This Row],[نوع الخدمة]]="كاش ان",
    IF(F85&lt;=100, 18, IF(F85&lt;=250, 23, IF(F85&lt;=500, 35, IF(F85&lt;=1000, 40, F85*0.04)))),
IF(Basic34567891011121314151617[[#This Row],[نوع الخدمة]]="كاش اوت",
    IF(F85&lt;=100, 15, IF(F85&lt;=250, 20, IF(F85&lt;=500, 30, IF(F85&lt;=1000, 35, F85*0.035)))),
0)))</f>
        <v>0</v>
      </c>
      <c r="H85" s="159">
        <f>IF(I85="مخالفات",50,Basic34567891011121314151617[[#This Row],[قيمة الرسوم / العموله]]+Basic34567891011121314151617[[#This Row],[قيمة الشحنه]])</f>
        <v>0</v>
      </c>
      <c r="I85" s="90"/>
      <c r="J85" s="142" t="str">
        <f t="shared" si="1"/>
        <v>16.5.2026</v>
      </c>
      <c r="L85" s="153">
        <v>74</v>
      </c>
      <c r="M85" s="92"/>
    </row>
    <row r="86" spans="1:13" ht="21.6" x14ac:dyDescent="0.65">
      <c r="A86" s="195"/>
      <c r="B86" s="140">
        <v>83</v>
      </c>
      <c r="C86" s="2"/>
      <c r="D86" s="1"/>
      <c r="E86" s="3"/>
      <c r="F86" s="1"/>
      <c r="G86" s="141">
        <f>IF(Basic34567891011121314151617[[#This Row],[نوع الخدمة]]="مخالفات", 50,
IF(Basic34567891011121314151617[[#This Row],[نوع الخدمة]]="كاش ان",
    IF(F86&lt;=100, 18, IF(F86&lt;=250, 23, IF(F86&lt;=500, 35, IF(F86&lt;=1000, 40, F86*0.04)))),
IF(Basic34567891011121314151617[[#This Row],[نوع الخدمة]]="كاش اوت",
    IF(F86&lt;=100, 15, IF(F86&lt;=250, 20, IF(F86&lt;=500, 30, IF(F86&lt;=1000, 35, F86*0.035)))),
0)))</f>
        <v>0</v>
      </c>
      <c r="H86" s="159">
        <f>IF(I86="مخالفات",50,Basic34567891011121314151617[[#This Row],[قيمة الرسوم / العموله]]+Basic34567891011121314151617[[#This Row],[قيمة الشحنه]])</f>
        <v>0</v>
      </c>
      <c r="I86" s="90"/>
      <c r="J86" s="142" t="str">
        <f t="shared" si="1"/>
        <v>16.5.2026</v>
      </c>
      <c r="L86" s="153">
        <v>75</v>
      </c>
      <c r="M86" s="92"/>
    </row>
    <row r="87" spans="1:13" ht="21.6" x14ac:dyDescent="0.65">
      <c r="A87" s="195"/>
      <c r="B87" s="140">
        <v>84</v>
      </c>
      <c r="C87" s="2"/>
      <c r="D87" s="1"/>
      <c r="E87" s="3"/>
      <c r="F87" s="1"/>
      <c r="G87" s="141">
        <f>IF(Basic34567891011121314151617[[#This Row],[نوع الخدمة]]="مخالفات", 50,
IF(Basic34567891011121314151617[[#This Row],[نوع الخدمة]]="كاش ان",
    IF(F87&lt;=100, 18, IF(F87&lt;=250, 23, IF(F87&lt;=500, 35, IF(F87&lt;=1000, 40, F87*0.04)))),
IF(Basic34567891011121314151617[[#This Row],[نوع الخدمة]]="كاش اوت",
    IF(F87&lt;=100, 15, IF(F87&lt;=250, 20, IF(F87&lt;=500, 30, IF(F87&lt;=1000, 35, F87*0.035)))),
0)))</f>
        <v>0</v>
      </c>
      <c r="H87" s="159">
        <f>IF(I87="مخالفات",50,Basic34567891011121314151617[[#This Row],[قيمة الرسوم / العموله]]+Basic34567891011121314151617[[#This Row],[قيمة الشحنه]])</f>
        <v>0</v>
      </c>
      <c r="I87" s="90"/>
      <c r="J87" s="142" t="str">
        <f t="shared" si="1"/>
        <v>16.5.2026</v>
      </c>
      <c r="L87" s="153">
        <v>76</v>
      </c>
      <c r="M87" s="92"/>
    </row>
    <row r="88" spans="1:13" ht="21.6" x14ac:dyDescent="0.65">
      <c r="A88" s="195"/>
      <c r="B88" s="140">
        <v>85</v>
      </c>
      <c r="C88" s="2"/>
      <c r="D88" s="1"/>
      <c r="E88" s="3"/>
      <c r="F88" s="1"/>
      <c r="G88" s="141">
        <f>IF(Basic34567891011121314151617[[#This Row],[نوع الخدمة]]="مخالفات", 50,
IF(Basic34567891011121314151617[[#This Row],[نوع الخدمة]]="كاش ان",
    IF(F88&lt;=100, 18, IF(F88&lt;=250, 23, IF(F88&lt;=500, 35, IF(F88&lt;=1000, 40, F88*0.04)))),
IF(Basic34567891011121314151617[[#This Row],[نوع الخدمة]]="كاش اوت",
    IF(F88&lt;=100, 15, IF(F88&lt;=250, 20, IF(F88&lt;=500, 30, IF(F88&lt;=1000, 35, F88*0.035)))),
0)))</f>
        <v>0</v>
      </c>
      <c r="H88" s="159">
        <f>IF(I88="مخالفات",50,Basic34567891011121314151617[[#This Row],[قيمة الرسوم / العموله]]+Basic34567891011121314151617[[#This Row],[قيمة الشحنه]])</f>
        <v>0</v>
      </c>
      <c r="I88" s="90"/>
      <c r="J88" s="142" t="str">
        <f t="shared" si="1"/>
        <v>16.5.2026</v>
      </c>
      <c r="L88" s="153">
        <v>77</v>
      </c>
      <c r="M88" s="92"/>
    </row>
    <row r="89" spans="1:13" ht="21.6" x14ac:dyDescent="0.65">
      <c r="A89" s="195"/>
      <c r="B89" s="144">
        <v>86</v>
      </c>
      <c r="C89" s="2"/>
      <c r="D89" s="1"/>
      <c r="E89" s="3"/>
      <c r="F89" s="1"/>
      <c r="G89" s="141">
        <f>IF(Basic34567891011121314151617[[#This Row],[نوع الخدمة]]="مخالفات", 50,
IF(Basic34567891011121314151617[[#This Row],[نوع الخدمة]]="كاش ان",
    IF(F89&lt;=100, 18, IF(F89&lt;=250, 23, IF(F89&lt;=500, 35, IF(F89&lt;=1000, 40, F89*0.04)))),
IF(Basic34567891011121314151617[[#This Row],[نوع الخدمة]]="كاش اوت",
    IF(F89&lt;=100, 15, IF(F89&lt;=250, 20, IF(F89&lt;=500, 30, IF(F89&lt;=1000, 35, F89*0.035)))),
0)))</f>
        <v>0</v>
      </c>
      <c r="H89" s="159">
        <f>IF(I89="مخالفات",50,Basic34567891011121314151617[[#This Row],[قيمة الرسوم / العموله]]+Basic34567891011121314151617[[#This Row],[قيمة الشحنه]])</f>
        <v>0</v>
      </c>
      <c r="I89" s="90"/>
      <c r="J89" s="142" t="str">
        <f t="shared" si="1"/>
        <v>16.5.2026</v>
      </c>
      <c r="L89" s="153">
        <v>78</v>
      </c>
      <c r="M89" s="92"/>
    </row>
    <row r="90" spans="1:13" ht="21.6" x14ac:dyDescent="0.65">
      <c r="A90" s="195"/>
      <c r="B90" s="140">
        <v>87</v>
      </c>
      <c r="C90" s="2"/>
      <c r="D90" s="1"/>
      <c r="E90" s="3"/>
      <c r="F90" s="1"/>
      <c r="G90" s="141">
        <f>IF(Basic34567891011121314151617[[#This Row],[نوع الخدمة]]="مخالفات", 50,
IF(Basic34567891011121314151617[[#This Row],[نوع الخدمة]]="كاش ان",
    IF(F90&lt;=100, 18, IF(F90&lt;=250, 23, IF(F90&lt;=500, 35, IF(F90&lt;=1000, 40, F90*0.04)))),
IF(Basic34567891011121314151617[[#This Row],[نوع الخدمة]]="كاش اوت",
    IF(F90&lt;=100, 15, IF(F90&lt;=250, 20, IF(F90&lt;=500, 30, IF(F90&lt;=1000, 35, F90*0.035)))),
0)))</f>
        <v>0</v>
      </c>
      <c r="H90" s="159">
        <f>IF(I90="مخالفات",50,Basic34567891011121314151617[[#This Row],[قيمة الرسوم / العموله]]+Basic34567891011121314151617[[#This Row],[قيمة الشحنه]])</f>
        <v>0</v>
      </c>
      <c r="I90" s="90"/>
      <c r="J90" s="142" t="str">
        <f t="shared" si="1"/>
        <v>16.5.2026</v>
      </c>
      <c r="L90" s="153">
        <v>79</v>
      </c>
      <c r="M90" s="92"/>
    </row>
    <row r="91" spans="1:13" ht="21.6" x14ac:dyDescent="0.65">
      <c r="A91" s="195"/>
      <c r="B91" s="140">
        <v>88</v>
      </c>
      <c r="C91" s="2"/>
      <c r="D91" s="1"/>
      <c r="E91" s="3"/>
      <c r="F91" s="1"/>
      <c r="G91" s="141">
        <f>IF(Basic34567891011121314151617[[#This Row],[نوع الخدمة]]="مخالفات", 50,
IF(Basic34567891011121314151617[[#This Row],[نوع الخدمة]]="كاش ان",
    IF(F91&lt;=100, 18, IF(F91&lt;=250, 23, IF(F91&lt;=500, 35, IF(F91&lt;=1000, 40, F91*0.04)))),
IF(Basic34567891011121314151617[[#This Row],[نوع الخدمة]]="كاش اوت",
    IF(F91&lt;=100, 15, IF(F91&lt;=250, 20, IF(F91&lt;=500, 30, IF(F91&lt;=1000, 35, F91*0.035)))),
0)))</f>
        <v>0</v>
      </c>
      <c r="H91" s="159">
        <f>IF(I91="مخالفات",50,Basic34567891011121314151617[[#This Row],[قيمة الرسوم / العموله]]+Basic34567891011121314151617[[#This Row],[قيمة الشحنه]])</f>
        <v>0</v>
      </c>
      <c r="I91" s="90"/>
      <c r="J91" s="142" t="str">
        <f t="shared" si="1"/>
        <v>16.5.2026</v>
      </c>
      <c r="L91" s="153">
        <v>80</v>
      </c>
      <c r="M91" s="92"/>
    </row>
    <row r="92" spans="1:13" ht="21.6" x14ac:dyDescent="0.65">
      <c r="A92" s="195"/>
      <c r="B92" s="140">
        <v>89</v>
      </c>
      <c r="C92" s="2"/>
      <c r="D92" s="1"/>
      <c r="E92" s="3"/>
      <c r="F92" s="1"/>
      <c r="G92" s="141">
        <f>IF(Basic34567891011121314151617[[#This Row],[نوع الخدمة]]="مخالفات", 50,
IF(Basic34567891011121314151617[[#This Row],[نوع الخدمة]]="كاش ان",
    IF(F92&lt;=100, 18, IF(F92&lt;=250, 23, IF(F92&lt;=500, 35, IF(F92&lt;=1000, 40, F92*0.04)))),
IF(Basic34567891011121314151617[[#This Row],[نوع الخدمة]]="كاش اوت",
    IF(F92&lt;=100, 15, IF(F92&lt;=250, 20, IF(F92&lt;=500, 30, IF(F92&lt;=1000, 35, F92*0.035)))),
0)))</f>
        <v>0</v>
      </c>
      <c r="H92" s="159">
        <f>IF(I92="مخالفات",50,Basic34567891011121314151617[[#This Row],[قيمة الرسوم / العموله]]+Basic34567891011121314151617[[#This Row],[قيمة الشحنه]])</f>
        <v>0</v>
      </c>
      <c r="I92" s="90"/>
      <c r="J92" s="142" t="str">
        <f t="shared" si="1"/>
        <v>16.5.2026</v>
      </c>
      <c r="L92" s="153">
        <v>81</v>
      </c>
      <c r="M92" s="92"/>
    </row>
    <row r="93" spans="1:13" ht="21.6" x14ac:dyDescent="0.65">
      <c r="A93" s="195"/>
      <c r="B93" s="144">
        <v>90</v>
      </c>
      <c r="C93" s="2"/>
      <c r="D93" s="1"/>
      <c r="E93" s="3"/>
      <c r="F93" s="1"/>
      <c r="G93" s="141">
        <f>IF(Basic34567891011121314151617[[#This Row],[نوع الخدمة]]="مخالفات", 50,
IF(Basic34567891011121314151617[[#This Row],[نوع الخدمة]]="كاش ان",
    IF(F93&lt;=100, 18, IF(F93&lt;=250, 23, IF(F93&lt;=500, 35, IF(F93&lt;=1000, 40, F93*0.04)))),
IF(Basic34567891011121314151617[[#This Row],[نوع الخدمة]]="كاش اوت",
    IF(F93&lt;=100, 15, IF(F93&lt;=250, 20, IF(F93&lt;=500, 30, IF(F93&lt;=1000, 35, F93*0.035)))),
0)))</f>
        <v>0</v>
      </c>
      <c r="H93" s="159">
        <f>IF(I93="مخالفات",50,Basic34567891011121314151617[[#This Row],[قيمة الرسوم / العموله]]+Basic34567891011121314151617[[#This Row],[قيمة الشحنه]])</f>
        <v>0</v>
      </c>
      <c r="I93" s="90"/>
      <c r="J93" s="142" t="str">
        <f t="shared" si="1"/>
        <v>16.5.2026</v>
      </c>
      <c r="L93" s="153">
        <v>82</v>
      </c>
      <c r="M93" s="92"/>
    </row>
    <row r="94" spans="1:13" ht="21.6" x14ac:dyDescent="0.65">
      <c r="A94" s="195"/>
      <c r="B94" s="140">
        <v>91</v>
      </c>
      <c r="C94" s="2"/>
      <c r="D94" s="1"/>
      <c r="E94" s="3"/>
      <c r="F94" s="1"/>
      <c r="G94" s="141">
        <f>IF(Basic34567891011121314151617[[#This Row],[نوع الخدمة]]="مخالفات", 50,
IF(Basic34567891011121314151617[[#This Row],[نوع الخدمة]]="كاش ان",
    IF(F94&lt;=100, 18, IF(F94&lt;=250, 23, IF(F94&lt;=500, 35, IF(F94&lt;=1000, 40, F94*0.04)))),
IF(Basic34567891011121314151617[[#This Row],[نوع الخدمة]]="كاش اوت",
    IF(F94&lt;=100, 15, IF(F94&lt;=250, 20, IF(F94&lt;=500, 30, IF(F94&lt;=1000, 35, F94*0.035)))),
0)))</f>
        <v>0</v>
      </c>
      <c r="H94" s="159">
        <f>IF(I94="مخالفات",50,Basic34567891011121314151617[[#This Row],[قيمة الرسوم / العموله]]+Basic34567891011121314151617[[#This Row],[قيمة الشحنه]])</f>
        <v>0</v>
      </c>
      <c r="I94" s="90"/>
      <c r="J94" s="142" t="str">
        <f t="shared" si="1"/>
        <v>16.5.2026</v>
      </c>
      <c r="L94" s="153">
        <v>83</v>
      </c>
      <c r="M94" s="92"/>
    </row>
    <row r="95" spans="1:13" ht="21.6" x14ac:dyDescent="0.65">
      <c r="A95" s="195"/>
      <c r="B95" s="140">
        <v>92</v>
      </c>
      <c r="C95" s="2"/>
      <c r="D95" s="1"/>
      <c r="E95" s="3"/>
      <c r="F95" s="1"/>
      <c r="G95" s="141">
        <f>IF(Basic34567891011121314151617[[#This Row],[نوع الخدمة]]="مخالفات", 50,
IF(Basic34567891011121314151617[[#This Row],[نوع الخدمة]]="كاش ان",
    IF(F95&lt;=100, 18, IF(F95&lt;=250, 23, IF(F95&lt;=500, 35, IF(F95&lt;=1000, 40, F95*0.04)))),
IF(Basic34567891011121314151617[[#This Row],[نوع الخدمة]]="كاش اوت",
    IF(F95&lt;=100, 15, IF(F95&lt;=250, 20, IF(F95&lt;=500, 30, IF(F95&lt;=1000, 35, F95*0.035)))),
0)))</f>
        <v>0</v>
      </c>
      <c r="H95" s="159">
        <f>IF(I95="مخالفات",50,Basic34567891011121314151617[[#This Row],[قيمة الرسوم / العموله]]+Basic34567891011121314151617[[#This Row],[قيمة الشحنه]])</f>
        <v>0</v>
      </c>
      <c r="I95" s="90"/>
      <c r="J95" s="142" t="str">
        <f t="shared" si="1"/>
        <v>16.5.2026</v>
      </c>
      <c r="L95" s="153">
        <v>84</v>
      </c>
      <c r="M95" s="92"/>
    </row>
    <row r="96" spans="1:13" ht="21.6" x14ac:dyDescent="0.65">
      <c r="A96" s="195"/>
      <c r="B96" s="140">
        <v>93</v>
      </c>
      <c r="C96" s="2"/>
      <c r="D96" s="1"/>
      <c r="E96" s="3"/>
      <c r="F96" s="1"/>
      <c r="G96" s="141">
        <f>IF(Basic34567891011121314151617[[#This Row],[نوع الخدمة]]="مخالفات", 50,
IF(Basic34567891011121314151617[[#This Row],[نوع الخدمة]]="كاش ان",
    IF(F96&lt;=100, 18, IF(F96&lt;=250, 23, IF(F96&lt;=500, 35, IF(F96&lt;=1000, 40, F96*0.04)))),
IF(Basic34567891011121314151617[[#This Row],[نوع الخدمة]]="كاش اوت",
    IF(F96&lt;=100, 15, IF(F96&lt;=250, 20, IF(F96&lt;=500, 30, IF(F96&lt;=1000, 35, F96*0.035)))),
0)))</f>
        <v>0</v>
      </c>
      <c r="H96" s="159">
        <f>IF(I96="مخالفات",50,Basic34567891011121314151617[[#This Row],[قيمة الرسوم / العموله]]+Basic34567891011121314151617[[#This Row],[قيمة الشحنه]])</f>
        <v>0</v>
      </c>
      <c r="I96" s="90"/>
      <c r="J96" s="142" t="str">
        <f t="shared" si="1"/>
        <v>16.5.2026</v>
      </c>
      <c r="L96" s="153">
        <v>85</v>
      </c>
      <c r="M96" s="92"/>
    </row>
    <row r="97" spans="1:13" ht="21.6" x14ac:dyDescent="0.65">
      <c r="A97" s="195"/>
      <c r="B97" s="144">
        <v>94</v>
      </c>
      <c r="C97" s="2"/>
      <c r="D97" s="1"/>
      <c r="E97" s="3"/>
      <c r="F97" s="1"/>
      <c r="G97" s="141">
        <f>IF(Basic34567891011121314151617[[#This Row],[نوع الخدمة]]="مخالفات", 50,
IF(Basic34567891011121314151617[[#This Row],[نوع الخدمة]]="كاش ان",
    IF(F97&lt;=100, 18, IF(F97&lt;=250, 23, IF(F97&lt;=500, 35, IF(F97&lt;=1000, 40, F97*0.04)))),
IF(Basic34567891011121314151617[[#This Row],[نوع الخدمة]]="كاش اوت",
    IF(F97&lt;=100, 15, IF(F97&lt;=250, 20, IF(F97&lt;=500, 30, IF(F97&lt;=1000, 35, F97*0.035)))),
0)))</f>
        <v>0</v>
      </c>
      <c r="H97" s="159">
        <f>IF(I97="مخالفات",50,Basic34567891011121314151617[[#This Row],[قيمة الرسوم / العموله]]+Basic34567891011121314151617[[#This Row],[قيمة الشحنه]])</f>
        <v>0</v>
      </c>
      <c r="I97" s="90"/>
      <c r="J97" s="142" t="str">
        <f t="shared" si="1"/>
        <v>16.5.2026</v>
      </c>
      <c r="L97" s="153">
        <v>86</v>
      </c>
      <c r="M97" s="92"/>
    </row>
    <row r="98" spans="1:13" ht="21.6" x14ac:dyDescent="0.65">
      <c r="A98" s="195"/>
      <c r="B98" s="140">
        <v>95</v>
      </c>
      <c r="C98" s="2"/>
      <c r="D98" s="1"/>
      <c r="E98" s="3"/>
      <c r="F98" s="1"/>
      <c r="G98" s="141">
        <f>IF(Basic34567891011121314151617[[#This Row],[نوع الخدمة]]="مخالفات", 50,
IF(Basic34567891011121314151617[[#This Row],[نوع الخدمة]]="كاش ان",
    IF(F98&lt;=100, 18, IF(F98&lt;=250, 23, IF(F98&lt;=500, 35, IF(F98&lt;=1000, 40, F98*0.04)))),
IF(Basic34567891011121314151617[[#This Row],[نوع الخدمة]]="كاش اوت",
    IF(F98&lt;=100, 15, IF(F98&lt;=250, 20, IF(F98&lt;=500, 30, IF(F98&lt;=1000, 35, F98*0.035)))),
0)))</f>
        <v>0</v>
      </c>
      <c r="H98" s="159">
        <f>IF(I98="مخالفات",50,Basic34567891011121314151617[[#This Row],[قيمة الرسوم / العموله]]+Basic34567891011121314151617[[#This Row],[قيمة الشحنه]])</f>
        <v>0</v>
      </c>
      <c r="I98" s="90"/>
      <c r="J98" s="142" t="str">
        <f t="shared" si="1"/>
        <v>16.5.2026</v>
      </c>
      <c r="L98" s="153">
        <v>87</v>
      </c>
      <c r="M98" s="92"/>
    </row>
    <row r="99" spans="1:13" ht="21.6" x14ac:dyDescent="0.65">
      <c r="A99" s="195"/>
      <c r="B99" s="140">
        <v>96</v>
      </c>
      <c r="C99" s="2"/>
      <c r="D99" s="1"/>
      <c r="E99" s="3"/>
      <c r="F99" s="1"/>
      <c r="G99" s="141">
        <f>IF(Basic34567891011121314151617[[#This Row],[نوع الخدمة]]="مخالفات", 50,
IF(Basic34567891011121314151617[[#This Row],[نوع الخدمة]]="كاش ان",
    IF(F99&lt;=100, 18, IF(F99&lt;=250, 23, IF(F99&lt;=500, 35, IF(F99&lt;=1000, 40, F99*0.04)))),
IF(Basic34567891011121314151617[[#This Row],[نوع الخدمة]]="كاش اوت",
    IF(F99&lt;=100, 15, IF(F99&lt;=250, 20, IF(F99&lt;=500, 30, IF(F99&lt;=1000, 35, F99*0.035)))),
0)))</f>
        <v>0</v>
      </c>
      <c r="H99" s="159">
        <f>IF(I99="مخالفات",50,Basic34567891011121314151617[[#This Row],[قيمة الرسوم / العموله]]+Basic34567891011121314151617[[#This Row],[قيمة الشحنه]])</f>
        <v>0</v>
      </c>
      <c r="I99" s="90"/>
      <c r="J99" s="142" t="str">
        <f t="shared" si="1"/>
        <v>16.5.2026</v>
      </c>
      <c r="L99" s="153">
        <v>88</v>
      </c>
      <c r="M99" s="92"/>
    </row>
    <row r="100" spans="1:13" ht="21.6" x14ac:dyDescent="0.65">
      <c r="A100" s="195"/>
      <c r="B100" s="140">
        <v>97</v>
      </c>
      <c r="C100" s="2"/>
      <c r="D100" s="1"/>
      <c r="E100" s="3"/>
      <c r="F100" s="1"/>
      <c r="G100" s="141">
        <f>IF(Basic34567891011121314151617[[#This Row],[نوع الخدمة]]="مخالفات", 50,
IF(Basic34567891011121314151617[[#This Row],[نوع الخدمة]]="كاش ان",
    IF(F100&lt;=100, 18, IF(F100&lt;=250, 23, IF(F100&lt;=500, 35, IF(F100&lt;=1000, 40, F100*0.04)))),
IF(Basic34567891011121314151617[[#This Row],[نوع الخدمة]]="كاش اوت",
    IF(F100&lt;=100, 15, IF(F100&lt;=250, 20, IF(F100&lt;=500, 30, IF(F100&lt;=1000, 35, F100*0.035)))),
0)))</f>
        <v>0</v>
      </c>
      <c r="H100" s="159">
        <f>IF(I100="مخالفات",50,Basic34567891011121314151617[[#This Row],[قيمة الرسوم / العموله]]+Basic34567891011121314151617[[#This Row],[قيمة الشحنه]])</f>
        <v>0</v>
      </c>
      <c r="I100" s="90"/>
      <c r="J100" s="142" t="str">
        <f t="shared" si="1"/>
        <v>16.5.2026</v>
      </c>
      <c r="L100" s="153">
        <v>89</v>
      </c>
      <c r="M100" s="92"/>
    </row>
    <row r="101" spans="1:13" ht="21.6" x14ac:dyDescent="0.65">
      <c r="A101" s="195"/>
      <c r="B101" s="144">
        <v>98</v>
      </c>
      <c r="C101" s="2"/>
      <c r="D101" s="1"/>
      <c r="E101" s="3"/>
      <c r="F101" s="1"/>
      <c r="G101" s="141">
        <f>IF(Basic34567891011121314151617[[#This Row],[نوع الخدمة]]="مخالفات", 50,
IF(Basic34567891011121314151617[[#This Row],[نوع الخدمة]]="كاش ان",
    IF(F101&lt;=100, 18, IF(F101&lt;=250, 23, IF(F101&lt;=500, 35, IF(F101&lt;=1000, 40, F101*0.04)))),
IF(Basic34567891011121314151617[[#This Row],[نوع الخدمة]]="كاش اوت",
    IF(F101&lt;=100, 15, IF(F101&lt;=250, 20, IF(F101&lt;=500, 30, IF(F101&lt;=1000, 35, F101*0.035)))),
0)))</f>
        <v>0</v>
      </c>
      <c r="H101" s="159">
        <f>IF(I101="مخالفات",50,Basic34567891011121314151617[[#This Row],[قيمة الرسوم / العموله]]+Basic34567891011121314151617[[#This Row],[قيمة الشحنه]])</f>
        <v>0</v>
      </c>
      <c r="I101" s="90"/>
      <c r="J101" s="142" t="str">
        <f t="shared" si="1"/>
        <v>16.5.2026</v>
      </c>
      <c r="L101" s="153">
        <v>90</v>
      </c>
      <c r="M101" s="92"/>
    </row>
    <row r="102" spans="1:13" ht="21.6" x14ac:dyDescent="0.65">
      <c r="A102" s="195"/>
      <c r="B102" s="140">
        <v>99</v>
      </c>
      <c r="C102" s="2"/>
      <c r="D102" s="1"/>
      <c r="E102" s="3"/>
      <c r="F102" s="1"/>
      <c r="G102" s="141">
        <f>IF(Basic34567891011121314151617[[#This Row],[نوع الخدمة]]="مخالفات", 50,
IF(Basic34567891011121314151617[[#This Row],[نوع الخدمة]]="كاش ان",
    IF(F102&lt;=100, 18, IF(F102&lt;=250, 23, IF(F102&lt;=500, 35, IF(F102&lt;=1000, 40, F102*0.04)))),
IF(Basic34567891011121314151617[[#This Row],[نوع الخدمة]]="كاش اوت",
    IF(F102&lt;=100, 15, IF(F102&lt;=250, 20, IF(F102&lt;=500, 30, IF(F102&lt;=1000, 35, F102*0.035)))),
0)))</f>
        <v>0</v>
      </c>
      <c r="H102" s="159">
        <f>IF(I102="مخالفات",50,Basic34567891011121314151617[[#This Row],[قيمة الرسوم / العموله]]+Basic34567891011121314151617[[#This Row],[قيمة الشحنه]])</f>
        <v>0</v>
      </c>
      <c r="I102" s="90"/>
      <c r="J102" s="142" t="str">
        <f t="shared" si="1"/>
        <v>16.5.2026</v>
      </c>
      <c r="L102" s="153">
        <v>91</v>
      </c>
      <c r="M102" s="92"/>
    </row>
    <row r="103" spans="1:13" ht="21.6" x14ac:dyDescent="0.65">
      <c r="A103" s="195"/>
      <c r="B103" s="140">
        <v>100</v>
      </c>
      <c r="C103" s="2"/>
      <c r="D103" s="1"/>
      <c r="E103" s="3"/>
      <c r="F103" s="1"/>
      <c r="G103" s="141">
        <f>IF(Basic34567891011121314151617[[#This Row],[نوع الخدمة]]="مخالفات", 50,
IF(Basic34567891011121314151617[[#This Row],[نوع الخدمة]]="كاش ان",
    IF(F103&lt;=100, 18, IF(F103&lt;=250, 23, IF(F103&lt;=500, 35, IF(F103&lt;=1000, 40, F103*0.04)))),
IF(Basic34567891011121314151617[[#This Row],[نوع الخدمة]]="كاش اوت",
    IF(F103&lt;=100, 15, IF(F103&lt;=250, 20, IF(F103&lt;=500, 30, IF(F103&lt;=1000, 35, F103*0.035)))),
0)))</f>
        <v>0</v>
      </c>
      <c r="H103" s="159">
        <f>IF(I103="مخالفات",50,Basic34567891011121314151617[[#This Row],[قيمة الرسوم / العموله]]+Basic34567891011121314151617[[#This Row],[قيمة الشحنه]])</f>
        <v>0</v>
      </c>
      <c r="I103" s="90"/>
      <c r="J103" s="142" t="str">
        <f t="shared" si="1"/>
        <v>16.5.2026</v>
      </c>
      <c r="L103" s="153">
        <v>92</v>
      </c>
      <c r="M103" s="92"/>
    </row>
    <row r="104" spans="1:13" ht="21.6" x14ac:dyDescent="0.65">
      <c r="A104" s="195"/>
      <c r="B104" s="140">
        <v>101</v>
      </c>
      <c r="C104" s="2"/>
      <c r="D104" s="1"/>
      <c r="E104" s="3"/>
      <c r="F104" s="1"/>
      <c r="G104" s="141">
        <f>IF(Basic34567891011121314151617[[#This Row],[نوع الخدمة]]="مخالفات", 50,
IF(Basic34567891011121314151617[[#This Row],[نوع الخدمة]]="كاش ان",
    IF(F104&lt;=100, 18, IF(F104&lt;=250, 23, IF(F104&lt;=500, 35, IF(F104&lt;=1000, 40, F104*0.04)))),
IF(Basic34567891011121314151617[[#This Row],[نوع الخدمة]]="كاش اوت",
    IF(F104&lt;=100, 15, IF(F104&lt;=250, 20, IF(F104&lt;=500, 30, IF(F104&lt;=1000, 35, F104*0.035)))),
0)))</f>
        <v>0</v>
      </c>
      <c r="H104" s="159">
        <f>IF(I104="مخالفات",50,Basic34567891011121314151617[[#This Row],[قيمة الرسوم / العموله]]+Basic34567891011121314151617[[#This Row],[قيمة الشحنه]])</f>
        <v>0</v>
      </c>
      <c r="I104" s="90"/>
      <c r="J104" s="142" t="str">
        <f t="shared" si="1"/>
        <v>16.5.2026</v>
      </c>
      <c r="L104" s="153">
        <v>93</v>
      </c>
      <c r="M104" s="92"/>
    </row>
    <row r="105" spans="1:13" ht="21.6" x14ac:dyDescent="0.65">
      <c r="A105" s="195"/>
      <c r="B105" s="144">
        <v>102</v>
      </c>
      <c r="C105" s="2"/>
      <c r="D105" s="1"/>
      <c r="E105" s="3"/>
      <c r="F105" s="1"/>
      <c r="G105" s="141">
        <f>IF(Basic34567891011121314151617[[#This Row],[نوع الخدمة]]="مخالفات", 50,
IF(Basic34567891011121314151617[[#This Row],[نوع الخدمة]]="كاش ان",
    IF(F105&lt;=100, 18, IF(F105&lt;=250, 23, IF(F105&lt;=500, 35, IF(F105&lt;=1000, 40, F105*0.04)))),
IF(Basic34567891011121314151617[[#This Row],[نوع الخدمة]]="كاش اوت",
    IF(F105&lt;=100, 15, IF(F105&lt;=250, 20, IF(F105&lt;=500, 30, IF(F105&lt;=1000, 35, F105*0.035)))),
0)))</f>
        <v>0</v>
      </c>
      <c r="H105" s="159">
        <f>IF(I105="مخالفات",50,Basic34567891011121314151617[[#This Row],[قيمة الرسوم / العموله]]+Basic34567891011121314151617[[#This Row],[قيمة الشحنه]])</f>
        <v>0</v>
      </c>
      <c r="I105" s="90"/>
      <c r="J105" s="142" t="str">
        <f t="shared" si="1"/>
        <v>16.5.2026</v>
      </c>
      <c r="L105" s="153">
        <v>94</v>
      </c>
      <c r="M105" s="92"/>
    </row>
    <row r="106" spans="1:13" ht="21.6" x14ac:dyDescent="0.65">
      <c r="A106" s="195"/>
      <c r="B106" s="140">
        <v>103</v>
      </c>
      <c r="C106" s="2"/>
      <c r="D106" s="1"/>
      <c r="E106" s="3"/>
      <c r="F106" s="1"/>
      <c r="G106" s="141">
        <f>IF(Basic34567891011121314151617[[#This Row],[نوع الخدمة]]="مخالفات", 50,
IF(Basic34567891011121314151617[[#This Row],[نوع الخدمة]]="كاش ان",
    IF(F106&lt;=100, 18, IF(F106&lt;=250, 23, IF(F106&lt;=500, 35, IF(F106&lt;=1000, 40, F106*0.04)))),
IF(Basic34567891011121314151617[[#This Row],[نوع الخدمة]]="كاش اوت",
    IF(F106&lt;=100, 15, IF(F106&lt;=250, 20, IF(F106&lt;=500, 30, IF(F106&lt;=1000, 35, F106*0.035)))),
0)))</f>
        <v>0</v>
      </c>
      <c r="H106" s="159">
        <f>IF(I106="مخالفات",50,Basic34567891011121314151617[[#This Row],[قيمة الرسوم / العموله]]+Basic34567891011121314151617[[#This Row],[قيمة الشحنه]])</f>
        <v>0</v>
      </c>
      <c r="I106" s="90"/>
      <c r="J106" s="142" t="str">
        <f t="shared" si="1"/>
        <v>16.5.2026</v>
      </c>
      <c r="L106" s="153">
        <v>95</v>
      </c>
      <c r="M106" s="92"/>
    </row>
    <row r="107" spans="1:13" ht="21.6" x14ac:dyDescent="0.65">
      <c r="A107" s="195"/>
      <c r="B107" s="140">
        <v>104</v>
      </c>
      <c r="C107" s="2"/>
      <c r="D107" s="1"/>
      <c r="E107" s="3"/>
      <c r="F107" s="1"/>
      <c r="G107" s="141">
        <f>IF(Basic34567891011121314151617[[#This Row],[نوع الخدمة]]="مخالفات", 50,
IF(Basic34567891011121314151617[[#This Row],[نوع الخدمة]]="كاش ان",
    IF(F107&lt;=100, 18, IF(F107&lt;=250, 23, IF(F107&lt;=500, 35, IF(F107&lt;=1000, 40, F107*0.04)))),
IF(Basic34567891011121314151617[[#This Row],[نوع الخدمة]]="كاش اوت",
    IF(F107&lt;=100, 15, IF(F107&lt;=250, 20, IF(F107&lt;=500, 30, IF(F107&lt;=1000, 35, F107*0.035)))),
0)))</f>
        <v>0</v>
      </c>
      <c r="H107" s="159">
        <f>IF(I107="مخالفات",50,Basic34567891011121314151617[[#This Row],[قيمة الرسوم / العموله]]+Basic34567891011121314151617[[#This Row],[قيمة الشحنه]])</f>
        <v>0</v>
      </c>
      <c r="I107" s="90"/>
      <c r="J107" s="142" t="str">
        <f t="shared" si="1"/>
        <v>16.5.2026</v>
      </c>
      <c r="L107" s="153">
        <v>96</v>
      </c>
      <c r="M107" s="92"/>
    </row>
    <row r="108" spans="1:13" ht="21.6" x14ac:dyDescent="0.65">
      <c r="A108" s="195"/>
      <c r="B108" s="140">
        <v>105</v>
      </c>
      <c r="C108" s="2"/>
      <c r="D108" s="1"/>
      <c r="E108" s="3"/>
      <c r="F108" s="1"/>
      <c r="G108" s="141">
        <f>IF(Basic34567891011121314151617[[#This Row],[نوع الخدمة]]="مخالفات", 50,
IF(Basic34567891011121314151617[[#This Row],[نوع الخدمة]]="كاش ان",
    IF(F108&lt;=100, 18, IF(F108&lt;=250, 23, IF(F108&lt;=500, 35, IF(F108&lt;=1000, 40, F108*0.04)))),
IF(Basic34567891011121314151617[[#This Row],[نوع الخدمة]]="كاش اوت",
    IF(F108&lt;=100, 15, IF(F108&lt;=250, 20, IF(F108&lt;=500, 30, IF(F108&lt;=1000, 35, F108*0.035)))),
0)))</f>
        <v>0</v>
      </c>
      <c r="H108" s="159">
        <f>IF(I108="مخالفات",50,Basic34567891011121314151617[[#This Row],[قيمة الرسوم / العموله]]+Basic34567891011121314151617[[#This Row],[قيمة الشحنه]])</f>
        <v>0</v>
      </c>
      <c r="I108" s="90"/>
      <c r="J108" s="142" t="str">
        <f t="shared" si="1"/>
        <v>16.5.2026</v>
      </c>
      <c r="L108" s="153">
        <v>97</v>
      </c>
      <c r="M108" s="92"/>
    </row>
    <row r="109" spans="1:13" ht="21.6" x14ac:dyDescent="0.65">
      <c r="A109" s="195"/>
      <c r="B109" s="144">
        <v>106</v>
      </c>
      <c r="C109" s="2"/>
      <c r="D109" s="1"/>
      <c r="E109" s="3"/>
      <c r="F109" s="1"/>
      <c r="G109" s="141">
        <f>IF(Basic34567891011121314151617[[#This Row],[نوع الخدمة]]="مخالفات", 50,
IF(Basic34567891011121314151617[[#This Row],[نوع الخدمة]]="كاش ان",
    IF(F109&lt;=100, 18, IF(F109&lt;=250, 23, IF(F109&lt;=500, 35, IF(F109&lt;=1000, 40, F109*0.04)))),
IF(Basic34567891011121314151617[[#This Row],[نوع الخدمة]]="كاش اوت",
    IF(F109&lt;=100, 15, IF(F109&lt;=250, 20, IF(F109&lt;=500, 30, IF(F109&lt;=1000, 35, F109*0.035)))),
0)))</f>
        <v>0</v>
      </c>
      <c r="H109" s="159">
        <f>IF(I109="مخالفات",50,Basic34567891011121314151617[[#This Row],[قيمة الرسوم / العموله]]+Basic34567891011121314151617[[#This Row],[قيمة الشحنه]])</f>
        <v>0</v>
      </c>
      <c r="I109" s="90"/>
      <c r="J109" s="142" t="str">
        <f t="shared" si="1"/>
        <v>16.5.2026</v>
      </c>
      <c r="L109" s="153">
        <v>98</v>
      </c>
      <c r="M109" s="92"/>
    </row>
    <row r="110" spans="1:13" ht="21.6" x14ac:dyDescent="0.65">
      <c r="A110" s="195"/>
      <c r="B110" s="140">
        <v>107</v>
      </c>
      <c r="C110" s="2"/>
      <c r="D110" s="1"/>
      <c r="E110" s="3"/>
      <c r="F110" s="1"/>
      <c r="G110" s="141">
        <f>IF(Basic34567891011121314151617[[#This Row],[نوع الخدمة]]="مخالفات", 50,
IF(Basic34567891011121314151617[[#This Row],[نوع الخدمة]]="كاش ان",
    IF(F110&lt;=100, 18, IF(F110&lt;=250, 23, IF(F110&lt;=500, 35, IF(F110&lt;=1000, 40, F110*0.04)))),
IF(Basic34567891011121314151617[[#This Row],[نوع الخدمة]]="كاش اوت",
    IF(F110&lt;=100, 15, IF(F110&lt;=250, 20, IF(F110&lt;=500, 30, IF(F110&lt;=1000, 35, F110*0.035)))),
0)))</f>
        <v>0</v>
      </c>
      <c r="H110" s="159">
        <f>IF(I110="مخالفات",50,Basic34567891011121314151617[[#This Row],[قيمة الرسوم / العموله]]+Basic34567891011121314151617[[#This Row],[قيمة الشحنه]])</f>
        <v>0</v>
      </c>
      <c r="I110" s="90"/>
      <c r="J110" s="142" t="str">
        <f t="shared" si="1"/>
        <v>16.5.2026</v>
      </c>
      <c r="L110" s="153">
        <v>99</v>
      </c>
      <c r="M110" s="92"/>
    </row>
    <row r="111" spans="1:13" ht="21.6" x14ac:dyDescent="0.65">
      <c r="A111" s="195"/>
      <c r="B111" s="140">
        <v>108</v>
      </c>
      <c r="C111" s="2"/>
      <c r="D111" s="1"/>
      <c r="E111" s="3"/>
      <c r="F111" s="1"/>
      <c r="G111" s="141">
        <f>IF(Basic34567891011121314151617[[#This Row],[نوع الخدمة]]="مخالفات", 50,
IF(Basic34567891011121314151617[[#This Row],[نوع الخدمة]]="كاش ان",
    IF(F111&lt;=100, 18, IF(F111&lt;=250, 23, IF(F111&lt;=500, 35, IF(F111&lt;=1000, 40, F111*0.04)))),
IF(Basic34567891011121314151617[[#This Row],[نوع الخدمة]]="كاش اوت",
    IF(F111&lt;=100, 15, IF(F111&lt;=250, 20, IF(F111&lt;=500, 30, IF(F111&lt;=1000, 35, F111*0.035)))),
0)))</f>
        <v>0</v>
      </c>
      <c r="H111" s="159">
        <f>IF(I111="مخالفات",50,Basic34567891011121314151617[[#This Row],[قيمة الرسوم / العموله]]+Basic34567891011121314151617[[#This Row],[قيمة الشحنه]])</f>
        <v>0</v>
      </c>
      <c r="I111" s="90"/>
      <c r="J111" s="142" t="str">
        <f t="shared" si="1"/>
        <v>16.5.2026</v>
      </c>
      <c r="L111" s="153">
        <v>100</v>
      </c>
      <c r="M111" s="92"/>
    </row>
    <row r="112" spans="1:13" ht="21.6" x14ac:dyDescent="0.65">
      <c r="A112" s="195"/>
      <c r="B112" s="140">
        <v>109</v>
      </c>
      <c r="C112" s="2"/>
      <c r="D112" s="1"/>
      <c r="E112" s="3"/>
      <c r="F112" s="1"/>
      <c r="G112" s="141">
        <f>IF(Basic34567891011121314151617[[#This Row],[نوع الخدمة]]="مخالفات", 50,
IF(Basic34567891011121314151617[[#This Row],[نوع الخدمة]]="كاش ان",
    IF(F112&lt;=100, 18, IF(F112&lt;=250, 23, IF(F112&lt;=500, 35, IF(F112&lt;=1000, 40, F112*0.04)))),
IF(Basic34567891011121314151617[[#This Row],[نوع الخدمة]]="كاش اوت",
    IF(F112&lt;=100, 15, IF(F112&lt;=250, 20, IF(F112&lt;=500, 30, IF(F112&lt;=1000, 35, F112*0.035)))),
0)))</f>
        <v>0</v>
      </c>
      <c r="H112" s="159">
        <f>IF(I112="مخالفات",50,Basic34567891011121314151617[[#This Row],[قيمة الرسوم / العموله]]+Basic34567891011121314151617[[#This Row],[قيمة الشحنه]])</f>
        <v>0</v>
      </c>
      <c r="I112" s="90"/>
      <c r="J112" s="142" t="str">
        <f t="shared" si="1"/>
        <v>16.5.2026</v>
      </c>
      <c r="L112" s="153">
        <v>101</v>
      </c>
      <c r="M112" s="92"/>
    </row>
    <row r="113" spans="1:13" ht="21.6" x14ac:dyDescent="0.65">
      <c r="A113" s="195"/>
      <c r="B113" s="144">
        <v>110</v>
      </c>
      <c r="C113" s="2"/>
      <c r="D113" s="1"/>
      <c r="E113" s="3"/>
      <c r="F113" s="1"/>
      <c r="G113" s="141">
        <f>IF(Basic34567891011121314151617[[#This Row],[نوع الخدمة]]="مخالفات", 50,
IF(Basic34567891011121314151617[[#This Row],[نوع الخدمة]]="كاش ان",
    IF(F113&lt;=100, 18, IF(F113&lt;=250, 23, IF(F113&lt;=500, 35, IF(F113&lt;=1000, 40, F113*0.04)))),
IF(Basic34567891011121314151617[[#This Row],[نوع الخدمة]]="كاش اوت",
    IF(F113&lt;=100, 15, IF(F113&lt;=250, 20, IF(F113&lt;=500, 30, IF(F113&lt;=1000, 35, F113*0.035)))),
0)))</f>
        <v>0</v>
      </c>
      <c r="H113" s="159">
        <f>IF(I113="مخالفات",50,Basic34567891011121314151617[[#This Row],[قيمة الرسوم / العموله]]+Basic34567891011121314151617[[#This Row],[قيمة الشحنه]])</f>
        <v>0</v>
      </c>
      <c r="I113" s="90"/>
      <c r="J113" s="142" t="str">
        <f t="shared" si="1"/>
        <v>16.5.2026</v>
      </c>
      <c r="L113" s="153">
        <v>102</v>
      </c>
      <c r="M113" s="92"/>
    </row>
    <row r="114" spans="1:13" ht="21.6" x14ac:dyDescent="0.65">
      <c r="A114" s="195"/>
      <c r="B114" s="140">
        <v>111</v>
      </c>
      <c r="C114" s="2"/>
      <c r="D114" s="1"/>
      <c r="E114" s="3"/>
      <c r="F114" s="1"/>
      <c r="G114" s="141">
        <f>IF(Basic34567891011121314151617[[#This Row],[نوع الخدمة]]="مخالفات", 50,
IF(Basic34567891011121314151617[[#This Row],[نوع الخدمة]]="كاش ان",
    IF(F114&lt;=100, 18, IF(F114&lt;=250, 23, IF(F114&lt;=500, 35, IF(F114&lt;=1000, 40, F114*0.04)))),
IF(Basic34567891011121314151617[[#This Row],[نوع الخدمة]]="كاش اوت",
    IF(F114&lt;=100, 15, IF(F114&lt;=250, 20, IF(F114&lt;=500, 30, IF(F114&lt;=1000, 35, F114*0.035)))),
0)))</f>
        <v>0</v>
      </c>
      <c r="H114" s="159">
        <f>IF(I114="مخالفات",50,Basic34567891011121314151617[[#This Row],[قيمة الرسوم / العموله]]+Basic34567891011121314151617[[#This Row],[قيمة الشحنه]])</f>
        <v>0</v>
      </c>
      <c r="I114" s="90"/>
      <c r="J114" s="142" t="str">
        <f t="shared" si="1"/>
        <v>16.5.2026</v>
      </c>
      <c r="L114" s="153">
        <v>103</v>
      </c>
      <c r="M114" s="92"/>
    </row>
    <row r="115" spans="1:13" ht="21.6" x14ac:dyDescent="0.65">
      <c r="A115" s="195"/>
      <c r="B115" s="140">
        <v>112</v>
      </c>
      <c r="C115" s="2"/>
      <c r="D115" s="1"/>
      <c r="E115" s="3"/>
      <c r="F115" s="1"/>
      <c r="G115" s="141">
        <f>IF(Basic34567891011121314151617[[#This Row],[نوع الخدمة]]="مخالفات", 50,
IF(Basic34567891011121314151617[[#This Row],[نوع الخدمة]]="كاش ان",
    IF(F115&lt;=100, 18, IF(F115&lt;=250, 23, IF(F115&lt;=500, 35, IF(F115&lt;=1000, 40, F115*0.04)))),
IF(Basic34567891011121314151617[[#This Row],[نوع الخدمة]]="كاش اوت",
    IF(F115&lt;=100, 15, IF(F115&lt;=250, 20, IF(F115&lt;=500, 30, IF(F115&lt;=1000, 35, F115*0.035)))),
0)))</f>
        <v>0</v>
      </c>
      <c r="H115" s="159">
        <f>IF(I115="مخالفات",50,Basic34567891011121314151617[[#This Row],[قيمة الرسوم / العموله]]+Basic34567891011121314151617[[#This Row],[قيمة الشحنه]])</f>
        <v>0</v>
      </c>
      <c r="I115" s="90"/>
      <c r="J115" s="142" t="str">
        <f t="shared" si="1"/>
        <v>16.5.2026</v>
      </c>
      <c r="L115" s="153">
        <v>104</v>
      </c>
      <c r="M115" s="92"/>
    </row>
    <row r="116" spans="1:13" ht="21.6" x14ac:dyDescent="0.65">
      <c r="A116" s="195"/>
      <c r="B116" s="140">
        <v>113</v>
      </c>
      <c r="C116" s="2"/>
      <c r="D116" s="1"/>
      <c r="E116" s="3"/>
      <c r="F116" s="1"/>
      <c r="G116" s="141">
        <f>IF(Basic34567891011121314151617[[#This Row],[نوع الخدمة]]="مخالفات", 50,
IF(Basic34567891011121314151617[[#This Row],[نوع الخدمة]]="كاش ان",
    IF(F116&lt;=100, 18, IF(F116&lt;=250, 23, IF(F116&lt;=500, 35, IF(F116&lt;=1000, 40, F116*0.04)))),
IF(Basic34567891011121314151617[[#This Row],[نوع الخدمة]]="كاش اوت",
    IF(F116&lt;=100, 15, IF(F116&lt;=250, 20, IF(F116&lt;=500, 30, IF(F116&lt;=1000, 35, F116*0.035)))),
0)))</f>
        <v>0</v>
      </c>
      <c r="H116" s="159">
        <f>IF(I116="مخالفات",50,Basic34567891011121314151617[[#This Row],[قيمة الرسوم / العموله]]+Basic34567891011121314151617[[#This Row],[قيمة الشحنه]])</f>
        <v>0</v>
      </c>
      <c r="I116" s="90"/>
      <c r="J116" s="142" t="str">
        <f t="shared" si="1"/>
        <v>16.5.2026</v>
      </c>
      <c r="L116" s="153">
        <v>105</v>
      </c>
      <c r="M116" s="92"/>
    </row>
    <row r="117" spans="1:13" ht="21.6" x14ac:dyDescent="0.65">
      <c r="A117" s="195"/>
      <c r="B117" s="144">
        <v>114</v>
      </c>
      <c r="C117" s="2"/>
      <c r="D117" s="1"/>
      <c r="E117" s="3"/>
      <c r="F117" s="1"/>
      <c r="G117" s="141">
        <f>IF(Basic34567891011121314151617[[#This Row],[نوع الخدمة]]="مخالفات", 50,
IF(Basic34567891011121314151617[[#This Row],[نوع الخدمة]]="كاش ان",
    IF(F117&lt;=100, 18, IF(F117&lt;=250, 23, IF(F117&lt;=500, 35, IF(F117&lt;=1000, 40, F117*0.04)))),
IF(Basic34567891011121314151617[[#This Row],[نوع الخدمة]]="كاش اوت",
    IF(F117&lt;=100, 15, IF(F117&lt;=250, 20, IF(F117&lt;=500, 30, IF(F117&lt;=1000, 35, F117*0.035)))),
0)))</f>
        <v>0</v>
      </c>
      <c r="H117" s="159">
        <f>IF(I117="مخالفات",50,Basic34567891011121314151617[[#This Row],[قيمة الرسوم / العموله]]+Basic34567891011121314151617[[#This Row],[قيمة الشحنه]])</f>
        <v>0</v>
      </c>
      <c r="I117" s="90"/>
      <c r="J117" s="142" t="str">
        <f t="shared" si="1"/>
        <v>16.5.2026</v>
      </c>
      <c r="L117" s="153">
        <v>106</v>
      </c>
      <c r="M117" s="92"/>
    </row>
    <row r="118" spans="1:13" ht="21.6" x14ac:dyDescent="0.65">
      <c r="A118" s="195"/>
      <c r="B118" s="140">
        <v>115</v>
      </c>
      <c r="C118" s="2"/>
      <c r="D118" s="1"/>
      <c r="E118" s="3"/>
      <c r="F118" s="1"/>
      <c r="G118" s="141">
        <f>IF(Basic34567891011121314151617[[#This Row],[نوع الخدمة]]="مخالفات", 50,
IF(Basic34567891011121314151617[[#This Row],[نوع الخدمة]]="كاش ان",
    IF(F118&lt;=100, 18, IF(F118&lt;=250, 23, IF(F118&lt;=500, 35, IF(F118&lt;=1000, 40, F118*0.04)))),
IF(Basic34567891011121314151617[[#This Row],[نوع الخدمة]]="كاش اوت",
    IF(F118&lt;=100, 15, IF(F118&lt;=250, 20, IF(F118&lt;=500, 30, IF(F118&lt;=1000, 35, F118*0.035)))),
0)))</f>
        <v>0</v>
      </c>
      <c r="H118" s="159">
        <f>IF(I118="مخالفات",50,Basic34567891011121314151617[[#This Row],[قيمة الرسوم / العموله]]+Basic34567891011121314151617[[#This Row],[قيمة الشحنه]])</f>
        <v>0</v>
      </c>
      <c r="I118" s="90"/>
      <c r="J118" s="142" t="str">
        <f t="shared" si="1"/>
        <v>16.5.2026</v>
      </c>
      <c r="L118" s="153">
        <v>107</v>
      </c>
      <c r="M118" s="92"/>
    </row>
    <row r="119" spans="1:13" ht="21.6" x14ac:dyDescent="0.65">
      <c r="A119" s="195"/>
      <c r="B119" s="140">
        <v>116</v>
      </c>
      <c r="C119" s="2"/>
      <c r="D119" s="1"/>
      <c r="E119" s="3"/>
      <c r="F119" s="1"/>
      <c r="G119" s="141">
        <f>IF(Basic34567891011121314151617[[#This Row],[نوع الخدمة]]="مخالفات", 50,
IF(Basic34567891011121314151617[[#This Row],[نوع الخدمة]]="كاش ان",
    IF(F119&lt;=100, 18, IF(F119&lt;=250, 23, IF(F119&lt;=500, 35, IF(F119&lt;=1000, 40, F119*0.04)))),
IF(Basic34567891011121314151617[[#This Row],[نوع الخدمة]]="كاش اوت",
    IF(F119&lt;=100, 15, IF(F119&lt;=250, 20, IF(F119&lt;=500, 30, IF(F119&lt;=1000, 35, F119*0.035)))),
0)))</f>
        <v>0</v>
      </c>
      <c r="H119" s="159">
        <f>IF(I119="مخالفات",50,Basic34567891011121314151617[[#This Row],[قيمة الرسوم / العموله]]+Basic34567891011121314151617[[#This Row],[قيمة الشحنه]])</f>
        <v>0</v>
      </c>
      <c r="I119" s="90"/>
      <c r="J119" s="142" t="str">
        <f t="shared" si="1"/>
        <v>16.5.2026</v>
      </c>
      <c r="L119" s="153">
        <v>108</v>
      </c>
      <c r="M119" s="92"/>
    </row>
    <row r="120" spans="1:13" ht="21.6" x14ac:dyDescent="0.65">
      <c r="A120" s="195"/>
      <c r="B120" s="140">
        <v>117</v>
      </c>
      <c r="C120" s="2"/>
      <c r="D120" s="1"/>
      <c r="E120" s="3"/>
      <c r="F120" s="1"/>
      <c r="G120" s="141">
        <f>IF(Basic34567891011121314151617[[#This Row],[نوع الخدمة]]="مخالفات", 50,
IF(Basic34567891011121314151617[[#This Row],[نوع الخدمة]]="كاش ان",
    IF(F120&lt;=100, 18, IF(F120&lt;=250, 23, IF(F120&lt;=500, 35, IF(F120&lt;=1000, 40, F120*0.04)))),
IF(Basic34567891011121314151617[[#This Row],[نوع الخدمة]]="كاش اوت",
    IF(F120&lt;=100, 15, IF(F120&lt;=250, 20, IF(F120&lt;=500, 30, IF(F120&lt;=1000, 35, F120*0.035)))),
0)))</f>
        <v>0</v>
      </c>
      <c r="H120" s="159">
        <f>IF(I120="مخالفات",50,Basic34567891011121314151617[[#This Row],[قيمة الرسوم / العموله]]+Basic34567891011121314151617[[#This Row],[قيمة الشحنه]])</f>
        <v>0</v>
      </c>
      <c r="I120" s="90"/>
      <c r="J120" s="142" t="str">
        <f t="shared" si="1"/>
        <v>16.5.2026</v>
      </c>
      <c r="L120" s="153">
        <v>109</v>
      </c>
      <c r="M120" s="92"/>
    </row>
    <row r="121" spans="1:13" ht="21.6" x14ac:dyDescent="0.65">
      <c r="A121" s="195"/>
      <c r="B121" s="144">
        <v>118</v>
      </c>
      <c r="C121" s="2"/>
      <c r="D121" s="1"/>
      <c r="E121" s="3"/>
      <c r="F121" s="1"/>
      <c r="G121" s="141">
        <f>IF(Basic34567891011121314151617[[#This Row],[نوع الخدمة]]="مخالفات", 50,
IF(Basic34567891011121314151617[[#This Row],[نوع الخدمة]]="كاش ان",
    IF(F121&lt;=100, 18, IF(F121&lt;=250, 23, IF(F121&lt;=500, 35, IF(F121&lt;=1000, 40, F121*0.04)))),
IF(Basic34567891011121314151617[[#This Row],[نوع الخدمة]]="كاش اوت",
    IF(F121&lt;=100, 15, IF(F121&lt;=250, 20, IF(F121&lt;=500, 30, IF(F121&lt;=1000, 35, F121*0.035)))),
0)))</f>
        <v>0</v>
      </c>
      <c r="H121" s="159">
        <f>IF(I121="مخالفات",50,Basic34567891011121314151617[[#This Row],[قيمة الرسوم / العموله]]+Basic34567891011121314151617[[#This Row],[قيمة الشحنه]])</f>
        <v>0</v>
      </c>
      <c r="I121" s="90"/>
      <c r="J121" s="142" t="str">
        <f t="shared" si="1"/>
        <v>16.5.2026</v>
      </c>
      <c r="L121" s="153">
        <v>110</v>
      </c>
      <c r="M121" s="92"/>
    </row>
    <row r="122" spans="1:13" ht="21.6" x14ac:dyDescent="0.65">
      <c r="A122" s="195"/>
      <c r="B122" s="140">
        <v>119</v>
      </c>
      <c r="C122" s="2"/>
      <c r="D122" s="1"/>
      <c r="E122" s="3"/>
      <c r="F122" s="1"/>
      <c r="G122" s="141">
        <f>IF(Basic34567891011121314151617[[#This Row],[نوع الخدمة]]="مخالفات", 50,
IF(Basic34567891011121314151617[[#This Row],[نوع الخدمة]]="كاش ان",
    IF(F122&lt;=100, 18, IF(F122&lt;=250, 23, IF(F122&lt;=500, 35, IF(F122&lt;=1000, 40, F122*0.04)))),
IF(Basic34567891011121314151617[[#This Row],[نوع الخدمة]]="كاش اوت",
    IF(F122&lt;=100, 15, IF(F122&lt;=250, 20, IF(F122&lt;=500, 30, IF(F122&lt;=1000, 35, F122*0.035)))),
0)))</f>
        <v>0</v>
      </c>
      <c r="H122" s="159">
        <f>IF(I122="مخالفات",50,Basic34567891011121314151617[[#This Row],[قيمة الرسوم / العموله]]+Basic34567891011121314151617[[#This Row],[قيمة الشحنه]])</f>
        <v>0</v>
      </c>
      <c r="I122" s="90"/>
      <c r="J122" s="142" t="str">
        <f t="shared" si="1"/>
        <v>16.5.2026</v>
      </c>
      <c r="L122" s="153">
        <v>111</v>
      </c>
      <c r="M122" s="92"/>
    </row>
    <row r="123" spans="1:13" ht="21.6" x14ac:dyDescent="0.65">
      <c r="A123" s="195"/>
      <c r="B123" s="140">
        <v>120</v>
      </c>
      <c r="C123" s="2"/>
      <c r="D123" s="1"/>
      <c r="E123" s="3"/>
      <c r="F123" s="1"/>
      <c r="G123" s="141">
        <f>IF(Basic34567891011121314151617[[#This Row],[نوع الخدمة]]="مخالفات", 50,
IF(Basic34567891011121314151617[[#This Row],[نوع الخدمة]]="كاش ان",
    IF(F123&lt;=100, 18, IF(F123&lt;=250, 23, IF(F123&lt;=500, 35, IF(F123&lt;=1000, 40, F123*0.04)))),
IF(Basic34567891011121314151617[[#This Row],[نوع الخدمة]]="كاش اوت",
    IF(F123&lt;=100, 15, IF(F123&lt;=250, 20, IF(F123&lt;=500, 30, IF(F123&lt;=1000, 35, F123*0.035)))),
0)))</f>
        <v>0</v>
      </c>
      <c r="H123" s="159">
        <f>IF(I123="مخالفات",50,Basic34567891011121314151617[[#This Row],[قيمة الرسوم / العموله]]+Basic34567891011121314151617[[#This Row],[قيمة الشحنه]])</f>
        <v>0</v>
      </c>
      <c r="I123" s="90"/>
      <c r="J123" s="142" t="str">
        <f t="shared" si="1"/>
        <v>16.5.2026</v>
      </c>
      <c r="L123" s="153">
        <v>112</v>
      </c>
      <c r="M123" s="92"/>
    </row>
    <row r="124" spans="1:13" ht="21.6" x14ac:dyDescent="0.65">
      <c r="A124" s="195"/>
      <c r="B124" s="140">
        <v>121</v>
      </c>
      <c r="C124" s="2"/>
      <c r="D124" s="1"/>
      <c r="E124" s="3"/>
      <c r="F124" s="1"/>
      <c r="G124" s="141">
        <f>IF(Basic34567891011121314151617[[#This Row],[نوع الخدمة]]="مخالفات", 50,
IF(Basic34567891011121314151617[[#This Row],[نوع الخدمة]]="كاش ان",
    IF(F124&lt;=100, 18, IF(F124&lt;=250, 23, IF(F124&lt;=500, 35, IF(F124&lt;=1000, 40, F124*0.04)))),
IF(Basic34567891011121314151617[[#This Row],[نوع الخدمة]]="كاش اوت",
    IF(F124&lt;=100, 15, IF(F124&lt;=250, 20, IF(F124&lt;=500, 30, IF(F124&lt;=1000, 35, F124*0.035)))),
0)))</f>
        <v>0</v>
      </c>
      <c r="H124" s="159">
        <f>IF(I124="مخالفات",50,Basic34567891011121314151617[[#This Row],[قيمة الرسوم / العموله]]+Basic34567891011121314151617[[#This Row],[قيمة الشحنه]])</f>
        <v>0</v>
      </c>
      <c r="I124" s="90"/>
      <c r="J124" s="142" t="str">
        <f t="shared" si="1"/>
        <v>16.5.2026</v>
      </c>
      <c r="L124" s="153">
        <v>113</v>
      </c>
      <c r="M124" s="92"/>
    </row>
    <row r="125" spans="1:13" ht="21.6" x14ac:dyDescent="0.65">
      <c r="A125" s="195"/>
      <c r="B125" s="144">
        <v>122</v>
      </c>
      <c r="C125" s="2"/>
      <c r="D125" s="1"/>
      <c r="E125" s="3"/>
      <c r="F125" s="1"/>
      <c r="G125" s="141">
        <f>IF(Basic34567891011121314151617[[#This Row],[نوع الخدمة]]="مخالفات", 50,
IF(Basic34567891011121314151617[[#This Row],[نوع الخدمة]]="كاش ان",
    IF(F125&lt;=100, 18, IF(F125&lt;=250, 23, IF(F125&lt;=500, 35, IF(F125&lt;=1000, 40, F125*0.04)))),
IF(Basic34567891011121314151617[[#This Row],[نوع الخدمة]]="كاش اوت",
    IF(F125&lt;=100, 15, IF(F125&lt;=250, 20, IF(F125&lt;=500, 30, IF(F125&lt;=1000, 35, F125*0.035)))),
0)))</f>
        <v>0</v>
      </c>
      <c r="H125" s="159">
        <f>IF(I125="مخالفات",50,Basic34567891011121314151617[[#This Row],[قيمة الرسوم / العموله]]+Basic34567891011121314151617[[#This Row],[قيمة الشحنه]])</f>
        <v>0</v>
      </c>
      <c r="I125" s="90"/>
      <c r="J125" s="142" t="str">
        <f t="shared" si="1"/>
        <v>16.5.2026</v>
      </c>
      <c r="L125" s="153">
        <v>114</v>
      </c>
      <c r="M125" s="92"/>
    </row>
    <row r="126" spans="1:13" ht="21.6" x14ac:dyDescent="0.65">
      <c r="A126" s="195"/>
      <c r="B126" s="140">
        <v>123</v>
      </c>
      <c r="C126" s="2"/>
      <c r="D126" s="1"/>
      <c r="E126" s="3"/>
      <c r="F126" s="1"/>
      <c r="G126" s="141">
        <f>IF(Basic34567891011121314151617[[#This Row],[نوع الخدمة]]="مخالفات", 50,
IF(Basic34567891011121314151617[[#This Row],[نوع الخدمة]]="كاش ان",
    IF(F126&lt;=100, 18, IF(F126&lt;=250, 23, IF(F126&lt;=500, 35, IF(F126&lt;=1000, 40, F126*0.04)))),
IF(Basic34567891011121314151617[[#This Row],[نوع الخدمة]]="كاش اوت",
    IF(F126&lt;=100, 15, IF(F126&lt;=250, 20, IF(F126&lt;=500, 30, IF(F126&lt;=1000, 35, F126*0.035)))),
0)))</f>
        <v>0</v>
      </c>
      <c r="H126" s="159">
        <f>IF(I126="مخالفات",50,Basic34567891011121314151617[[#This Row],[قيمة الرسوم / العموله]]+Basic34567891011121314151617[[#This Row],[قيمة الشحنه]])</f>
        <v>0</v>
      </c>
      <c r="I126" s="90"/>
      <c r="J126" s="142" t="str">
        <f t="shared" si="1"/>
        <v>16.5.2026</v>
      </c>
      <c r="L126" s="153">
        <v>115</v>
      </c>
      <c r="M126" s="92"/>
    </row>
    <row r="127" spans="1:13" ht="21.6" x14ac:dyDescent="0.65">
      <c r="A127" s="195"/>
      <c r="B127" s="140">
        <v>124</v>
      </c>
      <c r="C127" s="2"/>
      <c r="D127" s="1"/>
      <c r="E127" s="3"/>
      <c r="F127" s="1"/>
      <c r="G127" s="141">
        <f>IF(Basic34567891011121314151617[[#This Row],[نوع الخدمة]]="مخالفات", 50,
IF(Basic34567891011121314151617[[#This Row],[نوع الخدمة]]="كاش ان",
    IF(F127&lt;=100, 18, IF(F127&lt;=250, 23, IF(F127&lt;=500, 35, IF(F127&lt;=1000, 40, F127*0.04)))),
IF(Basic34567891011121314151617[[#This Row],[نوع الخدمة]]="كاش اوت",
    IF(F127&lt;=100, 15, IF(F127&lt;=250, 20, IF(F127&lt;=500, 30, IF(F127&lt;=1000, 35, F127*0.035)))),
0)))</f>
        <v>0</v>
      </c>
      <c r="H127" s="159">
        <f>IF(I127="مخالفات",50,Basic34567891011121314151617[[#This Row],[قيمة الرسوم / العموله]]+Basic34567891011121314151617[[#This Row],[قيمة الشحنه]])</f>
        <v>0</v>
      </c>
      <c r="I127" s="90"/>
      <c r="J127" s="142" t="str">
        <f t="shared" si="1"/>
        <v>16.5.2026</v>
      </c>
      <c r="L127" s="153">
        <v>116</v>
      </c>
      <c r="M127" s="92"/>
    </row>
    <row r="128" spans="1:13" ht="21.6" x14ac:dyDescent="0.65">
      <c r="A128" s="195"/>
      <c r="B128" s="140">
        <v>125</v>
      </c>
      <c r="C128" s="2"/>
      <c r="D128" s="1"/>
      <c r="E128" s="3"/>
      <c r="F128" s="1"/>
      <c r="G128" s="141">
        <f>IF(Basic34567891011121314151617[[#This Row],[نوع الخدمة]]="مخالفات", 50,
IF(Basic34567891011121314151617[[#This Row],[نوع الخدمة]]="كاش ان",
    IF(F128&lt;=100, 18, IF(F128&lt;=250, 23, IF(F128&lt;=500, 35, IF(F128&lt;=1000, 40, F128*0.04)))),
IF(Basic34567891011121314151617[[#This Row],[نوع الخدمة]]="كاش اوت",
    IF(F128&lt;=100, 15, IF(F128&lt;=250, 20, IF(F128&lt;=500, 30, IF(F128&lt;=1000, 35, F128*0.035)))),
0)))</f>
        <v>0</v>
      </c>
      <c r="H128" s="159">
        <f>IF(I128="مخالفات",50,Basic34567891011121314151617[[#This Row],[قيمة الرسوم / العموله]]+Basic34567891011121314151617[[#This Row],[قيمة الشحنه]])</f>
        <v>0</v>
      </c>
      <c r="I128" s="90"/>
      <c r="J128" s="142" t="str">
        <f t="shared" si="1"/>
        <v>16.5.2026</v>
      </c>
      <c r="L128" s="153">
        <v>117</v>
      </c>
      <c r="M128" s="92"/>
    </row>
    <row r="129" spans="1:13" ht="21.6" x14ac:dyDescent="0.65">
      <c r="A129" s="195"/>
      <c r="B129" s="144">
        <v>126</v>
      </c>
      <c r="C129" s="2"/>
      <c r="D129" s="1"/>
      <c r="E129" s="3"/>
      <c r="F129" s="1"/>
      <c r="G129" s="141">
        <f>IF(Basic34567891011121314151617[[#This Row],[نوع الخدمة]]="مخالفات", 50,
IF(Basic34567891011121314151617[[#This Row],[نوع الخدمة]]="كاش ان",
    IF(F129&lt;=100, 18, IF(F129&lt;=250, 23, IF(F129&lt;=500, 35, IF(F129&lt;=1000, 40, F129*0.04)))),
IF(Basic34567891011121314151617[[#This Row],[نوع الخدمة]]="كاش اوت",
    IF(F129&lt;=100, 15, IF(F129&lt;=250, 20, IF(F129&lt;=500, 30, IF(F129&lt;=1000, 35, F129*0.035)))),
0)))</f>
        <v>0</v>
      </c>
      <c r="H129" s="159">
        <f>IF(I129="مخالفات",50,Basic34567891011121314151617[[#This Row],[قيمة الرسوم / العموله]]+Basic34567891011121314151617[[#This Row],[قيمة الشحنه]])</f>
        <v>0</v>
      </c>
      <c r="I129" s="90"/>
      <c r="J129" s="142" t="str">
        <f t="shared" si="1"/>
        <v>16.5.2026</v>
      </c>
      <c r="L129" s="153">
        <v>118</v>
      </c>
      <c r="M129" s="92"/>
    </row>
    <row r="130" spans="1:13" ht="21.6" x14ac:dyDescent="0.65">
      <c r="A130" s="195"/>
      <c r="B130" s="140">
        <v>127</v>
      </c>
      <c r="C130" s="2"/>
      <c r="D130" s="1"/>
      <c r="E130" s="3"/>
      <c r="F130" s="1"/>
      <c r="G130" s="141">
        <f>IF(Basic34567891011121314151617[[#This Row],[نوع الخدمة]]="مخالفات", 50,
IF(Basic34567891011121314151617[[#This Row],[نوع الخدمة]]="كاش ان",
    IF(F130&lt;=100, 18, IF(F130&lt;=250, 23, IF(F130&lt;=500, 35, IF(F130&lt;=1000, 40, F130*0.04)))),
IF(Basic34567891011121314151617[[#This Row],[نوع الخدمة]]="كاش اوت",
    IF(F130&lt;=100, 15, IF(F130&lt;=250, 20, IF(F130&lt;=500, 30, IF(F130&lt;=1000, 35, F130*0.035)))),
0)))</f>
        <v>0</v>
      </c>
      <c r="H130" s="159">
        <f>IF(I130="مخالفات",50,Basic34567891011121314151617[[#This Row],[قيمة الرسوم / العموله]]+Basic34567891011121314151617[[#This Row],[قيمة الشحنه]])</f>
        <v>0</v>
      </c>
      <c r="I130" s="90"/>
      <c r="J130" s="142" t="str">
        <f t="shared" si="1"/>
        <v>16.5.2026</v>
      </c>
      <c r="L130" s="153">
        <v>119</v>
      </c>
      <c r="M130" s="92"/>
    </row>
    <row r="131" spans="1:13" ht="21.6" x14ac:dyDescent="0.65">
      <c r="A131" s="195"/>
      <c r="B131" s="140">
        <v>128</v>
      </c>
      <c r="C131" s="2"/>
      <c r="D131" s="1"/>
      <c r="E131" s="3"/>
      <c r="F131" s="1"/>
      <c r="G131" s="141">
        <f>IF(Basic34567891011121314151617[[#This Row],[نوع الخدمة]]="مخالفات", 50,
IF(Basic34567891011121314151617[[#This Row],[نوع الخدمة]]="كاش ان",
    IF(F131&lt;=100, 18, IF(F131&lt;=250, 23, IF(F131&lt;=500, 35, IF(F131&lt;=1000, 40, F131*0.04)))),
IF(Basic34567891011121314151617[[#This Row],[نوع الخدمة]]="كاش اوت",
    IF(F131&lt;=100, 15, IF(F131&lt;=250, 20, IF(F131&lt;=500, 30, IF(F131&lt;=1000, 35, F131*0.035)))),
0)))</f>
        <v>0</v>
      </c>
      <c r="H131" s="159">
        <f>IF(I131="مخالفات",50,Basic34567891011121314151617[[#This Row],[قيمة الرسوم / العموله]]+Basic34567891011121314151617[[#This Row],[قيمة الشحنه]])</f>
        <v>0</v>
      </c>
      <c r="I131" s="90"/>
      <c r="J131" s="142" t="str">
        <f t="shared" si="1"/>
        <v>16.5.2026</v>
      </c>
      <c r="L131" s="153">
        <v>120</v>
      </c>
      <c r="M131" s="92"/>
    </row>
    <row r="132" spans="1:13" ht="21.6" x14ac:dyDescent="0.65">
      <c r="A132" s="195"/>
      <c r="B132" s="140">
        <v>129</v>
      </c>
      <c r="C132" s="2"/>
      <c r="D132" s="1"/>
      <c r="E132" s="3"/>
      <c r="F132" s="1"/>
      <c r="G132" s="141">
        <f>IF(Basic34567891011121314151617[[#This Row],[نوع الخدمة]]="مخالفات", 50,
IF(Basic34567891011121314151617[[#This Row],[نوع الخدمة]]="كاش ان",
    IF(F132&lt;=100, 18, IF(F132&lt;=250, 23, IF(F132&lt;=500, 35, IF(F132&lt;=1000, 40, F132*0.04)))),
IF(Basic34567891011121314151617[[#This Row],[نوع الخدمة]]="كاش اوت",
    IF(F132&lt;=100, 15, IF(F132&lt;=250, 20, IF(F132&lt;=500, 30, IF(F132&lt;=1000, 35, F132*0.035)))),
0)))</f>
        <v>0</v>
      </c>
      <c r="H132" s="159">
        <f>IF(I132="مخالفات",50,Basic34567891011121314151617[[#This Row],[قيمة الرسوم / العموله]]+Basic34567891011121314151617[[#This Row],[قيمة الشحنه]])</f>
        <v>0</v>
      </c>
      <c r="I132" s="90"/>
      <c r="J132" s="142" t="str">
        <f t="shared" ref="J132:J195" si="2">M$3</f>
        <v>16.5.2026</v>
      </c>
      <c r="L132" s="153">
        <v>121</v>
      </c>
      <c r="M132" s="92"/>
    </row>
    <row r="133" spans="1:13" ht="21.6" x14ac:dyDescent="0.65">
      <c r="A133" s="195"/>
      <c r="B133" s="144">
        <v>130</v>
      </c>
      <c r="C133" s="2"/>
      <c r="D133" s="1"/>
      <c r="E133" s="3"/>
      <c r="F133" s="1"/>
      <c r="G133" s="141">
        <f>IF(Basic34567891011121314151617[[#This Row],[نوع الخدمة]]="مخالفات", 50,
IF(Basic34567891011121314151617[[#This Row],[نوع الخدمة]]="كاش ان",
    IF(F133&lt;=100, 18, IF(F133&lt;=250, 23, IF(F133&lt;=500, 35, IF(F133&lt;=1000, 40, F133*0.04)))),
IF(Basic34567891011121314151617[[#This Row],[نوع الخدمة]]="كاش اوت",
    IF(F133&lt;=100, 15, IF(F133&lt;=250, 20, IF(F133&lt;=500, 30, IF(F133&lt;=1000, 35, F133*0.035)))),
0)))</f>
        <v>0</v>
      </c>
      <c r="H133" s="159">
        <f>IF(I133="مخالفات",50,Basic34567891011121314151617[[#This Row],[قيمة الرسوم / العموله]]+Basic34567891011121314151617[[#This Row],[قيمة الشحنه]])</f>
        <v>0</v>
      </c>
      <c r="I133" s="90"/>
      <c r="J133" s="142" t="str">
        <f t="shared" si="2"/>
        <v>16.5.2026</v>
      </c>
      <c r="L133" s="153">
        <v>122</v>
      </c>
      <c r="M133" s="92"/>
    </row>
    <row r="134" spans="1:13" ht="21.6" x14ac:dyDescent="0.65">
      <c r="A134" s="195"/>
      <c r="B134" s="140">
        <v>131</v>
      </c>
      <c r="C134" s="2"/>
      <c r="D134" s="1"/>
      <c r="E134" s="3"/>
      <c r="F134" s="1"/>
      <c r="G134" s="141">
        <f>IF(Basic34567891011121314151617[[#This Row],[نوع الخدمة]]="مخالفات", 50,
IF(Basic34567891011121314151617[[#This Row],[نوع الخدمة]]="كاش ان",
    IF(F134&lt;=100, 18, IF(F134&lt;=250, 23, IF(F134&lt;=500, 35, IF(F134&lt;=1000, 40, F134*0.04)))),
IF(Basic34567891011121314151617[[#This Row],[نوع الخدمة]]="كاش اوت",
    IF(F134&lt;=100, 15, IF(F134&lt;=250, 20, IF(F134&lt;=500, 30, IF(F134&lt;=1000, 35, F134*0.035)))),
0)))</f>
        <v>0</v>
      </c>
      <c r="H134" s="159">
        <f>IF(I134="مخالفات",50,Basic34567891011121314151617[[#This Row],[قيمة الرسوم / العموله]]+Basic34567891011121314151617[[#This Row],[قيمة الشحنه]])</f>
        <v>0</v>
      </c>
      <c r="I134" s="90"/>
      <c r="J134" s="142" t="str">
        <f t="shared" si="2"/>
        <v>16.5.2026</v>
      </c>
      <c r="L134" s="153">
        <v>123</v>
      </c>
      <c r="M134" s="92"/>
    </row>
    <row r="135" spans="1:13" ht="21.6" x14ac:dyDescent="0.65">
      <c r="A135" s="195"/>
      <c r="B135" s="140">
        <v>132</v>
      </c>
      <c r="C135" s="2"/>
      <c r="D135" s="1"/>
      <c r="E135" s="3"/>
      <c r="F135" s="1"/>
      <c r="G135" s="141">
        <f>IF(Basic34567891011121314151617[[#This Row],[نوع الخدمة]]="مخالفات", 50,
IF(Basic34567891011121314151617[[#This Row],[نوع الخدمة]]="كاش ان",
    IF(F135&lt;=100, 18, IF(F135&lt;=250, 23, IF(F135&lt;=500, 35, IF(F135&lt;=1000, 40, F135*0.04)))),
IF(Basic34567891011121314151617[[#This Row],[نوع الخدمة]]="كاش اوت",
    IF(F135&lt;=100, 15, IF(F135&lt;=250, 20, IF(F135&lt;=500, 30, IF(F135&lt;=1000, 35, F135*0.035)))),
0)))</f>
        <v>0</v>
      </c>
      <c r="H135" s="159">
        <f>IF(I135="مخالفات",50,Basic34567891011121314151617[[#This Row],[قيمة الرسوم / العموله]]+Basic34567891011121314151617[[#This Row],[قيمة الشحنه]])</f>
        <v>0</v>
      </c>
      <c r="I135" s="90"/>
      <c r="J135" s="142" t="str">
        <f t="shared" si="2"/>
        <v>16.5.2026</v>
      </c>
      <c r="L135" s="153">
        <v>124</v>
      </c>
      <c r="M135" s="92"/>
    </row>
    <row r="136" spans="1:13" ht="21.6" x14ac:dyDescent="0.65">
      <c r="A136" s="195"/>
      <c r="B136" s="140">
        <v>133</v>
      </c>
      <c r="C136" s="2"/>
      <c r="D136" s="1"/>
      <c r="E136" s="3"/>
      <c r="F136" s="1"/>
      <c r="G136" s="141">
        <f>IF(Basic34567891011121314151617[[#This Row],[نوع الخدمة]]="مخالفات", 50,
IF(Basic34567891011121314151617[[#This Row],[نوع الخدمة]]="كاش ان",
    IF(F136&lt;=100, 18, IF(F136&lt;=250, 23, IF(F136&lt;=500, 35, IF(F136&lt;=1000, 40, F136*0.04)))),
IF(Basic34567891011121314151617[[#This Row],[نوع الخدمة]]="كاش اوت",
    IF(F136&lt;=100, 15, IF(F136&lt;=250, 20, IF(F136&lt;=500, 30, IF(F136&lt;=1000, 35, F136*0.035)))),
0)))</f>
        <v>0</v>
      </c>
      <c r="H136" s="159">
        <f>IF(I136="مخالفات",50,Basic34567891011121314151617[[#This Row],[قيمة الرسوم / العموله]]+Basic34567891011121314151617[[#This Row],[قيمة الشحنه]])</f>
        <v>0</v>
      </c>
      <c r="I136" s="90"/>
      <c r="J136" s="142" t="str">
        <f t="shared" si="2"/>
        <v>16.5.2026</v>
      </c>
      <c r="L136" s="153">
        <v>125</v>
      </c>
      <c r="M136" s="92"/>
    </row>
    <row r="137" spans="1:13" ht="21.6" x14ac:dyDescent="0.65">
      <c r="A137" s="195"/>
      <c r="B137" s="144">
        <v>134</v>
      </c>
      <c r="C137" s="2"/>
      <c r="D137" s="1"/>
      <c r="E137" s="3"/>
      <c r="F137" s="1"/>
      <c r="G137" s="141">
        <f>IF(Basic34567891011121314151617[[#This Row],[نوع الخدمة]]="مخالفات", 50,
IF(Basic34567891011121314151617[[#This Row],[نوع الخدمة]]="كاش ان",
    IF(F137&lt;=100, 18, IF(F137&lt;=250, 23, IF(F137&lt;=500, 35, IF(F137&lt;=1000, 40, F137*0.04)))),
IF(Basic34567891011121314151617[[#This Row],[نوع الخدمة]]="كاش اوت",
    IF(F137&lt;=100, 15, IF(F137&lt;=250, 20, IF(F137&lt;=500, 30, IF(F137&lt;=1000, 35, F137*0.035)))),
0)))</f>
        <v>0</v>
      </c>
      <c r="H137" s="159">
        <f>IF(I137="مخالفات",50,Basic34567891011121314151617[[#This Row],[قيمة الرسوم / العموله]]+Basic34567891011121314151617[[#This Row],[قيمة الشحنه]])</f>
        <v>0</v>
      </c>
      <c r="I137" s="90"/>
      <c r="J137" s="142" t="str">
        <f t="shared" si="2"/>
        <v>16.5.2026</v>
      </c>
      <c r="L137" s="153">
        <v>126</v>
      </c>
      <c r="M137" s="92"/>
    </row>
    <row r="138" spans="1:13" ht="21.6" x14ac:dyDescent="0.65">
      <c r="A138" s="195"/>
      <c r="B138" s="140">
        <v>135</v>
      </c>
      <c r="C138" s="2"/>
      <c r="D138" s="1"/>
      <c r="E138" s="3"/>
      <c r="F138" s="1"/>
      <c r="G138" s="141">
        <f>IF(Basic34567891011121314151617[[#This Row],[نوع الخدمة]]="مخالفات", 50,
IF(Basic34567891011121314151617[[#This Row],[نوع الخدمة]]="كاش ان",
    IF(F138&lt;=100, 18, IF(F138&lt;=250, 23, IF(F138&lt;=500, 35, IF(F138&lt;=1000, 40, F138*0.04)))),
IF(Basic34567891011121314151617[[#This Row],[نوع الخدمة]]="كاش اوت",
    IF(F138&lt;=100, 15, IF(F138&lt;=250, 20, IF(F138&lt;=500, 30, IF(F138&lt;=1000, 35, F138*0.035)))),
0)))</f>
        <v>0</v>
      </c>
      <c r="H138" s="159">
        <f>IF(I138="مخالفات",50,Basic34567891011121314151617[[#This Row],[قيمة الرسوم / العموله]]+Basic34567891011121314151617[[#This Row],[قيمة الشحنه]])</f>
        <v>0</v>
      </c>
      <c r="I138" s="90"/>
      <c r="J138" s="142" t="str">
        <f t="shared" si="2"/>
        <v>16.5.2026</v>
      </c>
      <c r="L138" s="153">
        <v>127</v>
      </c>
      <c r="M138" s="92"/>
    </row>
    <row r="139" spans="1:13" ht="21.6" x14ac:dyDescent="0.65">
      <c r="A139" s="195"/>
      <c r="B139" s="140">
        <v>136</v>
      </c>
      <c r="C139" s="2"/>
      <c r="D139" s="1"/>
      <c r="E139" s="3"/>
      <c r="F139" s="1"/>
      <c r="G139" s="141">
        <f>IF(Basic34567891011121314151617[[#This Row],[نوع الخدمة]]="مخالفات", 50,
IF(Basic34567891011121314151617[[#This Row],[نوع الخدمة]]="كاش ان",
    IF(F139&lt;=100, 18, IF(F139&lt;=250, 23, IF(F139&lt;=500, 35, IF(F139&lt;=1000, 40, F139*0.04)))),
IF(Basic34567891011121314151617[[#This Row],[نوع الخدمة]]="كاش اوت",
    IF(F139&lt;=100, 15, IF(F139&lt;=250, 20, IF(F139&lt;=500, 30, IF(F139&lt;=1000, 35, F139*0.035)))),
0)))</f>
        <v>0</v>
      </c>
      <c r="H139" s="159">
        <f>IF(I139="مخالفات",50,Basic34567891011121314151617[[#This Row],[قيمة الرسوم / العموله]]+Basic34567891011121314151617[[#This Row],[قيمة الشحنه]])</f>
        <v>0</v>
      </c>
      <c r="I139" s="90"/>
      <c r="J139" s="142" t="str">
        <f t="shared" si="2"/>
        <v>16.5.2026</v>
      </c>
      <c r="L139" s="153">
        <v>128</v>
      </c>
      <c r="M139" s="92"/>
    </row>
    <row r="140" spans="1:13" ht="21.6" x14ac:dyDescent="0.65">
      <c r="A140" s="195"/>
      <c r="B140" s="140">
        <v>137</v>
      </c>
      <c r="C140" s="2"/>
      <c r="D140" s="1"/>
      <c r="E140" s="3"/>
      <c r="F140" s="1"/>
      <c r="G140" s="141">
        <f>IF(Basic34567891011121314151617[[#This Row],[نوع الخدمة]]="مخالفات", 50,
IF(Basic34567891011121314151617[[#This Row],[نوع الخدمة]]="كاش ان",
    IF(F140&lt;=100, 18, IF(F140&lt;=250, 23, IF(F140&lt;=500, 35, IF(F140&lt;=1000, 40, F140*0.04)))),
IF(Basic34567891011121314151617[[#This Row],[نوع الخدمة]]="كاش اوت",
    IF(F140&lt;=100, 15, IF(F140&lt;=250, 20, IF(F140&lt;=500, 30, IF(F140&lt;=1000, 35, F140*0.035)))),
0)))</f>
        <v>0</v>
      </c>
      <c r="H140" s="159">
        <f>IF(I140="مخالفات",50,Basic34567891011121314151617[[#This Row],[قيمة الرسوم / العموله]]+Basic34567891011121314151617[[#This Row],[قيمة الشحنه]])</f>
        <v>0</v>
      </c>
      <c r="I140" s="90"/>
      <c r="J140" s="142" t="str">
        <f t="shared" si="2"/>
        <v>16.5.2026</v>
      </c>
      <c r="L140" s="153">
        <v>129</v>
      </c>
      <c r="M140" s="92"/>
    </row>
    <row r="141" spans="1:13" ht="21.6" x14ac:dyDescent="0.65">
      <c r="A141" s="195"/>
      <c r="B141" s="144">
        <v>138</v>
      </c>
      <c r="C141" s="2"/>
      <c r="D141" s="1"/>
      <c r="E141" s="3"/>
      <c r="F141" s="1"/>
      <c r="G141" s="141">
        <f>IF(Basic34567891011121314151617[[#This Row],[نوع الخدمة]]="مخالفات", 50,
IF(Basic34567891011121314151617[[#This Row],[نوع الخدمة]]="كاش ان",
    IF(F141&lt;=100, 18, IF(F141&lt;=250, 23, IF(F141&lt;=500, 35, IF(F141&lt;=1000, 40, F141*0.04)))),
IF(Basic34567891011121314151617[[#This Row],[نوع الخدمة]]="كاش اوت",
    IF(F141&lt;=100, 15, IF(F141&lt;=250, 20, IF(F141&lt;=500, 30, IF(F141&lt;=1000, 35, F141*0.035)))),
0)))</f>
        <v>0</v>
      </c>
      <c r="H141" s="159">
        <f>IF(I141="مخالفات",50,Basic34567891011121314151617[[#This Row],[قيمة الرسوم / العموله]]+Basic34567891011121314151617[[#This Row],[قيمة الشحنه]])</f>
        <v>0</v>
      </c>
      <c r="I141" s="90"/>
      <c r="J141" s="142" t="str">
        <f t="shared" si="2"/>
        <v>16.5.2026</v>
      </c>
      <c r="L141" s="153">
        <v>130</v>
      </c>
      <c r="M141" s="92"/>
    </row>
    <row r="142" spans="1:13" ht="21.6" x14ac:dyDescent="0.65">
      <c r="A142" s="195"/>
      <c r="B142" s="140">
        <v>139</v>
      </c>
      <c r="C142" s="2"/>
      <c r="D142" s="1"/>
      <c r="E142" s="3"/>
      <c r="F142" s="1"/>
      <c r="G142" s="141">
        <f>IF(Basic34567891011121314151617[[#This Row],[نوع الخدمة]]="مخالفات", 50,
IF(Basic34567891011121314151617[[#This Row],[نوع الخدمة]]="كاش ان",
    IF(F142&lt;=100, 18, IF(F142&lt;=250, 23, IF(F142&lt;=500, 35, IF(F142&lt;=1000, 40, F142*0.04)))),
IF(Basic34567891011121314151617[[#This Row],[نوع الخدمة]]="كاش اوت",
    IF(F142&lt;=100, 15, IF(F142&lt;=250, 20, IF(F142&lt;=500, 30, IF(F142&lt;=1000, 35, F142*0.035)))),
0)))</f>
        <v>0</v>
      </c>
      <c r="H142" s="159">
        <f>IF(I142="مخالفات",50,Basic34567891011121314151617[[#This Row],[قيمة الرسوم / العموله]]+Basic34567891011121314151617[[#This Row],[قيمة الشحنه]])</f>
        <v>0</v>
      </c>
      <c r="I142" s="90"/>
      <c r="J142" s="142" t="str">
        <f t="shared" si="2"/>
        <v>16.5.2026</v>
      </c>
      <c r="L142" s="153">
        <v>131</v>
      </c>
      <c r="M142" s="92"/>
    </row>
    <row r="143" spans="1:13" ht="21.6" x14ac:dyDescent="0.65">
      <c r="A143" s="195"/>
      <c r="B143" s="140">
        <v>140</v>
      </c>
      <c r="C143" s="2"/>
      <c r="D143" s="1"/>
      <c r="E143" s="3"/>
      <c r="F143" s="1"/>
      <c r="G143" s="141">
        <f>IF(Basic34567891011121314151617[[#This Row],[نوع الخدمة]]="مخالفات", 50,
IF(Basic34567891011121314151617[[#This Row],[نوع الخدمة]]="كاش ان",
    IF(F143&lt;=100, 18, IF(F143&lt;=250, 23, IF(F143&lt;=500, 35, IF(F143&lt;=1000, 40, F143*0.04)))),
IF(Basic34567891011121314151617[[#This Row],[نوع الخدمة]]="كاش اوت",
    IF(F143&lt;=100, 15, IF(F143&lt;=250, 20, IF(F143&lt;=500, 30, IF(F143&lt;=1000, 35, F143*0.035)))),
0)))</f>
        <v>0</v>
      </c>
      <c r="H143" s="159">
        <f>IF(I143="مخالفات",50,Basic34567891011121314151617[[#This Row],[قيمة الرسوم / العموله]]+Basic34567891011121314151617[[#This Row],[قيمة الشحنه]])</f>
        <v>0</v>
      </c>
      <c r="I143" s="90"/>
      <c r="J143" s="142" t="str">
        <f t="shared" si="2"/>
        <v>16.5.2026</v>
      </c>
      <c r="L143" s="153">
        <v>132</v>
      </c>
      <c r="M143" s="92"/>
    </row>
    <row r="144" spans="1:13" ht="21.6" x14ac:dyDescent="0.65">
      <c r="A144" s="195"/>
      <c r="B144" s="140">
        <v>141</v>
      </c>
      <c r="C144" s="2"/>
      <c r="D144" s="1"/>
      <c r="E144" s="3"/>
      <c r="F144" s="1"/>
      <c r="G144" s="141">
        <f>IF(Basic34567891011121314151617[[#This Row],[نوع الخدمة]]="مخالفات", 50,
IF(Basic34567891011121314151617[[#This Row],[نوع الخدمة]]="كاش ان",
    IF(F144&lt;=100, 18, IF(F144&lt;=250, 23, IF(F144&lt;=500, 35, IF(F144&lt;=1000, 40, F144*0.04)))),
IF(Basic34567891011121314151617[[#This Row],[نوع الخدمة]]="كاش اوت",
    IF(F144&lt;=100, 15, IF(F144&lt;=250, 20, IF(F144&lt;=500, 30, IF(F144&lt;=1000, 35, F144*0.035)))),
0)))</f>
        <v>0</v>
      </c>
      <c r="H144" s="159">
        <f>IF(I144="مخالفات",50,Basic34567891011121314151617[[#This Row],[قيمة الرسوم / العموله]]+Basic34567891011121314151617[[#This Row],[قيمة الشحنه]])</f>
        <v>0</v>
      </c>
      <c r="I144" s="90"/>
      <c r="J144" s="142" t="str">
        <f t="shared" si="2"/>
        <v>16.5.2026</v>
      </c>
      <c r="L144" s="153">
        <v>133</v>
      </c>
      <c r="M144" s="92"/>
    </row>
    <row r="145" spans="1:13" ht="21.6" x14ac:dyDescent="0.65">
      <c r="A145" s="195"/>
      <c r="B145" s="144">
        <v>142</v>
      </c>
      <c r="C145" s="2"/>
      <c r="D145" s="1"/>
      <c r="E145" s="3"/>
      <c r="F145" s="1"/>
      <c r="G145" s="141">
        <f>IF(Basic34567891011121314151617[[#This Row],[نوع الخدمة]]="مخالفات", 50,
IF(Basic34567891011121314151617[[#This Row],[نوع الخدمة]]="كاش ان",
    IF(F145&lt;=100, 18, IF(F145&lt;=250, 23, IF(F145&lt;=500, 35, IF(F145&lt;=1000, 40, F145*0.04)))),
IF(Basic34567891011121314151617[[#This Row],[نوع الخدمة]]="كاش اوت",
    IF(F145&lt;=100, 15, IF(F145&lt;=250, 20, IF(F145&lt;=500, 30, IF(F145&lt;=1000, 35, F145*0.035)))),
0)))</f>
        <v>0</v>
      </c>
      <c r="H145" s="159">
        <f>IF(I145="مخالفات",50,Basic34567891011121314151617[[#This Row],[قيمة الرسوم / العموله]]+Basic34567891011121314151617[[#This Row],[قيمة الشحنه]])</f>
        <v>0</v>
      </c>
      <c r="I145" s="90"/>
      <c r="J145" s="142" t="str">
        <f t="shared" si="2"/>
        <v>16.5.2026</v>
      </c>
      <c r="L145" s="153">
        <v>134</v>
      </c>
      <c r="M145" s="92"/>
    </row>
    <row r="146" spans="1:13" ht="21.6" x14ac:dyDescent="0.65">
      <c r="A146" s="195"/>
      <c r="B146" s="140">
        <v>143</v>
      </c>
      <c r="C146" s="2"/>
      <c r="D146" s="1"/>
      <c r="E146" s="3"/>
      <c r="F146" s="1"/>
      <c r="G146" s="141">
        <f>IF(Basic34567891011121314151617[[#This Row],[نوع الخدمة]]="مخالفات", 50,
IF(Basic34567891011121314151617[[#This Row],[نوع الخدمة]]="كاش ان",
    IF(F146&lt;=100, 18, IF(F146&lt;=250, 23, IF(F146&lt;=500, 35, IF(F146&lt;=1000, 40, F146*0.04)))),
IF(Basic34567891011121314151617[[#This Row],[نوع الخدمة]]="كاش اوت",
    IF(F146&lt;=100, 15, IF(F146&lt;=250, 20, IF(F146&lt;=500, 30, IF(F146&lt;=1000, 35, F146*0.035)))),
0)))</f>
        <v>0</v>
      </c>
      <c r="H146" s="159">
        <f>IF(I146="مخالفات",50,Basic34567891011121314151617[[#This Row],[قيمة الرسوم / العموله]]+Basic34567891011121314151617[[#This Row],[قيمة الشحنه]])</f>
        <v>0</v>
      </c>
      <c r="I146" s="90"/>
      <c r="J146" s="142" t="str">
        <f t="shared" si="2"/>
        <v>16.5.2026</v>
      </c>
      <c r="L146" s="153">
        <v>135</v>
      </c>
      <c r="M146" s="92"/>
    </row>
    <row r="147" spans="1:13" ht="21.6" x14ac:dyDescent="0.65">
      <c r="A147" s="195"/>
      <c r="B147" s="140">
        <v>144</v>
      </c>
      <c r="C147" s="2"/>
      <c r="D147" s="1"/>
      <c r="E147" s="3"/>
      <c r="F147" s="1"/>
      <c r="G147" s="141">
        <f>IF(Basic34567891011121314151617[[#This Row],[نوع الخدمة]]="مخالفات", 50,
IF(Basic34567891011121314151617[[#This Row],[نوع الخدمة]]="كاش ان",
    IF(F147&lt;=100, 18, IF(F147&lt;=250, 23, IF(F147&lt;=500, 35, IF(F147&lt;=1000, 40, F147*0.04)))),
IF(Basic34567891011121314151617[[#This Row],[نوع الخدمة]]="كاش اوت",
    IF(F147&lt;=100, 15, IF(F147&lt;=250, 20, IF(F147&lt;=500, 30, IF(F147&lt;=1000, 35, F147*0.035)))),
0)))</f>
        <v>0</v>
      </c>
      <c r="H147" s="159">
        <f>IF(I147="مخالفات",50,Basic34567891011121314151617[[#This Row],[قيمة الرسوم / العموله]]+Basic34567891011121314151617[[#This Row],[قيمة الشحنه]])</f>
        <v>0</v>
      </c>
      <c r="I147" s="90"/>
      <c r="J147" s="142" t="str">
        <f t="shared" si="2"/>
        <v>16.5.2026</v>
      </c>
      <c r="L147" s="153">
        <v>136</v>
      </c>
      <c r="M147" s="92"/>
    </row>
    <row r="148" spans="1:13" ht="21.6" x14ac:dyDescent="0.65">
      <c r="A148" s="195"/>
      <c r="B148" s="140">
        <v>145</v>
      </c>
      <c r="C148" s="2"/>
      <c r="D148" s="1"/>
      <c r="E148" s="3"/>
      <c r="F148" s="1"/>
      <c r="G148" s="141">
        <f>IF(Basic34567891011121314151617[[#This Row],[نوع الخدمة]]="مخالفات", 50,
IF(Basic34567891011121314151617[[#This Row],[نوع الخدمة]]="كاش ان",
    IF(F148&lt;=100, 18, IF(F148&lt;=250, 23, IF(F148&lt;=500, 35, IF(F148&lt;=1000, 40, F148*0.04)))),
IF(Basic34567891011121314151617[[#This Row],[نوع الخدمة]]="كاش اوت",
    IF(F148&lt;=100, 15, IF(F148&lt;=250, 20, IF(F148&lt;=500, 30, IF(F148&lt;=1000, 35, F148*0.035)))),
0)))</f>
        <v>0</v>
      </c>
      <c r="H148" s="159">
        <f>IF(I148="مخالفات",50,Basic34567891011121314151617[[#This Row],[قيمة الرسوم / العموله]]+Basic34567891011121314151617[[#This Row],[قيمة الشحنه]])</f>
        <v>0</v>
      </c>
      <c r="I148" s="90"/>
      <c r="J148" s="142" t="str">
        <f t="shared" si="2"/>
        <v>16.5.2026</v>
      </c>
      <c r="L148" s="153">
        <v>137</v>
      </c>
      <c r="M148" s="92"/>
    </row>
    <row r="149" spans="1:13" ht="21.6" x14ac:dyDescent="0.65">
      <c r="A149" s="195"/>
      <c r="B149" s="144">
        <v>146</v>
      </c>
      <c r="C149" s="2"/>
      <c r="D149" s="1"/>
      <c r="E149" s="3"/>
      <c r="F149" s="1"/>
      <c r="G149" s="141">
        <f>IF(Basic34567891011121314151617[[#This Row],[نوع الخدمة]]="مخالفات", 50,
IF(Basic34567891011121314151617[[#This Row],[نوع الخدمة]]="كاش ان",
    IF(F149&lt;=100, 18, IF(F149&lt;=250, 23, IF(F149&lt;=500, 35, IF(F149&lt;=1000, 40, F149*0.04)))),
IF(Basic34567891011121314151617[[#This Row],[نوع الخدمة]]="كاش اوت",
    IF(F149&lt;=100, 15, IF(F149&lt;=250, 20, IF(F149&lt;=500, 30, IF(F149&lt;=1000, 35, F149*0.035)))),
0)))</f>
        <v>0</v>
      </c>
      <c r="H149" s="159">
        <f>IF(I149="مخالفات",50,Basic34567891011121314151617[[#This Row],[قيمة الرسوم / العموله]]+Basic34567891011121314151617[[#This Row],[قيمة الشحنه]])</f>
        <v>0</v>
      </c>
      <c r="I149" s="90"/>
      <c r="J149" s="142" t="str">
        <f t="shared" si="2"/>
        <v>16.5.2026</v>
      </c>
      <c r="L149" s="153">
        <v>138</v>
      </c>
      <c r="M149" s="92"/>
    </row>
    <row r="150" spans="1:13" ht="21.6" x14ac:dyDescent="0.65">
      <c r="A150" s="195"/>
      <c r="B150" s="140">
        <v>147</v>
      </c>
      <c r="C150" s="2"/>
      <c r="D150" s="1"/>
      <c r="E150" s="3"/>
      <c r="F150" s="1"/>
      <c r="G150" s="141">
        <f>IF(Basic34567891011121314151617[[#This Row],[نوع الخدمة]]="مخالفات", 50,
IF(Basic34567891011121314151617[[#This Row],[نوع الخدمة]]="كاش ان",
    IF(F150&lt;=100, 18, IF(F150&lt;=250, 23, IF(F150&lt;=500, 35, IF(F150&lt;=1000, 40, F150*0.04)))),
IF(Basic34567891011121314151617[[#This Row],[نوع الخدمة]]="كاش اوت",
    IF(F150&lt;=100, 15, IF(F150&lt;=250, 20, IF(F150&lt;=500, 30, IF(F150&lt;=1000, 35, F150*0.035)))),
0)))</f>
        <v>0</v>
      </c>
      <c r="H150" s="159">
        <f>IF(I150="مخالفات",50,Basic34567891011121314151617[[#This Row],[قيمة الرسوم / العموله]]+Basic34567891011121314151617[[#This Row],[قيمة الشحنه]])</f>
        <v>0</v>
      </c>
      <c r="I150" s="90"/>
      <c r="J150" s="142" t="str">
        <f t="shared" si="2"/>
        <v>16.5.2026</v>
      </c>
      <c r="L150" s="153">
        <v>139</v>
      </c>
      <c r="M150" s="92"/>
    </row>
    <row r="151" spans="1:13" ht="21.6" x14ac:dyDescent="0.65">
      <c r="A151" s="195"/>
      <c r="B151" s="140">
        <v>148</v>
      </c>
      <c r="C151" s="2"/>
      <c r="D151" s="1"/>
      <c r="E151" s="3"/>
      <c r="F151" s="1"/>
      <c r="G151" s="141">
        <f>IF(Basic34567891011121314151617[[#This Row],[نوع الخدمة]]="مخالفات", 50,
IF(Basic34567891011121314151617[[#This Row],[نوع الخدمة]]="كاش ان",
    IF(F151&lt;=100, 18, IF(F151&lt;=250, 23, IF(F151&lt;=500, 35, IF(F151&lt;=1000, 40, F151*0.04)))),
IF(Basic34567891011121314151617[[#This Row],[نوع الخدمة]]="كاش اوت",
    IF(F151&lt;=100, 15, IF(F151&lt;=250, 20, IF(F151&lt;=500, 30, IF(F151&lt;=1000, 35, F151*0.035)))),
0)))</f>
        <v>0</v>
      </c>
      <c r="H151" s="159">
        <f>IF(I151="مخالفات",50,Basic34567891011121314151617[[#This Row],[قيمة الرسوم / العموله]]+Basic34567891011121314151617[[#This Row],[قيمة الشحنه]])</f>
        <v>0</v>
      </c>
      <c r="I151" s="90"/>
      <c r="J151" s="142" t="str">
        <f t="shared" si="2"/>
        <v>16.5.2026</v>
      </c>
      <c r="L151" s="153">
        <v>140</v>
      </c>
      <c r="M151" s="92"/>
    </row>
    <row r="152" spans="1:13" ht="21.6" x14ac:dyDescent="0.65">
      <c r="A152" s="195"/>
      <c r="B152" s="140">
        <v>149</v>
      </c>
      <c r="C152" s="2"/>
      <c r="D152" s="1"/>
      <c r="E152" s="3"/>
      <c r="F152" s="1"/>
      <c r="G152" s="141">
        <f>IF(Basic34567891011121314151617[[#This Row],[نوع الخدمة]]="مخالفات", 50,
IF(Basic34567891011121314151617[[#This Row],[نوع الخدمة]]="كاش ان",
    IF(F152&lt;=100, 18, IF(F152&lt;=250, 23, IF(F152&lt;=500, 35, IF(F152&lt;=1000, 40, F152*0.04)))),
IF(Basic34567891011121314151617[[#This Row],[نوع الخدمة]]="كاش اوت",
    IF(F152&lt;=100, 15, IF(F152&lt;=250, 20, IF(F152&lt;=500, 30, IF(F152&lt;=1000, 35, F152*0.035)))),
0)))</f>
        <v>0</v>
      </c>
      <c r="H152" s="159">
        <f>IF(I152="مخالفات",50,Basic34567891011121314151617[[#This Row],[قيمة الرسوم / العموله]]+Basic34567891011121314151617[[#This Row],[قيمة الشحنه]])</f>
        <v>0</v>
      </c>
      <c r="I152" s="90"/>
      <c r="J152" s="142" t="str">
        <f t="shared" si="2"/>
        <v>16.5.2026</v>
      </c>
      <c r="L152" s="153">
        <v>141</v>
      </c>
      <c r="M152" s="92"/>
    </row>
    <row r="153" spans="1:13" ht="21.6" x14ac:dyDescent="0.65">
      <c r="A153" s="195"/>
      <c r="B153" s="144">
        <v>150</v>
      </c>
      <c r="C153" s="2"/>
      <c r="D153" s="1"/>
      <c r="E153" s="3"/>
      <c r="F153" s="1"/>
      <c r="G153" s="141">
        <f>IF(Basic34567891011121314151617[[#This Row],[نوع الخدمة]]="مخالفات", 50,
IF(Basic34567891011121314151617[[#This Row],[نوع الخدمة]]="كاش ان",
    IF(F153&lt;=100, 18, IF(F153&lt;=250, 23, IF(F153&lt;=500, 35, IF(F153&lt;=1000, 40, F153*0.04)))),
IF(Basic34567891011121314151617[[#This Row],[نوع الخدمة]]="كاش اوت",
    IF(F153&lt;=100, 15, IF(F153&lt;=250, 20, IF(F153&lt;=500, 30, IF(F153&lt;=1000, 35, F153*0.035)))),
0)))</f>
        <v>0</v>
      </c>
      <c r="H153" s="159">
        <f>IF(I153="مخالفات",50,Basic34567891011121314151617[[#This Row],[قيمة الرسوم / العموله]]+Basic34567891011121314151617[[#This Row],[قيمة الشحنه]])</f>
        <v>0</v>
      </c>
      <c r="I153" s="90"/>
      <c r="J153" s="142" t="str">
        <f t="shared" si="2"/>
        <v>16.5.2026</v>
      </c>
      <c r="L153" s="153">
        <v>142</v>
      </c>
      <c r="M153" s="92"/>
    </row>
    <row r="154" spans="1:13" ht="21.6" x14ac:dyDescent="0.65">
      <c r="A154" s="195"/>
      <c r="B154" s="140">
        <v>151</v>
      </c>
      <c r="C154" s="2"/>
      <c r="D154" s="1"/>
      <c r="E154" s="3"/>
      <c r="F154" s="1"/>
      <c r="G154" s="141">
        <f>IF(Basic34567891011121314151617[[#This Row],[نوع الخدمة]]="مخالفات", 50,
IF(Basic34567891011121314151617[[#This Row],[نوع الخدمة]]="كاش ان",
    IF(F154&lt;=100, 18, IF(F154&lt;=250, 23, IF(F154&lt;=500, 35, IF(F154&lt;=1000, 40, F154*0.04)))),
IF(Basic34567891011121314151617[[#This Row],[نوع الخدمة]]="كاش اوت",
    IF(F154&lt;=100, 15, IF(F154&lt;=250, 20, IF(F154&lt;=500, 30, IF(F154&lt;=1000, 35, F154*0.035)))),
0)))</f>
        <v>0</v>
      </c>
      <c r="H154" s="159">
        <f>IF(I154="مخالفات",50,Basic34567891011121314151617[[#This Row],[قيمة الرسوم / العموله]]+Basic34567891011121314151617[[#This Row],[قيمة الشحنه]])</f>
        <v>0</v>
      </c>
      <c r="I154" s="90"/>
      <c r="J154" s="142" t="str">
        <f t="shared" si="2"/>
        <v>16.5.2026</v>
      </c>
      <c r="L154" s="153">
        <v>143</v>
      </c>
      <c r="M154" s="92"/>
    </row>
    <row r="155" spans="1:13" ht="21.6" x14ac:dyDescent="0.65">
      <c r="A155" s="195"/>
      <c r="B155" s="140">
        <v>152</v>
      </c>
      <c r="C155" s="2"/>
      <c r="D155" s="1"/>
      <c r="E155" s="3"/>
      <c r="F155" s="1"/>
      <c r="G155" s="141">
        <f>IF(Basic34567891011121314151617[[#This Row],[نوع الخدمة]]="مخالفات", 50,
IF(Basic34567891011121314151617[[#This Row],[نوع الخدمة]]="كاش ان",
    IF(F155&lt;=100, 18, IF(F155&lt;=250, 23, IF(F155&lt;=500, 35, IF(F155&lt;=1000, 40, F155*0.04)))),
IF(Basic34567891011121314151617[[#This Row],[نوع الخدمة]]="كاش اوت",
    IF(F155&lt;=100, 15, IF(F155&lt;=250, 20, IF(F155&lt;=500, 30, IF(F155&lt;=1000, 35, F155*0.035)))),
0)))</f>
        <v>0</v>
      </c>
      <c r="H155" s="159">
        <f>IF(I155="مخالفات",50,Basic34567891011121314151617[[#This Row],[قيمة الرسوم / العموله]]+Basic34567891011121314151617[[#This Row],[قيمة الشحنه]])</f>
        <v>0</v>
      </c>
      <c r="I155" s="90"/>
      <c r="J155" s="142" t="str">
        <f t="shared" si="2"/>
        <v>16.5.2026</v>
      </c>
      <c r="L155" s="153">
        <v>144</v>
      </c>
      <c r="M155" s="92"/>
    </row>
    <row r="156" spans="1:13" ht="21.6" x14ac:dyDescent="0.65">
      <c r="A156" s="195"/>
      <c r="B156" s="140">
        <v>153</v>
      </c>
      <c r="C156" s="2"/>
      <c r="D156" s="1"/>
      <c r="E156" s="3"/>
      <c r="F156" s="1"/>
      <c r="G156" s="141">
        <f>IF(Basic34567891011121314151617[[#This Row],[نوع الخدمة]]="مخالفات", 50,
IF(Basic34567891011121314151617[[#This Row],[نوع الخدمة]]="كاش ان",
    IF(F156&lt;=100, 18, IF(F156&lt;=250, 23, IF(F156&lt;=500, 35, IF(F156&lt;=1000, 40, F156*0.04)))),
IF(Basic34567891011121314151617[[#This Row],[نوع الخدمة]]="كاش اوت",
    IF(F156&lt;=100, 15, IF(F156&lt;=250, 20, IF(F156&lt;=500, 30, IF(F156&lt;=1000, 35, F156*0.035)))),
0)))</f>
        <v>0</v>
      </c>
      <c r="H156" s="159">
        <f>IF(I156="مخالفات",50,Basic34567891011121314151617[[#This Row],[قيمة الرسوم / العموله]]+Basic34567891011121314151617[[#This Row],[قيمة الشحنه]])</f>
        <v>0</v>
      </c>
      <c r="I156" s="90"/>
      <c r="J156" s="142" t="str">
        <f t="shared" si="2"/>
        <v>16.5.2026</v>
      </c>
      <c r="L156" s="153">
        <v>145</v>
      </c>
      <c r="M156" s="92"/>
    </row>
    <row r="157" spans="1:13" ht="21.6" x14ac:dyDescent="0.65">
      <c r="A157" s="195"/>
      <c r="B157" s="144">
        <v>154</v>
      </c>
      <c r="C157" s="2"/>
      <c r="D157" s="1"/>
      <c r="E157" s="3"/>
      <c r="F157" s="1"/>
      <c r="G157" s="141">
        <f>IF(Basic34567891011121314151617[[#This Row],[نوع الخدمة]]="مخالفات", 50,
IF(Basic34567891011121314151617[[#This Row],[نوع الخدمة]]="كاش ان",
    IF(F157&lt;=100, 18, IF(F157&lt;=250, 23, IF(F157&lt;=500, 35, IF(F157&lt;=1000, 40, F157*0.04)))),
IF(Basic34567891011121314151617[[#This Row],[نوع الخدمة]]="كاش اوت",
    IF(F157&lt;=100, 15, IF(F157&lt;=250, 20, IF(F157&lt;=500, 30, IF(F157&lt;=1000, 35, F157*0.035)))),
0)))</f>
        <v>0</v>
      </c>
      <c r="H157" s="159">
        <f>IF(I157="مخالفات",50,Basic34567891011121314151617[[#This Row],[قيمة الرسوم / العموله]]+Basic34567891011121314151617[[#This Row],[قيمة الشحنه]])</f>
        <v>0</v>
      </c>
      <c r="I157" s="90"/>
      <c r="J157" s="142" t="str">
        <f t="shared" si="2"/>
        <v>16.5.2026</v>
      </c>
      <c r="L157" s="153">
        <v>146</v>
      </c>
      <c r="M157" s="92"/>
    </row>
    <row r="158" spans="1:13" ht="21.6" x14ac:dyDescent="0.65">
      <c r="A158" s="195"/>
      <c r="B158" s="140">
        <v>155</v>
      </c>
      <c r="C158" s="2"/>
      <c r="D158" s="1"/>
      <c r="E158" s="3"/>
      <c r="F158" s="1"/>
      <c r="G158" s="141">
        <f>IF(Basic34567891011121314151617[[#This Row],[نوع الخدمة]]="مخالفات", 50,
IF(Basic34567891011121314151617[[#This Row],[نوع الخدمة]]="كاش ان",
    IF(F158&lt;=100, 18, IF(F158&lt;=250, 23, IF(F158&lt;=500, 35, IF(F158&lt;=1000, 40, F158*0.04)))),
IF(Basic34567891011121314151617[[#This Row],[نوع الخدمة]]="كاش اوت",
    IF(F158&lt;=100, 15, IF(F158&lt;=250, 20, IF(F158&lt;=500, 30, IF(F158&lt;=1000, 35, F158*0.035)))),
0)))</f>
        <v>0</v>
      </c>
      <c r="H158" s="159">
        <f>IF(I158="مخالفات",50,Basic34567891011121314151617[[#This Row],[قيمة الرسوم / العموله]]+Basic34567891011121314151617[[#This Row],[قيمة الشحنه]])</f>
        <v>0</v>
      </c>
      <c r="I158" s="90"/>
      <c r="J158" s="142" t="str">
        <f t="shared" si="2"/>
        <v>16.5.2026</v>
      </c>
      <c r="L158" s="153">
        <v>147</v>
      </c>
      <c r="M158" s="92"/>
    </row>
    <row r="159" spans="1:13" ht="21.6" x14ac:dyDescent="0.65">
      <c r="A159" s="195"/>
      <c r="B159" s="140">
        <v>156</v>
      </c>
      <c r="C159" s="2"/>
      <c r="D159" s="1"/>
      <c r="E159" s="3"/>
      <c r="F159" s="1"/>
      <c r="G159" s="141">
        <f>IF(Basic34567891011121314151617[[#This Row],[نوع الخدمة]]="مخالفات", 50,
IF(Basic34567891011121314151617[[#This Row],[نوع الخدمة]]="كاش ان",
    IF(F159&lt;=100, 18, IF(F159&lt;=250, 23, IF(F159&lt;=500, 35, IF(F159&lt;=1000, 40, F159*0.04)))),
IF(Basic34567891011121314151617[[#This Row],[نوع الخدمة]]="كاش اوت",
    IF(F159&lt;=100, 15, IF(F159&lt;=250, 20, IF(F159&lt;=500, 30, IF(F159&lt;=1000, 35, F159*0.035)))),
0)))</f>
        <v>0</v>
      </c>
      <c r="H159" s="159">
        <f>IF(I159="مخالفات",50,Basic34567891011121314151617[[#This Row],[قيمة الرسوم / العموله]]+Basic34567891011121314151617[[#This Row],[قيمة الشحنه]])</f>
        <v>0</v>
      </c>
      <c r="I159" s="90"/>
      <c r="J159" s="142" t="str">
        <f t="shared" si="2"/>
        <v>16.5.2026</v>
      </c>
      <c r="L159" s="153">
        <v>148</v>
      </c>
      <c r="M159" s="92"/>
    </row>
    <row r="160" spans="1:13" ht="21.6" x14ac:dyDescent="0.65">
      <c r="A160" s="195"/>
      <c r="B160" s="140">
        <v>157</v>
      </c>
      <c r="C160" s="2"/>
      <c r="D160" s="1"/>
      <c r="E160" s="3"/>
      <c r="F160" s="1"/>
      <c r="G160" s="141">
        <f>IF(Basic34567891011121314151617[[#This Row],[نوع الخدمة]]="مخالفات", 50,
IF(Basic34567891011121314151617[[#This Row],[نوع الخدمة]]="كاش ان",
    IF(F160&lt;=100, 18, IF(F160&lt;=250, 23, IF(F160&lt;=500, 35, IF(F160&lt;=1000, 40, F160*0.04)))),
IF(Basic34567891011121314151617[[#This Row],[نوع الخدمة]]="كاش اوت",
    IF(F160&lt;=100, 15, IF(F160&lt;=250, 20, IF(F160&lt;=500, 30, IF(F160&lt;=1000, 35, F160*0.035)))),
0)))</f>
        <v>0</v>
      </c>
      <c r="H160" s="159">
        <f>IF(I160="مخالفات",50,Basic34567891011121314151617[[#This Row],[قيمة الرسوم / العموله]]+Basic34567891011121314151617[[#This Row],[قيمة الشحنه]])</f>
        <v>0</v>
      </c>
      <c r="I160" s="90"/>
      <c r="J160" s="142" t="str">
        <f t="shared" si="2"/>
        <v>16.5.2026</v>
      </c>
      <c r="L160" s="153">
        <v>149</v>
      </c>
      <c r="M160" s="92"/>
    </row>
    <row r="161" spans="1:13" ht="21.6" x14ac:dyDescent="0.65">
      <c r="A161" s="195"/>
      <c r="B161" s="144">
        <v>158</v>
      </c>
      <c r="C161" s="2"/>
      <c r="D161" s="1"/>
      <c r="E161" s="3"/>
      <c r="F161" s="1"/>
      <c r="G161" s="141">
        <f>IF(Basic34567891011121314151617[[#This Row],[نوع الخدمة]]="مخالفات", 50,
IF(Basic34567891011121314151617[[#This Row],[نوع الخدمة]]="كاش ان",
    IF(F161&lt;=100, 18, IF(F161&lt;=250, 23, IF(F161&lt;=500, 35, IF(F161&lt;=1000, 40, F161*0.04)))),
IF(Basic34567891011121314151617[[#This Row],[نوع الخدمة]]="كاش اوت",
    IF(F161&lt;=100, 15, IF(F161&lt;=250, 20, IF(F161&lt;=500, 30, IF(F161&lt;=1000, 35, F161*0.035)))),
0)))</f>
        <v>0</v>
      </c>
      <c r="H161" s="159">
        <f>IF(I161="مخالفات",50,Basic34567891011121314151617[[#This Row],[قيمة الرسوم / العموله]]+Basic34567891011121314151617[[#This Row],[قيمة الشحنه]])</f>
        <v>0</v>
      </c>
      <c r="I161" s="90"/>
      <c r="J161" s="142" t="str">
        <f t="shared" si="2"/>
        <v>16.5.2026</v>
      </c>
      <c r="L161" s="153">
        <v>150</v>
      </c>
      <c r="M161" s="92"/>
    </row>
    <row r="162" spans="1:13" ht="21.6" x14ac:dyDescent="0.65">
      <c r="A162" s="195"/>
      <c r="B162" s="140">
        <v>159</v>
      </c>
      <c r="C162" s="2"/>
      <c r="D162" s="1"/>
      <c r="E162" s="3"/>
      <c r="F162" s="1"/>
      <c r="G162" s="141">
        <f>IF(Basic34567891011121314151617[[#This Row],[نوع الخدمة]]="مخالفات", 50,
IF(Basic34567891011121314151617[[#This Row],[نوع الخدمة]]="كاش ان",
    IF(F162&lt;=100, 18, IF(F162&lt;=250, 23, IF(F162&lt;=500, 35, IF(F162&lt;=1000, 40, F162*0.04)))),
IF(Basic34567891011121314151617[[#This Row],[نوع الخدمة]]="كاش اوت",
    IF(F162&lt;=100, 15, IF(F162&lt;=250, 20, IF(F162&lt;=500, 30, IF(F162&lt;=1000, 35, F162*0.035)))),
0)))</f>
        <v>0</v>
      </c>
      <c r="H162" s="159">
        <f>IF(I162="مخالفات",50,Basic34567891011121314151617[[#This Row],[قيمة الرسوم / العموله]]+Basic34567891011121314151617[[#This Row],[قيمة الشحنه]])</f>
        <v>0</v>
      </c>
      <c r="I162" s="90"/>
      <c r="J162" s="142" t="str">
        <f t="shared" si="2"/>
        <v>16.5.2026</v>
      </c>
      <c r="L162" s="153">
        <v>151</v>
      </c>
      <c r="M162" s="92"/>
    </row>
    <row r="163" spans="1:13" ht="21.6" x14ac:dyDescent="0.65">
      <c r="A163" s="195"/>
      <c r="B163" s="140">
        <v>160</v>
      </c>
      <c r="C163" s="2"/>
      <c r="D163" s="1"/>
      <c r="E163" s="3"/>
      <c r="F163" s="1"/>
      <c r="G163" s="141">
        <f>IF(Basic34567891011121314151617[[#This Row],[نوع الخدمة]]="مخالفات", 50,
IF(Basic34567891011121314151617[[#This Row],[نوع الخدمة]]="كاش ان",
    IF(F163&lt;=100, 18, IF(F163&lt;=250, 23, IF(F163&lt;=500, 35, IF(F163&lt;=1000, 40, F163*0.04)))),
IF(Basic34567891011121314151617[[#This Row],[نوع الخدمة]]="كاش اوت",
    IF(F163&lt;=100, 15, IF(F163&lt;=250, 20, IF(F163&lt;=500, 30, IF(F163&lt;=1000, 35, F163*0.035)))),
0)))</f>
        <v>0</v>
      </c>
      <c r="H163" s="159">
        <f>IF(I163="مخالفات",50,Basic34567891011121314151617[[#This Row],[قيمة الرسوم / العموله]]+Basic34567891011121314151617[[#This Row],[قيمة الشحنه]])</f>
        <v>0</v>
      </c>
      <c r="I163" s="90"/>
      <c r="J163" s="142" t="str">
        <f t="shared" si="2"/>
        <v>16.5.2026</v>
      </c>
      <c r="L163" s="153">
        <v>152</v>
      </c>
      <c r="M163" s="92"/>
    </row>
    <row r="164" spans="1:13" ht="21.6" x14ac:dyDescent="0.65">
      <c r="A164" s="195"/>
      <c r="B164" s="140">
        <v>161</v>
      </c>
      <c r="C164" s="2"/>
      <c r="D164" s="1"/>
      <c r="E164" s="3"/>
      <c r="F164" s="1"/>
      <c r="G164" s="141">
        <f>IF(Basic34567891011121314151617[[#This Row],[نوع الخدمة]]="مخالفات", 50,
IF(Basic34567891011121314151617[[#This Row],[نوع الخدمة]]="كاش ان",
    IF(F164&lt;=100, 18, IF(F164&lt;=250, 23, IF(F164&lt;=500, 35, IF(F164&lt;=1000, 40, F164*0.04)))),
IF(Basic34567891011121314151617[[#This Row],[نوع الخدمة]]="كاش اوت",
    IF(F164&lt;=100, 15, IF(F164&lt;=250, 20, IF(F164&lt;=500, 30, IF(F164&lt;=1000, 35, F164*0.035)))),
0)))</f>
        <v>0</v>
      </c>
      <c r="H164" s="159">
        <f>IF(I164="مخالفات",50,Basic34567891011121314151617[[#This Row],[قيمة الرسوم / العموله]]+Basic34567891011121314151617[[#This Row],[قيمة الشحنه]])</f>
        <v>0</v>
      </c>
      <c r="I164" s="90"/>
      <c r="J164" s="142" t="str">
        <f t="shared" si="2"/>
        <v>16.5.2026</v>
      </c>
      <c r="L164" s="153">
        <v>153</v>
      </c>
      <c r="M164" s="92"/>
    </row>
    <row r="165" spans="1:13" ht="21.6" x14ac:dyDescent="0.65">
      <c r="A165" s="195"/>
      <c r="B165" s="144">
        <v>162</v>
      </c>
      <c r="C165" s="2"/>
      <c r="D165" s="1"/>
      <c r="E165" s="3"/>
      <c r="F165" s="1"/>
      <c r="G165" s="141">
        <f>IF(Basic34567891011121314151617[[#This Row],[نوع الخدمة]]="مخالفات", 50,
IF(Basic34567891011121314151617[[#This Row],[نوع الخدمة]]="كاش ان",
    IF(F165&lt;=100, 18, IF(F165&lt;=250, 23, IF(F165&lt;=500, 35, IF(F165&lt;=1000, 40, F165*0.04)))),
IF(Basic34567891011121314151617[[#This Row],[نوع الخدمة]]="كاش اوت",
    IF(F165&lt;=100, 15, IF(F165&lt;=250, 20, IF(F165&lt;=500, 30, IF(F165&lt;=1000, 35, F165*0.035)))),
0)))</f>
        <v>0</v>
      </c>
      <c r="H165" s="159">
        <f>IF(I165="مخالفات",50,Basic34567891011121314151617[[#This Row],[قيمة الرسوم / العموله]]+Basic34567891011121314151617[[#This Row],[قيمة الشحنه]])</f>
        <v>0</v>
      </c>
      <c r="I165" s="90"/>
      <c r="J165" s="142" t="str">
        <f t="shared" si="2"/>
        <v>16.5.2026</v>
      </c>
      <c r="L165" s="153">
        <v>154</v>
      </c>
      <c r="M165" s="92"/>
    </row>
    <row r="166" spans="1:13" ht="21.6" x14ac:dyDescent="0.65">
      <c r="A166" s="195"/>
      <c r="B166" s="140">
        <v>163</v>
      </c>
      <c r="C166" s="2"/>
      <c r="D166" s="1"/>
      <c r="E166" s="3"/>
      <c r="F166" s="1"/>
      <c r="G166" s="141">
        <f>IF(Basic34567891011121314151617[[#This Row],[نوع الخدمة]]="مخالفات", 50,
IF(Basic34567891011121314151617[[#This Row],[نوع الخدمة]]="كاش ان",
    IF(F166&lt;=100, 18, IF(F166&lt;=250, 23, IF(F166&lt;=500, 35, IF(F166&lt;=1000, 40, F166*0.04)))),
IF(Basic34567891011121314151617[[#This Row],[نوع الخدمة]]="كاش اوت",
    IF(F166&lt;=100, 15, IF(F166&lt;=250, 20, IF(F166&lt;=500, 30, IF(F166&lt;=1000, 35, F166*0.035)))),
0)))</f>
        <v>0</v>
      </c>
      <c r="H166" s="159">
        <f>IF(I166="مخالفات",50,Basic34567891011121314151617[[#This Row],[قيمة الرسوم / العموله]]+Basic34567891011121314151617[[#This Row],[قيمة الشحنه]])</f>
        <v>0</v>
      </c>
      <c r="I166" s="90"/>
      <c r="J166" s="142" t="str">
        <f t="shared" si="2"/>
        <v>16.5.2026</v>
      </c>
      <c r="L166" s="153">
        <v>155</v>
      </c>
      <c r="M166" s="92"/>
    </row>
    <row r="167" spans="1:13" ht="21.6" x14ac:dyDescent="0.65">
      <c r="A167" s="195"/>
      <c r="B167" s="140">
        <v>164</v>
      </c>
      <c r="C167" s="2"/>
      <c r="D167" s="1"/>
      <c r="E167" s="3"/>
      <c r="F167" s="1"/>
      <c r="G167" s="141">
        <f>IF(Basic34567891011121314151617[[#This Row],[نوع الخدمة]]="مخالفات", 50,
IF(Basic34567891011121314151617[[#This Row],[نوع الخدمة]]="كاش ان",
    IF(F167&lt;=100, 18, IF(F167&lt;=250, 23, IF(F167&lt;=500, 35, IF(F167&lt;=1000, 40, F167*0.04)))),
IF(Basic34567891011121314151617[[#This Row],[نوع الخدمة]]="كاش اوت",
    IF(F167&lt;=100, 15, IF(F167&lt;=250, 20, IF(F167&lt;=500, 30, IF(F167&lt;=1000, 35, F167*0.035)))),
0)))</f>
        <v>0</v>
      </c>
      <c r="H167" s="159">
        <f>IF(I167="مخالفات",50,Basic34567891011121314151617[[#This Row],[قيمة الرسوم / العموله]]+Basic34567891011121314151617[[#This Row],[قيمة الشحنه]])</f>
        <v>0</v>
      </c>
      <c r="I167" s="90"/>
      <c r="J167" s="142" t="str">
        <f t="shared" si="2"/>
        <v>16.5.2026</v>
      </c>
      <c r="L167" s="153">
        <v>156</v>
      </c>
      <c r="M167" s="92"/>
    </row>
    <row r="168" spans="1:13" ht="21.6" x14ac:dyDescent="0.65">
      <c r="A168" s="195"/>
      <c r="B168" s="140">
        <v>165</v>
      </c>
      <c r="C168" s="2"/>
      <c r="D168" s="1"/>
      <c r="E168" s="3"/>
      <c r="F168" s="1"/>
      <c r="G168" s="141">
        <f>IF(Basic34567891011121314151617[[#This Row],[نوع الخدمة]]="مخالفات", 50,
IF(Basic34567891011121314151617[[#This Row],[نوع الخدمة]]="كاش ان",
    IF(F168&lt;=100, 18, IF(F168&lt;=250, 23, IF(F168&lt;=500, 35, IF(F168&lt;=1000, 40, F168*0.04)))),
IF(Basic34567891011121314151617[[#This Row],[نوع الخدمة]]="كاش اوت",
    IF(F168&lt;=100, 15, IF(F168&lt;=250, 20, IF(F168&lt;=500, 30, IF(F168&lt;=1000, 35, F168*0.035)))),
0)))</f>
        <v>0</v>
      </c>
      <c r="H168" s="159">
        <f>IF(I168="مخالفات",50,Basic34567891011121314151617[[#This Row],[قيمة الرسوم / العموله]]+Basic34567891011121314151617[[#This Row],[قيمة الشحنه]])</f>
        <v>0</v>
      </c>
      <c r="I168" s="90"/>
      <c r="J168" s="142" t="str">
        <f t="shared" si="2"/>
        <v>16.5.2026</v>
      </c>
      <c r="L168" s="153">
        <v>157</v>
      </c>
      <c r="M168" s="92"/>
    </row>
    <row r="169" spans="1:13" ht="21.6" x14ac:dyDescent="0.65">
      <c r="A169" s="195"/>
      <c r="B169" s="144">
        <v>166</v>
      </c>
      <c r="C169" s="2"/>
      <c r="D169" s="1"/>
      <c r="E169" s="3"/>
      <c r="F169" s="1"/>
      <c r="G169" s="141">
        <f>IF(Basic34567891011121314151617[[#This Row],[نوع الخدمة]]="مخالفات", 50,
IF(Basic34567891011121314151617[[#This Row],[نوع الخدمة]]="كاش ان",
    IF(F169&lt;=100, 18, IF(F169&lt;=250, 23, IF(F169&lt;=500, 35, IF(F169&lt;=1000, 40, F169*0.04)))),
IF(Basic34567891011121314151617[[#This Row],[نوع الخدمة]]="كاش اوت",
    IF(F169&lt;=100, 15, IF(F169&lt;=250, 20, IF(F169&lt;=500, 30, IF(F169&lt;=1000, 35, F169*0.035)))),
0)))</f>
        <v>0</v>
      </c>
      <c r="H169" s="159">
        <f>IF(I169="مخالفات",50,Basic34567891011121314151617[[#This Row],[قيمة الرسوم / العموله]]+Basic34567891011121314151617[[#This Row],[قيمة الشحنه]])</f>
        <v>0</v>
      </c>
      <c r="I169" s="90"/>
      <c r="J169" s="142" t="str">
        <f t="shared" si="2"/>
        <v>16.5.2026</v>
      </c>
      <c r="L169" s="153">
        <v>158</v>
      </c>
      <c r="M169" s="92"/>
    </row>
    <row r="170" spans="1:13" ht="21.6" x14ac:dyDescent="0.65">
      <c r="A170" s="195"/>
      <c r="B170" s="140">
        <v>167</v>
      </c>
      <c r="C170" s="2"/>
      <c r="D170" s="1"/>
      <c r="E170" s="3"/>
      <c r="F170" s="1"/>
      <c r="G170" s="141">
        <f>IF(Basic34567891011121314151617[[#This Row],[نوع الخدمة]]="مخالفات", 50,
IF(Basic34567891011121314151617[[#This Row],[نوع الخدمة]]="كاش ان",
    IF(F170&lt;=100, 18, IF(F170&lt;=250, 23, IF(F170&lt;=500, 35, IF(F170&lt;=1000, 40, F170*0.04)))),
IF(Basic34567891011121314151617[[#This Row],[نوع الخدمة]]="كاش اوت",
    IF(F170&lt;=100, 15, IF(F170&lt;=250, 20, IF(F170&lt;=500, 30, IF(F170&lt;=1000, 35, F170*0.035)))),
0)))</f>
        <v>0</v>
      </c>
      <c r="H170" s="159">
        <f>IF(I170="مخالفات",50,Basic34567891011121314151617[[#This Row],[قيمة الرسوم / العموله]]+Basic34567891011121314151617[[#This Row],[قيمة الشحنه]])</f>
        <v>0</v>
      </c>
      <c r="I170" s="90"/>
      <c r="J170" s="142" t="str">
        <f t="shared" si="2"/>
        <v>16.5.2026</v>
      </c>
      <c r="L170" s="153">
        <v>159</v>
      </c>
      <c r="M170" s="92"/>
    </row>
    <row r="171" spans="1:13" ht="21.6" x14ac:dyDescent="0.65">
      <c r="A171" s="195"/>
      <c r="B171" s="140">
        <v>168</v>
      </c>
      <c r="C171" s="2"/>
      <c r="D171" s="1"/>
      <c r="E171" s="3"/>
      <c r="F171" s="1"/>
      <c r="G171" s="141">
        <f>IF(Basic34567891011121314151617[[#This Row],[نوع الخدمة]]="مخالفات", 50,
IF(Basic34567891011121314151617[[#This Row],[نوع الخدمة]]="كاش ان",
    IF(F171&lt;=100, 18, IF(F171&lt;=250, 23, IF(F171&lt;=500, 35, IF(F171&lt;=1000, 40, F171*0.04)))),
IF(Basic34567891011121314151617[[#This Row],[نوع الخدمة]]="كاش اوت",
    IF(F171&lt;=100, 15, IF(F171&lt;=250, 20, IF(F171&lt;=500, 30, IF(F171&lt;=1000, 35, F171*0.035)))),
0)))</f>
        <v>0</v>
      </c>
      <c r="H171" s="159">
        <f>IF(I171="مخالفات",50,Basic34567891011121314151617[[#This Row],[قيمة الرسوم / العموله]]+Basic34567891011121314151617[[#This Row],[قيمة الشحنه]])</f>
        <v>0</v>
      </c>
      <c r="I171" s="90"/>
      <c r="J171" s="142" t="str">
        <f t="shared" si="2"/>
        <v>16.5.2026</v>
      </c>
      <c r="L171" s="153">
        <v>160</v>
      </c>
      <c r="M171" s="92"/>
    </row>
    <row r="172" spans="1:13" ht="21.6" x14ac:dyDescent="0.65">
      <c r="A172" s="195"/>
      <c r="B172" s="140">
        <v>169</v>
      </c>
      <c r="C172" s="2"/>
      <c r="D172" s="1"/>
      <c r="E172" s="3"/>
      <c r="F172" s="1"/>
      <c r="G172" s="141">
        <f>IF(Basic34567891011121314151617[[#This Row],[نوع الخدمة]]="مخالفات", 50,
IF(Basic34567891011121314151617[[#This Row],[نوع الخدمة]]="كاش ان",
    IF(F172&lt;=100, 18, IF(F172&lt;=250, 23, IF(F172&lt;=500, 35, IF(F172&lt;=1000, 40, F172*0.04)))),
IF(Basic34567891011121314151617[[#This Row],[نوع الخدمة]]="كاش اوت",
    IF(F172&lt;=100, 15, IF(F172&lt;=250, 20, IF(F172&lt;=500, 30, IF(F172&lt;=1000, 35, F172*0.035)))),
0)))</f>
        <v>0</v>
      </c>
      <c r="H172" s="159">
        <f>IF(I172="مخالفات",50,Basic34567891011121314151617[[#This Row],[قيمة الرسوم / العموله]]+Basic34567891011121314151617[[#This Row],[قيمة الشحنه]])</f>
        <v>0</v>
      </c>
      <c r="I172" s="90"/>
      <c r="J172" s="142" t="str">
        <f t="shared" si="2"/>
        <v>16.5.2026</v>
      </c>
      <c r="L172" s="153">
        <v>161</v>
      </c>
      <c r="M172" s="92"/>
    </row>
    <row r="173" spans="1:13" ht="21.6" x14ac:dyDescent="0.65">
      <c r="A173" s="195"/>
      <c r="B173" s="144">
        <v>170</v>
      </c>
      <c r="C173" s="2"/>
      <c r="D173" s="1"/>
      <c r="E173" s="3"/>
      <c r="F173" s="1"/>
      <c r="G173" s="141">
        <f>IF(Basic34567891011121314151617[[#This Row],[نوع الخدمة]]="مخالفات", 50,
IF(Basic34567891011121314151617[[#This Row],[نوع الخدمة]]="كاش ان",
    IF(F173&lt;=100, 18, IF(F173&lt;=250, 23, IF(F173&lt;=500, 35, IF(F173&lt;=1000, 40, F173*0.04)))),
IF(Basic34567891011121314151617[[#This Row],[نوع الخدمة]]="كاش اوت",
    IF(F173&lt;=100, 15, IF(F173&lt;=250, 20, IF(F173&lt;=500, 30, IF(F173&lt;=1000, 35, F173*0.035)))),
0)))</f>
        <v>0</v>
      </c>
      <c r="H173" s="159">
        <f>IF(I173="مخالفات",50,Basic34567891011121314151617[[#This Row],[قيمة الرسوم / العموله]]+Basic34567891011121314151617[[#This Row],[قيمة الشحنه]])</f>
        <v>0</v>
      </c>
      <c r="I173" s="90"/>
      <c r="J173" s="142" t="str">
        <f t="shared" si="2"/>
        <v>16.5.2026</v>
      </c>
      <c r="L173" s="153">
        <v>162</v>
      </c>
      <c r="M173" s="92"/>
    </row>
    <row r="174" spans="1:13" ht="21.6" x14ac:dyDescent="0.65">
      <c r="A174" s="195"/>
      <c r="B174" s="140">
        <v>171</v>
      </c>
      <c r="C174" s="2"/>
      <c r="D174" s="1"/>
      <c r="E174" s="3"/>
      <c r="F174" s="1"/>
      <c r="G174" s="141">
        <f>IF(Basic34567891011121314151617[[#This Row],[نوع الخدمة]]="مخالفات", 50,
IF(Basic34567891011121314151617[[#This Row],[نوع الخدمة]]="كاش ان",
    IF(F174&lt;=100, 18, IF(F174&lt;=250, 23, IF(F174&lt;=500, 35, IF(F174&lt;=1000, 40, F174*0.04)))),
IF(Basic34567891011121314151617[[#This Row],[نوع الخدمة]]="كاش اوت",
    IF(F174&lt;=100, 15, IF(F174&lt;=250, 20, IF(F174&lt;=500, 30, IF(F174&lt;=1000, 35, F174*0.035)))),
0)))</f>
        <v>0</v>
      </c>
      <c r="H174" s="159">
        <f>IF(I174="مخالفات",50,Basic34567891011121314151617[[#This Row],[قيمة الرسوم / العموله]]+Basic34567891011121314151617[[#This Row],[قيمة الشحنه]])</f>
        <v>0</v>
      </c>
      <c r="I174" s="90"/>
      <c r="J174" s="142" t="str">
        <f t="shared" si="2"/>
        <v>16.5.2026</v>
      </c>
      <c r="L174" s="153">
        <v>163</v>
      </c>
      <c r="M174" s="92"/>
    </row>
    <row r="175" spans="1:13" ht="21.6" x14ac:dyDescent="0.65">
      <c r="A175" s="195"/>
      <c r="B175" s="140">
        <v>172</v>
      </c>
      <c r="C175" s="2"/>
      <c r="D175" s="1"/>
      <c r="E175" s="3"/>
      <c r="F175" s="1"/>
      <c r="G175" s="141">
        <f>IF(Basic34567891011121314151617[[#This Row],[نوع الخدمة]]="مخالفات", 50,
IF(Basic34567891011121314151617[[#This Row],[نوع الخدمة]]="كاش ان",
    IF(F175&lt;=100, 18, IF(F175&lt;=250, 23, IF(F175&lt;=500, 35, IF(F175&lt;=1000, 40, F175*0.04)))),
IF(Basic34567891011121314151617[[#This Row],[نوع الخدمة]]="كاش اوت",
    IF(F175&lt;=100, 15, IF(F175&lt;=250, 20, IF(F175&lt;=500, 30, IF(F175&lt;=1000, 35, F175*0.035)))),
0)))</f>
        <v>0</v>
      </c>
      <c r="H175" s="159">
        <f>IF(I175="مخالفات",50,Basic34567891011121314151617[[#This Row],[قيمة الرسوم / العموله]]+Basic34567891011121314151617[[#This Row],[قيمة الشحنه]])</f>
        <v>0</v>
      </c>
      <c r="I175" s="90"/>
      <c r="J175" s="142" t="str">
        <f t="shared" si="2"/>
        <v>16.5.2026</v>
      </c>
      <c r="L175" s="153">
        <v>164</v>
      </c>
      <c r="M175" s="92"/>
    </row>
    <row r="176" spans="1:13" ht="21.6" x14ac:dyDescent="0.65">
      <c r="A176" s="195"/>
      <c r="B176" s="140">
        <v>173</v>
      </c>
      <c r="C176" s="2"/>
      <c r="D176" s="1"/>
      <c r="E176" s="3"/>
      <c r="F176" s="1"/>
      <c r="G176" s="141">
        <f>IF(Basic34567891011121314151617[[#This Row],[نوع الخدمة]]="مخالفات", 50,
IF(Basic34567891011121314151617[[#This Row],[نوع الخدمة]]="كاش ان",
    IF(F176&lt;=100, 18, IF(F176&lt;=250, 23, IF(F176&lt;=500, 35, IF(F176&lt;=1000, 40, F176*0.04)))),
IF(Basic34567891011121314151617[[#This Row],[نوع الخدمة]]="كاش اوت",
    IF(F176&lt;=100, 15, IF(F176&lt;=250, 20, IF(F176&lt;=500, 30, IF(F176&lt;=1000, 35, F176*0.035)))),
0)))</f>
        <v>0</v>
      </c>
      <c r="H176" s="159">
        <f>IF(I176="مخالفات",50,Basic34567891011121314151617[[#This Row],[قيمة الرسوم / العموله]]+Basic34567891011121314151617[[#This Row],[قيمة الشحنه]])</f>
        <v>0</v>
      </c>
      <c r="I176" s="90"/>
      <c r="J176" s="142" t="str">
        <f t="shared" si="2"/>
        <v>16.5.2026</v>
      </c>
      <c r="L176" s="153">
        <v>165</v>
      </c>
      <c r="M176" s="92"/>
    </row>
    <row r="177" spans="1:13" ht="21.6" x14ac:dyDescent="0.65">
      <c r="A177" s="195"/>
      <c r="B177" s="144">
        <v>174</v>
      </c>
      <c r="C177" s="2"/>
      <c r="D177" s="1"/>
      <c r="E177" s="3"/>
      <c r="F177" s="1"/>
      <c r="G177" s="141">
        <f>IF(Basic34567891011121314151617[[#This Row],[نوع الخدمة]]="مخالفات", 50,
IF(Basic34567891011121314151617[[#This Row],[نوع الخدمة]]="كاش ان",
    IF(F177&lt;=100, 18, IF(F177&lt;=250, 23, IF(F177&lt;=500, 35, IF(F177&lt;=1000, 40, F177*0.04)))),
IF(Basic34567891011121314151617[[#This Row],[نوع الخدمة]]="كاش اوت",
    IF(F177&lt;=100, 15, IF(F177&lt;=250, 20, IF(F177&lt;=500, 30, IF(F177&lt;=1000, 35, F177*0.035)))),
0)))</f>
        <v>0</v>
      </c>
      <c r="H177" s="159">
        <f>IF(I177="مخالفات",50,Basic34567891011121314151617[[#This Row],[قيمة الرسوم / العموله]]+Basic34567891011121314151617[[#This Row],[قيمة الشحنه]])</f>
        <v>0</v>
      </c>
      <c r="I177" s="90"/>
      <c r="J177" s="142" t="str">
        <f t="shared" si="2"/>
        <v>16.5.2026</v>
      </c>
      <c r="L177" s="153">
        <v>166</v>
      </c>
      <c r="M177" s="92"/>
    </row>
    <row r="178" spans="1:13" ht="21.6" x14ac:dyDescent="0.65">
      <c r="A178" s="195"/>
      <c r="B178" s="140">
        <v>175</v>
      </c>
      <c r="C178" s="2"/>
      <c r="D178" s="1"/>
      <c r="E178" s="3"/>
      <c r="F178" s="1"/>
      <c r="G178" s="141">
        <f>IF(Basic34567891011121314151617[[#This Row],[نوع الخدمة]]="مخالفات", 50,
IF(Basic34567891011121314151617[[#This Row],[نوع الخدمة]]="كاش ان",
    IF(F178&lt;=100, 18, IF(F178&lt;=250, 23, IF(F178&lt;=500, 35, IF(F178&lt;=1000, 40, F178*0.04)))),
IF(Basic34567891011121314151617[[#This Row],[نوع الخدمة]]="كاش اوت",
    IF(F178&lt;=100, 15, IF(F178&lt;=250, 20, IF(F178&lt;=500, 30, IF(F178&lt;=1000, 35, F178*0.035)))),
0)))</f>
        <v>0</v>
      </c>
      <c r="H178" s="159">
        <f>IF(I178="مخالفات",50,Basic34567891011121314151617[[#This Row],[قيمة الرسوم / العموله]]+Basic34567891011121314151617[[#This Row],[قيمة الشحنه]])</f>
        <v>0</v>
      </c>
      <c r="I178" s="90"/>
      <c r="J178" s="142" t="str">
        <f t="shared" si="2"/>
        <v>16.5.2026</v>
      </c>
      <c r="L178" s="153">
        <v>167</v>
      </c>
      <c r="M178" s="92"/>
    </row>
    <row r="179" spans="1:13" ht="21.6" x14ac:dyDescent="0.65">
      <c r="A179" s="195"/>
      <c r="B179" s="140">
        <v>176</v>
      </c>
      <c r="C179" s="2"/>
      <c r="D179" s="1"/>
      <c r="E179" s="3"/>
      <c r="F179" s="1"/>
      <c r="G179" s="141">
        <f>IF(Basic34567891011121314151617[[#This Row],[نوع الخدمة]]="مخالفات", 50,
IF(Basic34567891011121314151617[[#This Row],[نوع الخدمة]]="كاش ان",
    IF(F179&lt;=100, 18, IF(F179&lt;=250, 23, IF(F179&lt;=500, 35, IF(F179&lt;=1000, 40, F179*0.04)))),
IF(Basic34567891011121314151617[[#This Row],[نوع الخدمة]]="كاش اوت",
    IF(F179&lt;=100, 15, IF(F179&lt;=250, 20, IF(F179&lt;=500, 30, IF(F179&lt;=1000, 35, F179*0.035)))),
0)))</f>
        <v>0</v>
      </c>
      <c r="H179" s="159">
        <f>IF(I179="مخالفات",50,Basic34567891011121314151617[[#This Row],[قيمة الرسوم / العموله]]+Basic34567891011121314151617[[#This Row],[قيمة الشحنه]])</f>
        <v>0</v>
      </c>
      <c r="I179" s="90"/>
      <c r="J179" s="142" t="str">
        <f t="shared" si="2"/>
        <v>16.5.2026</v>
      </c>
      <c r="L179" s="153">
        <v>168</v>
      </c>
      <c r="M179" s="92"/>
    </row>
    <row r="180" spans="1:13" ht="21.6" x14ac:dyDescent="0.65">
      <c r="A180" s="195"/>
      <c r="B180" s="140">
        <v>177</v>
      </c>
      <c r="C180" s="2"/>
      <c r="D180" s="1"/>
      <c r="E180" s="3"/>
      <c r="F180" s="1"/>
      <c r="G180" s="141">
        <f>IF(Basic34567891011121314151617[[#This Row],[نوع الخدمة]]="مخالفات", 50,
IF(Basic34567891011121314151617[[#This Row],[نوع الخدمة]]="كاش ان",
    IF(F180&lt;=100, 18, IF(F180&lt;=250, 23, IF(F180&lt;=500, 35, IF(F180&lt;=1000, 40, F180*0.04)))),
IF(Basic34567891011121314151617[[#This Row],[نوع الخدمة]]="كاش اوت",
    IF(F180&lt;=100, 15, IF(F180&lt;=250, 20, IF(F180&lt;=500, 30, IF(F180&lt;=1000, 35, F180*0.035)))),
0)))</f>
        <v>0</v>
      </c>
      <c r="H180" s="159">
        <f>IF(I180="مخالفات",50,Basic34567891011121314151617[[#This Row],[قيمة الرسوم / العموله]]+Basic34567891011121314151617[[#This Row],[قيمة الشحنه]])</f>
        <v>0</v>
      </c>
      <c r="I180" s="90"/>
      <c r="J180" s="142" t="str">
        <f t="shared" si="2"/>
        <v>16.5.2026</v>
      </c>
      <c r="L180" s="153">
        <v>169</v>
      </c>
      <c r="M180" s="92"/>
    </row>
    <row r="181" spans="1:13" ht="21.6" x14ac:dyDescent="0.65">
      <c r="A181" s="195"/>
      <c r="B181" s="144">
        <v>178</v>
      </c>
      <c r="C181" s="2"/>
      <c r="D181" s="1"/>
      <c r="E181" s="3"/>
      <c r="F181" s="1"/>
      <c r="G181" s="141">
        <f>IF(Basic34567891011121314151617[[#This Row],[نوع الخدمة]]="مخالفات", 50,
IF(Basic34567891011121314151617[[#This Row],[نوع الخدمة]]="كاش ان",
    IF(F181&lt;=100, 18, IF(F181&lt;=250, 23, IF(F181&lt;=500, 35, IF(F181&lt;=1000, 40, F181*0.04)))),
IF(Basic34567891011121314151617[[#This Row],[نوع الخدمة]]="كاش اوت",
    IF(F181&lt;=100, 15, IF(F181&lt;=250, 20, IF(F181&lt;=500, 30, IF(F181&lt;=1000, 35, F181*0.035)))),
0)))</f>
        <v>0</v>
      </c>
      <c r="H181" s="159">
        <f>IF(I181="مخالفات",50,Basic34567891011121314151617[[#This Row],[قيمة الرسوم / العموله]]+Basic34567891011121314151617[[#This Row],[قيمة الشحنه]])</f>
        <v>0</v>
      </c>
      <c r="I181" s="90"/>
      <c r="J181" s="142" t="str">
        <f t="shared" si="2"/>
        <v>16.5.2026</v>
      </c>
      <c r="L181" s="153">
        <v>170</v>
      </c>
      <c r="M181" s="92"/>
    </row>
    <row r="182" spans="1:13" ht="21.6" x14ac:dyDescent="0.65">
      <c r="A182" s="195"/>
      <c r="B182" s="140">
        <v>179</v>
      </c>
      <c r="C182" s="2"/>
      <c r="D182" s="1"/>
      <c r="E182" s="3"/>
      <c r="F182" s="1"/>
      <c r="G182" s="141">
        <f>IF(Basic34567891011121314151617[[#This Row],[نوع الخدمة]]="مخالفات", 50,
IF(Basic34567891011121314151617[[#This Row],[نوع الخدمة]]="كاش ان",
    IF(F182&lt;=100, 18, IF(F182&lt;=250, 23, IF(F182&lt;=500, 35, IF(F182&lt;=1000, 40, F182*0.04)))),
IF(Basic34567891011121314151617[[#This Row],[نوع الخدمة]]="كاش اوت",
    IF(F182&lt;=100, 15, IF(F182&lt;=250, 20, IF(F182&lt;=500, 30, IF(F182&lt;=1000, 35, F182*0.035)))),
0)))</f>
        <v>0</v>
      </c>
      <c r="H182" s="159">
        <f>IF(I182="مخالفات",50,Basic34567891011121314151617[[#This Row],[قيمة الرسوم / العموله]]+Basic34567891011121314151617[[#This Row],[قيمة الشحنه]])</f>
        <v>0</v>
      </c>
      <c r="I182" s="90"/>
      <c r="J182" s="142" t="str">
        <f t="shared" si="2"/>
        <v>16.5.2026</v>
      </c>
      <c r="L182" s="153">
        <v>171</v>
      </c>
      <c r="M182" s="92"/>
    </row>
    <row r="183" spans="1:13" ht="21.6" x14ac:dyDescent="0.65">
      <c r="A183" s="195"/>
      <c r="B183" s="140">
        <v>180</v>
      </c>
      <c r="C183" s="2"/>
      <c r="D183" s="1"/>
      <c r="E183" s="3"/>
      <c r="F183" s="1"/>
      <c r="G183" s="141">
        <f>IF(Basic34567891011121314151617[[#This Row],[نوع الخدمة]]="مخالفات", 50,
IF(Basic34567891011121314151617[[#This Row],[نوع الخدمة]]="كاش ان",
    IF(F183&lt;=100, 18, IF(F183&lt;=250, 23, IF(F183&lt;=500, 35, IF(F183&lt;=1000, 40, F183*0.04)))),
IF(Basic34567891011121314151617[[#This Row],[نوع الخدمة]]="كاش اوت",
    IF(F183&lt;=100, 15, IF(F183&lt;=250, 20, IF(F183&lt;=500, 30, IF(F183&lt;=1000, 35, F183*0.035)))),
0)))</f>
        <v>0</v>
      </c>
      <c r="H183" s="159">
        <f>IF(I183="مخالفات",50,Basic34567891011121314151617[[#This Row],[قيمة الرسوم / العموله]]+Basic34567891011121314151617[[#This Row],[قيمة الشحنه]])</f>
        <v>0</v>
      </c>
      <c r="I183" s="90"/>
      <c r="J183" s="142" t="str">
        <f t="shared" si="2"/>
        <v>16.5.2026</v>
      </c>
      <c r="L183" s="153">
        <v>172</v>
      </c>
      <c r="M183" s="92"/>
    </row>
    <row r="184" spans="1:13" ht="21.6" x14ac:dyDescent="0.65">
      <c r="A184" s="195"/>
      <c r="B184" s="140">
        <v>181</v>
      </c>
      <c r="C184" s="2"/>
      <c r="D184" s="1"/>
      <c r="E184" s="3"/>
      <c r="F184" s="1"/>
      <c r="G184" s="141">
        <f>IF(Basic34567891011121314151617[[#This Row],[نوع الخدمة]]="مخالفات", 50,
IF(Basic34567891011121314151617[[#This Row],[نوع الخدمة]]="كاش ان",
    IF(F184&lt;=100, 18, IF(F184&lt;=250, 23, IF(F184&lt;=500, 35, IF(F184&lt;=1000, 40, F184*0.04)))),
IF(Basic34567891011121314151617[[#This Row],[نوع الخدمة]]="كاش اوت",
    IF(F184&lt;=100, 15, IF(F184&lt;=250, 20, IF(F184&lt;=500, 30, IF(F184&lt;=1000, 35, F184*0.035)))),
0)))</f>
        <v>0</v>
      </c>
      <c r="H184" s="159">
        <f>IF(I184="مخالفات",50,Basic34567891011121314151617[[#This Row],[قيمة الرسوم / العموله]]+Basic34567891011121314151617[[#This Row],[قيمة الشحنه]])</f>
        <v>0</v>
      </c>
      <c r="I184" s="90"/>
      <c r="J184" s="142" t="str">
        <f t="shared" si="2"/>
        <v>16.5.2026</v>
      </c>
      <c r="L184" s="153">
        <v>173</v>
      </c>
      <c r="M184" s="92"/>
    </row>
    <row r="185" spans="1:13" ht="21.6" x14ac:dyDescent="0.65">
      <c r="A185" s="195"/>
      <c r="B185" s="144">
        <v>182</v>
      </c>
      <c r="C185" s="2"/>
      <c r="D185" s="1"/>
      <c r="E185" s="3"/>
      <c r="F185" s="1"/>
      <c r="G185" s="141">
        <f>IF(Basic34567891011121314151617[[#This Row],[نوع الخدمة]]="مخالفات", 50,
IF(Basic34567891011121314151617[[#This Row],[نوع الخدمة]]="كاش ان",
    IF(F185&lt;=100, 18, IF(F185&lt;=250, 23, IF(F185&lt;=500, 35, IF(F185&lt;=1000, 40, F185*0.04)))),
IF(Basic34567891011121314151617[[#This Row],[نوع الخدمة]]="كاش اوت",
    IF(F185&lt;=100, 15, IF(F185&lt;=250, 20, IF(F185&lt;=500, 30, IF(F185&lt;=1000, 35, F185*0.035)))),
0)))</f>
        <v>0</v>
      </c>
      <c r="H185" s="159">
        <f>IF(I185="مخالفات",50,Basic34567891011121314151617[[#This Row],[قيمة الرسوم / العموله]]+Basic34567891011121314151617[[#This Row],[قيمة الشحنه]])</f>
        <v>0</v>
      </c>
      <c r="I185" s="90"/>
      <c r="J185" s="142" t="str">
        <f t="shared" si="2"/>
        <v>16.5.2026</v>
      </c>
      <c r="L185" s="153">
        <v>174</v>
      </c>
      <c r="M185" s="92"/>
    </row>
    <row r="186" spans="1:13" ht="21.6" x14ac:dyDescent="0.65">
      <c r="A186" s="195"/>
      <c r="B186" s="140">
        <v>183</v>
      </c>
      <c r="C186" s="2"/>
      <c r="D186" s="1"/>
      <c r="E186" s="3"/>
      <c r="F186" s="1"/>
      <c r="G186" s="141">
        <f>IF(Basic34567891011121314151617[[#This Row],[نوع الخدمة]]="مخالفات", 50,
IF(Basic34567891011121314151617[[#This Row],[نوع الخدمة]]="كاش ان",
    IF(F186&lt;=100, 18, IF(F186&lt;=250, 23, IF(F186&lt;=500, 35, IF(F186&lt;=1000, 40, F186*0.04)))),
IF(Basic34567891011121314151617[[#This Row],[نوع الخدمة]]="كاش اوت",
    IF(F186&lt;=100, 15, IF(F186&lt;=250, 20, IF(F186&lt;=500, 30, IF(F186&lt;=1000, 35, F186*0.035)))),
0)))</f>
        <v>0</v>
      </c>
      <c r="H186" s="159">
        <f>IF(I186="مخالفات",50,Basic34567891011121314151617[[#This Row],[قيمة الرسوم / العموله]]+Basic34567891011121314151617[[#This Row],[قيمة الشحنه]])</f>
        <v>0</v>
      </c>
      <c r="I186" s="90"/>
      <c r="J186" s="142" t="str">
        <f t="shared" si="2"/>
        <v>16.5.2026</v>
      </c>
      <c r="L186" s="153">
        <v>175</v>
      </c>
      <c r="M186" s="92"/>
    </row>
    <row r="187" spans="1:13" ht="21.6" x14ac:dyDescent="0.65">
      <c r="A187" s="195"/>
      <c r="B187" s="140">
        <v>184</v>
      </c>
      <c r="C187" s="2"/>
      <c r="D187" s="1"/>
      <c r="E187" s="3"/>
      <c r="F187" s="1"/>
      <c r="G187" s="141">
        <f>IF(Basic34567891011121314151617[[#This Row],[نوع الخدمة]]="مخالفات", 50,
IF(Basic34567891011121314151617[[#This Row],[نوع الخدمة]]="كاش ان",
    IF(F187&lt;=100, 18, IF(F187&lt;=250, 23, IF(F187&lt;=500, 35, IF(F187&lt;=1000, 40, F187*0.04)))),
IF(Basic34567891011121314151617[[#This Row],[نوع الخدمة]]="كاش اوت",
    IF(F187&lt;=100, 15, IF(F187&lt;=250, 20, IF(F187&lt;=500, 30, IF(F187&lt;=1000, 35, F187*0.035)))),
0)))</f>
        <v>0</v>
      </c>
      <c r="H187" s="159">
        <f>IF(I187="مخالفات",50,Basic34567891011121314151617[[#This Row],[قيمة الرسوم / العموله]]+Basic34567891011121314151617[[#This Row],[قيمة الشحنه]])</f>
        <v>0</v>
      </c>
      <c r="I187" s="90"/>
      <c r="J187" s="142" t="str">
        <f t="shared" si="2"/>
        <v>16.5.2026</v>
      </c>
      <c r="L187" s="153">
        <v>176</v>
      </c>
      <c r="M187" s="92"/>
    </row>
    <row r="188" spans="1:13" ht="21.6" x14ac:dyDescent="0.65">
      <c r="A188" s="195"/>
      <c r="B188" s="140">
        <v>185</v>
      </c>
      <c r="C188" s="2"/>
      <c r="D188" s="1"/>
      <c r="E188" s="3"/>
      <c r="F188" s="1"/>
      <c r="G188" s="141">
        <f>IF(Basic34567891011121314151617[[#This Row],[نوع الخدمة]]="مخالفات", 50,
IF(Basic34567891011121314151617[[#This Row],[نوع الخدمة]]="كاش ان",
    IF(F188&lt;=100, 18, IF(F188&lt;=250, 23, IF(F188&lt;=500, 35, IF(F188&lt;=1000, 40, F188*0.04)))),
IF(Basic34567891011121314151617[[#This Row],[نوع الخدمة]]="كاش اوت",
    IF(F188&lt;=100, 15, IF(F188&lt;=250, 20, IF(F188&lt;=500, 30, IF(F188&lt;=1000, 35, F188*0.035)))),
0)))</f>
        <v>0</v>
      </c>
      <c r="H188" s="159">
        <f>IF(I188="مخالفات",50,Basic34567891011121314151617[[#This Row],[قيمة الرسوم / العموله]]+Basic34567891011121314151617[[#This Row],[قيمة الشحنه]])</f>
        <v>0</v>
      </c>
      <c r="I188" s="90"/>
      <c r="J188" s="142" t="str">
        <f t="shared" si="2"/>
        <v>16.5.2026</v>
      </c>
      <c r="L188" s="153">
        <v>177</v>
      </c>
      <c r="M188" s="92"/>
    </row>
    <row r="189" spans="1:13" ht="21.6" x14ac:dyDescent="0.65">
      <c r="A189" s="195"/>
      <c r="B189" s="144">
        <v>186</v>
      </c>
      <c r="C189" s="2"/>
      <c r="D189" s="1"/>
      <c r="E189" s="3"/>
      <c r="F189" s="1"/>
      <c r="G189" s="141">
        <f>IF(Basic34567891011121314151617[[#This Row],[نوع الخدمة]]="مخالفات", 50,
IF(Basic34567891011121314151617[[#This Row],[نوع الخدمة]]="كاش ان",
    IF(F189&lt;=100, 18, IF(F189&lt;=250, 23, IF(F189&lt;=500, 35, IF(F189&lt;=1000, 40, F189*0.04)))),
IF(Basic34567891011121314151617[[#This Row],[نوع الخدمة]]="كاش اوت",
    IF(F189&lt;=100, 15, IF(F189&lt;=250, 20, IF(F189&lt;=500, 30, IF(F189&lt;=1000, 35, F189*0.035)))),
0)))</f>
        <v>0</v>
      </c>
      <c r="H189" s="159">
        <f>IF(I189="مخالفات",50,Basic34567891011121314151617[[#This Row],[قيمة الرسوم / العموله]]+Basic34567891011121314151617[[#This Row],[قيمة الشحنه]])</f>
        <v>0</v>
      </c>
      <c r="I189" s="90"/>
      <c r="J189" s="142" t="str">
        <f t="shared" si="2"/>
        <v>16.5.2026</v>
      </c>
      <c r="L189" s="153">
        <v>178</v>
      </c>
      <c r="M189" s="92"/>
    </row>
    <row r="190" spans="1:13" ht="21.6" x14ac:dyDescent="0.65">
      <c r="A190" s="195"/>
      <c r="B190" s="140">
        <v>187</v>
      </c>
      <c r="C190" s="2"/>
      <c r="D190" s="1"/>
      <c r="E190" s="3"/>
      <c r="F190" s="1"/>
      <c r="G190" s="141">
        <f>IF(Basic34567891011121314151617[[#This Row],[نوع الخدمة]]="مخالفات", 50,
IF(Basic34567891011121314151617[[#This Row],[نوع الخدمة]]="كاش ان",
    IF(F190&lt;=100, 18, IF(F190&lt;=250, 23, IF(F190&lt;=500, 35, IF(F190&lt;=1000, 40, F190*0.04)))),
IF(Basic34567891011121314151617[[#This Row],[نوع الخدمة]]="كاش اوت",
    IF(F190&lt;=100, 15, IF(F190&lt;=250, 20, IF(F190&lt;=500, 30, IF(F190&lt;=1000, 35, F190*0.035)))),
0)))</f>
        <v>0</v>
      </c>
      <c r="H190" s="159">
        <f>IF(I190="مخالفات",50,Basic34567891011121314151617[[#This Row],[قيمة الرسوم / العموله]]+Basic34567891011121314151617[[#This Row],[قيمة الشحنه]])</f>
        <v>0</v>
      </c>
      <c r="I190" s="90"/>
      <c r="J190" s="142" t="str">
        <f t="shared" si="2"/>
        <v>16.5.2026</v>
      </c>
      <c r="L190" s="153">
        <v>179</v>
      </c>
      <c r="M190" s="92"/>
    </row>
    <row r="191" spans="1:13" ht="21.6" x14ac:dyDescent="0.65">
      <c r="A191" s="195"/>
      <c r="B191" s="140">
        <v>188</v>
      </c>
      <c r="C191" s="2"/>
      <c r="D191" s="1"/>
      <c r="E191" s="3"/>
      <c r="F191" s="1"/>
      <c r="G191" s="141">
        <f>IF(Basic34567891011121314151617[[#This Row],[نوع الخدمة]]="مخالفات", 50,
IF(Basic34567891011121314151617[[#This Row],[نوع الخدمة]]="كاش ان",
    IF(F191&lt;=100, 18, IF(F191&lt;=250, 23, IF(F191&lt;=500, 35, IF(F191&lt;=1000, 40, F191*0.04)))),
IF(Basic34567891011121314151617[[#This Row],[نوع الخدمة]]="كاش اوت",
    IF(F191&lt;=100, 15, IF(F191&lt;=250, 20, IF(F191&lt;=500, 30, IF(F191&lt;=1000, 35, F191*0.035)))),
0)))</f>
        <v>0</v>
      </c>
      <c r="H191" s="159">
        <f>IF(I191="مخالفات",50,Basic34567891011121314151617[[#This Row],[قيمة الرسوم / العموله]]+Basic34567891011121314151617[[#This Row],[قيمة الشحنه]])</f>
        <v>0</v>
      </c>
      <c r="I191" s="90"/>
      <c r="J191" s="142" t="str">
        <f t="shared" si="2"/>
        <v>16.5.2026</v>
      </c>
      <c r="L191" s="153">
        <v>180</v>
      </c>
      <c r="M191" s="92"/>
    </row>
    <row r="192" spans="1:13" ht="21.6" x14ac:dyDescent="0.65">
      <c r="A192" s="195"/>
      <c r="B192" s="140">
        <v>189</v>
      </c>
      <c r="C192" s="2"/>
      <c r="D192" s="1"/>
      <c r="E192" s="3"/>
      <c r="F192" s="1"/>
      <c r="G192" s="141">
        <f>IF(Basic34567891011121314151617[[#This Row],[نوع الخدمة]]="مخالفات", 50,
IF(Basic34567891011121314151617[[#This Row],[نوع الخدمة]]="كاش ان",
    IF(F192&lt;=100, 18, IF(F192&lt;=250, 23, IF(F192&lt;=500, 35, IF(F192&lt;=1000, 40, F192*0.04)))),
IF(Basic34567891011121314151617[[#This Row],[نوع الخدمة]]="كاش اوت",
    IF(F192&lt;=100, 15, IF(F192&lt;=250, 20, IF(F192&lt;=500, 30, IF(F192&lt;=1000, 35, F192*0.035)))),
0)))</f>
        <v>0</v>
      </c>
      <c r="H192" s="159">
        <f>IF(I192="مخالفات",50,Basic34567891011121314151617[[#This Row],[قيمة الرسوم / العموله]]+Basic34567891011121314151617[[#This Row],[قيمة الشحنه]])</f>
        <v>0</v>
      </c>
      <c r="I192" s="90"/>
      <c r="J192" s="142" t="str">
        <f t="shared" si="2"/>
        <v>16.5.2026</v>
      </c>
      <c r="L192" s="153">
        <v>181</v>
      </c>
      <c r="M192" s="92"/>
    </row>
    <row r="193" spans="1:13" ht="21.6" x14ac:dyDescent="0.65">
      <c r="A193" s="195"/>
      <c r="B193" s="144">
        <v>190</v>
      </c>
      <c r="C193" s="2"/>
      <c r="D193" s="1"/>
      <c r="E193" s="3"/>
      <c r="F193" s="1"/>
      <c r="G193" s="141">
        <f>IF(Basic34567891011121314151617[[#This Row],[نوع الخدمة]]="مخالفات", 50,
IF(Basic34567891011121314151617[[#This Row],[نوع الخدمة]]="كاش ان",
    IF(F193&lt;=100, 18, IF(F193&lt;=250, 23, IF(F193&lt;=500, 35, IF(F193&lt;=1000, 40, F193*0.04)))),
IF(Basic34567891011121314151617[[#This Row],[نوع الخدمة]]="كاش اوت",
    IF(F193&lt;=100, 15, IF(F193&lt;=250, 20, IF(F193&lt;=500, 30, IF(F193&lt;=1000, 35, F193*0.035)))),
0)))</f>
        <v>0</v>
      </c>
      <c r="H193" s="159">
        <f>IF(I193="مخالفات",50,Basic34567891011121314151617[[#This Row],[قيمة الرسوم / العموله]]+Basic34567891011121314151617[[#This Row],[قيمة الشحنه]])</f>
        <v>0</v>
      </c>
      <c r="I193" s="90"/>
      <c r="J193" s="142" t="str">
        <f t="shared" si="2"/>
        <v>16.5.2026</v>
      </c>
      <c r="L193" s="153">
        <v>182</v>
      </c>
      <c r="M193" s="92"/>
    </row>
    <row r="194" spans="1:13" ht="21.6" x14ac:dyDescent="0.65">
      <c r="A194" s="195"/>
      <c r="B194" s="140">
        <v>191</v>
      </c>
      <c r="C194" s="2"/>
      <c r="D194" s="1"/>
      <c r="E194" s="3"/>
      <c r="F194" s="1"/>
      <c r="G194" s="141">
        <f>IF(Basic34567891011121314151617[[#This Row],[نوع الخدمة]]="مخالفات", 50,
IF(Basic34567891011121314151617[[#This Row],[نوع الخدمة]]="كاش ان",
    IF(F194&lt;=100, 18, IF(F194&lt;=250, 23, IF(F194&lt;=500, 35, IF(F194&lt;=1000, 40, F194*0.04)))),
IF(Basic34567891011121314151617[[#This Row],[نوع الخدمة]]="كاش اوت",
    IF(F194&lt;=100, 15, IF(F194&lt;=250, 20, IF(F194&lt;=500, 30, IF(F194&lt;=1000, 35, F194*0.035)))),
0)))</f>
        <v>0</v>
      </c>
      <c r="H194" s="159">
        <f>IF(I194="مخالفات",50,Basic34567891011121314151617[[#This Row],[قيمة الرسوم / العموله]]+Basic34567891011121314151617[[#This Row],[قيمة الشحنه]])</f>
        <v>0</v>
      </c>
      <c r="I194" s="90"/>
      <c r="J194" s="142" t="str">
        <f t="shared" si="2"/>
        <v>16.5.2026</v>
      </c>
      <c r="L194" s="153">
        <v>183</v>
      </c>
      <c r="M194" s="92"/>
    </row>
    <row r="195" spans="1:13" ht="21.6" x14ac:dyDescent="0.65">
      <c r="A195" s="195"/>
      <c r="B195" s="140">
        <v>192</v>
      </c>
      <c r="C195" s="2"/>
      <c r="D195" s="1"/>
      <c r="E195" s="3"/>
      <c r="F195" s="1"/>
      <c r="G195" s="141">
        <f>IF(Basic34567891011121314151617[[#This Row],[نوع الخدمة]]="مخالفات", 50,
IF(Basic34567891011121314151617[[#This Row],[نوع الخدمة]]="كاش ان",
    IF(F195&lt;=100, 18, IF(F195&lt;=250, 23, IF(F195&lt;=500, 35, IF(F195&lt;=1000, 40, F195*0.04)))),
IF(Basic34567891011121314151617[[#This Row],[نوع الخدمة]]="كاش اوت",
    IF(F195&lt;=100, 15, IF(F195&lt;=250, 20, IF(F195&lt;=500, 30, IF(F195&lt;=1000, 35, F195*0.035)))),
0)))</f>
        <v>0</v>
      </c>
      <c r="H195" s="159">
        <f>IF(I195="مخالفات",50,Basic34567891011121314151617[[#This Row],[قيمة الرسوم / العموله]]+Basic34567891011121314151617[[#This Row],[قيمة الشحنه]])</f>
        <v>0</v>
      </c>
      <c r="I195" s="90"/>
      <c r="J195" s="142" t="str">
        <f t="shared" si="2"/>
        <v>16.5.2026</v>
      </c>
      <c r="L195" s="153">
        <v>184</v>
      </c>
      <c r="M195" s="92"/>
    </row>
    <row r="196" spans="1:13" ht="21.6" x14ac:dyDescent="0.65">
      <c r="A196" s="195"/>
      <c r="B196" s="140">
        <v>193</v>
      </c>
      <c r="C196" s="2"/>
      <c r="D196" s="1"/>
      <c r="E196" s="3"/>
      <c r="F196" s="1"/>
      <c r="G196" s="141">
        <f>IF(Basic34567891011121314151617[[#This Row],[نوع الخدمة]]="مخالفات", 50,
IF(Basic34567891011121314151617[[#This Row],[نوع الخدمة]]="كاش ان",
    IF(F196&lt;=100, 18, IF(F196&lt;=250, 23, IF(F196&lt;=500, 35, IF(F196&lt;=1000, 40, F196*0.04)))),
IF(Basic34567891011121314151617[[#This Row],[نوع الخدمة]]="كاش اوت",
    IF(F196&lt;=100, 15, IF(F196&lt;=250, 20, IF(F196&lt;=500, 30, IF(F196&lt;=1000, 35, F196*0.035)))),
0)))</f>
        <v>0</v>
      </c>
      <c r="H196" s="159">
        <f>IF(I196="مخالفات",50,Basic34567891011121314151617[[#This Row],[قيمة الرسوم / العموله]]+Basic34567891011121314151617[[#This Row],[قيمة الشحنه]])</f>
        <v>0</v>
      </c>
      <c r="I196" s="90"/>
      <c r="J196" s="142" t="str">
        <f t="shared" ref="J196:J226" si="3">M$3</f>
        <v>16.5.2026</v>
      </c>
      <c r="L196" s="153">
        <v>185</v>
      </c>
      <c r="M196" s="92"/>
    </row>
    <row r="197" spans="1:13" ht="21.6" x14ac:dyDescent="0.65">
      <c r="A197" s="195"/>
      <c r="B197" s="144">
        <v>194</v>
      </c>
      <c r="C197" s="2"/>
      <c r="D197" s="1"/>
      <c r="E197" s="3"/>
      <c r="F197" s="1"/>
      <c r="G197" s="141">
        <f>IF(Basic34567891011121314151617[[#This Row],[نوع الخدمة]]="مخالفات", 50,
IF(Basic34567891011121314151617[[#This Row],[نوع الخدمة]]="كاش ان",
    IF(F197&lt;=100, 18, IF(F197&lt;=250, 23, IF(F197&lt;=500, 35, IF(F197&lt;=1000, 40, F197*0.04)))),
IF(Basic34567891011121314151617[[#This Row],[نوع الخدمة]]="كاش اوت",
    IF(F197&lt;=100, 15, IF(F197&lt;=250, 20, IF(F197&lt;=500, 30, IF(F197&lt;=1000, 35, F197*0.035)))),
0)))</f>
        <v>0</v>
      </c>
      <c r="H197" s="159">
        <f>IF(I197="مخالفات",50,Basic34567891011121314151617[[#This Row],[قيمة الرسوم / العموله]]+Basic34567891011121314151617[[#This Row],[قيمة الشحنه]])</f>
        <v>0</v>
      </c>
      <c r="I197" s="90"/>
      <c r="J197" s="142" t="str">
        <f t="shared" si="3"/>
        <v>16.5.2026</v>
      </c>
      <c r="L197" s="153">
        <v>186</v>
      </c>
      <c r="M197" s="92"/>
    </row>
    <row r="198" spans="1:13" ht="21.6" x14ac:dyDescent="0.65">
      <c r="A198" s="195"/>
      <c r="B198" s="140">
        <v>195</v>
      </c>
      <c r="C198" s="2"/>
      <c r="D198" s="1"/>
      <c r="E198" s="3"/>
      <c r="F198" s="1"/>
      <c r="G198" s="141">
        <f>IF(Basic34567891011121314151617[[#This Row],[نوع الخدمة]]="مخالفات", 50,
IF(Basic34567891011121314151617[[#This Row],[نوع الخدمة]]="كاش ان",
    IF(F198&lt;=100, 18, IF(F198&lt;=250, 23, IF(F198&lt;=500, 35, IF(F198&lt;=1000, 40, F198*0.04)))),
IF(Basic34567891011121314151617[[#This Row],[نوع الخدمة]]="كاش اوت",
    IF(F198&lt;=100, 15, IF(F198&lt;=250, 20, IF(F198&lt;=500, 30, IF(F198&lt;=1000, 35, F198*0.035)))),
0)))</f>
        <v>0</v>
      </c>
      <c r="H198" s="159">
        <f>IF(I198="مخالفات",50,Basic34567891011121314151617[[#This Row],[قيمة الرسوم / العموله]]+Basic34567891011121314151617[[#This Row],[قيمة الشحنه]])</f>
        <v>0</v>
      </c>
      <c r="I198" s="90"/>
      <c r="J198" s="142" t="str">
        <f t="shared" si="3"/>
        <v>16.5.2026</v>
      </c>
      <c r="L198" s="153">
        <v>187</v>
      </c>
      <c r="M198" s="92"/>
    </row>
    <row r="199" spans="1:13" ht="21.6" x14ac:dyDescent="0.65">
      <c r="A199" s="195"/>
      <c r="B199" s="140">
        <v>196</v>
      </c>
      <c r="C199" s="2"/>
      <c r="D199" s="1"/>
      <c r="E199" s="3"/>
      <c r="F199" s="1"/>
      <c r="G199" s="141">
        <f>IF(Basic34567891011121314151617[[#This Row],[نوع الخدمة]]="مخالفات", 50,
IF(Basic34567891011121314151617[[#This Row],[نوع الخدمة]]="كاش ان",
    IF(F199&lt;=100, 18, IF(F199&lt;=250, 23, IF(F199&lt;=500, 35, IF(F199&lt;=1000, 40, F199*0.04)))),
IF(Basic34567891011121314151617[[#This Row],[نوع الخدمة]]="كاش اوت",
    IF(F199&lt;=100, 15, IF(F199&lt;=250, 20, IF(F199&lt;=500, 30, IF(F199&lt;=1000, 35, F199*0.035)))),
0)))</f>
        <v>0</v>
      </c>
      <c r="H199" s="159">
        <f>IF(I199="مخالفات",50,Basic34567891011121314151617[[#This Row],[قيمة الرسوم / العموله]]+Basic34567891011121314151617[[#This Row],[قيمة الشحنه]])</f>
        <v>0</v>
      </c>
      <c r="I199" s="90"/>
      <c r="J199" s="142" t="str">
        <f t="shared" si="3"/>
        <v>16.5.2026</v>
      </c>
      <c r="L199" s="153">
        <v>188</v>
      </c>
      <c r="M199" s="92"/>
    </row>
    <row r="200" spans="1:13" ht="21.6" x14ac:dyDescent="0.65">
      <c r="A200" s="195"/>
      <c r="B200" s="140">
        <v>197</v>
      </c>
      <c r="C200" s="2"/>
      <c r="D200" s="1"/>
      <c r="E200" s="3"/>
      <c r="F200" s="1"/>
      <c r="G200" s="141">
        <f>IF(Basic34567891011121314151617[[#This Row],[نوع الخدمة]]="مخالفات", 50,
IF(Basic34567891011121314151617[[#This Row],[نوع الخدمة]]="كاش ان",
    IF(F200&lt;=100, 18, IF(F200&lt;=250, 23, IF(F200&lt;=500, 35, IF(F200&lt;=1000, 40, F200*0.04)))),
IF(Basic34567891011121314151617[[#This Row],[نوع الخدمة]]="كاش اوت",
    IF(F200&lt;=100, 15, IF(F200&lt;=250, 20, IF(F200&lt;=500, 30, IF(F200&lt;=1000, 35, F200*0.035)))),
0)))</f>
        <v>0</v>
      </c>
      <c r="H200" s="159">
        <f>IF(I200="مخالفات",50,Basic34567891011121314151617[[#This Row],[قيمة الرسوم / العموله]]+Basic34567891011121314151617[[#This Row],[قيمة الشحنه]])</f>
        <v>0</v>
      </c>
      <c r="I200" s="90"/>
      <c r="J200" s="142" t="str">
        <f t="shared" si="3"/>
        <v>16.5.2026</v>
      </c>
      <c r="L200" s="153">
        <v>189</v>
      </c>
      <c r="M200" s="92"/>
    </row>
    <row r="201" spans="1:13" ht="21.6" x14ac:dyDescent="0.65">
      <c r="A201" s="195"/>
      <c r="B201" s="144">
        <v>198</v>
      </c>
      <c r="C201" s="2"/>
      <c r="D201" s="1"/>
      <c r="E201" s="3"/>
      <c r="F201" s="1"/>
      <c r="G201" s="141">
        <f>IF(Basic34567891011121314151617[[#This Row],[نوع الخدمة]]="مخالفات", 50,
IF(Basic34567891011121314151617[[#This Row],[نوع الخدمة]]="كاش ان",
    IF(F201&lt;=100, 18, IF(F201&lt;=250, 23, IF(F201&lt;=500, 35, IF(F201&lt;=1000, 40, F201*0.04)))),
IF(Basic34567891011121314151617[[#This Row],[نوع الخدمة]]="كاش اوت",
    IF(F201&lt;=100, 15, IF(F201&lt;=250, 20, IF(F201&lt;=500, 30, IF(F201&lt;=1000, 35, F201*0.035)))),
0)))</f>
        <v>0</v>
      </c>
      <c r="H201" s="159">
        <f>IF(I201="مخالفات",50,Basic34567891011121314151617[[#This Row],[قيمة الرسوم / العموله]]+Basic34567891011121314151617[[#This Row],[قيمة الشحنه]])</f>
        <v>0</v>
      </c>
      <c r="I201" s="90"/>
      <c r="J201" s="142" t="str">
        <f t="shared" si="3"/>
        <v>16.5.2026</v>
      </c>
      <c r="L201" s="153">
        <v>190</v>
      </c>
      <c r="M201" s="92"/>
    </row>
    <row r="202" spans="1:13" ht="21.6" x14ac:dyDescent="0.65">
      <c r="A202" s="195"/>
      <c r="B202" s="140">
        <v>199</v>
      </c>
      <c r="C202" s="2"/>
      <c r="D202" s="1"/>
      <c r="E202" s="3"/>
      <c r="F202" s="1"/>
      <c r="G202" s="141">
        <f>IF(Basic34567891011121314151617[[#This Row],[نوع الخدمة]]="مخالفات", 50,
IF(Basic34567891011121314151617[[#This Row],[نوع الخدمة]]="كاش ان",
    IF(F202&lt;=100, 18, IF(F202&lt;=250, 23, IF(F202&lt;=500, 35, IF(F202&lt;=1000, 40, F202*0.04)))),
IF(Basic34567891011121314151617[[#This Row],[نوع الخدمة]]="كاش اوت",
    IF(F202&lt;=100, 15, IF(F202&lt;=250, 20, IF(F202&lt;=500, 30, IF(F202&lt;=1000, 35, F202*0.035)))),
0)))</f>
        <v>0</v>
      </c>
      <c r="H202" s="159">
        <f>IF(I202="مخالفات",50,Basic34567891011121314151617[[#This Row],[قيمة الرسوم / العموله]]+Basic34567891011121314151617[[#This Row],[قيمة الشحنه]])</f>
        <v>0</v>
      </c>
      <c r="I202" s="90"/>
      <c r="J202" s="142" t="str">
        <f t="shared" si="3"/>
        <v>16.5.2026</v>
      </c>
      <c r="L202" s="153">
        <v>191</v>
      </c>
      <c r="M202" s="92"/>
    </row>
    <row r="203" spans="1:13" ht="21.6" x14ac:dyDescent="0.65">
      <c r="A203" s="195"/>
      <c r="B203" s="140">
        <v>200</v>
      </c>
      <c r="C203" s="2"/>
      <c r="D203" s="1"/>
      <c r="E203" s="3"/>
      <c r="F203" s="1"/>
      <c r="G203" s="141">
        <f>IF(Basic34567891011121314151617[[#This Row],[نوع الخدمة]]="مخالفات", 50,
IF(Basic34567891011121314151617[[#This Row],[نوع الخدمة]]="كاش ان",
    IF(F203&lt;=100, 18, IF(F203&lt;=250, 23, IF(F203&lt;=500, 35, IF(F203&lt;=1000, 40, F203*0.04)))),
IF(Basic34567891011121314151617[[#This Row],[نوع الخدمة]]="كاش اوت",
    IF(F203&lt;=100, 15, IF(F203&lt;=250, 20, IF(F203&lt;=500, 30, IF(F203&lt;=1000, 35, F203*0.035)))),
0)))</f>
        <v>0</v>
      </c>
      <c r="H203" s="159">
        <f>IF(I203="مخالفات",50,Basic34567891011121314151617[[#This Row],[قيمة الرسوم / العموله]]+Basic34567891011121314151617[[#This Row],[قيمة الشحنه]])</f>
        <v>0</v>
      </c>
      <c r="I203" s="90"/>
      <c r="J203" s="142" t="str">
        <f t="shared" si="3"/>
        <v>16.5.2026</v>
      </c>
      <c r="L203" s="153">
        <v>192</v>
      </c>
      <c r="M203" s="92"/>
    </row>
    <row r="204" spans="1:13" ht="21.6" x14ac:dyDescent="0.65">
      <c r="A204" s="195"/>
      <c r="B204" s="140">
        <v>201</v>
      </c>
      <c r="C204" s="2"/>
      <c r="D204" s="1"/>
      <c r="E204" s="3"/>
      <c r="F204" s="1"/>
      <c r="G204" s="141">
        <f>IF(Basic34567891011121314151617[[#This Row],[نوع الخدمة]]="مخالفات", 50,
IF(Basic34567891011121314151617[[#This Row],[نوع الخدمة]]="كاش ان",
    IF(F204&lt;=100, 18, IF(F204&lt;=250, 23, IF(F204&lt;=500, 35, IF(F204&lt;=1000, 40, F204*0.04)))),
IF(Basic34567891011121314151617[[#This Row],[نوع الخدمة]]="كاش اوت",
    IF(F204&lt;=100, 15, IF(F204&lt;=250, 20, IF(F204&lt;=500, 30, IF(F204&lt;=1000, 35, F204*0.035)))),
0)))</f>
        <v>0</v>
      </c>
      <c r="H204" s="159">
        <f>IF(I204="مخالفات",50,Basic34567891011121314151617[[#This Row],[قيمة الرسوم / العموله]]+Basic34567891011121314151617[[#This Row],[قيمة الشحنه]])</f>
        <v>0</v>
      </c>
      <c r="I204" s="90"/>
      <c r="J204" s="142" t="str">
        <f t="shared" si="3"/>
        <v>16.5.2026</v>
      </c>
      <c r="L204" s="153">
        <v>193</v>
      </c>
      <c r="M204" s="92"/>
    </row>
    <row r="205" spans="1:13" ht="21.6" x14ac:dyDescent="0.65">
      <c r="A205" s="195"/>
      <c r="B205" s="144">
        <v>202</v>
      </c>
      <c r="C205" s="2"/>
      <c r="D205" s="1"/>
      <c r="E205" s="3"/>
      <c r="F205" s="1"/>
      <c r="G205" s="141">
        <f>IF(Basic34567891011121314151617[[#This Row],[نوع الخدمة]]="مخالفات", 50,
IF(Basic34567891011121314151617[[#This Row],[نوع الخدمة]]="كاش ان",
    IF(F205&lt;=100, 18, IF(F205&lt;=250, 23, IF(F205&lt;=500, 35, IF(F205&lt;=1000, 40, F205*0.04)))),
IF(Basic34567891011121314151617[[#This Row],[نوع الخدمة]]="كاش اوت",
    IF(F205&lt;=100, 15, IF(F205&lt;=250, 20, IF(F205&lt;=500, 30, IF(F205&lt;=1000, 35, F205*0.035)))),
0)))</f>
        <v>0</v>
      </c>
      <c r="H205" s="159">
        <f>IF(I205="مخالفات",50,Basic34567891011121314151617[[#This Row],[قيمة الرسوم / العموله]]+Basic34567891011121314151617[[#This Row],[قيمة الشحنه]])</f>
        <v>0</v>
      </c>
      <c r="I205" s="90"/>
      <c r="J205" s="142" t="str">
        <f t="shared" si="3"/>
        <v>16.5.2026</v>
      </c>
      <c r="L205" s="153">
        <v>194</v>
      </c>
      <c r="M205" s="92"/>
    </row>
    <row r="206" spans="1:13" ht="21.6" x14ac:dyDescent="0.65">
      <c r="A206" s="195"/>
      <c r="B206" s="140">
        <v>203</v>
      </c>
      <c r="C206" s="2"/>
      <c r="D206" s="1"/>
      <c r="E206" s="3"/>
      <c r="F206" s="1"/>
      <c r="G206" s="141">
        <f>IF(Basic34567891011121314151617[[#This Row],[نوع الخدمة]]="مخالفات", 50,
IF(Basic34567891011121314151617[[#This Row],[نوع الخدمة]]="كاش ان",
    IF(F206&lt;=100, 18, IF(F206&lt;=250, 23, IF(F206&lt;=500, 35, IF(F206&lt;=1000, 40, F206*0.04)))),
IF(Basic34567891011121314151617[[#This Row],[نوع الخدمة]]="كاش اوت",
    IF(F206&lt;=100, 15, IF(F206&lt;=250, 20, IF(F206&lt;=500, 30, IF(F206&lt;=1000, 35, F206*0.035)))),
0)))</f>
        <v>0</v>
      </c>
      <c r="H206" s="159">
        <f>IF(I206="مخالفات",50,Basic34567891011121314151617[[#This Row],[قيمة الرسوم / العموله]]+Basic34567891011121314151617[[#This Row],[قيمة الشحنه]])</f>
        <v>0</v>
      </c>
      <c r="I206" s="90"/>
      <c r="J206" s="142" t="str">
        <f t="shared" si="3"/>
        <v>16.5.2026</v>
      </c>
      <c r="L206" s="153">
        <v>195</v>
      </c>
      <c r="M206" s="92"/>
    </row>
    <row r="207" spans="1:13" ht="21.6" x14ac:dyDescent="0.65">
      <c r="A207" s="195"/>
      <c r="B207" s="140">
        <v>204</v>
      </c>
      <c r="C207" s="2"/>
      <c r="D207" s="1"/>
      <c r="E207" s="3"/>
      <c r="F207" s="1"/>
      <c r="G207" s="141">
        <f>IF(Basic34567891011121314151617[[#This Row],[نوع الخدمة]]="مخالفات", 50,
IF(Basic34567891011121314151617[[#This Row],[نوع الخدمة]]="كاش ان",
    IF(F207&lt;=100, 18, IF(F207&lt;=250, 23, IF(F207&lt;=500, 35, IF(F207&lt;=1000, 40, F207*0.04)))),
IF(Basic34567891011121314151617[[#This Row],[نوع الخدمة]]="كاش اوت",
    IF(F207&lt;=100, 15, IF(F207&lt;=250, 20, IF(F207&lt;=500, 30, IF(F207&lt;=1000, 35, F207*0.035)))),
0)))</f>
        <v>0</v>
      </c>
      <c r="H207" s="159">
        <f>IF(I207="مخالفات",50,Basic34567891011121314151617[[#This Row],[قيمة الرسوم / العموله]]+Basic34567891011121314151617[[#This Row],[قيمة الشحنه]])</f>
        <v>0</v>
      </c>
      <c r="I207" s="90"/>
      <c r="J207" s="142" t="str">
        <f t="shared" si="3"/>
        <v>16.5.2026</v>
      </c>
      <c r="L207" s="153">
        <v>196</v>
      </c>
      <c r="M207" s="92"/>
    </row>
    <row r="208" spans="1:13" ht="21.6" x14ac:dyDescent="0.65">
      <c r="A208" s="195"/>
      <c r="B208" s="140">
        <v>205</v>
      </c>
      <c r="C208" s="2"/>
      <c r="D208" s="1"/>
      <c r="E208" s="3"/>
      <c r="F208" s="1"/>
      <c r="G208" s="141">
        <f>IF(Basic34567891011121314151617[[#This Row],[نوع الخدمة]]="مخالفات", 50,
IF(Basic34567891011121314151617[[#This Row],[نوع الخدمة]]="كاش ان",
    IF(F208&lt;=100, 18, IF(F208&lt;=250, 23, IF(F208&lt;=500, 35, IF(F208&lt;=1000, 40, F208*0.04)))),
IF(Basic34567891011121314151617[[#This Row],[نوع الخدمة]]="كاش اوت",
    IF(F208&lt;=100, 15, IF(F208&lt;=250, 20, IF(F208&lt;=500, 30, IF(F208&lt;=1000, 35, F208*0.035)))),
0)))</f>
        <v>0</v>
      </c>
      <c r="H208" s="159">
        <f>IF(I208="مخالفات",50,Basic34567891011121314151617[[#This Row],[قيمة الرسوم / العموله]]+Basic34567891011121314151617[[#This Row],[قيمة الشحنه]])</f>
        <v>0</v>
      </c>
      <c r="I208" s="90"/>
      <c r="J208" s="142" t="str">
        <f t="shared" si="3"/>
        <v>16.5.2026</v>
      </c>
      <c r="L208" s="153">
        <v>197</v>
      </c>
      <c r="M208" s="92"/>
    </row>
    <row r="209" spans="1:13" ht="21.6" x14ac:dyDescent="0.65">
      <c r="A209" s="195"/>
      <c r="B209" s="144">
        <v>206</v>
      </c>
      <c r="C209" s="2"/>
      <c r="D209" s="1"/>
      <c r="E209" s="3"/>
      <c r="F209" s="1"/>
      <c r="G209" s="141">
        <f>IF(Basic34567891011121314151617[[#This Row],[نوع الخدمة]]="مخالفات", 50,
IF(Basic34567891011121314151617[[#This Row],[نوع الخدمة]]="كاش ان",
    IF(F209&lt;=100, 18, IF(F209&lt;=250, 23, IF(F209&lt;=500, 35, IF(F209&lt;=1000, 40, F209*0.04)))),
IF(Basic34567891011121314151617[[#This Row],[نوع الخدمة]]="كاش اوت",
    IF(F209&lt;=100, 15, IF(F209&lt;=250, 20, IF(F209&lt;=500, 30, IF(F209&lt;=1000, 35, F209*0.035)))),
0)))</f>
        <v>0</v>
      </c>
      <c r="H209" s="159">
        <f>IF(I209="مخالفات",50,Basic34567891011121314151617[[#This Row],[قيمة الرسوم / العموله]]+Basic34567891011121314151617[[#This Row],[قيمة الشحنه]])</f>
        <v>0</v>
      </c>
      <c r="I209" s="90"/>
      <c r="J209" s="142" t="str">
        <f t="shared" si="3"/>
        <v>16.5.2026</v>
      </c>
      <c r="L209" s="153">
        <v>198</v>
      </c>
      <c r="M209" s="92"/>
    </row>
    <row r="210" spans="1:13" ht="21.6" x14ac:dyDescent="0.65">
      <c r="A210" s="195"/>
      <c r="B210" s="140">
        <v>207</v>
      </c>
      <c r="C210" s="2"/>
      <c r="D210" s="1"/>
      <c r="E210" s="3"/>
      <c r="F210" s="1"/>
      <c r="G210" s="141">
        <f>IF(Basic34567891011121314151617[[#This Row],[نوع الخدمة]]="مخالفات", 50,
IF(Basic34567891011121314151617[[#This Row],[نوع الخدمة]]="كاش ان",
    IF(F210&lt;=100, 18, IF(F210&lt;=250, 23, IF(F210&lt;=500, 35, IF(F210&lt;=1000, 40, F210*0.04)))),
IF(Basic34567891011121314151617[[#This Row],[نوع الخدمة]]="كاش اوت",
    IF(F210&lt;=100, 15, IF(F210&lt;=250, 20, IF(F210&lt;=500, 30, IF(F210&lt;=1000, 35, F210*0.035)))),
0)))</f>
        <v>0</v>
      </c>
      <c r="H210" s="159">
        <f>IF(I210="مخالفات",50,Basic34567891011121314151617[[#This Row],[قيمة الرسوم / العموله]]+Basic34567891011121314151617[[#This Row],[قيمة الشحنه]])</f>
        <v>0</v>
      </c>
      <c r="I210" s="90"/>
      <c r="J210" s="142" t="str">
        <f t="shared" si="3"/>
        <v>16.5.2026</v>
      </c>
      <c r="L210" s="153">
        <v>199</v>
      </c>
      <c r="M210" s="92"/>
    </row>
    <row r="211" spans="1:13" ht="21.6" x14ac:dyDescent="0.65">
      <c r="A211" s="195"/>
      <c r="B211" s="140">
        <v>208</v>
      </c>
      <c r="C211" s="2"/>
      <c r="D211" s="1"/>
      <c r="E211" s="3"/>
      <c r="F211" s="1"/>
      <c r="G211" s="141">
        <f>IF(Basic34567891011121314151617[[#This Row],[نوع الخدمة]]="مخالفات", 50,
IF(Basic34567891011121314151617[[#This Row],[نوع الخدمة]]="كاش ان",
    IF(F211&lt;=100, 18, IF(F211&lt;=250, 23, IF(F211&lt;=500, 35, IF(F211&lt;=1000, 40, F211*0.04)))),
IF(Basic34567891011121314151617[[#This Row],[نوع الخدمة]]="كاش اوت",
    IF(F211&lt;=100, 15, IF(F211&lt;=250, 20, IF(F211&lt;=500, 30, IF(F211&lt;=1000, 35, F211*0.035)))),
0)))</f>
        <v>0</v>
      </c>
      <c r="H211" s="159">
        <f>IF(I211="مخالفات",50,Basic34567891011121314151617[[#This Row],[قيمة الرسوم / العموله]]+Basic34567891011121314151617[[#This Row],[قيمة الشحنه]])</f>
        <v>0</v>
      </c>
      <c r="I211" s="90"/>
      <c r="J211" s="142" t="str">
        <f t="shared" si="3"/>
        <v>16.5.2026</v>
      </c>
      <c r="L211" s="153">
        <v>200</v>
      </c>
      <c r="M211" s="92"/>
    </row>
    <row r="212" spans="1:13" ht="21.6" x14ac:dyDescent="0.65">
      <c r="A212" s="195"/>
      <c r="B212" s="140">
        <v>209</v>
      </c>
      <c r="C212" s="2"/>
      <c r="D212" s="1"/>
      <c r="E212" s="3"/>
      <c r="F212" s="1"/>
      <c r="G212" s="141">
        <f>IF(Basic34567891011121314151617[[#This Row],[نوع الخدمة]]="مخالفات", 50,
IF(Basic34567891011121314151617[[#This Row],[نوع الخدمة]]="كاش ان",
    IF(F212&lt;=100, 18, IF(F212&lt;=250, 23, IF(F212&lt;=500, 35, IF(F212&lt;=1000, 40, F212*0.04)))),
IF(Basic34567891011121314151617[[#This Row],[نوع الخدمة]]="كاش اوت",
    IF(F212&lt;=100, 15, IF(F212&lt;=250, 20, IF(F212&lt;=500, 30, IF(F212&lt;=1000, 35, F212*0.035)))),
0)))</f>
        <v>0</v>
      </c>
      <c r="H212" s="159">
        <f>IF(I212="مخالفات",50,Basic34567891011121314151617[[#This Row],[قيمة الرسوم / العموله]]+Basic34567891011121314151617[[#This Row],[قيمة الشحنه]])</f>
        <v>0</v>
      </c>
      <c r="I212" s="90"/>
      <c r="J212" s="142" t="str">
        <f t="shared" si="3"/>
        <v>16.5.2026</v>
      </c>
      <c r="L212" s="153">
        <v>201</v>
      </c>
      <c r="M212" s="92"/>
    </row>
    <row r="213" spans="1:13" ht="21.6" x14ac:dyDescent="0.65">
      <c r="A213" s="195"/>
      <c r="B213" s="144">
        <v>210</v>
      </c>
      <c r="C213" s="2"/>
      <c r="D213" s="1"/>
      <c r="E213" s="3"/>
      <c r="F213" s="1"/>
      <c r="G213" s="141">
        <f>IF(Basic34567891011121314151617[[#This Row],[نوع الخدمة]]="مخالفات", 50,
IF(Basic34567891011121314151617[[#This Row],[نوع الخدمة]]="كاش ان",
    IF(F213&lt;=100, 18, IF(F213&lt;=250, 23, IF(F213&lt;=500, 35, IF(F213&lt;=1000, 40, F213*0.04)))),
IF(Basic34567891011121314151617[[#This Row],[نوع الخدمة]]="كاش اوت",
    IF(F213&lt;=100, 15, IF(F213&lt;=250, 20, IF(F213&lt;=500, 30, IF(F213&lt;=1000, 35, F213*0.035)))),
0)))</f>
        <v>0</v>
      </c>
      <c r="H213" s="159">
        <f>IF(I213="مخالفات",50,Basic34567891011121314151617[[#This Row],[قيمة الرسوم / العموله]]+Basic34567891011121314151617[[#This Row],[قيمة الشحنه]])</f>
        <v>0</v>
      </c>
      <c r="I213" s="90"/>
      <c r="J213" s="142" t="str">
        <f t="shared" si="3"/>
        <v>16.5.2026</v>
      </c>
      <c r="L213" s="153">
        <v>202</v>
      </c>
      <c r="M213" s="92"/>
    </row>
    <row r="214" spans="1:13" ht="21.6" x14ac:dyDescent="0.65">
      <c r="A214" s="195"/>
      <c r="B214" s="140">
        <v>211</v>
      </c>
      <c r="C214" s="2"/>
      <c r="D214" s="1"/>
      <c r="E214" s="3"/>
      <c r="F214" s="1"/>
      <c r="G214" s="141">
        <f>IF(Basic34567891011121314151617[[#This Row],[نوع الخدمة]]="مخالفات", 50,
IF(Basic34567891011121314151617[[#This Row],[نوع الخدمة]]="كاش ان",
    IF(F214&lt;=100, 18, IF(F214&lt;=250, 23, IF(F214&lt;=500, 35, IF(F214&lt;=1000, 40, F214*0.04)))),
IF(Basic34567891011121314151617[[#This Row],[نوع الخدمة]]="كاش اوت",
    IF(F214&lt;=100, 15, IF(F214&lt;=250, 20, IF(F214&lt;=500, 30, IF(F214&lt;=1000, 35, F214*0.035)))),
0)))</f>
        <v>0</v>
      </c>
      <c r="H214" s="159">
        <f>IF(I214="مخالفات",50,Basic34567891011121314151617[[#This Row],[قيمة الرسوم / العموله]]+Basic34567891011121314151617[[#This Row],[قيمة الشحنه]])</f>
        <v>0</v>
      </c>
      <c r="I214" s="90"/>
      <c r="J214" s="142" t="str">
        <f t="shared" si="3"/>
        <v>16.5.2026</v>
      </c>
      <c r="L214" s="153">
        <v>203</v>
      </c>
      <c r="M214" s="92"/>
    </row>
    <row r="215" spans="1:13" ht="21.6" x14ac:dyDescent="0.65">
      <c r="A215" s="195"/>
      <c r="B215" s="140">
        <v>212</v>
      </c>
      <c r="C215" s="2"/>
      <c r="D215" s="1"/>
      <c r="E215" s="3"/>
      <c r="F215" s="1"/>
      <c r="G215" s="141">
        <f>IF(Basic34567891011121314151617[[#This Row],[نوع الخدمة]]="مخالفات", 50,
IF(Basic34567891011121314151617[[#This Row],[نوع الخدمة]]="كاش ان",
    IF(F215&lt;=100, 18, IF(F215&lt;=250, 23, IF(F215&lt;=500, 35, IF(F215&lt;=1000, 40, F215*0.04)))),
IF(Basic34567891011121314151617[[#This Row],[نوع الخدمة]]="كاش اوت",
    IF(F215&lt;=100, 15, IF(F215&lt;=250, 20, IF(F215&lt;=500, 30, IF(F215&lt;=1000, 35, F215*0.035)))),
0)))</f>
        <v>0</v>
      </c>
      <c r="H215" s="159">
        <f>IF(I215="مخالفات",50,Basic34567891011121314151617[[#This Row],[قيمة الرسوم / العموله]]+Basic34567891011121314151617[[#This Row],[قيمة الشحنه]])</f>
        <v>0</v>
      </c>
      <c r="I215" s="90"/>
      <c r="J215" s="142" t="str">
        <f t="shared" si="3"/>
        <v>16.5.2026</v>
      </c>
      <c r="L215" s="153">
        <v>204</v>
      </c>
      <c r="M215" s="92"/>
    </row>
    <row r="216" spans="1:13" ht="21.6" x14ac:dyDescent="0.65">
      <c r="A216" s="195"/>
      <c r="B216" s="140">
        <v>213</v>
      </c>
      <c r="C216" s="2"/>
      <c r="D216" s="1"/>
      <c r="E216" s="3"/>
      <c r="F216" s="1"/>
      <c r="G216" s="141">
        <f>IF(Basic34567891011121314151617[[#This Row],[نوع الخدمة]]="مخالفات", 50,
IF(Basic34567891011121314151617[[#This Row],[نوع الخدمة]]="كاش ان",
    IF(F216&lt;=100, 18, IF(F216&lt;=250, 23, IF(F216&lt;=500, 35, IF(F216&lt;=1000, 40, F216*0.04)))),
IF(Basic34567891011121314151617[[#This Row],[نوع الخدمة]]="كاش اوت",
    IF(F216&lt;=100, 15, IF(F216&lt;=250, 20, IF(F216&lt;=500, 30, IF(F216&lt;=1000, 35, F216*0.035)))),
0)))</f>
        <v>0</v>
      </c>
      <c r="H216" s="159">
        <f>IF(I216="مخالفات",50,Basic34567891011121314151617[[#This Row],[قيمة الرسوم / العموله]]+Basic34567891011121314151617[[#This Row],[قيمة الشحنه]])</f>
        <v>0</v>
      </c>
      <c r="I216" s="90"/>
      <c r="J216" s="142" t="str">
        <f t="shared" si="3"/>
        <v>16.5.2026</v>
      </c>
      <c r="L216" s="153">
        <v>205</v>
      </c>
      <c r="M216" s="92"/>
    </row>
    <row r="217" spans="1:13" ht="21.6" x14ac:dyDescent="0.65">
      <c r="A217" s="195"/>
      <c r="B217" s="144">
        <v>214</v>
      </c>
      <c r="C217" s="2"/>
      <c r="D217" s="1"/>
      <c r="E217" s="3"/>
      <c r="F217" s="1"/>
      <c r="G217" s="141">
        <f>IF(Basic34567891011121314151617[[#This Row],[نوع الخدمة]]="مخالفات", 50,
IF(Basic34567891011121314151617[[#This Row],[نوع الخدمة]]="كاش ان",
    IF(F217&lt;=100, 18, IF(F217&lt;=250, 23, IF(F217&lt;=500, 35, IF(F217&lt;=1000, 40, F217*0.04)))),
IF(Basic34567891011121314151617[[#This Row],[نوع الخدمة]]="كاش اوت",
    IF(F217&lt;=100, 15, IF(F217&lt;=250, 20, IF(F217&lt;=500, 30, IF(F217&lt;=1000, 35, F217*0.035)))),
0)))</f>
        <v>0</v>
      </c>
      <c r="H217" s="159">
        <f>IF(I217="مخالفات",50,Basic34567891011121314151617[[#This Row],[قيمة الرسوم / العموله]]+Basic34567891011121314151617[[#This Row],[قيمة الشحنه]])</f>
        <v>0</v>
      </c>
      <c r="I217" s="90"/>
      <c r="J217" s="142" t="str">
        <f t="shared" si="3"/>
        <v>16.5.2026</v>
      </c>
      <c r="L217" s="153">
        <v>206</v>
      </c>
      <c r="M217" s="92"/>
    </row>
    <row r="218" spans="1:13" ht="21.6" x14ac:dyDescent="0.65">
      <c r="A218" s="195"/>
      <c r="B218" s="140">
        <v>215</v>
      </c>
      <c r="C218" s="2"/>
      <c r="D218" s="1"/>
      <c r="E218" s="3"/>
      <c r="F218" s="1"/>
      <c r="G218" s="141">
        <f>IF(Basic34567891011121314151617[[#This Row],[نوع الخدمة]]="مخالفات", 50,
IF(Basic34567891011121314151617[[#This Row],[نوع الخدمة]]="كاش ان",
    IF(F218&lt;=100, 18, IF(F218&lt;=250, 23, IF(F218&lt;=500, 35, IF(F218&lt;=1000, 40, F218*0.04)))),
IF(Basic34567891011121314151617[[#This Row],[نوع الخدمة]]="كاش اوت",
    IF(F218&lt;=100, 15, IF(F218&lt;=250, 20, IF(F218&lt;=500, 30, IF(F218&lt;=1000, 35, F218*0.035)))),
0)))</f>
        <v>0</v>
      </c>
      <c r="H218" s="159">
        <f>IF(I218="مخالفات",50,Basic34567891011121314151617[[#This Row],[قيمة الرسوم / العموله]]+Basic34567891011121314151617[[#This Row],[قيمة الشحنه]])</f>
        <v>0</v>
      </c>
      <c r="I218" s="90"/>
      <c r="J218" s="142" t="str">
        <f t="shared" si="3"/>
        <v>16.5.2026</v>
      </c>
      <c r="L218" s="153">
        <v>207</v>
      </c>
      <c r="M218" s="92"/>
    </row>
    <row r="219" spans="1:13" ht="21.6" x14ac:dyDescent="0.65">
      <c r="A219" s="195"/>
      <c r="B219" s="140">
        <v>216</v>
      </c>
      <c r="C219" s="2"/>
      <c r="D219" s="1"/>
      <c r="E219" s="3"/>
      <c r="F219" s="1"/>
      <c r="G219" s="141">
        <f>IF(Basic34567891011121314151617[[#This Row],[نوع الخدمة]]="مخالفات", 50,
IF(Basic34567891011121314151617[[#This Row],[نوع الخدمة]]="كاش ان",
    IF(F219&lt;=100, 18, IF(F219&lt;=250, 23, IF(F219&lt;=500, 35, IF(F219&lt;=1000, 40, F219*0.04)))),
IF(Basic34567891011121314151617[[#This Row],[نوع الخدمة]]="كاش اوت",
    IF(F219&lt;=100, 15, IF(F219&lt;=250, 20, IF(F219&lt;=500, 30, IF(F219&lt;=1000, 35, F219*0.035)))),
0)))</f>
        <v>0</v>
      </c>
      <c r="H219" s="159">
        <f>IF(I219="مخالفات",50,Basic34567891011121314151617[[#This Row],[قيمة الرسوم / العموله]]+Basic34567891011121314151617[[#This Row],[قيمة الشحنه]])</f>
        <v>0</v>
      </c>
      <c r="I219" s="90"/>
      <c r="J219" s="142" t="str">
        <f t="shared" si="3"/>
        <v>16.5.2026</v>
      </c>
      <c r="L219" s="153">
        <v>208</v>
      </c>
      <c r="M219" s="92"/>
    </row>
    <row r="220" spans="1:13" ht="21.6" x14ac:dyDescent="0.65">
      <c r="A220" s="195"/>
      <c r="B220" s="140">
        <v>217</v>
      </c>
      <c r="C220" s="2"/>
      <c r="D220" s="1"/>
      <c r="E220" s="3"/>
      <c r="F220" s="1"/>
      <c r="G220" s="141">
        <f>IF(Basic34567891011121314151617[[#This Row],[نوع الخدمة]]="مخالفات", 50,
IF(Basic34567891011121314151617[[#This Row],[نوع الخدمة]]="كاش ان",
    IF(F220&lt;=100, 18, IF(F220&lt;=250, 23, IF(F220&lt;=500, 35, IF(F220&lt;=1000, 40, F220*0.04)))),
IF(Basic34567891011121314151617[[#This Row],[نوع الخدمة]]="كاش اوت",
    IF(F220&lt;=100, 15, IF(F220&lt;=250, 20, IF(F220&lt;=500, 30, IF(F220&lt;=1000, 35, F220*0.035)))),
0)))</f>
        <v>0</v>
      </c>
      <c r="H220" s="159">
        <f>IF(I220="مخالفات",50,Basic34567891011121314151617[[#This Row],[قيمة الرسوم / العموله]]+Basic34567891011121314151617[[#This Row],[قيمة الشحنه]])</f>
        <v>0</v>
      </c>
      <c r="I220" s="90"/>
      <c r="J220" s="142" t="str">
        <f t="shared" si="3"/>
        <v>16.5.2026</v>
      </c>
      <c r="L220" s="153">
        <v>209</v>
      </c>
      <c r="M220" s="92"/>
    </row>
    <row r="221" spans="1:13" ht="21.6" x14ac:dyDescent="0.65">
      <c r="A221" s="195"/>
      <c r="B221" s="144">
        <v>218</v>
      </c>
      <c r="C221" s="2"/>
      <c r="D221" s="1"/>
      <c r="E221" s="3"/>
      <c r="F221" s="1"/>
      <c r="G221" s="141">
        <f>IF(Basic34567891011121314151617[[#This Row],[نوع الخدمة]]="مخالفات", 50,
IF(Basic34567891011121314151617[[#This Row],[نوع الخدمة]]="كاش ان",
    IF(F221&lt;=100, 18, IF(F221&lt;=250, 23, IF(F221&lt;=500, 35, IF(F221&lt;=1000, 40, F221*0.04)))),
IF(Basic34567891011121314151617[[#This Row],[نوع الخدمة]]="كاش اوت",
    IF(F221&lt;=100, 15, IF(F221&lt;=250, 20, IF(F221&lt;=500, 30, IF(F221&lt;=1000, 35, F221*0.035)))),
0)))</f>
        <v>0</v>
      </c>
      <c r="H221" s="159">
        <f>IF(I221="مخالفات",50,Basic34567891011121314151617[[#This Row],[قيمة الرسوم / العموله]]+Basic34567891011121314151617[[#This Row],[قيمة الشحنه]])</f>
        <v>0</v>
      </c>
      <c r="I221" s="90"/>
      <c r="J221" s="142" t="str">
        <f t="shared" si="3"/>
        <v>16.5.2026</v>
      </c>
      <c r="L221" s="153">
        <v>210</v>
      </c>
      <c r="M221" s="92"/>
    </row>
    <row r="222" spans="1:13" ht="21.6" x14ac:dyDescent="0.65">
      <c r="A222" s="195"/>
      <c r="B222" s="140">
        <v>219</v>
      </c>
      <c r="C222" s="2"/>
      <c r="D222" s="1"/>
      <c r="E222" s="3"/>
      <c r="F222" s="1"/>
      <c r="G222" s="141">
        <f>IF(Basic34567891011121314151617[[#This Row],[نوع الخدمة]]="مخالفات", 50,
IF(Basic34567891011121314151617[[#This Row],[نوع الخدمة]]="كاش ان",
    IF(F222&lt;=100, 18, IF(F222&lt;=250, 23, IF(F222&lt;=500, 35, IF(F222&lt;=1000, 40, F222*0.04)))),
IF(Basic34567891011121314151617[[#This Row],[نوع الخدمة]]="كاش اوت",
    IF(F222&lt;=100, 15, IF(F222&lt;=250, 20, IF(F222&lt;=500, 30, IF(F222&lt;=1000, 35, F222*0.035)))),
0)))</f>
        <v>0</v>
      </c>
      <c r="H222" s="159">
        <f>IF(I222="مخالفات",50,Basic34567891011121314151617[[#This Row],[قيمة الرسوم / العموله]]+Basic34567891011121314151617[[#This Row],[قيمة الشحنه]])</f>
        <v>0</v>
      </c>
      <c r="I222" s="90"/>
      <c r="J222" s="142" t="str">
        <f t="shared" si="3"/>
        <v>16.5.2026</v>
      </c>
      <c r="L222" s="153">
        <v>211</v>
      </c>
      <c r="M222" s="92"/>
    </row>
    <row r="223" spans="1:13" ht="21.6" x14ac:dyDescent="0.65">
      <c r="A223" s="195"/>
      <c r="B223" s="140">
        <v>220</v>
      </c>
      <c r="C223" s="2"/>
      <c r="D223" s="1"/>
      <c r="E223" s="3"/>
      <c r="F223" s="1"/>
      <c r="G223" s="141">
        <f>IF(Basic34567891011121314151617[[#This Row],[نوع الخدمة]]="مخالفات", 50,
IF(Basic34567891011121314151617[[#This Row],[نوع الخدمة]]="كاش ان",
    IF(F223&lt;=100, 18, IF(F223&lt;=250, 23, IF(F223&lt;=500, 35, IF(F223&lt;=1000, 40, F223*0.04)))),
IF(Basic34567891011121314151617[[#This Row],[نوع الخدمة]]="كاش اوت",
    IF(F223&lt;=100, 15, IF(F223&lt;=250, 20, IF(F223&lt;=500, 30, IF(F223&lt;=1000, 35, F223*0.035)))),
0)))</f>
        <v>0</v>
      </c>
      <c r="H223" s="159">
        <f>IF(I223="مخالفات",50,Basic34567891011121314151617[[#This Row],[قيمة الرسوم / العموله]]+Basic34567891011121314151617[[#This Row],[قيمة الشحنه]])</f>
        <v>0</v>
      </c>
      <c r="I223" s="90"/>
      <c r="J223" s="142" t="str">
        <f t="shared" si="3"/>
        <v>16.5.2026</v>
      </c>
      <c r="L223" s="153">
        <v>212</v>
      </c>
      <c r="M223" s="92"/>
    </row>
    <row r="224" spans="1:13" ht="21.6" x14ac:dyDescent="0.65">
      <c r="A224" s="195"/>
      <c r="B224" s="140">
        <v>221</v>
      </c>
      <c r="C224" s="2"/>
      <c r="D224" s="1"/>
      <c r="E224" s="3"/>
      <c r="F224" s="1"/>
      <c r="G224" s="141">
        <f>IF(Basic34567891011121314151617[[#This Row],[نوع الخدمة]]="مخالفات", 50,
IF(Basic34567891011121314151617[[#This Row],[نوع الخدمة]]="كاش ان",
    IF(F224&lt;=100, 18, IF(F224&lt;=250, 23, IF(F224&lt;=500, 35, IF(F224&lt;=1000, 40, F224*0.04)))),
IF(Basic34567891011121314151617[[#This Row],[نوع الخدمة]]="كاش اوت",
    IF(F224&lt;=100, 15, IF(F224&lt;=250, 20, IF(F224&lt;=500, 30, IF(F224&lt;=1000, 35, F224*0.035)))),
0)))</f>
        <v>0</v>
      </c>
      <c r="H224" s="159">
        <f>IF(I224="مخالفات",50,Basic34567891011121314151617[[#This Row],[قيمة الرسوم / العموله]]+Basic34567891011121314151617[[#This Row],[قيمة الشحنه]])</f>
        <v>0</v>
      </c>
      <c r="I224" s="90"/>
      <c r="J224" s="142" t="str">
        <f t="shared" si="3"/>
        <v>16.5.2026</v>
      </c>
      <c r="L224" s="153">
        <v>213</v>
      </c>
      <c r="M224" s="92"/>
    </row>
    <row r="225" spans="1:13" ht="21.6" x14ac:dyDescent="0.65">
      <c r="A225" s="195"/>
      <c r="B225" s="144">
        <v>222</v>
      </c>
      <c r="C225" s="2"/>
      <c r="D225" s="1"/>
      <c r="E225" s="3"/>
      <c r="F225" s="1"/>
      <c r="G225" s="141">
        <f>IF(Basic34567891011121314151617[[#This Row],[نوع الخدمة]]="مخالفات", 50,
IF(Basic34567891011121314151617[[#This Row],[نوع الخدمة]]="كاش ان",
    IF(F225&lt;=100, 18, IF(F225&lt;=250, 23, IF(F225&lt;=500, 35, IF(F225&lt;=1000, 40, F225*0.04)))),
IF(Basic34567891011121314151617[[#This Row],[نوع الخدمة]]="كاش اوت",
    IF(F225&lt;=100, 15, IF(F225&lt;=250, 20, IF(F225&lt;=500, 30, IF(F225&lt;=1000, 35, F225*0.035)))),
0)))</f>
        <v>0</v>
      </c>
      <c r="H225" s="159">
        <f>IF(I225="مخالفات",50,Basic34567891011121314151617[[#This Row],[قيمة الرسوم / العموله]]+Basic34567891011121314151617[[#This Row],[قيمة الشحنه]])</f>
        <v>0</v>
      </c>
      <c r="I225" s="90"/>
      <c r="J225" s="142" t="str">
        <f t="shared" si="3"/>
        <v>16.5.2026</v>
      </c>
      <c r="L225" s="153">
        <v>214</v>
      </c>
      <c r="M225" s="92"/>
    </row>
    <row r="226" spans="1:13" ht="21.6" x14ac:dyDescent="0.65">
      <c r="A226" s="195"/>
      <c r="B226" s="140">
        <v>223</v>
      </c>
      <c r="C226" s="4"/>
      <c r="D226" s="5"/>
      <c r="E226" s="6"/>
      <c r="F226" s="5"/>
      <c r="G226" s="141">
        <f>IF(Basic34567891011121314151617[[#This Row],[نوع الخدمة]]="مخالفات", 50,
IF(Basic34567891011121314151617[[#This Row],[نوع الخدمة]]="كاش ان",
    IF(F226&lt;=100, 18, IF(F226&lt;=250, 23, IF(F226&lt;=500, 35, IF(F226&lt;=1000, 40, F226*0.04)))),
IF(Basic34567891011121314151617[[#This Row],[نوع الخدمة]]="كاش اوت",
    IF(F226&lt;=100, 15, IF(F226&lt;=250, 20, IF(F226&lt;=500, 30, IF(F226&lt;=1000, 35, F226*0.035)))),
0)))</f>
        <v>0</v>
      </c>
      <c r="H226" s="160">
        <f>IF(I226="مخالفات",50,Basic34567891011121314151617[[#This Row],[قيمة الرسوم / العموله]]+Basic34567891011121314151617[[#This Row],[قيمة الشحنه]])</f>
        <v>0</v>
      </c>
      <c r="I226" s="90"/>
      <c r="J226" s="142" t="str">
        <f t="shared" si="3"/>
        <v>16.5.2026</v>
      </c>
      <c r="L226" s="156">
        <v>215</v>
      </c>
      <c r="M226" s="93"/>
    </row>
  </sheetData>
  <sheetProtection algorithmName="SHA-512" hashValue="bGfed28ndmImgaevqkA2TB27f43VDKZZeUDyMGB/DNAJodnUKI+T2LP9PB3JIvx62YLgs10zj7WJ2Pvdyop/Ig==" saltValue="4YAdwKGiwoL2mm/pI8GNcg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63" priority="12" operator="equal">
      <formula>$BH$10</formula>
    </cfRule>
    <cfRule type="cellIs" dxfId="62" priority="13" operator="equal">
      <formula>$BH$9</formula>
    </cfRule>
    <cfRule type="cellIs" dxfId="61" priority="14" operator="equal">
      <formula>$BH$8</formula>
    </cfRule>
  </conditionalFormatting>
  <conditionalFormatting sqref="P11">
    <cfRule type="cellIs" dxfId="60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{2514D43F-8670-4000-AEB4-83173C708896}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{289A4DAE-3E6E-4024-96D9-E30F6DD7F4FE}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{3C096DD8-B104-43FF-B0A4-3170DC2CCB03}</x14:id>
        </ext>
      </extLst>
    </cfRule>
  </conditionalFormatting>
  <dataValidations count="2">
    <dataValidation type="textLength" operator="equal" allowBlank="1" showInputMessage="1" showErrorMessage="1" errorTitle="يجب إخال رقم IPN صحيح 13 رقم" sqref="C1:C1048576" xr:uid="{00000000-0002-0000-0F00-000000000000}">
      <formula1>13</formula1>
    </dataValidation>
    <dataValidation type="list" allowBlank="1" showInputMessage="1" showErrorMessage="1" sqref="I4:I226" xr:uid="{00000000-0002-0000-0F00-000001000000}">
      <formula1>$BH$8:$BH$10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514D43F-8670-4000-AEB4-83173C708896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289A4DAE-3E6E-4024-96D9-E30F6DD7F4F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3C096DD8-B104-43FF-B0A4-3170DC2CCB03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H226"/>
  <sheetViews>
    <sheetView showGridLines="0" showRowColHeaders="0" rightToLeft="1" topLeftCell="E1" zoomScale="80" zoomScaleNormal="80" workbookViewId="0">
      <selection activeCell="R10" sqref="R10:W10"/>
    </sheetView>
  </sheetViews>
  <sheetFormatPr defaultColWidth="9.109375" defaultRowHeight="14.4" x14ac:dyDescent="0.3"/>
  <cols>
    <col min="1" max="1" width="4.109375" style="124" customWidth="1"/>
    <col min="2" max="2" width="6.5546875" style="125" bestFit="1" customWidth="1"/>
    <col min="3" max="3" width="28.33203125" style="126" customWidth="1"/>
    <col min="4" max="4" width="15.6640625" style="124" customWidth="1"/>
    <col min="5" max="5" width="17.5546875" style="157" customWidth="1"/>
    <col min="6" max="6" width="12.88671875" style="124" bestFit="1" customWidth="1"/>
    <col min="7" max="7" width="19" style="124" bestFit="1" customWidth="1"/>
    <col min="8" max="8" width="19" style="124" customWidth="1"/>
    <col min="9" max="9" width="12.44140625" style="128" bestFit="1" customWidth="1"/>
    <col min="10" max="10" width="14.88671875" style="129" customWidth="1"/>
    <col min="11" max="11" width="3.5546875" style="124" customWidth="1"/>
    <col min="12" max="12" width="8.5546875" style="124" bestFit="1" customWidth="1"/>
    <col min="13" max="13" width="23" style="124" customWidth="1"/>
    <col min="14" max="14" width="4.33203125" style="124" customWidth="1"/>
    <col min="15" max="15" width="26.5546875" style="124" bestFit="1" customWidth="1"/>
    <col min="16" max="16" width="13.88671875" style="124" customWidth="1"/>
    <col min="17" max="17" width="3.5546875" style="124" customWidth="1"/>
    <col min="18" max="19" width="17.109375" style="128" customWidth="1"/>
    <col min="20" max="20" width="11.5546875" style="128" bestFit="1" customWidth="1"/>
    <col min="21" max="21" width="10.5546875" style="128" bestFit="1" customWidth="1"/>
    <col min="22" max="22" width="10.109375" style="128" bestFit="1" customWidth="1"/>
    <col min="23" max="23" width="7.88671875" style="128" customWidth="1"/>
    <col min="24" max="24" width="12.6640625" style="128" customWidth="1"/>
    <col min="25" max="16384" width="9.109375" style="124"/>
  </cols>
  <sheetData>
    <row r="1" spans="1:60" x14ac:dyDescent="0.3">
      <c r="E1" s="127">
        <f>Total!F5</f>
        <v>69</v>
      </c>
      <c r="F1" s="192" t="str">
        <f>Total!G5</f>
        <v>العبور</v>
      </c>
      <c r="G1" s="192"/>
      <c r="H1" s="192"/>
    </row>
    <row r="3" spans="1:60" ht="15.6" x14ac:dyDescent="0.3">
      <c r="B3" s="130" t="s">
        <v>0</v>
      </c>
      <c r="C3" s="131" t="s">
        <v>1</v>
      </c>
      <c r="D3" s="132" t="s">
        <v>2</v>
      </c>
      <c r="E3" s="133" t="s">
        <v>3</v>
      </c>
      <c r="F3" s="132" t="s">
        <v>4</v>
      </c>
      <c r="G3" s="132" t="s">
        <v>5</v>
      </c>
      <c r="H3" s="132" t="s">
        <v>76</v>
      </c>
      <c r="I3" s="132" t="s">
        <v>6</v>
      </c>
      <c r="J3" s="134" t="s">
        <v>7</v>
      </c>
      <c r="L3" s="135" t="s">
        <v>7</v>
      </c>
      <c r="M3" s="7" t="s">
        <v>86</v>
      </c>
      <c r="O3" s="137" t="s">
        <v>17</v>
      </c>
      <c r="P3" s="138">
        <f>M5+M6</f>
        <v>0</v>
      </c>
      <c r="T3" s="173"/>
      <c r="U3" s="173"/>
      <c r="V3" s="173"/>
      <c r="W3" s="173"/>
      <c r="X3" s="173"/>
    </row>
    <row r="4" spans="1:60" ht="21.6" x14ac:dyDescent="0.65">
      <c r="A4" s="195"/>
      <c r="B4" s="140">
        <v>1</v>
      </c>
      <c r="C4" s="8"/>
      <c r="D4" s="9"/>
      <c r="E4" s="10"/>
      <c r="F4" s="9"/>
      <c r="G4" s="141">
        <f>IF(Basic345678910111213141516[[#This Row],[نوع الخدمة]]="مخالفات", 50,
IF(Basic345678910111213141516[[#This Row],[نوع الخدمة]]="كاش ان",
    IF(F4&lt;=100, 18, IF(F4&lt;=250, 23, IF(F4&lt;=500, 35, IF(F4&lt;=1000, 40, F4*0.04)))),
IF(Basic345678910111213141516[[#This Row],[نوع الخدمة]]="كاش اوت",
    IF(F4&lt;=100, 15, IF(F4&lt;=250, 20, IF(F4&lt;=500, 30, IF(F4&lt;=1000, 35, F4*0.035)))),
0)))</f>
        <v>0</v>
      </c>
      <c r="H4" s="141">
        <f>IF(I4="مخالفات",50,Basic345678910111213141516[[#This Row],[قيمة الرسوم / العموله]]+Basic345678910111213141516[[#This Row],[قيمة الشحنه]])</f>
        <v>0</v>
      </c>
      <c r="I4" s="90"/>
      <c r="J4" s="142" t="str">
        <f t="shared" ref="J4:J67" si="0">M$3</f>
        <v>17.5.2026</v>
      </c>
      <c r="L4" s="135" t="s">
        <v>26</v>
      </c>
      <c r="M4" s="90">
        <v>0</v>
      </c>
      <c r="O4" s="137" t="s">
        <v>18</v>
      </c>
      <c r="P4" s="138">
        <f>M4</f>
        <v>0</v>
      </c>
      <c r="S4" s="143" t="s">
        <v>22</v>
      </c>
      <c r="T4" s="143" t="s">
        <v>23</v>
      </c>
      <c r="U4" s="173"/>
      <c r="V4" s="173"/>
      <c r="W4" s="173"/>
      <c r="X4" s="173"/>
    </row>
    <row r="5" spans="1:60" ht="21.6" x14ac:dyDescent="0.65">
      <c r="A5" s="195"/>
      <c r="B5" s="144">
        <v>2</v>
      </c>
      <c r="C5" s="8"/>
      <c r="D5" s="9"/>
      <c r="E5" s="10"/>
      <c r="F5" s="9"/>
      <c r="G5" s="141">
        <f>IF(Basic345678910111213141516[[#This Row],[نوع الخدمة]]="مخالفات", 50,
IF(Basic345678910111213141516[[#This Row],[نوع الخدمة]]="كاش ان",
    IF(F5&lt;=100, 18, IF(F5&lt;=250, 23, IF(F5&lt;=500, 35, IF(F5&lt;=1000, 40, F5*0.04)))),
IF(Basic345678910111213141516[[#This Row],[نوع الخدمة]]="كاش اوت",
    IF(F5&lt;=100, 15, IF(F5&lt;=250, 20, IF(F5&lt;=500, 30, IF(F5&lt;=1000, 35, F5*0.035)))),
0)))</f>
        <v>0</v>
      </c>
      <c r="H5" s="141">
        <f>IF(I5="مخالفات",50,Basic345678910111213141516[[#This Row],[قيمة الرسوم / العموله]]+Basic345678910111213141516[[#This Row],[قيمة الشحنه]])</f>
        <v>0</v>
      </c>
      <c r="I5" s="90"/>
      <c r="J5" s="142" t="str">
        <f t="shared" si="0"/>
        <v>17.5.2026</v>
      </c>
      <c r="L5" s="135" t="s">
        <v>27</v>
      </c>
      <c r="M5" s="90"/>
      <c r="O5" s="137" t="s">
        <v>19</v>
      </c>
      <c r="P5" s="138">
        <f>SUMIF(Basic345678910111213141516[نوع الخدمة],"كاش ان",Basic345678910111213141516[قيمة الشحنه])</f>
        <v>0</v>
      </c>
      <c r="S5" s="145">
        <f>P5+P9+P12+P7</f>
        <v>0</v>
      </c>
      <c r="T5" s="145">
        <f>P3</f>
        <v>0</v>
      </c>
    </row>
    <row r="6" spans="1:60" ht="21.6" x14ac:dyDescent="0.65">
      <c r="A6" s="195"/>
      <c r="B6" s="140">
        <v>3</v>
      </c>
      <c r="C6" s="8"/>
      <c r="D6" s="9"/>
      <c r="E6" s="10"/>
      <c r="F6" s="9"/>
      <c r="G6" s="141">
        <f>IF(Basic345678910111213141516[[#This Row],[نوع الخدمة]]="مخالفات", 50,
IF(Basic345678910111213141516[[#This Row],[نوع الخدمة]]="كاش ان",
    IF(F6&lt;=100, 18, IF(F6&lt;=250, 23, IF(F6&lt;=500, 35, IF(F6&lt;=1000, 40, F6*0.04)))),
IF(Basic345678910111213141516[[#This Row],[نوع الخدمة]]="كاش اوت",
    IF(F6&lt;=100, 15, IF(F6&lt;=250, 20, IF(F6&lt;=500, 30, IF(F6&lt;=1000, 35, F6*0.035)))),
0)))</f>
        <v>0</v>
      </c>
      <c r="H6" s="141">
        <f>IF(I6="مخالفات",50,Basic345678910111213141516[[#This Row],[قيمة الرسوم / العموله]]+Basic345678910111213141516[[#This Row],[قيمة الشحنه]])</f>
        <v>0</v>
      </c>
      <c r="I6" s="90"/>
      <c r="J6" s="142" t="str">
        <f t="shared" si="0"/>
        <v>17.5.2026</v>
      </c>
      <c r="L6" s="135" t="s">
        <v>28</v>
      </c>
      <c r="M6" s="90"/>
      <c r="O6" s="146" t="s">
        <v>12</v>
      </c>
      <c r="P6" s="138">
        <f>P3*150</f>
        <v>0</v>
      </c>
    </row>
    <row r="7" spans="1:60" ht="21.6" x14ac:dyDescent="0.65">
      <c r="A7" s="195"/>
      <c r="B7" s="140">
        <v>4</v>
      </c>
      <c r="C7" s="8"/>
      <c r="D7" s="9"/>
      <c r="E7" s="10"/>
      <c r="F7" s="9"/>
      <c r="G7" s="141">
        <f>IF(Basic345678910111213141516[[#This Row],[نوع الخدمة]]="مخالفات", 50,
IF(Basic345678910111213141516[[#This Row],[نوع الخدمة]]="كاش ان",
    IF(F7&lt;=100, 18, IF(F7&lt;=250, 23, IF(F7&lt;=500, 35, IF(F7&lt;=1000, 40, F7*0.04)))),
IF(Basic345678910111213141516[[#This Row],[نوع الخدمة]]="كاش اوت",
    IF(F7&lt;=100, 15, IF(F7&lt;=250, 20, IF(F7&lt;=500, 30, IF(F7&lt;=1000, 35, F7*0.035)))),
0)))</f>
        <v>0</v>
      </c>
      <c r="H7" s="141">
        <f>IF(I7="مخالفات",50,Basic345678910111213141516[[#This Row],[قيمة الرسوم / العموله]]+Basic345678910111213141516[[#This Row],[قيمة الشحنه]])</f>
        <v>0</v>
      </c>
      <c r="I7" s="90"/>
      <c r="J7" s="142" t="str">
        <f t="shared" si="0"/>
        <v>17.5.2026</v>
      </c>
      <c r="L7" s="137" t="s">
        <v>11</v>
      </c>
      <c r="M7" s="165"/>
      <c r="O7" s="146" t="s">
        <v>75</v>
      </c>
      <c r="P7" s="138">
        <f>SUMIF(Basic345678910111213141516[نوع الخدمة],"مخالفات",Basic345678910111213141516[الاجمــــــــــالي])</f>
        <v>0</v>
      </c>
      <c r="R7" s="173"/>
      <c r="S7" s="173"/>
    </row>
    <row r="8" spans="1:60" ht="21.6" x14ac:dyDescent="0.65">
      <c r="A8" s="195"/>
      <c r="B8" s="140">
        <v>5</v>
      </c>
      <c r="C8" s="8"/>
      <c r="D8" s="9"/>
      <c r="E8" s="10"/>
      <c r="F8" s="9"/>
      <c r="G8" s="141">
        <f>IF(Basic345678910111213141516[[#This Row],[نوع الخدمة]]="مخالفات", 50,
IF(Basic345678910111213141516[[#This Row],[نوع الخدمة]]="كاش ان",
    IF(F8&lt;=100, 18, IF(F8&lt;=250, 23, IF(F8&lt;=500, 35, IF(F8&lt;=1000, 40, F8*0.04)))),
IF(Basic345678910111213141516[[#This Row],[نوع الخدمة]]="كاش اوت",
    IF(F8&lt;=100, 15, IF(F8&lt;=250, 20, IF(F8&lt;=500, 30, IF(F8&lt;=1000, 35, F8*0.035)))),
0)))</f>
        <v>0</v>
      </c>
      <c r="H8" s="141">
        <f>IF(I8="مخالفات",50,Basic345678910111213141516[[#This Row],[قيمة الرسوم / العموله]]+Basic345678910111213141516[[#This Row],[قيمة الشحنه]])</f>
        <v>0</v>
      </c>
      <c r="I8" s="90"/>
      <c r="J8" s="142" t="str">
        <f t="shared" si="0"/>
        <v>17.5.2026</v>
      </c>
      <c r="L8" s="166" t="s">
        <v>79</v>
      </c>
      <c r="M8" s="167">
        <v>0</v>
      </c>
      <c r="O8" s="137" t="s">
        <v>11</v>
      </c>
      <c r="P8" s="138">
        <f>M7</f>
        <v>0</v>
      </c>
      <c r="R8" s="143" t="s">
        <v>72</v>
      </c>
      <c r="S8" s="143" t="s">
        <v>25</v>
      </c>
      <c r="T8" s="143" t="s">
        <v>24</v>
      </c>
      <c r="U8" s="143" t="s">
        <v>73</v>
      </c>
      <c r="V8" s="143" t="s">
        <v>25</v>
      </c>
      <c r="W8" s="143" t="s">
        <v>24</v>
      </c>
      <c r="BH8" s="148" t="s">
        <v>8</v>
      </c>
    </row>
    <row r="9" spans="1:60" ht="18" customHeight="1" x14ac:dyDescent="0.65">
      <c r="A9" s="195"/>
      <c r="B9" s="144">
        <v>6</v>
      </c>
      <c r="C9" s="8"/>
      <c r="D9" s="9"/>
      <c r="E9" s="10"/>
      <c r="F9" s="9"/>
      <c r="G9" s="141">
        <f>IF(Basic345678910111213141516[[#This Row],[نوع الخدمة]]="مخالفات", 50,
IF(Basic345678910111213141516[[#This Row],[نوع الخدمة]]="كاش ان",
    IF(F9&lt;=100, 18, IF(F9&lt;=250, 23, IF(F9&lt;=500, 35, IF(F9&lt;=1000, 40, F9*0.04)))),
IF(Basic345678910111213141516[[#This Row],[نوع الخدمة]]="كاش اوت",
    IF(F9&lt;=100, 15, IF(F9&lt;=250, 20, IF(F9&lt;=500, 30, IF(F9&lt;=1000, 35, F9*0.035)))),
0)))</f>
        <v>0</v>
      </c>
      <c r="H9" s="141">
        <f>IF(I9="مخالفات",50,Basic345678910111213141516[[#This Row],[قيمة الرسوم / العموله]]+Basic345678910111213141516[[#This Row],[قيمة الشحنه]])</f>
        <v>0</v>
      </c>
      <c r="I9" s="90"/>
      <c r="J9" s="142" t="str">
        <f t="shared" si="0"/>
        <v>17.5.2026</v>
      </c>
      <c r="L9" s="166" t="s">
        <v>80</v>
      </c>
      <c r="M9" s="167">
        <v>0</v>
      </c>
      <c r="O9" s="137" t="s">
        <v>20</v>
      </c>
      <c r="P9" s="138">
        <f>SUMIF(Basic345678910111213141516[نوع الخدمة],"كاش ان",Basic345678910111213141516[قيمة الرسوم / العموله])</f>
        <v>0</v>
      </c>
      <c r="R9" s="149">
        <f>Total!H5/24</f>
        <v>29166.666666666668</v>
      </c>
      <c r="S9" s="149">
        <f>S5</f>
        <v>0</v>
      </c>
      <c r="T9" s="150">
        <f>S9/R9</f>
        <v>0</v>
      </c>
      <c r="U9" s="149">
        <f>Total!K5/24</f>
        <v>2.9166666666666665</v>
      </c>
      <c r="V9" s="149">
        <f>T5</f>
        <v>0</v>
      </c>
      <c r="W9" s="150">
        <f>V9/U9</f>
        <v>0</v>
      </c>
      <c r="BH9" s="148" t="s">
        <v>9</v>
      </c>
    </row>
    <row r="10" spans="1:60" ht="21.6" x14ac:dyDescent="0.65">
      <c r="A10" s="195"/>
      <c r="B10" s="140">
        <v>7</v>
      </c>
      <c r="C10" s="8"/>
      <c r="D10" s="9"/>
      <c r="E10" s="10"/>
      <c r="F10" s="9"/>
      <c r="G10" s="141">
        <f>IF(Basic345678910111213141516[[#This Row],[نوع الخدمة]]="مخالفات", 50,
IF(Basic345678910111213141516[[#This Row],[نوع الخدمة]]="كاش ان",
    IF(F10&lt;=100, 18, IF(F10&lt;=250, 23, IF(F10&lt;=500, 35, IF(F10&lt;=1000, 40, F10*0.04)))),
IF(Basic345678910111213141516[[#This Row],[نوع الخدمة]]="كاش اوت",
    IF(F10&lt;=100, 15, IF(F10&lt;=250, 20, IF(F10&lt;=500, 30, IF(F10&lt;=1000, 35, F10*0.035)))),
0)))</f>
        <v>0</v>
      </c>
      <c r="H10" s="141">
        <f>IF(I10="مخالفات",50,Basic345678910111213141516[[#This Row],[قيمة الرسوم / العموله]]+Basic345678910111213141516[[#This Row],[قيمة الشحنه]])</f>
        <v>0</v>
      </c>
      <c r="I10" s="90"/>
      <c r="J10" s="142" t="str">
        <f t="shared" si="0"/>
        <v>17.5.2026</v>
      </c>
      <c r="O10" s="137" t="s">
        <v>16</v>
      </c>
      <c r="P10" s="138">
        <f>SUMIF(Basic345678910111213141516[نوع الخدمة],"كاش اوت",Basic345678910111213141516[قيمة الشحنه])</f>
        <v>0</v>
      </c>
      <c r="R10" s="191">
        <f>(W9+T9)/2</f>
        <v>0</v>
      </c>
      <c r="S10" s="191"/>
      <c r="T10" s="191"/>
      <c r="U10" s="191"/>
      <c r="V10" s="191"/>
      <c r="W10" s="191"/>
      <c r="BH10" s="148" t="s">
        <v>10</v>
      </c>
    </row>
    <row r="11" spans="1:60" ht="21.6" x14ac:dyDescent="0.65">
      <c r="A11" s="195"/>
      <c r="B11" s="140">
        <v>8</v>
      </c>
      <c r="C11" s="8"/>
      <c r="D11" s="9"/>
      <c r="E11" s="10"/>
      <c r="F11" s="9"/>
      <c r="G11" s="141">
        <f>IF(Basic345678910111213141516[[#This Row],[نوع الخدمة]]="مخالفات", 50,
IF(Basic345678910111213141516[[#This Row],[نوع الخدمة]]="كاش ان",
    IF(F11&lt;=100, 18, IF(F11&lt;=250, 23, IF(F11&lt;=500, 35, IF(F11&lt;=1000, 40, F11*0.04)))),
IF(Basic345678910111213141516[[#This Row],[نوع الخدمة]]="كاش اوت",
    IF(F11&lt;=100, 15, IF(F11&lt;=250, 20, IF(F11&lt;=500, 30, IF(F11&lt;=1000, 35, F11*0.035)))),
0)))</f>
        <v>0</v>
      </c>
      <c r="H11" s="141">
        <f>IF(I11="مخالفات",50,Basic345678910111213141516[[#This Row],[قيمة الرسوم / العموله]]+Basic345678910111213141516[[#This Row],[قيمة الشحنه]])</f>
        <v>0</v>
      </c>
      <c r="I11" s="90"/>
      <c r="J11" s="142" t="str">
        <f t="shared" si="0"/>
        <v>17.5.2026</v>
      </c>
      <c r="L11" s="169" t="s">
        <v>77</v>
      </c>
      <c r="M11" s="168" t="s">
        <v>78</v>
      </c>
      <c r="O11" s="151" t="s">
        <v>21</v>
      </c>
      <c r="P11" s="152">
        <f>(P5+P6+P9+P7+P4)-P10-P8</f>
        <v>0</v>
      </c>
      <c r="T11" s="173"/>
    </row>
    <row r="12" spans="1:60" ht="21.6" x14ac:dyDescent="0.65">
      <c r="A12" s="195"/>
      <c r="B12" s="140">
        <v>9</v>
      </c>
      <c r="C12" s="8"/>
      <c r="D12" s="9"/>
      <c r="E12" s="10"/>
      <c r="F12" s="9"/>
      <c r="G12" s="141">
        <f>IF(Basic345678910111213141516[[#This Row],[نوع الخدمة]]="مخالفات", 50,
IF(Basic345678910111213141516[[#This Row],[نوع الخدمة]]="كاش ان",
    IF(F12&lt;=100, 18, IF(F12&lt;=250, 23, IF(F12&lt;=500, 35, IF(F12&lt;=1000, 40, F12*0.04)))),
IF(Basic345678910111213141516[[#This Row],[نوع الخدمة]]="كاش اوت",
    IF(F12&lt;=100, 15, IF(F12&lt;=250, 20, IF(F12&lt;=500, 30, IF(F12&lt;=1000, 35, F12*0.035)))),
0)))</f>
        <v>0</v>
      </c>
      <c r="H12" s="141">
        <f>IF(I12="مخالفات",50,Basic345678910111213141516[[#This Row],[قيمة الرسوم / العموله]]+Basic345678910111213141516[[#This Row],[قيمة الشحنه]])</f>
        <v>0</v>
      </c>
      <c r="I12" s="90"/>
      <c r="J12" s="142" t="str">
        <f t="shared" si="0"/>
        <v>17.5.2026</v>
      </c>
      <c r="L12" s="153">
        <v>1</v>
      </c>
      <c r="M12" s="91"/>
      <c r="O12" s="137" t="s">
        <v>29</v>
      </c>
      <c r="P12" s="138">
        <f>SUMIF(Basic345678910111213141516[نوع الخدمة],"كاش اوت",Basic345678910111213141516[الاجمــــــــــالي])</f>
        <v>0</v>
      </c>
    </row>
    <row r="13" spans="1:60" ht="21.6" x14ac:dyDescent="0.65">
      <c r="A13" s="195"/>
      <c r="B13" s="144">
        <v>10</v>
      </c>
      <c r="C13" s="8"/>
      <c r="D13" s="9"/>
      <c r="E13" s="10"/>
      <c r="F13" s="9"/>
      <c r="G13" s="141">
        <f>IF(Basic345678910111213141516[[#This Row],[نوع الخدمة]]="مخالفات", 50,
IF(Basic345678910111213141516[[#This Row],[نوع الخدمة]]="كاش ان",
    IF(F13&lt;=100, 18, IF(F13&lt;=250, 23, IF(F13&lt;=500, 35, IF(F13&lt;=1000, 40, F13*0.04)))),
IF(Basic345678910111213141516[[#This Row],[نوع الخدمة]]="كاش اوت",
    IF(F13&lt;=100, 15, IF(F13&lt;=250, 20, IF(F13&lt;=500, 30, IF(F13&lt;=1000, 35, F13*0.035)))),
0)))</f>
        <v>0</v>
      </c>
      <c r="H13" s="141">
        <f>IF(I13="مخالفات",50,Basic345678910111213141516[[#This Row],[قيمة الرسوم / العموله]]+Basic345678910111213141516[[#This Row],[قيمة الشحنه]])</f>
        <v>0</v>
      </c>
      <c r="I13" s="90"/>
      <c r="J13" s="142" t="str">
        <f t="shared" si="0"/>
        <v>17.5.2026</v>
      </c>
      <c r="L13" s="153">
        <v>2</v>
      </c>
      <c r="M13" s="92"/>
    </row>
    <row r="14" spans="1:60" ht="21.6" x14ac:dyDescent="0.65">
      <c r="A14" s="195"/>
      <c r="B14" s="140">
        <v>11</v>
      </c>
      <c r="C14" s="2"/>
      <c r="D14" s="1"/>
      <c r="E14" s="3"/>
      <c r="F14" s="1"/>
      <c r="G14" s="141">
        <f>IF(Basic345678910111213141516[[#This Row],[نوع الخدمة]]="مخالفات", 50,
IF(Basic345678910111213141516[[#This Row],[نوع الخدمة]]="كاش ان",
    IF(F14&lt;=100, 18, IF(F14&lt;=250, 23, IF(F14&lt;=500, 35, IF(F14&lt;=1000, 40, F14*0.04)))),
IF(Basic345678910111213141516[[#This Row],[نوع الخدمة]]="كاش اوت",
    IF(F14&lt;=100, 15, IF(F14&lt;=250, 20, IF(F14&lt;=500, 30, IF(F14&lt;=1000, 35, F14*0.035)))),
0)))</f>
        <v>0</v>
      </c>
      <c r="H14" s="159">
        <f>IF(I14="مخالفات",50,Basic345678910111213141516[[#This Row],[قيمة الرسوم / العموله]]+Basic345678910111213141516[[#This Row],[قيمة الشحنه]])</f>
        <v>0</v>
      </c>
      <c r="I14" s="90"/>
      <c r="J14" s="142" t="str">
        <f t="shared" si="0"/>
        <v>17.5.2026</v>
      </c>
      <c r="L14" s="153">
        <v>3</v>
      </c>
      <c r="M14" s="92"/>
    </row>
    <row r="15" spans="1:60" ht="21.6" x14ac:dyDescent="0.65">
      <c r="A15" s="195"/>
      <c r="B15" s="140">
        <v>12</v>
      </c>
      <c r="C15" s="2"/>
      <c r="D15" s="1"/>
      <c r="E15" s="3"/>
      <c r="F15" s="1"/>
      <c r="G15" s="141">
        <f>IF(Basic345678910111213141516[[#This Row],[نوع الخدمة]]="مخالفات", 50,
IF(Basic345678910111213141516[[#This Row],[نوع الخدمة]]="كاش ان",
    IF(F15&lt;=100, 18, IF(F15&lt;=250, 23, IF(F15&lt;=500, 35, IF(F15&lt;=1000, 40, F15*0.04)))),
IF(Basic345678910111213141516[[#This Row],[نوع الخدمة]]="كاش اوت",
    IF(F15&lt;=100, 15, IF(F15&lt;=250, 20, IF(F15&lt;=500, 30, IF(F15&lt;=1000, 35, F15*0.035)))),
0)))</f>
        <v>0</v>
      </c>
      <c r="H15" s="159">
        <f>IF(I15="مخالفات",50,Basic345678910111213141516[[#This Row],[قيمة الرسوم / العموله]]+Basic345678910111213141516[[#This Row],[قيمة الشحنه]])</f>
        <v>0</v>
      </c>
      <c r="I15" s="90"/>
      <c r="J15" s="142" t="str">
        <f t="shared" si="0"/>
        <v>17.5.2026</v>
      </c>
      <c r="L15" s="153">
        <v>4</v>
      </c>
      <c r="M15" s="92"/>
      <c r="O15" s="154" t="s">
        <v>10</v>
      </c>
      <c r="P15" s="155">
        <f>COUNTIF(Basic345678910111213141516[نوع الخدمة],"مخالفات")</f>
        <v>0</v>
      </c>
    </row>
    <row r="16" spans="1:60" ht="21.6" x14ac:dyDescent="0.65">
      <c r="A16" s="195"/>
      <c r="B16" s="140">
        <v>13</v>
      </c>
      <c r="C16" s="2"/>
      <c r="D16" s="1"/>
      <c r="E16" s="3"/>
      <c r="F16" s="1"/>
      <c r="G16" s="141">
        <f>IF(Basic345678910111213141516[[#This Row],[نوع الخدمة]]="مخالفات", 50,
IF(Basic345678910111213141516[[#This Row],[نوع الخدمة]]="كاش ان",
    IF(F16&lt;=100, 18, IF(F16&lt;=250, 23, IF(F16&lt;=500, 35, IF(F16&lt;=1000, 40, F16*0.04)))),
IF(Basic345678910111213141516[[#This Row],[نوع الخدمة]]="كاش اوت",
    IF(F16&lt;=100, 15, IF(F16&lt;=250, 20, IF(F16&lt;=500, 30, IF(F16&lt;=1000, 35, F16*0.035)))),
0)))</f>
        <v>0</v>
      </c>
      <c r="H16" s="159">
        <f>IF(I16="مخالفات",50,Basic345678910111213141516[[#This Row],[قيمة الرسوم / العموله]]+Basic345678910111213141516[[#This Row],[قيمة الشحنه]])</f>
        <v>0</v>
      </c>
      <c r="I16" s="90"/>
      <c r="J16" s="142" t="str">
        <f t="shared" si="0"/>
        <v>17.5.2026</v>
      </c>
      <c r="L16" s="153">
        <v>5</v>
      </c>
      <c r="M16" s="92"/>
      <c r="O16" s="154" t="s">
        <v>13</v>
      </c>
      <c r="P16" s="155">
        <f>COUNTIF(Basic345678910111213141516[نوع الخدمة],"كاش ان")</f>
        <v>0</v>
      </c>
    </row>
    <row r="17" spans="1:21" ht="21.6" x14ac:dyDescent="0.65">
      <c r="A17" s="195"/>
      <c r="B17" s="144">
        <v>14</v>
      </c>
      <c r="C17" s="2"/>
      <c r="D17" s="1"/>
      <c r="E17" s="3"/>
      <c r="F17" s="1"/>
      <c r="G17" s="141">
        <f>IF(Basic345678910111213141516[[#This Row],[نوع الخدمة]]="مخالفات", 50,
IF(Basic345678910111213141516[[#This Row],[نوع الخدمة]]="كاش ان",
    IF(F17&lt;=100, 18, IF(F17&lt;=250, 23, IF(F17&lt;=500, 35, IF(F17&lt;=1000, 40, F17*0.04)))),
IF(Basic345678910111213141516[[#This Row],[نوع الخدمة]]="كاش اوت",
    IF(F17&lt;=100, 15, IF(F17&lt;=250, 20, IF(F17&lt;=500, 30, IF(F17&lt;=1000, 35, F17*0.035)))),
0)))</f>
        <v>0</v>
      </c>
      <c r="H17" s="159">
        <f>IF(I17="مخالفات",50,Basic345678910111213141516[[#This Row],[قيمة الرسوم / العموله]]+Basic345678910111213141516[[#This Row],[قيمة الشحنه]])</f>
        <v>0</v>
      </c>
      <c r="I17" s="90"/>
      <c r="J17" s="142" t="str">
        <f t="shared" si="0"/>
        <v>17.5.2026</v>
      </c>
      <c r="L17" s="153">
        <v>6</v>
      </c>
      <c r="M17" s="92"/>
      <c r="O17" s="154" t="s">
        <v>14</v>
      </c>
      <c r="P17" s="155">
        <f>COUNTIF(Basic345678910111213141516[نوع الخدمة],"كاش اوت")</f>
        <v>0</v>
      </c>
    </row>
    <row r="18" spans="1:21" ht="21.6" x14ac:dyDescent="0.65">
      <c r="A18" s="195"/>
      <c r="B18" s="140">
        <v>15</v>
      </c>
      <c r="C18" s="2"/>
      <c r="D18" s="1"/>
      <c r="E18" s="3"/>
      <c r="F18" s="1"/>
      <c r="G18" s="141">
        <f>IF(Basic345678910111213141516[[#This Row],[نوع الخدمة]]="مخالفات", 50,
IF(Basic345678910111213141516[[#This Row],[نوع الخدمة]]="كاش ان",
    IF(F18&lt;=100, 18, IF(F18&lt;=250, 23, IF(F18&lt;=500, 35, IF(F18&lt;=1000, 40, F18*0.04)))),
IF(Basic345678910111213141516[[#This Row],[نوع الخدمة]]="كاش اوت",
    IF(F18&lt;=100, 15, IF(F18&lt;=250, 20, IF(F18&lt;=500, 30, IF(F18&lt;=1000, 35, F18*0.035)))),
0)))</f>
        <v>0</v>
      </c>
      <c r="H18" s="159">
        <f>IF(I18="مخالفات",50,Basic345678910111213141516[[#This Row],[قيمة الرسوم / العموله]]+Basic345678910111213141516[[#This Row],[قيمة الشحنه]])</f>
        <v>0</v>
      </c>
      <c r="I18" s="90"/>
      <c r="J18" s="142" t="str">
        <f t="shared" si="0"/>
        <v>17.5.2026</v>
      </c>
      <c r="L18" s="153">
        <v>7</v>
      </c>
      <c r="M18" s="92"/>
      <c r="O18" s="154" t="s">
        <v>15</v>
      </c>
      <c r="P18" s="155">
        <f>P16+P17</f>
        <v>0</v>
      </c>
    </row>
    <row r="19" spans="1:21" ht="21.6" x14ac:dyDescent="0.65">
      <c r="A19" s="195"/>
      <c r="B19" s="140">
        <v>16</v>
      </c>
      <c r="C19" s="2"/>
      <c r="D19" s="1"/>
      <c r="E19" s="3"/>
      <c r="F19" s="1"/>
      <c r="G19" s="141">
        <f>IF(Basic345678910111213141516[[#This Row],[نوع الخدمة]]="مخالفات", 50,
IF(Basic345678910111213141516[[#This Row],[نوع الخدمة]]="كاش ان",
    IF(F19&lt;=100, 18, IF(F19&lt;=250, 23, IF(F19&lt;=500, 35, IF(F19&lt;=1000, 40, F19*0.04)))),
IF(Basic345678910111213141516[[#This Row],[نوع الخدمة]]="كاش اوت",
    IF(F19&lt;=100, 15, IF(F19&lt;=250, 20, IF(F19&lt;=500, 30, IF(F19&lt;=1000, 35, F19*0.035)))),
0)))</f>
        <v>0</v>
      </c>
      <c r="H19" s="159">
        <f>IF(I19="مخالفات",50,Basic345678910111213141516[[#This Row],[قيمة الرسوم / العموله]]+Basic345678910111213141516[[#This Row],[قيمة الشحنه]])</f>
        <v>0</v>
      </c>
      <c r="I19" s="90"/>
      <c r="J19" s="142" t="str">
        <f t="shared" si="0"/>
        <v>17.5.2026</v>
      </c>
      <c r="L19" s="153">
        <v>8</v>
      </c>
      <c r="M19" s="92"/>
    </row>
    <row r="20" spans="1:21" ht="21.6" x14ac:dyDescent="0.65">
      <c r="A20" s="195"/>
      <c r="B20" s="140">
        <v>17</v>
      </c>
      <c r="C20" s="2"/>
      <c r="D20" s="1"/>
      <c r="E20" s="3"/>
      <c r="F20" s="1"/>
      <c r="G20" s="141">
        <f>IF(Basic345678910111213141516[[#This Row],[نوع الخدمة]]="مخالفات", 50,
IF(Basic345678910111213141516[[#This Row],[نوع الخدمة]]="كاش ان",
    IF(F20&lt;=100, 18, IF(F20&lt;=250, 23, IF(F20&lt;=500, 35, IF(F20&lt;=1000, 40, F20*0.04)))),
IF(Basic345678910111213141516[[#This Row],[نوع الخدمة]]="كاش اوت",
    IF(F20&lt;=100, 15, IF(F20&lt;=250, 20, IF(F20&lt;=500, 30, IF(F20&lt;=1000, 35, F20*0.035)))),
0)))</f>
        <v>0</v>
      </c>
      <c r="H20" s="159">
        <f>IF(I20="مخالفات",50,Basic345678910111213141516[[#This Row],[قيمة الرسوم / العموله]]+Basic345678910111213141516[[#This Row],[قيمة الشحنه]])</f>
        <v>0</v>
      </c>
      <c r="I20" s="90"/>
      <c r="J20" s="142" t="str">
        <f t="shared" si="0"/>
        <v>17.5.2026</v>
      </c>
      <c r="L20" s="153">
        <v>9</v>
      </c>
      <c r="M20" s="92"/>
      <c r="O20" s="193" t="s">
        <v>30</v>
      </c>
      <c r="P20" s="194"/>
    </row>
    <row r="21" spans="1:21" ht="21.6" x14ac:dyDescent="0.65">
      <c r="A21" s="195"/>
      <c r="B21" s="144">
        <v>18</v>
      </c>
      <c r="C21" s="2"/>
      <c r="D21" s="1"/>
      <c r="E21" s="3"/>
      <c r="F21" s="1"/>
      <c r="G21" s="141">
        <f>IF(Basic345678910111213141516[[#This Row],[نوع الخدمة]]="مخالفات", 50,
IF(Basic345678910111213141516[[#This Row],[نوع الخدمة]]="كاش ان",
    IF(F21&lt;=100, 18, IF(F21&lt;=250, 23, IF(F21&lt;=500, 35, IF(F21&lt;=1000, 40, F21*0.04)))),
IF(Basic345678910111213141516[[#This Row],[نوع الخدمة]]="كاش اوت",
    IF(F21&lt;=100, 15, IF(F21&lt;=250, 20, IF(F21&lt;=500, 30, IF(F21&lt;=1000, 35, F21*0.035)))),
0)))</f>
        <v>0</v>
      </c>
      <c r="H21" s="159">
        <f>IF(I21="مخالفات",50,Basic345678910111213141516[[#This Row],[قيمة الرسوم / العموله]]+Basic345678910111213141516[[#This Row],[قيمة الشحنه]])</f>
        <v>0</v>
      </c>
      <c r="I21" s="90"/>
      <c r="J21" s="142" t="str">
        <f t="shared" si="0"/>
        <v>17.5.2026</v>
      </c>
      <c r="L21" s="153">
        <v>10</v>
      </c>
      <c r="M21" s="92"/>
      <c r="O21" s="196" t="s">
        <v>31</v>
      </c>
      <c r="P21" s="197"/>
    </row>
    <row r="22" spans="1:21" ht="21.6" x14ac:dyDescent="0.65">
      <c r="A22" s="195"/>
      <c r="B22" s="140">
        <v>19</v>
      </c>
      <c r="C22" s="2"/>
      <c r="D22" s="1"/>
      <c r="E22" s="3"/>
      <c r="F22" s="1"/>
      <c r="G22" s="141">
        <f>IF(Basic345678910111213141516[[#This Row],[نوع الخدمة]]="مخالفات", 50,
IF(Basic345678910111213141516[[#This Row],[نوع الخدمة]]="كاش ان",
    IF(F22&lt;=100, 18, IF(F22&lt;=250, 23, IF(F22&lt;=500, 35, IF(F22&lt;=1000, 40, F22*0.04)))),
IF(Basic345678910111213141516[[#This Row],[نوع الخدمة]]="كاش اوت",
    IF(F22&lt;=100, 15, IF(F22&lt;=250, 20, IF(F22&lt;=500, 30, IF(F22&lt;=1000, 35, F22*0.035)))),
0)))</f>
        <v>0</v>
      </c>
      <c r="H22" s="159">
        <f>IF(I22="مخالفات",50,Basic345678910111213141516[[#This Row],[قيمة الرسوم / العموله]]+Basic345678910111213141516[[#This Row],[قيمة الشحنه]])</f>
        <v>0</v>
      </c>
      <c r="I22" s="90"/>
      <c r="J22" s="142" t="str">
        <f t="shared" si="0"/>
        <v>17.5.2026</v>
      </c>
      <c r="L22" s="153">
        <v>11</v>
      </c>
      <c r="M22" s="92"/>
      <c r="O22" s="147" t="s">
        <v>27</v>
      </c>
      <c r="P22" s="135">
        <f>M8+'16'!P28</f>
        <v>-4</v>
      </c>
    </row>
    <row r="23" spans="1:21" ht="21.6" x14ac:dyDescent="0.65">
      <c r="A23" s="195"/>
      <c r="B23" s="140">
        <v>20</v>
      </c>
      <c r="C23" s="2"/>
      <c r="D23" s="1"/>
      <c r="E23" s="3"/>
      <c r="F23" s="1"/>
      <c r="G23" s="141">
        <f>IF(Basic345678910111213141516[[#This Row],[نوع الخدمة]]="مخالفات", 50,
IF(Basic345678910111213141516[[#This Row],[نوع الخدمة]]="كاش ان",
    IF(F23&lt;=100, 18, IF(F23&lt;=250, 23, IF(F23&lt;=500, 35, IF(F23&lt;=1000, 40, F23*0.04)))),
IF(Basic345678910111213141516[[#This Row],[نوع الخدمة]]="كاش اوت",
    IF(F23&lt;=100, 15, IF(F23&lt;=250, 20, IF(F23&lt;=500, 30, IF(F23&lt;=1000, 35, F23*0.035)))),
0)))</f>
        <v>0</v>
      </c>
      <c r="H23" s="159">
        <f>IF(I23="مخالفات",50,Basic345678910111213141516[[#This Row],[قيمة الرسوم / العموله]]+Basic345678910111213141516[[#This Row],[قيمة الشحنه]])</f>
        <v>0</v>
      </c>
      <c r="I23" s="90"/>
      <c r="J23" s="142" t="str">
        <f t="shared" si="0"/>
        <v>17.5.2026</v>
      </c>
      <c r="L23" s="153">
        <v>12</v>
      </c>
      <c r="M23" s="92"/>
      <c r="O23" s="147" t="s">
        <v>28</v>
      </c>
      <c r="P23" s="135">
        <f>M9+'16'!P29</f>
        <v>0</v>
      </c>
      <c r="T23" s="173"/>
      <c r="U23" s="173"/>
    </row>
    <row r="24" spans="1:21" ht="21.6" x14ac:dyDescent="0.65">
      <c r="A24" s="195"/>
      <c r="B24" s="140">
        <v>21</v>
      </c>
      <c r="C24" s="2"/>
      <c r="D24" s="1"/>
      <c r="E24" s="3"/>
      <c r="F24" s="1"/>
      <c r="G24" s="141">
        <f>IF(Basic345678910111213141516[[#This Row],[نوع الخدمة]]="مخالفات", 50,
IF(Basic345678910111213141516[[#This Row],[نوع الخدمة]]="كاش ان",
    IF(F24&lt;=100, 18, IF(F24&lt;=250, 23, IF(F24&lt;=500, 35, IF(F24&lt;=1000, 40, F24*0.04)))),
IF(Basic345678910111213141516[[#This Row],[نوع الخدمة]]="كاش اوت",
    IF(F24&lt;=100, 15, IF(F24&lt;=250, 20, IF(F24&lt;=500, 30, IF(F24&lt;=1000, 35, F24*0.035)))),
0)))</f>
        <v>0</v>
      </c>
      <c r="H24" s="159">
        <f>IF(I24="مخالفات",50,Basic345678910111213141516[[#This Row],[قيمة الرسوم / العموله]]+Basic345678910111213141516[[#This Row],[قيمة الشحنه]])</f>
        <v>0</v>
      </c>
      <c r="I24" s="90"/>
      <c r="J24" s="142" t="str">
        <f t="shared" si="0"/>
        <v>17.5.2026</v>
      </c>
      <c r="L24" s="153">
        <v>13</v>
      </c>
      <c r="M24" s="92"/>
      <c r="O24" s="196" t="s">
        <v>32</v>
      </c>
      <c r="P24" s="197"/>
    </row>
    <row r="25" spans="1:21" ht="21.6" x14ac:dyDescent="0.65">
      <c r="A25" s="195"/>
      <c r="B25" s="144">
        <v>22</v>
      </c>
      <c r="C25" s="2"/>
      <c r="D25" s="1"/>
      <c r="E25" s="3"/>
      <c r="F25" s="1"/>
      <c r="G25" s="141">
        <f>IF(Basic345678910111213141516[[#This Row],[نوع الخدمة]]="مخالفات", 50,
IF(Basic345678910111213141516[[#This Row],[نوع الخدمة]]="كاش ان",
    IF(F25&lt;=100, 18, IF(F25&lt;=250, 23, IF(F25&lt;=500, 35, IF(F25&lt;=1000, 40, F25*0.04)))),
IF(Basic345678910111213141516[[#This Row],[نوع الخدمة]]="كاش اوت",
    IF(F25&lt;=100, 15, IF(F25&lt;=250, 20, IF(F25&lt;=500, 30, IF(F25&lt;=1000, 35, F25*0.035)))),
0)))</f>
        <v>0</v>
      </c>
      <c r="H25" s="159">
        <f>IF(I25="مخالفات",50,Basic345678910111213141516[[#This Row],[قيمة الرسوم / العموله]]+Basic345678910111213141516[[#This Row],[قيمة الشحنه]])</f>
        <v>0</v>
      </c>
      <c r="I25" s="90"/>
      <c r="J25" s="142" t="str">
        <f t="shared" si="0"/>
        <v>17.5.2026</v>
      </c>
      <c r="L25" s="153">
        <v>14</v>
      </c>
      <c r="M25" s="92"/>
      <c r="O25" s="147" t="s">
        <v>27</v>
      </c>
      <c r="P25" s="135">
        <f>M5</f>
        <v>0</v>
      </c>
    </row>
    <row r="26" spans="1:21" ht="21.6" x14ac:dyDescent="0.65">
      <c r="A26" s="195"/>
      <c r="B26" s="140">
        <v>23</v>
      </c>
      <c r="C26" s="2"/>
      <c r="D26" s="1"/>
      <c r="E26" s="3"/>
      <c r="F26" s="1"/>
      <c r="G26" s="141">
        <f>IF(Basic345678910111213141516[[#This Row],[نوع الخدمة]]="مخالفات", 50,
IF(Basic345678910111213141516[[#This Row],[نوع الخدمة]]="كاش ان",
    IF(F26&lt;=100, 18, IF(F26&lt;=250, 23, IF(F26&lt;=500, 35, IF(F26&lt;=1000, 40, F26*0.04)))),
IF(Basic345678910111213141516[[#This Row],[نوع الخدمة]]="كاش اوت",
    IF(F26&lt;=100, 15, IF(F26&lt;=250, 20, IF(F26&lt;=500, 30, IF(F26&lt;=1000, 35, F26*0.035)))),
0)))</f>
        <v>0</v>
      </c>
      <c r="H26" s="159">
        <f>IF(I26="مخالفات",50,Basic345678910111213141516[[#This Row],[قيمة الرسوم / العموله]]+Basic345678910111213141516[[#This Row],[قيمة الشحنه]])</f>
        <v>0</v>
      </c>
      <c r="I26" s="90"/>
      <c r="J26" s="142" t="str">
        <f t="shared" si="0"/>
        <v>17.5.2026</v>
      </c>
      <c r="L26" s="153">
        <v>15</v>
      </c>
      <c r="M26" s="92"/>
      <c r="O26" s="147" t="s">
        <v>28</v>
      </c>
      <c r="P26" s="135">
        <f>M6</f>
        <v>0</v>
      </c>
    </row>
    <row r="27" spans="1:21" ht="21.6" x14ac:dyDescent="0.65">
      <c r="A27" s="195"/>
      <c r="B27" s="140">
        <v>24</v>
      </c>
      <c r="C27" s="2"/>
      <c r="D27" s="1"/>
      <c r="E27" s="3"/>
      <c r="F27" s="1"/>
      <c r="G27" s="141">
        <f>IF(Basic345678910111213141516[[#This Row],[نوع الخدمة]]="مخالفات", 50,
IF(Basic345678910111213141516[[#This Row],[نوع الخدمة]]="كاش ان",
    IF(F27&lt;=100, 18, IF(F27&lt;=250, 23, IF(F27&lt;=500, 35, IF(F27&lt;=1000, 40, F27*0.04)))),
IF(Basic345678910111213141516[[#This Row],[نوع الخدمة]]="كاش اوت",
    IF(F27&lt;=100, 15, IF(F27&lt;=250, 20, IF(F27&lt;=500, 30, IF(F27&lt;=1000, 35, F27*0.035)))),
0)))</f>
        <v>0</v>
      </c>
      <c r="H27" s="159">
        <f>IF(I27="مخالفات",50,Basic345678910111213141516[[#This Row],[قيمة الرسوم / العموله]]+Basic345678910111213141516[[#This Row],[قيمة الشحنه]])</f>
        <v>0</v>
      </c>
      <c r="I27" s="90"/>
      <c r="J27" s="142" t="str">
        <f t="shared" si="0"/>
        <v>17.5.2026</v>
      </c>
      <c r="L27" s="153">
        <v>16</v>
      </c>
      <c r="M27" s="92"/>
      <c r="O27" s="196" t="s">
        <v>33</v>
      </c>
      <c r="P27" s="197"/>
    </row>
    <row r="28" spans="1:21" ht="21.6" x14ac:dyDescent="0.65">
      <c r="A28" s="195"/>
      <c r="B28" s="140">
        <v>25</v>
      </c>
      <c r="C28" s="2"/>
      <c r="D28" s="1"/>
      <c r="E28" s="3"/>
      <c r="F28" s="1"/>
      <c r="G28" s="141">
        <f>IF(Basic345678910111213141516[[#This Row],[نوع الخدمة]]="مخالفات", 50,
IF(Basic345678910111213141516[[#This Row],[نوع الخدمة]]="كاش ان",
    IF(F28&lt;=100, 18, IF(F28&lt;=250, 23, IF(F28&lt;=500, 35, IF(F28&lt;=1000, 40, F28*0.04)))),
IF(Basic345678910111213141516[[#This Row],[نوع الخدمة]]="كاش اوت",
    IF(F28&lt;=100, 15, IF(F28&lt;=250, 20, IF(F28&lt;=500, 30, IF(F28&lt;=1000, 35, F28*0.035)))),
0)))</f>
        <v>0</v>
      </c>
      <c r="H28" s="159">
        <f>IF(I28="مخالفات",50,Basic345678910111213141516[[#This Row],[قيمة الرسوم / العموله]]+Basic345678910111213141516[[#This Row],[قيمة الشحنه]])</f>
        <v>0</v>
      </c>
      <c r="I28" s="90"/>
      <c r="J28" s="142" t="str">
        <f t="shared" si="0"/>
        <v>17.5.2026</v>
      </c>
      <c r="L28" s="153">
        <v>17</v>
      </c>
      <c r="M28" s="92"/>
      <c r="O28" s="147" t="s">
        <v>27</v>
      </c>
      <c r="P28" s="135">
        <f>P22-P25</f>
        <v>-4</v>
      </c>
    </row>
    <row r="29" spans="1:21" ht="21.6" x14ac:dyDescent="0.65">
      <c r="A29" s="195"/>
      <c r="B29" s="144">
        <v>26</v>
      </c>
      <c r="C29" s="2"/>
      <c r="D29" s="1"/>
      <c r="E29" s="3"/>
      <c r="F29" s="1"/>
      <c r="G29" s="141">
        <f>IF(Basic345678910111213141516[[#This Row],[نوع الخدمة]]="مخالفات", 50,
IF(Basic345678910111213141516[[#This Row],[نوع الخدمة]]="كاش ان",
    IF(F29&lt;=100, 18, IF(F29&lt;=250, 23, IF(F29&lt;=500, 35, IF(F29&lt;=1000, 40, F29*0.04)))),
IF(Basic345678910111213141516[[#This Row],[نوع الخدمة]]="كاش اوت",
    IF(F29&lt;=100, 15, IF(F29&lt;=250, 20, IF(F29&lt;=500, 30, IF(F29&lt;=1000, 35, F29*0.035)))),
0)))</f>
        <v>0</v>
      </c>
      <c r="H29" s="159">
        <f>IF(I29="مخالفات",50,Basic345678910111213141516[[#This Row],[قيمة الرسوم / العموله]]+Basic345678910111213141516[[#This Row],[قيمة الشحنه]])</f>
        <v>0</v>
      </c>
      <c r="I29" s="90"/>
      <c r="J29" s="142" t="str">
        <f t="shared" si="0"/>
        <v>17.5.2026</v>
      </c>
      <c r="L29" s="153">
        <v>18</v>
      </c>
      <c r="M29" s="92"/>
      <c r="O29" s="147" t="s">
        <v>28</v>
      </c>
      <c r="P29" s="135">
        <f>P23-P26</f>
        <v>0</v>
      </c>
    </row>
    <row r="30" spans="1:21" ht="21.6" x14ac:dyDescent="0.65">
      <c r="A30" s="195"/>
      <c r="B30" s="140">
        <v>27</v>
      </c>
      <c r="C30" s="2"/>
      <c r="D30" s="1"/>
      <c r="E30" s="3"/>
      <c r="F30" s="1"/>
      <c r="G30" s="141">
        <f>IF(Basic345678910111213141516[[#This Row],[نوع الخدمة]]="مخالفات", 50,
IF(Basic345678910111213141516[[#This Row],[نوع الخدمة]]="كاش ان",
    IF(F30&lt;=100, 18, IF(F30&lt;=250, 23, IF(F30&lt;=500, 35, IF(F30&lt;=1000, 40, F30*0.04)))),
IF(Basic345678910111213141516[[#This Row],[نوع الخدمة]]="كاش اوت",
    IF(F30&lt;=100, 15, IF(F30&lt;=250, 20, IF(F30&lt;=500, 30, IF(F30&lt;=1000, 35, F30*0.035)))),
0)))</f>
        <v>0</v>
      </c>
      <c r="H30" s="159">
        <f>IF(I30="مخالفات",50,Basic345678910111213141516[[#This Row],[قيمة الرسوم / العموله]]+Basic345678910111213141516[[#This Row],[قيمة الشحنه]])</f>
        <v>0</v>
      </c>
      <c r="I30" s="90"/>
      <c r="J30" s="142" t="str">
        <f t="shared" si="0"/>
        <v>17.5.2026</v>
      </c>
      <c r="L30" s="153">
        <v>19</v>
      </c>
      <c r="M30" s="92"/>
    </row>
    <row r="31" spans="1:21" ht="21.6" x14ac:dyDescent="0.65">
      <c r="A31" s="195"/>
      <c r="B31" s="140">
        <v>28</v>
      </c>
      <c r="C31" s="2"/>
      <c r="D31" s="1"/>
      <c r="E31" s="3"/>
      <c r="F31" s="1"/>
      <c r="G31" s="141">
        <f>IF(Basic345678910111213141516[[#This Row],[نوع الخدمة]]="مخالفات", 50,
IF(Basic345678910111213141516[[#This Row],[نوع الخدمة]]="كاش ان",
    IF(F31&lt;=100, 18, IF(F31&lt;=250, 23, IF(F31&lt;=500, 35, IF(F31&lt;=1000, 40, F31*0.04)))),
IF(Basic345678910111213141516[[#This Row],[نوع الخدمة]]="كاش اوت",
    IF(F31&lt;=100, 15, IF(F31&lt;=250, 20, IF(F31&lt;=500, 30, IF(F31&lt;=1000, 35, F31*0.035)))),
0)))</f>
        <v>0</v>
      </c>
      <c r="H31" s="159">
        <f>IF(I31="مخالفات",50,Basic345678910111213141516[[#This Row],[قيمة الرسوم / العموله]]+Basic345678910111213141516[[#This Row],[قيمة الشحنه]])</f>
        <v>0</v>
      </c>
      <c r="I31" s="90"/>
      <c r="J31" s="142" t="str">
        <f t="shared" si="0"/>
        <v>17.5.2026</v>
      </c>
      <c r="L31" s="153">
        <v>20</v>
      </c>
      <c r="M31" s="92"/>
    </row>
    <row r="32" spans="1:21" ht="21.6" x14ac:dyDescent="0.65">
      <c r="A32" s="195"/>
      <c r="B32" s="140">
        <v>29</v>
      </c>
      <c r="C32" s="2"/>
      <c r="D32" s="1"/>
      <c r="E32" s="3"/>
      <c r="F32" s="1"/>
      <c r="G32" s="141">
        <f>IF(Basic345678910111213141516[[#This Row],[نوع الخدمة]]="مخالفات", 50,
IF(Basic345678910111213141516[[#This Row],[نوع الخدمة]]="كاش ان",
    IF(F32&lt;=100, 18, IF(F32&lt;=250, 23, IF(F32&lt;=500, 35, IF(F32&lt;=1000, 40, F32*0.04)))),
IF(Basic345678910111213141516[[#This Row],[نوع الخدمة]]="كاش اوت",
    IF(F32&lt;=100, 15, IF(F32&lt;=250, 20, IF(F32&lt;=500, 30, IF(F32&lt;=1000, 35, F32*0.035)))),
0)))</f>
        <v>0</v>
      </c>
      <c r="H32" s="159">
        <f>IF(I32="مخالفات",50,Basic345678910111213141516[[#This Row],[قيمة الرسوم / العموله]]+Basic345678910111213141516[[#This Row],[قيمة الشحنه]])</f>
        <v>0</v>
      </c>
      <c r="I32" s="90"/>
      <c r="J32" s="142" t="str">
        <f t="shared" si="0"/>
        <v>17.5.2026</v>
      </c>
      <c r="L32" s="153">
        <v>21</v>
      </c>
      <c r="M32" s="92"/>
    </row>
    <row r="33" spans="1:13" ht="21.6" x14ac:dyDescent="0.65">
      <c r="A33" s="195"/>
      <c r="B33" s="144">
        <v>30</v>
      </c>
      <c r="C33" s="2"/>
      <c r="D33" s="1"/>
      <c r="E33" s="3"/>
      <c r="F33" s="1"/>
      <c r="G33" s="141">
        <f>IF(Basic345678910111213141516[[#This Row],[نوع الخدمة]]="مخالفات", 50,
IF(Basic345678910111213141516[[#This Row],[نوع الخدمة]]="كاش ان",
    IF(F33&lt;=100, 18, IF(F33&lt;=250, 23, IF(F33&lt;=500, 35, IF(F33&lt;=1000, 40, F33*0.04)))),
IF(Basic345678910111213141516[[#This Row],[نوع الخدمة]]="كاش اوت",
    IF(F33&lt;=100, 15, IF(F33&lt;=250, 20, IF(F33&lt;=500, 30, IF(F33&lt;=1000, 35, F33*0.035)))),
0)))</f>
        <v>0</v>
      </c>
      <c r="H33" s="159">
        <f>IF(I33="مخالفات",50,Basic345678910111213141516[[#This Row],[قيمة الرسوم / العموله]]+Basic345678910111213141516[[#This Row],[قيمة الشحنه]])</f>
        <v>0</v>
      </c>
      <c r="I33" s="90"/>
      <c r="J33" s="142" t="str">
        <f t="shared" si="0"/>
        <v>17.5.2026</v>
      </c>
      <c r="L33" s="153">
        <v>22</v>
      </c>
      <c r="M33" s="92"/>
    </row>
    <row r="34" spans="1:13" ht="21.6" x14ac:dyDescent="0.65">
      <c r="A34" s="195"/>
      <c r="B34" s="140">
        <v>31</v>
      </c>
      <c r="C34" s="2"/>
      <c r="D34" s="1"/>
      <c r="E34" s="3"/>
      <c r="F34" s="1"/>
      <c r="G34" s="141">
        <f>IF(Basic345678910111213141516[[#This Row],[نوع الخدمة]]="مخالفات", 50,
IF(Basic345678910111213141516[[#This Row],[نوع الخدمة]]="كاش ان",
    IF(F34&lt;=100, 18, IF(F34&lt;=250, 23, IF(F34&lt;=500, 35, IF(F34&lt;=1000, 40, F34*0.04)))),
IF(Basic345678910111213141516[[#This Row],[نوع الخدمة]]="كاش اوت",
    IF(F34&lt;=100, 15, IF(F34&lt;=250, 20, IF(F34&lt;=500, 30, IF(F34&lt;=1000, 35, F34*0.035)))),
0)))</f>
        <v>0</v>
      </c>
      <c r="H34" s="159">
        <f>IF(I34="مخالفات",50,Basic345678910111213141516[[#This Row],[قيمة الرسوم / العموله]]+Basic345678910111213141516[[#This Row],[قيمة الشحنه]])</f>
        <v>0</v>
      </c>
      <c r="I34" s="90"/>
      <c r="J34" s="142" t="str">
        <f t="shared" si="0"/>
        <v>17.5.2026</v>
      </c>
      <c r="L34" s="153">
        <v>23</v>
      </c>
      <c r="M34" s="92"/>
    </row>
    <row r="35" spans="1:13" ht="21.6" x14ac:dyDescent="0.65">
      <c r="A35" s="195"/>
      <c r="B35" s="140">
        <v>32</v>
      </c>
      <c r="C35" s="2"/>
      <c r="D35" s="1"/>
      <c r="E35" s="3"/>
      <c r="F35" s="1"/>
      <c r="G35" s="141">
        <f>IF(Basic345678910111213141516[[#This Row],[نوع الخدمة]]="مخالفات", 50,
IF(Basic345678910111213141516[[#This Row],[نوع الخدمة]]="كاش ان",
    IF(F35&lt;=100, 18, IF(F35&lt;=250, 23, IF(F35&lt;=500, 35, IF(F35&lt;=1000, 40, F35*0.04)))),
IF(Basic345678910111213141516[[#This Row],[نوع الخدمة]]="كاش اوت",
    IF(F35&lt;=100, 15, IF(F35&lt;=250, 20, IF(F35&lt;=500, 30, IF(F35&lt;=1000, 35, F35*0.035)))),
0)))</f>
        <v>0</v>
      </c>
      <c r="H35" s="159">
        <f>IF(I35="مخالفات",50,Basic345678910111213141516[[#This Row],[قيمة الرسوم / العموله]]+Basic345678910111213141516[[#This Row],[قيمة الشحنه]])</f>
        <v>0</v>
      </c>
      <c r="I35" s="90"/>
      <c r="J35" s="142" t="str">
        <f t="shared" si="0"/>
        <v>17.5.2026</v>
      </c>
      <c r="L35" s="153">
        <v>24</v>
      </c>
      <c r="M35" s="92"/>
    </row>
    <row r="36" spans="1:13" ht="21.6" x14ac:dyDescent="0.65">
      <c r="A36" s="195"/>
      <c r="B36" s="140">
        <v>33</v>
      </c>
      <c r="C36" s="2"/>
      <c r="D36" s="1"/>
      <c r="E36" s="3"/>
      <c r="F36" s="1"/>
      <c r="G36" s="141">
        <f>IF(Basic345678910111213141516[[#This Row],[نوع الخدمة]]="مخالفات", 50,
IF(Basic345678910111213141516[[#This Row],[نوع الخدمة]]="كاش ان",
    IF(F36&lt;=100, 18, IF(F36&lt;=250, 23, IF(F36&lt;=500, 35, IF(F36&lt;=1000, 40, F36*0.04)))),
IF(Basic345678910111213141516[[#This Row],[نوع الخدمة]]="كاش اوت",
    IF(F36&lt;=100, 15, IF(F36&lt;=250, 20, IF(F36&lt;=500, 30, IF(F36&lt;=1000, 35, F36*0.035)))),
0)))</f>
        <v>0</v>
      </c>
      <c r="H36" s="159">
        <f>IF(I36="مخالفات",50,Basic345678910111213141516[[#This Row],[قيمة الرسوم / العموله]]+Basic345678910111213141516[[#This Row],[قيمة الشحنه]])</f>
        <v>0</v>
      </c>
      <c r="I36" s="90"/>
      <c r="J36" s="142" t="str">
        <f t="shared" si="0"/>
        <v>17.5.2026</v>
      </c>
      <c r="L36" s="153">
        <v>25</v>
      </c>
      <c r="M36" s="92"/>
    </row>
    <row r="37" spans="1:13" ht="21.6" x14ac:dyDescent="0.65">
      <c r="A37" s="195"/>
      <c r="B37" s="144">
        <v>34</v>
      </c>
      <c r="C37" s="2"/>
      <c r="D37" s="1"/>
      <c r="E37" s="3"/>
      <c r="F37" s="1"/>
      <c r="G37" s="141">
        <f>IF(Basic345678910111213141516[[#This Row],[نوع الخدمة]]="مخالفات", 50,
IF(Basic345678910111213141516[[#This Row],[نوع الخدمة]]="كاش ان",
    IF(F37&lt;=100, 18, IF(F37&lt;=250, 23, IF(F37&lt;=500, 35, IF(F37&lt;=1000, 40, F37*0.04)))),
IF(Basic345678910111213141516[[#This Row],[نوع الخدمة]]="كاش اوت",
    IF(F37&lt;=100, 15, IF(F37&lt;=250, 20, IF(F37&lt;=500, 30, IF(F37&lt;=1000, 35, F37*0.035)))),
0)))</f>
        <v>0</v>
      </c>
      <c r="H37" s="159">
        <f>IF(I37="مخالفات",50,Basic345678910111213141516[[#This Row],[قيمة الرسوم / العموله]]+Basic345678910111213141516[[#This Row],[قيمة الشحنه]])</f>
        <v>0</v>
      </c>
      <c r="I37" s="90"/>
      <c r="J37" s="142" t="str">
        <f t="shared" si="0"/>
        <v>17.5.2026</v>
      </c>
      <c r="L37" s="153">
        <v>26</v>
      </c>
      <c r="M37" s="92"/>
    </row>
    <row r="38" spans="1:13" ht="21.6" x14ac:dyDescent="0.65">
      <c r="A38" s="195"/>
      <c r="B38" s="140">
        <v>35</v>
      </c>
      <c r="C38" s="2"/>
      <c r="D38" s="1"/>
      <c r="E38" s="3"/>
      <c r="F38" s="1"/>
      <c r="G38" s="141">
        <f>IF(Basic345678910111213141516[[#This Row],[نوع الخدمة]]="مخالفات", 50,
IF(Basic345678910111213141516[[#This Row],[نوع الخدمة]]="كاش ان",
    IF(F38&lt;=100, 18, IF(F38&lt;=250, 23, IF(F38&lt;=500, 35, IF(F38&lt;=1000, 40, F38*0.04)))),
IF(Basic345678910111213141516[[#This Row],[نوع الخدمة]]="كاش اوت",
    IF(F38&lt;=100, 15, IF(F38&lt;=250, 20, IF(F38&lt;=500, 30, IF(F38&lt;=1000, 35, F38*0.035)))),
0)))</f>
        <v>0</v>
      </c>
      <c r="H38" s="159">
        <f>IF(I38="مخالفات",50,Basic345678910111213141516[[#This Row],[قيمة الرسوم / العموله]]+Basic345678910111213141516[[#This Row],[قيمة الشحنه]])</f>
        <v>0</v>
      </c>
      <c r="I38" s="90"/>
      <c r="J38" s="142" t="str">
        <f t="shared" si="0"/>
        <v>17.5.2026</v>
      </c>
      <c r="L38" s="153">
        <v>27</v>
      </c>
      <c r="M38" s="92"/>
    </row>
    <row r="39" spans="1:13" ht="21.6" x14ac:dyDescent="0.65">
      <c r="A39" s="195"/>
      <c r="B39" s="140">
        <v>36</v>
      </c>
      <c r="C39" s="2"/>
      <c r="D39" s="1"/>
      <c r="E39" s="3"/>
      <c r="F39" s="1"/>
      <c r="G39" s="141">
        <f>IF(Basic345678910111213141516[[#This Row],[نوع الخدمة]]="مخالفات", 50,
IF(Basic345678910111213141516[[#This Row],[نوع الخدمة]]="كاش ان",
    IF(F39&lt;=100, 18, IF(F39&lt;=250, 23, IF(F39&lt;=500, 35, IF(F39&lt;=1000, 40, F39*0.04)))),
IF(Basic345678910111213141516[[#This Row],[نوع الخدمة]]="كاش اوت",
    IF(F39&lt;=100, 15, IF(F39&lt;=250, 20, IF(F39&lt;=500, 30, IF(F39&lt;=1000, 35, F39*0.035)))),
0)))</f>
        <v>0</v>
      </c>
      <c r="H39" s="159">
        <f>IF(I39="مخالفات",50,Basic345678910111213141516[[#This Row],[قيمة الرسوم / العموله]]+Basic345678910111213141516[[#This Row],[قيمة الشحنه]])</f>
        <v>0</v>
      </c>
      <c r="I39" s="90"/>
      <c r="J39" s="142" t="str">
        <f t="shared" si="0"/>
        <v>17.5.2026</v>
      </c>
      <c r="L39" s="153">
        <v>28</v>
      </c>
      <c r="M39" s="92"/>
    </row>
    <row r="40" spans="1:13" ht="21.6" x14ac:dyDescent="0.65">
      <c r="A40" s="195"/>
      <c r="B40" s="140">
        <v>37</v>
      </c>
      <c r="C40" s="2"/>
      <c r="D40" s="1"/>
      <c r="E40" s="3"/>
      <c r="F40" s="1"/>
      <c r="G40" s="141">
        <f>IF(Basic345678910111213141516[[#This Row],[نوع الخدمة]]="مخالفات", 50,
IF(Basic345678910111213141516[[#This Row],[نوع الخدمة]]="كاش ان",
    IF(F40&lt;=100, 18, IF(F40&lt;=250, 23, IF(F40&lt;=500, 35, IF(F40&lt;=1000, 40, F40*0.04)))),
IF(Basic345678910111213141516[[#This Row],[نوع الخدمة]]="كاش اوت",
    IF(F40&lt;=100, 15, IF(F40&lt;=250, 20, IF(F40&lt;=500, 30, IF(F40&lt;=1000, 35, F40*0.035)))),
0)))</f>
        <v>0</v>
      </c>
      <c r="H40" s="159">
        <f>IF(I40="مخالفات",50,Basic345678910111213141516[[#This Row],[قيمة الرسوم / العموله]]+Basic345678910111213141516[[#This Row],[قيمة الشحنه]])</f>
        <v>0</v>
      </c>
      <c r="I40" s="90"/>
      <c r="J40" s="142" t="str">
        <f t="shared" si="0"/>
        <v>17.5.2026</v>
      </c>
      <c r="L40" s="153">
        <v>29</v>
      </c>
      <c r="M40" s="92"/>
    </row>
    <row r="41" spans="1:13" ht="21.6" x14ac:dyDescent="0.65">
      <c r="A41" s="195"/>
      <c r="B41" s="144">
        <v>38</v>
      </c>
      <c r="C41" s="2"/>
      <c r="D41" s="1"/>
      <c r="E41" s="3"/>
      <c r="F41" s="1"/>
      <c r="G41" s="141">
        <f>IF(Basic345678910111213141516[[#This Row],[نوع الخدمة]]="مخالفات", 50,
IF(Basic345678910111213141516[[#This Row],[نوع الخدمة]]="كاش ان",
    IF(F41&lt;=100, 18, IF(F41&lt;=250, 23, IF(F41&lt;=500, 35, IF(F41&lt;=1000, 40, F41*0.04)))),
IF(Basic345678910111213141516[[#This Row],[نوع الخدمة]]="كاش اوت",
    IF(F41&lt;=100, 15, IF(F41&lt;=250, 20, IF(F41&lt;=500, 30, IF(F41&lt;=1000, 35, F41*0.035)))),
0)))</f>
        <v>0</v>
      </c>
      <c r="H41" s="159">
        <f>IF(I41="مخالفات",50,Basic345678910111213141516[[#This Row],[قيمة الرسوم / العموله]]+Basic345678910111213141516[[#This Row],[قيمة الشحنه]])</f>
        <v>0</v>
      </c>
      <c r="I41" s="90"/>
      <c r="J41" s="142" t="str">
        <f t="shared" si="0"/>
        <v>17.5.2026</v>
      </c>
      <c r="L41" s="153">
        <v>30</v>
      </c>
      <c r="M41" s="92"/>
    </row>
    <row r="42" spans="1:13" ht="21.6" x14ac:dyDescent="0.65">
      <c r="A42" s="195"/>
      <c r="B42" s="140">
        <v>39</v>
      </c>
      <c r="C42" s="2"/>
      <c r="D42" s="1"/>
      <c r="E42" s="3"/>
      <c r="F42" s="1"/>
      <c r="G42" s="141">
        <f>IF(Basic345678910111213141516[[#This Row],[نوع الخدمة]]="مخالفات", 50,
IF(Basic345678910111213141516[[#This Row],[نوع الخدمة]]="كاش ان",
    IF(F42&lt;=100, 18, IF(F42&lt;=250, 23, IF(F42&lt;=500, 35, IF(F42&lt;=1000, 40, F42*0.04)))),
IF(Basic345678910111213141516[[#This Row],[نوع الخدمة]]="كاش اوت",
    IF(F42&lt;=100, 15, IF(F42&lt;=250, 20, IF(F42&lt;=500, 30, IF(F42&lt;=1000, 35, F42*0.035)))),
0)))</f>
        <v>0</v>
      </c>
      <c r="H42" s="159">
        <f>IF(I42="مخالفات",50,Basic345678910111213141516[[#This Row],[قيمة الرسوم / العموله]]+Basic345678910111213141516[[#This Row],[قيمة الشحنه]])</f>
        <v>0</v>
      </c>
      <c r="I42" s="90"/>
      <c r="J42" s="142" t="str">
        <f t="shared" si="0"/>
        <v>17.5.2026</v>
      </c>
      <c r="L42" s="153">
        <v>31</v>
      </c>
      <c r="M42" s="92"/>
    </row>
    <row r="43" spans="1:13" ht="21.6" x14ac:dyDescent="0.65">
      <c r="A43" s="195"/>
      <c r="B43" s="140">
        <v>40</v>
      </c>
      <c r="C43" s="2"/>
      <c r="D43" s="1"/>
      <c r="E43" s="3"/>
      <c r="F43" s="1"/>
      <c r="G43" s="141">
        <f>IF(Basic345678910111213141516[[#This Row],[نوع الخدمة]]="مخالفات", 50,
IF(Basic345678910111213141516[[#This Row],[نوع الخدمة]]="كاش ان",
    IF(F43&lt;=100, 18, IF(F43&lt;=250, 23, IF(F43&lt;=500, 35, IF(F43&lt;=1000, 40, F43*0.04)))),
IF(Basic345678910111213141516[[#This Row],[نوع الخدمة]]="كاش اوت",
    IF(F43&lt;=100, 15, IF(F43&lt;=250, 20, IF(F43&lt;=500, 30, IF(F43&lt;=1000, 35, F43*0.035)))),
0)))</f>
        <v>0</v>
      </c>
      <c r="H43" s="159">
        <f>IF(I43="مخالفات",50,Basic345678910111213141516[[#This Row],[قيمة الرسوم / العموله]]+Basic345678910111213141516[[#This Row],[قيمة الشحنه]])</f>
        <v>0</v>
      </c>
      <c r="I43" s="90"/>
      <c r="J43" s="142" t="str">
        <f t="shared" si="0"/>
        <v>17.5.2026</v>
      </c>
      <c r="L43" s="153">
        <v>32</v>
      </c>
      <c r="M43" s="92"/>
    </row>
    <row r="44" spans="1:13" ht="21.6" x14ac:dyDescent="0.65">
      <c r="A44" s="195"/>
      <c r="B44" s="140">
        <v>41</v>
      </c>
      <c r="C44" s="2"/>
      <c r="D44" s="1"/>
      <c r="E44" s="3"/>
      <c r="F44" s="1"/>
      <c r="G44" s="141">
        <f>IF(Basic345678910111213141516[[#This Row],[نوع الخدمة]]="مخالفات", 50,
IF(Basic345678910111213141516[[#This Row],[نوع الخدمة]]="كاش ان",
    IF(F44&lt;=100, 18, IF(F44&lt;=250, 23, IF(F44&lt;=500, 35, IF(F44&lt;=1000, 40, F44*0.04)))),
IF(Basic345678910111213141516[[#This Row],[نوع الخدمة]]="كاش اوت",
    IF(F44&lt;=100, 15, IF(F44&lt;=250, 20, IF(F44&lt;=500, 30, IF(F44&lt;=1000, 35, F44*0.035)))),
0)))</f>
        <v>0</v>
      </c>
      <c r="H44" s="159">
        <f>IF(I44="مخالفات",50,Basic345678910111213141516[[#This Row],[قيمة الرسوم / العموله]]+Basic345678910111213141516[[#This Row],[قيمة الشحنه]])</f>
        <v>0</v>
      </c>
      <c r="I44" s="90"/>
      <c r="J44" s="142" t="str">
        <f t="shared" si="0"/>
        <v>17.5.2026</v>
      </c>
      <c r="L44" s="153">
        <v>33</v>
      </c>
      <c r="M44" s="92"/>
    </row>
    <row r="45" spans="1:13" ht="21.6" x14ac:dyDescent="0.65">
      <c r="A45" s="195"/>
      <c r="B45" s="144">
        <v>42</v>
      </c>
      <c r="C45" s="2"/>
      <c r="D45" s="1"/>
      <c r="E45" s="3"/>
      <c r="F45" s="1"/>
      <c r="G45" s="141">
        <f>IF(Basic345678910111213141516[[#This Row],[نوع الخدمة]]="مخالفات", 50,
IF(Basic345678910111213141516[[#This Row],[نوع الخدمة]]="كاش ان",
    IF(F45&lt;=100, 18, IF(F45&lt;=250, 23, IF(F45&lt;=500, 35, IF(F45&lt;=1000, 40, F45*0.04)))),
IF(Basic345678910111213141516[[#This Row],[نوع الخدمة]]="كاش اوت",
    IF(F45&lt;=100, 15, IF(F45&lt;=250, 20, IF(F45&lt;=500, 30, IF(F45&lt;=1000, 35, F45*0.035)))),
0)))</f>
        <v>0</v>
      </c>
      <c r="H45" s="159">
        <f>IF(I45="مخالفات",50,Basic345678910111213141516[[#This Row],[قيمة الرسوم / العموله]]+Basic345678910111213141516[[#This Row],[قيمة الشحنه]])</f>
        <v>0</v>
      </c>
      <c r="I45" s="90"/>
      <c r="J45" s="142" t="str">
        <f t="shared" si="0"/>
        <v>17.5.2026</v>
      </c>
      <c r="L45" s="153">
        <v>34</v>
      </c>
      <c r="M45" s="92"/>
    </row>
    <row r="46" spans="1:13" ht="21.6" x14ac:dyDescent="0.65">
      <c r="A46" s="195"/>
      <c r="B46" s="140">
        <v>43</v>
      </c>
      <c r="C46" s="2"/>
      <c r="D46" s="1"/>
      <c r="E46" s="3"/>
      <c r="F46" s="1"/>
      <c r="G46" s="141">
        <f>IF(Basic345678910111213141516[[#This Row],[نوع الخدمة]]="مخالفات", 50,
IF(Basic345678910111213141516[[#This Row],[نوع الخدمة]]="كاش ان",
    IF(F46&lt;=100, 18, IF(F46&lt;=250, 23, IF(F46&lt;=500, 35, IF(F46&lt;=1000, 40, F46*0.04)))),
IF(Basic345678910111213141516[[#This Row],[نوع الخدمة]]="كاش اوت",
    IF(F46&lt;=100, 15, IF(F46&lt;=250, 20, IF(F46&lt;=500, 30, IF(F46&lt;=1000, 35, F46*0.035)))),
0)))</f>
        <v>0</v>
      </c>
      <c r="H46" s="159">
        <f>IF(I46="مخالفات",50,Basic345678910111213141516[[#This Row],[قيمة الرسوم / العموله]]+Basic345678910111213141516[[#This Row],[قيمة الشحنه]])</f>
        <v>0</v>
      </c>
      <c r="I46" s="90"/>
      <c r="J46" s="142" t="str">
        <f t="shared" si="0"/>
        <v>17.5.2026</v>
      </c>
      <c r="L46" s="153">
        <v>35</v>
      </c>
      <c r="M46" s="92"/>
    </row>
    <row r="47" spans="1:13" ht="21.6" x14ac:dyDescent="0.65">
      <c r="A47" s="195"/>
      <c r="B47" s="140">
        <v>44</v>
      </c>
      <c r="C47" s="2"/>
      <c r="D47" s="1"/>
      <c r="E47" s="3"/>
      <c r="F47" s="1"/>
      <c r="G47" s="141">
        <f>IF(Basic345678910111213141516[[#This Row],[نوع الخدمة]]="مخالفات", 50,
IF(Basic345678910111213141516[[#This Row],[نوع الخدمة]]="كاش ان",
    IF(F47&lt;=100, 18, IF(F47&lt;=250, 23, IF(F47&lt;=500, 35, IF(F47&lt;=1000, 40, F47*0.04)))),
IF(Basic345678910111213141516[[#This Row],[نوع الخدمة]]="كاش اوت",
    IF(F47&lt;=100, 15, IF(F47&lt;=250, 20, IF(F47&lt;=500, 30, IF(F47&lt;=1000, 35, F47*0.035)))),
0)))</f>
        <v>0</v>
      </c>
      <c r="H47" s="159">
        <f>IF(I47="مخالفات",50,Basic345678910111213141516[[#This Row],[قيمة الرسوم / العموله]]+Basic345678910111213141516[[#This Row],[قيمة الشحنه]])</f>
        <v>0</v>
      </c>
      <c r="I47" s="90"/>
      <c r="J47" s="142" t="str">
        <f t="shared" si="0"/>
        <v>17.5.2026</v>
      </c>
      <c r="L47" s="153">
        <v>36</v>
      </c>
      <c r="M47" s="92"/>
    </row>
    <row r="48" spans="1:13" ht="21.6" x14ac:dyDescent="0.65">
      <c r="A48" s="195"/>
      <c r="B48" s="140">
        <v>45</v>
      </c>
      <c r="C48" s="2"/>
      <c r="D48" s="1"/>
      <c r="E48" s="3"/>
      <c r="F48" s="1"/>
      <c r="G48" s="141">
        <f>IF(Basic345678910111213141516[[#This Row],[نوع الخدمة]]="مخالفات", 50,
IF(Basic345678910111213141516[[#This Row],[نوع الخدمة]]="كاش ان",
    IF(F48&lt;=100, 18, IF(F48&lt;=250, 23, IF(F48&lt;=500, 35, IF(F48&lt;=1000, 40, F48*0.04)))),
IF(Basic345678910111213141516[[#This Row],[نوع الخدمة]]="كاش اوت",
    IF(F48&lt;=100, 15, IF(F48&lt;=250, 20, IF(F48&lt;=500, 30, IF(F48&lt;=1000, 35, F48*0.035)))),
0)))</f>
        <v>0</v>
      </c>
      <c r="H48" s="159">
        <f>IF(I48="مخالفات",50,Basic345678910111213141516[[#This Row],[قيمة الرسوم / العموله]]+Basic345678910111213141516[[#This Row],[قيمة الشحنه]])</f>
        <v>0</v>
      </c>
      <c r="I48" s="90"/>
      <c r="J48" s="142" t="str">
        <f t="shared" si="0"/>
        <v>17.5.2026</v>
      </c>
      <c r="L48" s="153">
        <v>37</v>
      </c>
      <c r="M48" s="92"/>
    </row>
    <row r="49" spans="1:13" ht="21.6" x14ac:dyDescent="0.65">
      <c r="A49" s="195"/>
      <c r="B49" s="144">
        <v>46</v>
      </c>
      <c r="C49" s="2"/>
      <c r="D49" s="1"/>
      <c r="E49" s="3"/>
      <c r="F49" s="1"/>
      <c r="G49" s="141">
        <f>IF(Basic345678910111213141516[[#This Row],[نوع الخدمة]]="مخالفات", 50,
IF(Basic345678910111213141516[[#This Row],[نوع الخدمة]]="كاش ان",
    IF(F49&lt;=100, 18, IF(F49&lt;=250, 23, IF(F49&lt;=500, 35, IF(F49&lt;=1000, 40, F49*0.04)))),
IF(Basic345678910111213141516[[#This Row],[نوع الخدمة]]="كاش اوت",
    IF(F49&lt;=100, 15, IF(F49&lt;=250, 20, IF(F49&lt;=500, 30, IF(F49&lt;=1000, 35, F49*0.035)))),
0)))</f>
        <v>0</v>
      </c>
      <c r="H49" s="159">
        <f>IF(I49="مخالفات",50,Basic345678910111213141516[[#This Row],[قيمة الرسوم / العموله]]+Basic345678910111213141516[[#This Row],[قيمة الشحنه]])</f>
        <v>0</v>
      </c>
      <c r="I49" s="90"/>
      <c r="J49" s="142" t="str">
        <f t="shared" si="0"/>
        <v>17.5.2026</v>
      </c>
      <c r="L49" s="153">
        <v>38</v>
      </c>
      <c r="M49" s="92"/>
    </row>
    <row r="50" spans="1:13" ht="21.6" x14ac:dyDescent="0.65">
      <c r="A50" s="195"/>
      <c r="B50" s="140">
        <v>47</v>
      </c>
      <c r="C50" s="2"/>
      <c r="D50" s="1"/>
      <c r="E50" s="3"/>
      <c r="F50" s="1"/>
      <c r="G50" s="141">
        <f>IF(Basic345678910111213141516[[#This Row],[نوع الخدمة]]="مخالفات", 50,
IF(Basic345678910111213141516[[#This Row],[نوع الخدمة]]="كاش ان",
    IF(F50&lt;=100, 18, IF(F50&lt;=250, 23, IF(F50&lt;=500, 35, IF(F50&lt;=1000, 40, F50*0.04)))),
IF(Basic345678910111213141516[[#This Row],[نوع الخدمة]]="كاش اوت",
    IF(F50&lt;=100, 15, IF(F50&lt;=250, 20, IF(F50&lt;=500, 30, IF(F50&lt;=1000, 35, F50*0.035)))),
0)))</f>
        <v>0</v>
      </c>
      <c r="H50" s="159">
        <f>IF(I50="مخالفات",50,Basic345678910111213141516[[#This Row],[قيمة الرسوم / العموله]]+Basic345678910111213141516[[#This Row],[قيمة الشحنه]])</f>
        <v>0</v>
      </c>
      <c r="I50" s="90"/>
      <c r="J50" s="142" t="str">
        <f t="shared" si="0"/>
        <v>17.5.2026</v>
      </c>
      <c r="L50" s="153">
        <v>39</v>
      </c>
      <c r="M50" s="92"/>
    </row>
    <row r="51" spans="1:13" ht="21.6" x14ac:dyDescent="0.65">
      <c r="A51" s="195"/>
      <c r="B51" s="140">
        <v>48</v>
      </c>
      <c r="C51" s="2"/>
      <c r="D51" s="1"/>
      <c r="E51" s="3"/>
      <c r="F51" s="1"/>
      <c r="G51" s="141">
        <f>IF(Basic345678910111213141516[[#This Row],[نوع الخدمة]]="مخالفات", 50,
IF(Basic345678910111213141516[[#This Row],[نوع الخدمة]]="كاش ان",
    IF(F51&lt;=100, 18, IF(F51&lt;=250, 23, IF(F51&lt;=500, 35, IF(F51&lt;=1000, 40, F51*0.04)))),
IF(Basic345678910111213141516[[#This Row],[نوع الخدمة]]="كاش اوت",
    IF(F51&lt;=100, 15, IF(F51&lt;=250, 20, IF(F51&lt;=500, 30, IF(F51&lt;=1000, 35, F51*0.035)))),
0)))</f>
        <v>0</v>
      </c>
      <c r="H51" s="159">
        <f>IF(I51="مخالفات",50,Basic345678910111213141516[[#This Row],[قيمة الرسوم / العموله]]+Basic345678910111213141516[[#This Row],[قيمة الشحنه]])</f>
        <v>0</v>
      </c>
      <c r="I51" s="90"/>
      <c r="J51" s="142" t="str">
        <f t="shared" si="0"/>
        <v>17.5.2026</v>
      </c>
      <c r="L51" s="153">
        <v>40</v>
      </c>
      <c r="M51" s="92"/>
    </row>
    <row r="52" spans="1:13" ht="21.6" x14ac:dyDescent="0.65">
      <c r="A52" s="195"/>
      <c r="B52" s="140">
        <v>49</v>
      </c>
      <c r="C52" s="2"/>
      <c r="D52" s="1"/>
      <c r="E52" s="3"/>
      <c r="F52" s="1"/>
      <c r="G52" s="141">
        <f>IF(Basic345678910111213141516[[#This Row],[نوع الخدمة]]="مخالفات", 50,
IF(Basic345678910111213141516[[#This Row],[نوع الخدمة]]="كاش ان",
    IF(F52&lt;=100, 18, IF(F52&lt;=250, 23, IF(F52&lt;=500, 35, IF(F52&lt;=1000, 40, F52*0.04)))),
IF(Basic345678910111213141516[[#This Row],[نوع الخدمة]]="كاش اوت",
    IF(F52&lt;=100, 15, IF(F52&lt;=250, 20, IF(F52&lt;=500, 30, IF(F52&lt;=1000, 35, F52*0.035)))),
0)))</f>
        <v>0</v>
      </c>
      <c r="H52" s="159">
        <f>IF(I52="مخالفات",50,Basic345678910111213141516[[#This Row],[قيمة الرسوم / العموله]]+Basic345678910111213141516[[#This Row],[قيمة الشحنه]])</f>
        <v>0</v>
      </c>
      <c r="I52" s="90"/>
      <c r="J52" s="142" t="str">
        <f t="shared" si="0"/>
        <v>17.5.2026</v>
      </c>
      <c r="L52" s="153">
        <v>41</v>
      </c>
      <c r="M52" s="92"/>
    </row>
    <row r="53" spans="1:13" ht="21.6" x14ac:dyDescent="0.65">
      <c r="A53" s="195"/>
      <c r="B53" s="144">
        <v>50</v>
      </c>
      <c r="C53" s="2"/>
      <c r="D53" s="1"/>
      <c r="E53" s="3"/>
      <c r="F53" s="1"/>
      <c r="G53" s="141">
        <f>IF(Basic345678910111213141516[[#This Row],[نوع الخدمة]]="مخالفات", 50,
IF(Basic345678910111213141516[[#This Row],[نوع الخدمة]]="كاش ان",
    IF(F53&lt;=100, 18, IF(F53&lt;=250, 23, IF(F53&lt;=500, 35, IF(F53&lt;=1000, 40, F53*0.04)))),
IF(Basic345678910111213141516[[#This Row],[نوع الخدمة]]="كاش اوت",
    IF(F53&lt;=100, 15, IF(F53&lt;=250, 20, IF(F53&lt;=500, 30, IF(F53&lt;=1000, 35, F53*0.035)))),
0)))</f>
        <v>0</v>
      </c>
      <c r="H53" s="159">
        <f>IF(I53="مخالفات",50,Basic345678910111213141516[[#This Row],[قيمة الرسوم / العموله]]+Basic345678910111213141516[[#This Row],[قيمة الشحنه]])</f>
        <v>0</v>
      </c>
      <c r="I53" s="90"/>
      <c r="J53" s="142" t="str">
        <f t="shared" si="0"/>
        <v>17.5.2026</v>
      </c>
      <c r="L53" s="153">
        <v>42</v>
      </c>
      <c r="M53" s="92"/>
    </row>
    <row r="54" spans="1:13" ht="21.6" x14ac:dyDescent="0.65">
      <c r="A54" s="195"/>
      <c r="B54" s="140">
        <v>51</v>
      </c>
      <c r="C54" s="2"/>
      <c r="D54" s="1"/>
      <c r="E54" s="3"/>
      <c r="F54" s="1"/>
      <c r="G54" s="141">
        <f>IF(Basic345678910111213141516[[#This Row],[نوع الخدمة]]="مخالفات", 50,
IF(Basic345678910111213141516[[#This Row],[نوع الخدمة]]="كاش ان",
    IF(F54&lt;=100, 18, IF(F54&lt;=250, 23, IF(F54&lt;=500, 35, IF(F54&lt;=1000, 40, F54*0.04)))),
IF(Basic345678910111213141516[[#This Row],[نوع الخدمة]]="كاش اوت",
    IF(F54&lt;=100, 15, IF(F54&lt;=250, 20, IF(F54&lt;=500, 30, IF(F54&lt;=1000, 35, F54*0.035)))),
0)))</f>
        <v>0</v>
      </c>
      <c r="H54" s="159">
        <f>IF(I54="مخالفات",50,Basic345678910111213141516[[#This Row],[قيمة الرسوم / العموله]]+Basic345678910111213141516[[#This Row],[قيمة الشحنه]])</f>
        <v>0</v>
      </c>
      <c r="I54" s="90"/>
      <c r="J54" s="142" t="str">
        <f t="shared" si="0"/>
        <v>17.5.2026</v>
      </c>
      <c r="L54" s="153">
        <v>43</v>
      </c>
      <c r="M54" s="92"/>
    </row>
    <row r="55" spans="1:13" ht="21.6" x14ac:dyDescent="0.65">
      <c r="A55" s="195"/>
      <c r="B55" s="140">
        <v>52</v>
      </c>
      <c r="C55" s="2"/>
      <c r="D55" s="1"/>
      <c r="E55" s="3"/>
      <c r="F55" s="1"/>
      <c r="G55" s="141">
        <f>IF(Basic345678910111213141516[[#This Row],[نوع الخدمة]]="مخالفات", 50,
IF(Basic345678910111213141516[[#This Row],[نوع الخدمة]]="كاش ان",
    IF(F55&lt;=100, 18, IF(F55&lt;=250, 23, IF(F55&lt;=500, 35, IF(F55&lt;=1000, 40, F55*0.04)))),
IF(Basic345678910111213141516[[#This Row],[نوع الخدمة]]="كاش اوت",
    IF(F55&lt;=100, 15, IF(F55&lt;=250, 20, IF(F55&lt;=500, 30, IF(F55&lt;=1000, 35, F55*0.035)))),
0)))</f>
        <v>0</v>
      </c>
      <c r="H55" s="159">
        <f>IF(I55="مخالفات",50,Basic345678910111213141516[[#This Row],[قيمة الرسوم / العموله]]+Basic345678910111213141516[[#This Row],[قيمة الشحنه]])</f>
        <v>0</v>
      </c>
      <c r="I55" s="90"/>
      <c r="J55" s="142" t="str">
        <f t="shared" si="0"/>
        <v>17.5.2026</v>
      </c>
      <c r="L55" s="153">
        <v>44</v>
      </c>
      <c r="M55" s="92"/>
    </row>
    <row r="56" spans="1:13" ht="21.6" x14ac:dyDescent="0.65">
      <c r="A56" s="195"/>
      <c r="B56" s="140">
        <v>53</v>
      </c>
      <c r="C56" s="2"/>
      <c r="D56" s="1"/>
      <c r="E56" s="3"/>
      <c r="F56" s="1"/>
      <c r="G56" s="141">
        <f>IF(Basic345678910111213141516[[#This Row],[نوع الخدمة]]="مخالفات", 50,
IF(Basic345678910111213141516[[#This Row],[نوع الخدمة]]="كاش ان",
    IF(F56&lt;=100, 18, IF(F56&lt;=250, 23, IF(F56&lt;=500, 35, IF(F56&lt;=1000, 40, F56*0.04)))),
IF(Basic345678910111213141516[[#This Row],[نوع الخدمة]]="كاش اوت",
    IF(F56&lt;=100, 15, IF(F56&lt;=250, 20, IF(F56&lt;=500, 30, IF(F56&lt;=1000, 35, F56*0.035)))),
0)))</f>
        <v>0</v>
      </c>
      <c r="H56" s="159">
        <f>IF(I56="مخالفات",50,Basic345678910111213141516[[#This Row],[قيمة الرسوم / العموله]]+Basic345678910111213141516[[#This Row],[قيمة الشحنه]])</f>
        <v>0</v>
      </c>
      <c r="I56" s="90"/>
      <c r="J56" s="142" t="str">
        <f t="shared" si="0"/>
        <v>17.5.2026</v>
      </c>
      <c r="L56" s="153">
        <v>45</v>
      </c>
      <c r="M56" s="92"/>
    </row>
    <row r="57" spans="1:13" ht="21.6" x14ac:dyDescent="0.65">
      <c r="A57" s="195"/>
      <c r="B57" s="144">
        <v>54</v>
      </c>
      <c r="C57" s="2"/>
      <c r="D57" s="1"/>
      <c r="E57" s="3"/>
      <c r="F57" s="1"/>
      <c r="G57" s="141">
        <f>IF(Basic345678910111213141516[[#This Row],[نوع الخدمة]]="مخالفات", 50,
IF(Basic345678910111213141516[[#This Row],[نوع الخدمة]]="كاش ان",
    IF(F57&lt;=100, 18, IF(F57&lt;=250, 23, IF(F57&lt;=500, 35, IF(F57&lt;=1000, 40, F57*0.04)))),
IF(Basic345678910111213141516[[#This Row],[نوع الخدمة]]="كاش اوت",
    IF(F57&lt;=100, 15, IF(F57&lt;=250, 20, IF(F57&lt;=500, 30, IF(F57&lt;=1000, 35, F57*0.035)))),
0)))</f>
        <v>0</v>
      </c>
      <c r="H57" s="159">
        <f>IF(I57="مخالفات",50,Basic345678910111213141516[[#This Row],[قيمة الرسوم / العموله]]+Basic345678910111213141516[[#This Row],[قيمة الشحنه]])</f>
        <v>0</v>
      </c>
      <c r="I57" s="90"/>
      <c r="J57" s="142" t="str">
        <f t="shared" si="0"/>
        <v>17.5.2026</v>
      </c>
      <c r="L57" s="153">
        <v>46</v>
      </c>
      <c r="M57" s="92"/>
    </row>
    <row r="58" spans="1:13" ht="21.6" x14ac:dyDescent="0.65">
      <c r="A58" s="195"/>
      <c r="B58" s="140">
        <v>55</v>
      </c>
      <c r="C58" s="2"/>
      <c r="D58" s="1"/>
      <c r="E58" s="3"/>
      <c r="F58" s="1"/>
      <c r="G58" s="141">
        <f>IF(Basic345678910111213141516[[#This Row],[نوع الخدمة]]="مخالفات", 50,
IF(Basic345678910111213141516[[#This Row],[نوع الخدمة]]="كاش ان",
    IF(F58&lt;=100, 18, IF(F58&lt;=250, 23, IF(F58&lt;=500, 35, IF(F58&lt;=1000, 40, F58*0.04)))),
IF(Basic345678910111213141516[[#This Row],[نوع الخدمة]]="كاش اوت",
    IF(F58&lt;=100, 15, IF(F58&lt;=250, 20, IF(F58&lt;=500, 30, IF(F58&lt;=1000, 35, F58*0.035)))),
0)))</f>
        <v>0</v>
      </c>
      <c r="H58" s="159">
        <f>IF(I58="مخالفات",50,Basic345678910111213141516[[#This Row],[قيمة الرسوم / العموله]]+Basic345678910111213141516[[#This Row],[قيمة الشحنه]])</f>
        <v>0</v>
      </c>
      <c r="I58" s="90"/>
      <c r="J58" s="142" t="str">
        <f t="shared" si="0"/>
        <v>17.5.2026</v>
      </c>
      <c r="L58" s="153">
        <v>47</v>
      </c>
      <c r="M58" s="92"/>
    </row>
    <row r="59" spans="1:13" ht="21.6" x14ac:dyDescent="0.65">
      <c r="A59" s="195"/>
      <c r="B59" s="140">
        <v>56</v>
      </c>
      <c r="C59" s="2"/>
      <c r="D59" s="1"/>
      <c r="E59" s="3"/>
      <c r="F59" s="1"/>
      <c r="G59" s="141">
        <f>IF(Basic345678910111213141516[[#This Row],[نوع الخدمة]]="مخالفات", 50,
IF(Basic345678910111213141516[[#This Row],[نوع الخدمة]]="كاش ان",
    IF(F59&lt;=100, 18, IF(F59&lt;=250, 23, IF(F59&lt;=500, 35, IF(F59&lt;=1000, 40, F59*0.04)))),
IF(Basic345678910111213141516[[#This Row],[نوع الخدمة]]="كاش اوت",
    IF(F59&lt;=100, 15, IF(F59&lt;=250, 20, IF(F59&lt;=500, 30, IF(F59&lt;=1000, 35, F59*0.035)))),
0)))</f>
        <v>0</v>
      </c>
      <c r="H59" s="159">
        <f>IF(I59="مخالفات",50,Basic345678910111213141516[[#This Row],[قيمة الرسوم / العموله]]+Basic345678910111213141516[[#This Row],[قيمة الشحنه]])</f>
        <v>0</v>
      </c>
      <c r="I59" s="90"/>
      <c r="J59" s="142" t="str">
        <f t="shared" si="0"/>
        <v>17.5.2026</v>
      </c>
      <c r="L59" s="153">
        <v>48</v>
      </c>
      <c r="M59" s="92"/>
    </row>
    <row r="60" spans="1:13" ht="21.6" x14ac:dyDescent="0.65">
      <c r="A60" s="195"/>
      <c r="B60" s="140">
        <v>57</v>
      </c>
      <c r="C60" s="2"/>
      <c r="D60" s="1"/>
      <c r="E60" s="3"/>
      <c r="F60" s="1"/>
      <c r="G60" s="141">
        <f>IF(Basic345678910111213141516[[#This Row],[نوع الخدمة]]="مخالفات", 50,
IF(Basic345678910111213141516[[#This Row],[نوع الخدمة]]="كاش ان",
    IF(F60&lt;=100, 18, IF(F60&lt;=250, 23, IF(F60&lt;=500, 35, IF(F60&lt;=1000, 40, F60*0.04)))),
IF(Basic345678910111213141516[[#This Row],[نوع الخدمة]]="كاش اوت",
    IF(F60&lt;=100, 15, IF(F60&lt;=250, 20, IF(F60&lt;=500, 30, IF(F60&lt;=1000, 35, F60*0.035)))),
0)))</f>
        <v>0</v>
      </c>
      <c r="H60" s="159">
        <f>IF(I60="مخالفات",50,Basic345678910111213141516[[#This Row],[قيمة الرسوم / العموله]]+Basic345678910111213141516[[#This Row],[قيمة الشحنه]])</f>
        <v>0</v>
      </c>
      <c r="I60" s="90"/>
      <c r="J60" s="142" t="str">
        <f t="shared" si="0"/>
        <v>17.5.2026</v>
      </c>
      <c r="L60" s="153">
        <v>49</v>
      </c>
      <c r="M60" s="92"/>
    </row>
    <row r="61" spans="1:13" ht="21.6" x14ac:dyDescent="0.65">
      <c r="A61" s="195"/>
      <c r="B61" s="144">
        <v>58</v>
      </c>
      <c r="C61" s="2"/>
      <c r="D61" s="1"/>
      <c r="E61" s="3"/>
      <c r="F61" s="1"/>
      <c r="G61" s="141">
        <f>IF(Basic345678910111213141516[[#This Row],[نوع الخدمة]]="مخالفات", 50,
IF(Basic345678910111213141516[[#This Row],[نوع الخدمة]]="كاش ان",
    IF(F61&lt;=100, 18, IF(F61&lt;=250, 23, IF(F61&lt;=500, 35, IF(F61&lt;=1000, 40, F61*0.04)))),
IF(Basic345678910111213141516[[#This Row],[نوع الخدمة]]="كاش اوت",
    IF(F61&lt;=100, 15, IF(F61&lt;=250, 20, IF(F61&lt;=500, 30, IF(F61&lt;=1000, 35, F61*0.035)))),
0)))</f>
        <v>0</v>
      </c>
      <c r="H61" s="159">
        <f>IF(I61="مخالفات",50,Basic345678910111213141516[[#This Row],[قيمة الرسوم / العموله]]+Basic345678910111213141516[[#This Row],[قيمة الشحنه]])</f>
        <v>0</v>
      </c>
      <c r="I61" s="90"/>
      <c r="J61" s="142" t="str">
        <f t="shared" si="0"/>
        <v>17.5.2026</v>
      </c>
      <c r="L61" s="153">
        <v>50</v>
      </c>
      <c r="M61" s="92"/>
    </row>
    <row r="62" spans="1:13" ht="21.6" x14ac:dyDescent="0.65">
      <c r="A62" s="195"/>
      <c r="B62" s="140">
        <v>59</v>
      </c>
      <c r="C62" s="2"/>
      <c r="D62" s="1"/>
      <c r="E62" s="3"/>
      <c r="F62" s="1"/>
      <c r="G62" s="141">
        <f>IF(Basic345678910111213141516[[#This Row],[نوع الخدمة]]="مخالفات", 50,
IF(Basic345678910111213141516[[#This Row],[نوع الخدمة]]="كاش ان",
    IF(F62&lt;=100, 18, IF(F62&lt;=250, 23, IF(F62&lt;=500, 35, IF(F62&lt;=1000, 40, F62*0.04)))),
IF(Basic345678910111213141516[[#This Row],[نوع الخدمة]]="كاش اوت",
    IF(F62&lt;=100, 15, IF(F62&lt;=250, 20, IF(F62&lt;=500, 30, IF(F62&lt;=1000, 35, F62*0.035)))),
0)))</f>
        <v>0</v>
      </c>
      <c r="H62" s="159">
        <f>IF(I62="مخالفات",50,Basic345678910111213141516[[#This Row],[قيمة الرسوم / العموله]]+Basic345678910111213141516[[#This Row],[قيمة الشحنه]])</f>
        <v>0</v>
      </c>
      <c r="I62" s="90"/>
      <c r="J62" s="142" t="str">
        <f t="shared" si="0"/>
        <v>17.5.2026</v>
      </c>
      <c r="L62" s="153">
        <v>51</v>
      </c>
      <c r="M62" s="92"/>
    </row>
    <row r="63" spans="1:13" ht="21.6" x14ac:dyDescent="0.65">
      <c r="A63" s="195"/>
      <c r="B63" s="140">
        <v>60</v>
      </c>
      <c r="C63" s="2"/>
      <c r="D63" s="1"/>
      <c r="E63" s="3"/>
      <c r="F63" s="1"/>
      <c r="G63" s="141">
        <f>IF(Basic345678910111213141516[[#This Row],[نوع الخدمة]]="مخالفات", 50,
IF(Basic345678910111213141516[[#This Row],[نوع الخدمة]]="كاش ان",
    IF(F63&lt;=100, 18, IF(F63&lt;=250, 23, IF(F63&lt;=500, 35, IF(F63&lt;=1000, 40, F63*0.04)))),
IF(Basic345678910111213141516[[#This Row],[نوع الخدمة]]="كاش اوت",
    IF(F63&lt;=100, 15, IF(F63&lt;=250, 20, IF(F63&lt;=500, 30, IF(F63&lt;=1000, 35, F63*0.035)))),
0)))</f>
        <v>0</v>
      </c>
      <c r="H63" s="159">
        <f>IF(I63="مخالفات",50,Basic345678910111213141516[[#This Row],[قيمة الرسوم / العموله]]+Basic345678910111213141516[[#This Row],[قيمة الشحنه]])</f>
        <v>0</v>
      </c>
      <c r="I63" s="90"/>
      <c r="J63" s="142" t="str">
        <f t="shared" si="0"/>
        <v>17.5.2026</v>
      </c>
      <c r="L63" s="153">
        <v>52</v>
      </c>
      <c r="M63" s="92"/>
    </row>
    <row r="64" spans="1:13" ht="21.6" x14ac:dyDescent="0.65">
      <c r="A64" s="195"/>
      <c r="B64" s="140">
        <v>61</v>
      </c>
      <c r="C64" s="2"/>
      <c r="D64" s="1"/>
      <c r="E64" s="3"/>
      <c r="F64" s="1"/>
      <c r="G64" s="141">
        <f>IF(Basic345678910111213141516[[#This Row],[نوع الخدمة]]="مخالفات", 50,
IF(Basic345678910111213141516[[#This Row],[نوع الخدمة]]="كاش ان",
    IF(F64&lt;=100, 18, IF(F64&lt;=250, 23, IF(F64&lt;=500, 35, IF(F64&lt;=1000, 40, F64*0.04)))),
IF(Basic345678910111213141516[[#This Row],[نوع الخدمة]]="كاش اوت",
    IF(F64&lt;=100, 15, IF(F64&lt;=250, 20, IF(F64&lt;=500, 30, IF(F64&lt;=1000, 35, F64*0.035)))),
0)))</f>
        <v>0</v>
      </c>
      <c r="H64" s="159">
        <f>IF(I64="مخالفات",50,Basic345678910111213141516[[#This Row],[قيمة الرسوم / العموله]]+Basic345678910111213141516[[#This Row],[قيمة الشحنه]])</f>
        <v>0</v>
      </c>
      <c r="I64" s="90"/>
      <c r="J64" s="142" t="str">
        <f t="shared" si="0"/>
        <v>17.5.2026</v>
      </c>
      <c r="L64" s="153">
        <v>53</v>
      </c>
      <c r="M64" s="92"/>
    </row>
    <row r="65" spans="1:13" ht="21.6" x14ac:dyDescent="0.65">
      <c r="A65" s="195"/>
      <c r="B65" s="144">
        <v>62</v>
      </c>
      <c r="C65" s="2"/>
      <c r="D65" s="1"/>
      <c r="E65" s="3"/>
      <c r="F65" s="1"/>
      <c r="G65" s="141">
        <f>IF(Basic345678910111213141516[[#This Row],[نوع الخدمة]]="مخالفات", 50,
IF(Basic345678910111213141516[[#This Row],[نوع الخدمة]]="كاش ان",
    IF(F65&lt;=100, 18, IF(F65&lt;=250, 23, IF(F65&lt;=500, 35, IF(F65&lt;=1000, 40, F65*0.04)))),
IF(Basic345678910111213141516[[#This Row],[نوع الخدمة]]="كاش اوت",
    IF(F65&lt;=100, 15, IF(F65&lt;=250, 20, IF(F65&lt;=500, 30, IF(F65&lt;=1000, 35, F65*0.035)))),
0)))</f>
        <v>0</v>
      </c>
      <c r="H65" s="159">
        <f>IF(I65="مخالفات",50,Basic345678910111213141516[[#This Row],[قيمة الرسوم / العموله]]+Basic345678910111213141516[[#This Row],[قيمة الشحنه]])</f>
        <v>0</v>
      </c>
      <c r="I65" s="90"/>
      <c r="J65" s="142" t="str">
        <f t="shared" si="0"/>
        <v>17.5.2026</v>
      </c>
      <c r="L65" s="153">
        <v>54</v>
      </c>
      <c r="M65" s="92"/>
    </row>
    <row r="66" spans="1:13" ht="21.6" x14ac:dyDescent="0.65">
      <c r="A66" s="195"/>
      <c r="B66" s="140">
        <v>63</v>
      </c>
      <c r="C66" s="2"/>
      <c r="D66" s="1"/>
      <c r="E66" s="3"/>
      <c r="F66" s="1"/>
      <c r="G66" s="141">
        <f>IF(Basic345678910111213141516[[#This Row],[نوع الخدمة]]="مخالفات", 50,
IF(Basic345678910111213141516[[#This Row],[نوع الخدمة]]="كاش ان",
    IF(F66&lt;=100, 18, IF(F66&lt;=250, 23, IF(F66&lt;=500, 35, IF(F66&lt;=1000, 40, F66*0.04)))),
IF(Basic345678910111213141516[[#This Row],[نوع الخدمة]]="كاش اوت",
    IF(F66&lt;=100, 15, IF(F66&lt;=250, 20, IF(F66&lt;=500, 30, IF(F66&lt;=1000, 35, F66*0.035)))),
0)))</f>
        <v>0</v>
      </c>
      <c r="H66" s="159">
        <f>IF(I66="مخالفات",50,Basic345678910111213141516[[#This Row],[قيمة الرسوم / العموله]]+Basic345678910111213141516[[#This Row],[قيمة الشحنه]])</f>
        <v>0</v>
      </c>
      <c r="I66" s="90"/>
      <c r="J66" s="142" t="str">
        <f t="shared" si="0"/>
        <v>17.5.2026</v>
      </c>
      <c r="L66" s="153">
        <v>55</v>
      </c>
      <c r="M66" s="92"/>
    </row>
    <row r="67" spans="1:13" ht="21.6" x14ac:dyDescent="0.65">
      <c r="A67" s="195"/>
      <c r="B67" s="140">
        <v>64</v>
      </c>
      <c r="C67" s="2"/>
      <c r="D67" s="1"/>
      <c r="E67" s="3"/>
      <c r="F67" s="1"/>
      <c r="G67" s="141">
        <f>IF(Basic345678910111213141516[[#This Row],[نوع الخدمة]]="مخالفات", 50,
IF(Basic345678910111213141516[[#This Row],[نوع الخدمة]]="كاش ان",
    IF(F67&lt;=100, 18, IF(F67&lt;=250, 23, IF(F67&lt;=500, 35, IF(F67&lt;=1000, 40, F67*0.04)))),
IF(Basic345678910111213141516[[#This Row],[نوع الخدمة]]="كاش اوت",
    IF(F67&lt;=100, 15, IF(F67&lt;=250, 20, IF(F67&lt;=500, 30, IF(F67&lt;=1000, 35, F67*0.035)))),
0)))</f>
        <v>0</v>
      </c>
      <c r="H67" s="159">
        <f>IF(I67="مخالفات",50,Basic345678910111213141516[[#This Row],[قيمة الرسوم / العموله]]+Basic345678910111213141516[[#This Row],[قيمة الشحنه]])</f>
        <v>0</v>
      </c>
      <c r="I67" s="90"/>
      <c r="J67" s="142" t="str">
        <f t="shared" si="0"/>
        <v>17.5.2026</v>
      </c>
      <c r="L67" s="153">
        <v>56</v>
      </c>
      <c r="M67" s="92"/>
    </row>
    <row r="68" spans="1:13" ht="21.6" x14ac:dyDescent="0.65">
      <c r="A68" s="195"/>
      <c r="B68" s="140">
        <v>65</v>
      </c>
      <c r="C68" s="2"/>
      <c r="D68" s="1"/>
      <c r="E68" s="3"/>
      <c r="F68" s="1"/>
      <c r="G68" s="141">
        <f>IF(Basic345678910111213141516[[#This Row],[نوع الخدمة]]="مخالفات", 50,
IF(Basic345678910111213141516[[#This Row],[نوع الخدمة]]="كاش ان",
    IF(F68&lt;=100, 18, IF(F68&lt;=250, 23, IF(F68&lt;=500, 35, IF(F68&lt;=1000, 40, F68*0.04)))),
IF(Basic345678910111213141516[[#This Row],[نوع الخدمة]]="كاش اوت",
    IF(F68&lt;=100, 15, IF(F68&lt;=250, 20, IF(F68&lt;=500, 30, IF(F68&lt;=1000, 35, F68*0.035)))),
0)))</f>
        <v>0</v>
      </c>
      <c r="H68" s="159">
        <f>IF(I68="مخالفات",50,Basic345678910111213141516[[#This Row],[قيمة الرسوم / العموله]]+Basic345678910111213141516[[#This Row],[قيمة الشحنه]])</f>
        <v>0</v>
      </c>
      <c r="I68" s="90"/>
      <c r="J68" s="142" t="str">
        <f t="shared" ref="J68:J131" si="1">M$3</f>
        <v>17.5.2026</v>
      </c>
      <c r="L68" s="153">
        <v>57</v>
      </c>
      <c r="M68" s="92"/>
    </row>
    <row r="69" spans="1:13" ht="21.6" x14ac:dyDescent="0.65">
      <c r="A69" s="195"/>
      <c r="B69" s="144">
        <v>66</v>
      </c>
      <c r="C69" s="2"/>
      <c r="D69" s="1"/>
      <c r="E69" s="3"/>
      <c r="F69" s="1"/>
      <c r="G69" s="141">
        <f>IF(Basic345678910111213141516[[#This Row],[نوع الخدمة]]="مخالفات", 50,
IF(Basic345678910111213141516[[#This Row],[نوع الخدمة]]="كاش ان",
    IF(F69&lt;=100, 18, IF(F69&lt;=250, 23, IF(F69&lt;=500, 35, IF(F69&lt;=1000, 40, F69*0.04)))),
IF(Basic345678910111213141516[[#This Row],[نوع الخدمة]]="كاش اوت",
    IF(F69&lt;=100, 15, IF(F69&lt;=250, 20, IF(F69&lt;=500, 30, IF(F69&lt;=1000, 35, F69*0.035)))),
0)))</f>
        <v>0</v>
      </c>
      <c r="H69" s="159">
        <f>IF(I69="مخالفات",50,Basic345678910111213141516[[#This Row],[قيمة الرسوم / العموله]]+Basic345678910111213141516[[#This Row],[قيمة الشحنه]])</f>
        <v>0</v>
      </c>
      <c r="I69" s="90"/>
      <c r="J69" s="142" t="str">
        <f t="shared" si="1"/>
        <v>17.5.2026</v>
      </c>
      <c r="L69" s="153">
        <v>58</v>
      </c>
      <c r="M69" s="92"/>
    </row>
    <row r="70" spans="1:13" ht="21.6" x14ac:dyDescent="0.65">
      <c r="A70" s="195"/>
      <c r="B70" s="140">
        <v>67</v>
      </c>
      <c r="C70" s="2"/>
      <c r="D70" s="1"/>
      <c r="E70" s="3"/>
      <c r="F70" s="1"/>
      <c r="G70" s="141">
        <f>IF(Basic345678910111213141516[[#This Row],[نوع الخدمة]]="مخالفات", 50,
IF(Basic345678910111213141516[[#This Row],[نوع الخدمة]]="كاش ان",
    IF(F70&lt;=100, 18, IF(F70&lt;=250, 23, IF(F70&lt;=500, 35, IF(F70&lt;=1000, 40, F70*0.04)))),
IF(Basic345678910111213141516[[#This Row],[نوع الخدمة]]="كاش اوت",
    IF(F70&lt;=100, 15, IF(F70&lt;=250, 20, IF(F70&lt;=500, 30, IF(F70&lt;=1000, 35, F70*0.035)))),
0)))</f>
        <v>0</v>
      </c>
      <c r="H70" s="159">
        <f>IF(I70="مخالفات",50,Basic345678910111213141516[[#This Row],[قيمة الرسوم / العموله]]+Basic345678910111213141516[[#This Row],[قيمة الشحنه]])</f>
        <v>0</v>
      </c>
      <c r="I70" s="90"/>
      <c r="J70" s="142" t="str">
        <f t="shared" si="1"/>
        <v>17.5.2026</v>
      </c>
      <c r="L70" s="153">
        <v>59</v>
      </c>
      <c r="M70" s="92"/>
    </row>
    <row r="71" spans="1:13" ht="21.6" x14ac:dyDescent="0.65">
      <c r="A71" s="195"/>
      <c r="B71" s="140">
        <v>68</v>
      </c>
      <c r="C71" s="2"/>
      <c r="D71" s="1"/>
      <c r="E71" s="3"/>
      <c r="F71" s="1"/>
      <c r="G71" s="141">
        <f>IF(Basic345678910111213141516[[#This Row],[نوع الخدمة]]="مخالفات", 50,
IF(Basic345678910111213141516[[#This Row],[نوع الخدمة]]="كاش ان",
    IF(F71&lt;=100, 18, IF(F71&lt;=250, 23, IF(F71&lt;=500, 35, IF(F71&lt;=1000, 40, F71*0.04)))),
IF(Basic345678910111213141516[[#This Row],[نوع الخدمة]]="كاش اوت",
    IF(F71&lt;=100, 15, IF(F71&lt;=250, 20, IF(F71&lt;=500, 30, IF(F71&lt;=1000, 35, F71*0.035)))),
0)))</f>
        <v>0</v>
      </c>
      <c r="H71" s="159">
        <f>IF(I71="مخالفات",50,Basic345678910111213141516[[#This Row],[قيمة الرسوم / العموله]]+Basic345678910111213141516[[#This Row],[قيمة الشحنه]])</f>
        <v>0</v>
      </c>
      <c r="I71" s="90"/>
      <c r="J71" s="142" t="str">
        <f t="shared" si="1"/>
        <v>17.5.2026</v>
      </c>
      <c r="L71" s="153">
        <v>60</v>
      </c>
      <c r="M71" s="92"/>
    </row>
    <row r="72" spans="1:13" ht="21.6" x14ac:dyDescent="0.65">
      <c r="A72" s="195"/>
      <c r="B72" s="140">
        <v>69</v>
      </c>
      <c r="C72" s="2"/>
      <c r="D72" s="1"/>
      <c r="E72" s="3"/>
      <c r="F72" s="1"/>
      <c r="G72" s="141">
        <f>IF(Basic345678910111213141516[[#This Row],[نوع الخدمة]]="مخالفات", 50,
IF(Basic345678910111213141516[[#This Row],[نوع الخدمة]]="كاش ان",
    IF(F72&lt;=100, 18, IF(F72&lt;=250, 23, IF(F72&lt;=500, 35, IF(F72&lt;=1000, 40, F72*0.04)))),
IF(Basic345678910111213141516[[#This Row],[نوع الخدمة]]="كاش اوت",
    IF(F72&lt;=100, 15, IF(F72&lt;=250, 20, IF(F72&lt;=500, 30, IF(F72&lt;=1000, 35, F72*0.035)))),
0)))</f>
        <v>0</v>
      </c>
      <c r="H72" s="159">
        <f>IF(I72="مخالفات",50,Basic345678910111213141516[[#This Row],[قيمة الرسوم / العموله]]+Basic345678910111213141516[[#This Row],[قيمة الشحنه]])</f>
        <v>0</v>
      </c>
      <c r="I72" s="90"/>
      <c r="J72" s="142" t="str">
        <f t="shared" si="1"/>
        <v>17.5.2026</v>
      </c>
      <c r="L72" s="153">
        <v>61</v>
      </c>
      <c r="M72" s="92"/>
    </row>
    <row r="73" spans="1:13" ht="21.6" x14ac:dyDescent="0.65">
      <c r="A73" s="195"/>
      <c r="B73" s="144">
        <v>70</v>
      </c>
      <c r="C73" s="2"/>
      <c r="D73" s="1"/>
      <c r="E73" s="3"/>
      <c r="F73" s="1"/>
      <c r="G73" s="141">
        <f>IF(Basic345678910111213141516[[#This Row],[نوع الخدمة]]="مخالفات", 50,
IF(Basic345678910111213141516[[#This Row],[نوع الخدمة]]="كاش ان",
    IF(F73&lt;=100, 18, IF(F73&lt;=250, 23, IF(F73&lt;=500, 35, IF(F73&lt;=1000, 40, F73*0.04)))),
IF(Basic345678910111213141516[[#This Row],[نوع الخدمة]]="كاش اوت",
    IF(F73&lt;=100, 15, IF(F73&lt;=250, 20, IF(F73&lt;=500, 30, IF(F73&lt;=1000, 35, F73*0.035)))),
0)))</f>
        <v>0</v>
      </c>
      <c r="H73" s="159">
        <f>IF(I73="مخالفات",50,Basic345678910111213141516[[#This Row],[قيمة الرسوم / العموله]]+Basic345678910111213141516[[#This Row],[قيمة الشحنه]])</f>
        <v>0</v>
      </c>
      <c r="I73" s="90"/>
      <c r="J73" s="142" t="str">
        <f t="shared" si="1"/>
        <v>17.5.2026</v>
      </c>
      <c r="L73" s="153">
        <v>62</v>
      </c>
      <c r="M73" s="92"/>
    </row>
    <row r="74" spans="1:13" ht="21.6" x14ac:dyDescent="0.65">
      <c r="A74" s="195"/>
      <c r="B74" s="140">
        <v>71</v>
      </c>
      <c r="C74" s="2"/>
      <c r="D74" s="1"/>
      <c r="E74" s="3"/>
      <c r="F74" s="1"/>
      <c r="G74" s="141">
        <f>IF(Basic345678910111213141516[[#This Row],[نوع الخدمة]]="مخالفات", 50,
IF(Basic345678910111213141516[[#This Row],[نوع الخدمة]]="كاش ان",
    IF(F74&lt;=100, 18, IF(F74&lt;=250, 23, IF(F74&lt;=500, 35, IF(F74&lt;=1000, 40, F74*0.04)))),
IF(Basic345678910111213141516[[#This Row],[نوع الخدمة]]="كاش اوت",
    IF(F74&lt;=100, 15, IF(F74&lt;=250, 20, IF(F74&lt;=500, 30, IF(F74&lt;=1000, 35, F74*0.035)))),
0)))</f>
        <v>0</v>
      </c>
      <c r="H74" s="159">
        <f>IF(I74="مخالفات",50,Basic345678910111213141516[[#This Row],[قيمة الرسوم / العموله]]+Basic345678910111213141516[[#This Row],[قيمة الشحنه]])</f>
        <v>0</v>
      </c>
      <c r="I74" s="90"/>
      <c r="J74" s="142" t="str">
        <f t="shared" si="1"/>
        <v>17.5.2026</v>
      </c>
      <c r="L74" s="153">
        <v>63</v>
      </c>
      <c r="M74" s="92"/>
    </row>
    <row r="75" spans="1:13" ht="21.6" x14ac:dyDescent="0.65">
      <c r="A75" s="195"/>
      <c r="B75" s="140">
        <v>72</v>
      </c>
      <c r="C75" s="2"/>
      <c r="D75" s="1"/>
      <c r="E75" s="3"/>
      <c r="F75" s="1"/>
      <c r="G75" s="141">
        <f>IF(Basic345678910111213141516[[#This Row],[نوع الخدمة]]="مخالفات", 50,
IF(Basic345678910111213141516[[#This Row],[نوع الخدمة]]="كاش ان",
    IF(F75&lt;=100, 18, IF(F75&lt;=250, 23, IF(F75&lt;=500, 35, IF(F75&lt;=1000, 40, F75*0.04)))),
IF(Basic345678910111213141516[[#This Row],[نوع الخدمة]]="كاش اوت",
    IF(F75&lt;=100, 15, IF(F75&lt;=250, 20, IF(F75&lt;=500, 30, IF(F75&lt;=1000, 35, F75*0.035)))),
0)))</f>
        <v>0</v>
      </c>
      <c r="H75" s="159">
        <f>IF(I75="مخالفات",50,Basic345678910111213141516[[#This Row],[قيمة الرسوم / العموله]]+Basic345678910111213141516[[#This Row],[قيمة الشحنه]])</f>
        <v>0</v>
      </c>
      <c r="I75" s="90"/>
      <c r="J75" s="142" t="str">
        <f t="shared" si="1"/>
        <v>17.5.2026</v>
      </c>
      <c r="L75" s="153">
        <v>64</v>
      </c>
      <c r="M75" s="92"/>
    </row>
    <row r="76" spans="1:13" ht="21.6" x14ac:dyDescent="0.65">
      <c r="A76" s="195"/>
      <c r="B76" s="140">
        <v>73</v>
      </c>
      <c r="C76" s="2"/>
      <c r="D76" s="1"/>
      <c r="E76" s="3"/>
      <c r="F76" s="1"/>
      <c r="G76" s="141">
        <f>IF(Basic345678910111213141516[[#This Row],[نوع الخدمة]]="مخالفات", 50,
IF(Basic345678910111213141516[[#This Row],[نوع الخدمة]]="كاش ان",
    IF(F76&lt;=100, 18, IF(F76&lt;=250, 23, IF(F76&lt;=500, 35, IF(F76&lt;=1000, 40, F76*0.04)))),
IF(Basic345678910111213141516[[#This Row],[نوع الخدمة]]="كاش اوت",
    IF(F76&lt;=100, 15, IF(F76&lt;=250, 20, IF(F76&lt;=500, 30, IF(F76&lt;=1000, 35, F76*0.035)))),
0)))</f>
        <v>0</v>
      </c>
      <c r="H76" s="159">
        <f>IF(I76="مخالفات",50,Basic345678910111213141516[[#This Row],[قيمة الرسوم / العموله]]+Basic345678910111213141516[[#This Row],[قيمة الشحنه]])</f>
        <v>0</v>
      </c>
      <c r="I76" s="90"/>
      <c r="J76" s="142" t="str">
        <f t="shared" si="1"/>
        <v>17.5.2026</v>
      </c>
      <c r="L76" s="153">
        <v>65</v>
      </c>
      <c r="M76" s="92"/>
    </row>
    <row r="77" spans="1:13" ht="21.6" x14ac:dyDescent="0.65">
      <c r="A77" s="195"/>
      <c r="B77" s="144">
        <v>74</v>
      </c>
      <c r="C77" s="2"/>
      <c r="D77" s="1"/>
      <c r="E77" s="3"/>
      <c r="F77" s="1"/>
      <c r="G77" s="141">
        <f>IF(Basic345678910111213141516[[#This Row],[نوع الخدمة]]="مخالفات", 50,
IF(Basic345678910111213141516[[#This Row],[نوع الخدمة]]="كاش ان",
    IF(F77&lt;=100, 18, IF(F77&lt;=250, 23, IF(F77&lt;=500, 35, IF(F77&lt;=1000, 40, F77*0.04)))),
IF(Basic345678910111213141516[[#This Row],[نوع الخدمة]]="كاش اوت",
    IF(F77&lt;=100, 15, IF(F77&lt;=250, 20, IF(F77&lt;=500, 30, IF(F77&lt;=1000, 35, F77*0.035)))),
0)))</f>
        <v>0</v>
      </c>
      <c r="H77" s="159">
        <f>IF(I77="مخالفات",50,Basic345678910111213141516[[#This Row],[قيمة الرسوم / العموله]]+Basic345678910111213141516[[#This Row],[قيمة الشحنه]])</f>
        <v>0</v>
      </c>
      <c r="I77" s="90"/>
      <c r="J77" s="142" t="str">
        <f t="shared" si="1"/>
        <v>17.5.2026</v>
      </c>
      <c r="L77" s="153">
        <v>66</v>
      </c>
      <c r="M77" s="92"/>
    </row>
    <row r="78" spans="1:13" ht="21.6" x14ac:dyDescent="0.65">
      <c r="A78" s="195"/>
      <c r="B78" s="140">
        <v>75</v>
      </c>
      <c r="C78" s="2"/>
      <c r="D78" s="1"/>
      <c r="E78" s="3"/>
      <c r="F78" s="1"/>
      <c r="G78" s="141">
        <f>IF(Basic345678910111213141516[[#This Row],[نوع الخدمة]]="مخالفات", 50,
IF(Basic345678910111213141516[[#This Row],[نوع الخدمة]]="كاش ان",
    IF(F78&lt;=100, 18, IF(F78&lt;=250, 23, IF(F78&lt;=500, 35, IF(F78&lt;=1000, 40, F78*0.04)))),
IF(Basic345678910111213141516[[#This Row],[نوع الخدمة]]="كاش اوت",
    IF(F78&lt;=100, 15, IF(F78&lt;=250, 20, IF(F78&lt;=500, 30, IF(F78&lt;=1000, 35, F78*0.035)))),
0)))</f>
        <v>0</v>
      </c>
      <c r="H78" s="159">
        <f>IF(I78="مخالفات",50,Basic345678910111213141516[[#This Row],[قيمة الرسوم / العموله]]+Basic345678910111213141516[[#This Row],[قيمة الشحنه]])</f>
        <v>0</v>
      </c>
      <c r="I78" s="90"/>
      <c r="J78" s="142" t="str">
        <f t="shared" si="1"/>
        <v>17.5.2026</v>
      </c>
      <c r="L78" s="153">
        <v>67</v>
      </c>
      <c r="M78" s="92"/>
    </row>
    <row r="79" spans="1:13" ht="21.6" x14ac:dyDescent="0.65">
      <c r="A79" s="195"/>
      <c r="B79" s="140">
        <v>76</v>
      </c>
      <c r="C79" s="2"/>
      <c r="D79" s="1"/>
      <c r="E79" s="3"/>
      <c r="F79" s="1"/>
      <c r="G79" s="141">
        <f>IF(Basic345678910111213141516[[#This Row],[نوع الخدمة]]="مخالفات", 50,
IF(Basic345678910111213141516[[#This Row],[نوع الخدمة]]="كاش ان",
    IF(F79&lt;=100, 18, IF(F79&lt;=250, 23, IF(F79&lt;=500, 35, IF(F79&lt;=1000, 40, F79*0.04)))),
IF(Basic345678910111213141516[[#This Row],[نوع الخدمة]]="كاش اوت",
    IF(F79&lt;=100, 15, IF(F79&lt;=250, 20, IF(F79&lt;=500, 30, IF(F79&lt;=1000, 35, F79*0.035)))),
0)))</f>
        <v>0</v>
      </c>
      <c r="H79" s="159">
        <f>IF(I79="مخالفات",50,Basic345678910111213141516[[#This Row],[قيمة الرسوم / العموله]]+Basic345678910111213141516[[#This Row],[قيمة الشحنه]])</f>
        <v>0</v>
      </c>
      <c r="I79" s="90"/>
      <c r="J79" s="142" t="str">
        <f t="shared" si="1"/>
        <v>17.5.2026</v>
      </c>
      <c r="L79" s="153">
        <v>68</v>
      </c>
      <c r="M79" s="92"/>
    </row>
    <row r="80" spans="1:13" ht="21.6" x14ac:dyDescent="0.65">
      <c r="A80" s="195"/>
      <c r="B80" s="140">
        <v>77</v>
      </c>
      <c r="C80" s="2"/>
      <c r="D80" s="1"/>
      <c r="E80" s="3"/>
      <c r="F80" s="1"/>
      <c r="G80" s="141">
        <f>IF(Basic345678910111213141516[[#This Row],[نوع الخدمة]]="مخالفات", 50,
IF(Basic345678910111213141516[[#This Row],[نوع الخدمة]]="كاش ان",
    IF(F80&lt;=100, 18, IF(F80&lt;=250, 23, IF(F80&lt;=500, 35, IF(F80&lt;=1000, 40, F80*0.04)))),
IF(Basic345678910111213141516[[#This Row],[نوع الخدمة]]="كاش اوت",
    IF(F80&lt;=100, 15, IF(F80&lt;=250, 20, IF(F80&lt;=500, 30, IF(F80&lt;=1000, 35, F80*0.035)))),
0)))</f>
        <v>0</v>
      </c>
      <c r="H80" s="159">
        <f>IF(I80="مخالفات",50,Basic345678910111213141516[[#This Row],[قيمة الرسوم / العموله]]+Basic345678910111213141516[[#This Row],[قيمة الشحنه]])</f>
        <v>0</v>
      </c>
      <c r="I80" s="90"/>
      <c r="J80" s="142" t="str">
        <f t="shared" si="1"/>
        <v>17.5.2026</v>
      </c>
      <c r="L80" s="153">
        <v>69</v>
      </c>
      <c r="M80" s="92"/>
    </row>
    <row r="81" spans="1:13" ht="21.6" x14ac:dyDescent="0.65">
      <c r="A81" s="195"/>
      <c r="B81" s="144">
        <v>78</v>
      </c>
      <c r="C81" s="2"/>
      <c r="D81" s="1"/>
      <c r="E81" s="3"/>
      <c r="F81" s="1"/>
      <c r="G81" s="141">
        <f>IF(Basic345678910111213141516[[#This Row],[نوع الخدمة]]="مخالفات", 50,
IF(Basic345678910111213141516[[#This Row],[نوع الخدمة]]="كاش ان",
    IF(F81&lt;=100, 18, IF(F81&lt;=250, 23, IF(F81&lt;=500, 35, IF(F81&lt;=1000, 40, F81*0.04)))),
IF(Basic345678910111213141516[[#This Row],[نوع الخدمة]]="كاش اوت",
    IF(F81&lt;=100, 15, IF(F81&lt;=250, 20, IF(F81&lt;=500, 30, IF(F81&lt;=1000, 35, F81*0.035)))),
0)))</f>
        <v>0</v>
      </c>
      <c r="H81" s="159">
        <f>IF(I81="مخالفات",50,Basic345678910111213141516[[#This Row],[قيمة الرسوم / العموله]]+Basic345678910111213141516[[#This Row],[قيمة الشحنه]])</f>
        <v>0</v>
      </c>
      <c r="I81" s="90"/>
      <c r="J81" s="142" t="str">
        <f t="shared" si="1"/>
        <v>17.5.2026</v>
      </c>
      <c r="L81" s="153">
        <v>70</v>
      </c>
      <c r="M81" s="92"/>
    </row>
    <row r="82" spans="1:13" ht="21.6" x14ac:dyDescent="0.65">
      <c r="A82" s="195"/>
      <c r="B82" s="140">
        <v>79</v>
      </c>
      <c r="C82" s="2"/>
      <c r="D82" s="1"/>
      <c r="E82" s="3"/>
      <c r="F82" s="1"/>
      <c r="G82" s="141">
        <f>IF(Basic345678910111213141516[[#This Row],[نوع الخدمة]]="مخالفات", 50,
IF(Basic345678910111213141516[[#This Row],[نوع الخدمة]]="كاش ان",
    IF(F82&lt;=100, 18, IF(F82&lt;=250, 23, IF(F82&lt;=500, 35, IF(F82&lt;=1000, 40, F82*0.04)))),
IF(Basic345678910111213141516[[#This Row],[نوع الخدمة]]="كاش اوت",
    IF(F82&lt;=100, 15, IF(F82&lt;=250, 20, IF(F82&lt;=500, 30, IF(F82&lt;=1000, 35, F82*0.035)))),
0)))</f>
        <v>0</v>
      </c>
      <c r="H82" s="159">
        <f>IF(I82="مخالفات",50,Basic345678910111213141516[[#This Row],[قيمة الرسوم / العموله]]+Basic345678910111213141516[[#This Row],[قيمة الشحنه]])</f>
        <v>0</v>
      </c>
      <c r="I82" s="90"/>
      <c r="J82" s="142" t="str">
        <f t="shared" si="1"/>
        <v>17.5.2026</v>
      </c>
      <c r="L82" s="153">
        <v>71</v>
      </c>
      <c r="M82" s="92"/>
    </row>
    <row r="83" spans="1:13" ht="21.6" x14ac:dyDescent="0.65">
      <c r="A83" s="195"/>
      <c r="B83" s="140">
        <v>80</v>
      </c>
      <c r="C83" s="2"/>
      <c r="D83" s="1"/>
      <c r="E83" s="3"/>
      <c r="F83" s="1"/>
      <c r="G83" s="141">
        <f>IF(Basic345678910111213141516[[#This Row],[نوع الخدمة]]="مخالفات", 50,
IF(Basic345678910111213141516[[#This Row],[نوع الخدمة]]="كاش ان",
    IF(F83&lt;=100, 18, IF(F83&lt;=250, 23, IF(F83&lt;=500, 35, IF(F83&lt;=1000, 40, F83*0.04)))),
IF(Basic345678910111213141516[[#This Row],[نوع الخدمة]]="كاش اوت",
    IF(F83&lt;=100, 15, IF(F83&lt;=250, 20, IF(F83&lt;=500, 30, IF(F83&lt;=1000, 35, F83*0.035)))),
0)))</f>
        <v>0</v>
      </c>
      <c r="H83" s="159">
        <f>IF(I83="مخالفات",50,Basic345678910111213141516[[#This Row],[قيمة الرسوم / العموله]]+Basic345678910111213141516[[#This Row],[قيمة الشحنه]])</f>
        <v>0</v>
      </c>
      <c r="I83" s="90"/>
      <c r="J83" s="142" t="str">
        <f t="shared" si="1"/>
        <v>17.5.2026</v>
      </c>
      <c r="L83" s="153">
        <v>72</v>
      </c>
      <c r="M83" s="92"/>
    </row>
    <row r="84" spans="1:13" ht="21.6" x14ac:dyDescent="0.65">
      <c r="A84" s="195"/>
      <c r="B84" s="140">
        <v>81</v>
      </c>
      <c r="C84" s="2"/>
      <c r="D84" s="1"/>
      <c r="E84" s="3"/>
      <c r="F84" s="1"/>
      <c r="G84" s="141">
        <f>IF(Basic345678910111213141516[[#This Row],[نوع الخدمة]]="مخالفات", 50,
IF(Basic345678910111213141516[[#This Row],[نوع الخدمة]]="كاش ان",
    IF(F84&lt;=100, 18, IF(F84&lt;=250, 23, IF(F84&lt;=500, 35, IF(F84&lt;=1000, 40, F84*0.04)))),
IF(Basic345678910111213141516[[#This Row],[نوع الخدمة]]="كاش اوت",
    IF(F84&lt;=100, 15, IF(F84&lt;=250, 20, IF(F84&lt;=500, 30, IF(F84&lt;=1000, 35, F84*0.035)))),
0)))</f>
        <v>0</v>
      </c>
      <c r="H84" s="159">
        <f>IF(I84="مخالفات",50,Basic345678910111213141516[[#This Row],[قيمة الرسوم / العموله]]+Basic345678910111213141516[[#This Row],[قيمة الشحنه]])</f>
        <v>0</v>
      </c>
      <c r="I84" s="90"/>
      <c r="J84" s="142" t="str">
        <f t="shared" si="1"/>
        <v>17.5.2026</v>
      </c>
      <c r="L84" s="153">
        <v>73</v>
      </c>
      <c r="M84" s="92"/>
    </row>
    <row r="85" spans="1:13" ht="21.6" x14ac:dyDescent="0.65">
      <c r="A85" s="195"/>
      <c r="B85" s="144">
        <v>82</v>
      </c>
      <c r="C85" s="2"/>
      <c r="D85" s="1"/>
      <c r="E85" s="3"/>
      <c r="F85" s="1"/>
      <c r="G85" s="141">
        <f>IF(Basic345678910111213141516[[#This Row],[نوع الخدمة]]="مخالفات", 50,
IF(Basic345678910111213141516[[#This Row],[نوع الخدمة]]="كاش ان",
    IF(F85&lt;=100, 18, IF(F85&lt;=250, 23, IF(F85&lt;=500, 35, IF(F85&lt;=1000, 40, F85*0.04)))),
IF(Basic345678910111213141516[[#This Row],[نوع الخدمة]]="كاش اوت",
    IF(F85&lt;=100, 15, IF(F85&lt;=250, 20, IF(F85&lt;=500, 30, IF(F85&lt;=1000, 35, F85*0.035)))),
0)))</f>
        <v>0</v>
      </c>
      <c r="H85" s="159">
        <f>IF(I85="مخالفات",50,Basic345678910111213141516[[#This Row],[قيمة الرسوم / العموله]]+Basic345678910111213141516[[#This Row],[قيمة الشحنه]])</f>
        <v>0</v>
      </c>
      <c r="I85" s="90"/>
      <c r="J85" s="142" t="str">
        <f t="shared" si="1"/>
        <v>17.5.2026</v>
      </c>
      <c r="L85" s="153">
        <v>74</v>
      </c>
      <c r="M85" s="92"/>
    </row>
    <row r="86" spans="1:13" ht="21.6" x14ac:dyDescent="0.65">
      <c r="A86" s="195"/>
      <c r="B86" s="140">
        <v>83</v>
      </c>
      <c r="C86" s="2"/>
      <c r="D86" s="1"/>
      <c r="E86" s="3"/>
      <c r="F86" s="1"/>
      <c r="G86" s="141">
        <f>IF(Basic345678910111213141516[[#This Row],[نوع الخدمة]]="مخالفات", 50,
IF(Basic345678910111213141516[[#This Row],[نوع الخدمة]]="كاش ان",
    IF(F86&lt;=100, 18, IF(F86&lt;=250, 23, IF(F86&lt;=500, 35, IF(F86&lt;=1000, 40, F86*0.04)))),
IF(Basic345678910111213141516[[#This Row],[نوع الخدمة]]="كاش اوت",
    IF(F86&lt;=100, 15, IF(F86&lt;=250, 20, IF(F86&lt;=500, 30, IF(F86&lt;=1000, 35, F86*0.035)))),
0)))</f>
        <v>0</v>
      </c>
      <c r="H86" s="159">
        <f>IF(I86="مخالفات",50,Basic345678910111213141516[[#This Row],[قيمة الرسوم / العموله]]+Basic345678910111213141516[[#This Row],[قيمة الشحنه]])</f>
        <v>0</v>
      </c>
      <c r="I86" s="90"/>
      <c r="J86" s="142" t="str">
        <f t="shared" si="1"/>
        <v>17.5.2026</v>
      </c>
      <c r="L86" s="153">
        <v>75</v>
      </c>
      <c r="M86" s="92"/>
    </row>
    <row r="87" spans="1:13" ht="21.6" x14ac:dyDescent="0.65">
      <c r="A87" s="195"/>
      <c r="B87" s="140">
        <v>84</v>
      </c>
      <c r="C87" s="2"/>
      <c r="D87" s="1"/>
      <c r="E87" s="3"/>
      <c r="F87" s="1"/>
      <c r="G87" s="141">
        <f>IF(Basic345678910111213141516[[#This Row],[نوع الخدمة]]="مخالفات", 50,
IF(Basic345678910111213141516[[#This Row],[نوع الخدمة]]="كاش ان",
    IF(F87&lt;=100, 18, IF(F87&lt;=250, 23, IF(F87&lt;=500, 35, IF(F87&lt;=1000, 40, F87*0.04)))),
IF(Basic345678910111213141516[[#This Row],[نوع الخدمة]]="كاش اوت",
    IF(F87&lt;=100, 15, IF(F87&lt;=250, 20, IF(F87&lt;=500, 30, IF(F87&lt;=1000, 35, F87*0.035)))),
0)))</f>
        <v>0</v>
      </c>
      <c r="H87" s="159">
        <f>IF(I87="مخالفات",50,Basic345678910111213141516[[#This Row],[قيمة الرسوم / العموله]]+Basic345678910111213141516[[#This Row],[قيمة الشحنه]])</f>
        <v>0</v>
      </c>
      <c r="I87" s="90"/>
      <c r="J87" s="142" t="str">
        <f t="shared" si="1"/>
        <v>17.5.2026</v>
      </c>
      <c r="L87" s="153">
        <v>76</v>
      </c>
      <c r="M87" s="92"/>
    </row>
    <row r="88" spans="1:13" ht="21.6" x14ac:dyDescent="0.65">
      <c r="A88" s="195"/>
      <c r="B88" s="140">
        <v>85</v>
      </c>
      <c r="C88" s="2"/>
      <c r="D88" s="1"/>
      <c r="E88" s="3"/>
      <c r="F88" s="1"/>
      <c r="G88" s="141">
        <f>IF(Basic345678910111213141516[[#This Row],[نوع الخدمة]]="مخالفات", 50,
IF(Basic345678910111213141516[[#This Row],[نوع الخدمة]]="كاش ان",
    IF(F88&lt;=100, 18, IF(F88&lt;=250, 23, IF(F88&lt;=500, 35, IF(F88&lt;=1000, 40, F88*0.04)))),
IF(Basic345678910111213141516[[#This Row],[نوع الخدمة]]="كاش اوت",
    IF(F88&lt;=100, 15, IF(F88&lt;=250, 20, IF(F88&lt;=500, 30, IF(F88&lt;=1000, 35, F88*0.035)))),
0)))</f>
        <v>0</v>
      </c>
      <c r="H88" s="159">
        <f>IF(I88="مخالفات",50,Basic345678910111213141516[[#This Row],[قيمة الرسوم / العموله]]+Basic345678910111213141516[[#This Row],[قيمة الشحنه]])</f>
        <v>0</v>
      </c>
      <c r="I88" s="90"/>
      <c r="J88" s="142" t="str">
        <f t="shared" si="1"/>
        <v>17.5.2026</v>
      </c>
      <c r="L88" s="153">
        <v>77</v>
      </c>
      <c r="M88" s="92"/>
    </row>
    <row r="89" spans="1:13" ht="21.6" x14ac:dyDescent="0.65">
      <c r="A89" s="195"/>
      <c r="B89" s="144">
        <v>86</v>
      </c>
      <c r="C89" s="2"/>
      <c r="D89" s="1"/>
      <c r="E89" s="3"/>
      <c r="F89" s="1"/>
      <c r="G89" s="141">
        <f>IF(Basic345678910111213141516[[#This Row],[نوع الخدمة]]="مخالفات", 50,
IF(Basic345678910111213141516[[#This Row],[نوع الخدمة]]="كاش ان",
    IF(F89&lt;=100, 18, IF(F89&lt;=250, 23, IF(F89&lt;=500, 35, IF(F89&lt;=1000, 40, F89*0.04)))),
IF(Basic345678910111213141516[[#This Row],[نوع الخدمة]]="كاش اوت",
    IF(F89&lt;=100, 15, IF(F89&lt;=250, 20, IF(F89&lt;=500, 30, IF(F89&lt;=1000, 35, F89*0.035)))),
0)))</f>
        <v>0</v>
      </c>
      <c r="H89" s="159">
        <f>IF(I89="مخالفات",50,Basic345678910111213141516[[#This Row],[قيمة الرسوم / العموله]]+Basic345678910111213141516[[#This Row],[قيمة الشحنه]])</f>
        <v>0</v>
      </c>
      <c r="I89" s="90"/>
      <c r="J89" s="142" t="str">
        <f t="shared" si="1"/>
        <v>17.5.2026</v>
      </c>
      <c r="L89" s="153">
        <v>78</v>
      </c>
      <c r="M89" s="92"/>
    </row>
    <row r="90" spans="1:13" ht="21.6" x14ac:dyDescent="0.65">
      <c r="A90" s="195"/>
      <c r="B90" s="140">
        <v>87</v>
      </c>
      <c r="C90" s="2"/>
      <c r="D90" s="1"/>
      <c r="E90" s="3"/>
      <c r="F90" s="1"/>
      <c r="G90" s="141">
        <f>IF(Basic345678910111213141516[[#This Row],[نوع الخدمة]]="مخالفات", 50,
IF(Basic345678910111213141516[[#This Row],[نوع الخدمة]]="كاش ان",
    IF(F90&lt;=100, 18, IF(F90&lt;=250, 23, IF(F90&lt;=500, 35, IF(F90&lt;=1000, 40, F90*0.04)))),
IF(Basic345678910111213141516[[#This Row],[نوع الخدمة]]="كاش اوت",
    IF(F90&lt;=100, 15, IF(F90&lt;=250, 20, IF(F90&lt;=500, 30, IF(F90&lt;=1000, 35, F90*0.035)))),
0)))</f>
        <v>0</v>
      </c>
      <c r="H90" s="159">
        <f>IF(I90="مخالفات",50,Basic345678910111213141516[[#This Row],[قيمة الرسوم / العموله]]+Basic345678910111213141516[[#This Row],[قيمة الشحنه]])</f>
        <v>0</v>
      </c>
      <c r="I90" s="90"/>
      <c r="J90" s="142" t="str">
        <f t="shared" si="1"/>
        <v>17.5.2026</v>
      </c>
      <c r="L90" s="153">
        <v>79</v>
      </c>
      <c r="M90" s="92"/>
    </row>
    <row r="91" spans="1:13" ht="21.6" x14ac:dyDescent="0.65">
      <c r="A91" s="195"/>
      <c r="B91" s="140">
        <v>88</v>
      </c>
      <c r="C91" s="2"/>
      <c r="D91" s="1"/>
      <c r="E91" s="3"/>
      <c r="F91" s="1"/>
      <c r="G91" s="141">
        <f>IF(Basic345678910111213141516[[#This Row],[نوع الخدمة]]="مخالفات", 50,
IF(Basic345678910111213141516[[#This Row],[نوع الخدمة]]="كاش ان",
    IF(F91&lt;=100, 18, IF(F91&lt;=250, 23, IF(F91&lt;=500, 35, IF(F91&lt;=1000, 40, F91*0.04)))),
IF(Basic345678910111213141516[[#This Row],[نوع الخدمة]]="كاش اوت",
    IF(F91&lt;=100, 15, IF(F91&lt;=250, 20, IF(F91&lt;=500, 30, IF(F91&lt;=1000, 35, F91*0.035)))),
0)))</f>
        <v>0</v>
      </c>
      <c r="H91" s="159">
        <f>IF(I91="مخالفات",50,Basic345678910111213141516[[#This Row],[قيمة الرسوم / العموله]]+Basic345678910111213141516[[#This Row],[قيمة الشحنه]])</f>
        <v>0</v>
      </c>
      <c r="I91" s="90"/>
      <c r="J91" s="142" t="str">
        <f t="shared" si="1"/>
        <v>17.5.2026</v>
      </c>
      <c r="L91" s="153">
        <v>80</v>
      </c>
      <c r="M91" s="92"/>
    </row>
    <row r="92" spans="1:13" ht="21.6" x14ac:dyDescent="0.65">
      <c r="A92" s="195"/>
      <c r="B92" s="140">
        <v>89</v>
      </c>
      <c r="C92" s="2"/>
      <c r="D92" s="1"/>
      <c r="E92" s="3"/>
      <c r="F92" s="1"/>
      <c r="G92" s="141">
        <f>IF(Basic345678910111213141516[[#This Row],[نوع الخدمة]]="مخالفات", 50,
IF(Basic345678910111213141516[[#This Row],[نوع الخدمة]]="كاش ان",
    IF(F92&lt;=100, 18, IF(F92&lt;=250, 23, IF(F92&lt;=500, 35, IF(F92&lt;=1000, 40, F92*0.04)))),
IF(Basic345678910111213141516[[#This Row],[نوع الخدمة]]="كاش اوت",
    IF(F92&lt;=100, 15, IF(F92&lt;=250, 20, IF(F92&lt;=500, 30, IF(F92&lt;=1000, 35, F92*0.035)))),
0)))</f>
        <v>0</v>
      </c>
      <c r="H92" s="159">
        <f>IF(I92="مخالفات",50,Basic345678910111213141516[[#This Row],[قيمة الرسوم / العموله]]+Basic345678910111213141516[[#This Row],[قيمة الشحنه]])</f>
        <v>0</v>
      </c>
      <c r="I92" s="90"/>
      <c r="J92" s="142" t="str">
        <f t="shared" si="1"/>
        <v>17.5.2026</v>
      </c>
      <c r="L92" s="153">
        <v>81</v>
      </c>
      <c r="M92" s="92"/>
    </row>
    <row r="93" spans="1:13" ht="21.6" x14ac:dyDescent="0.65">
      <c r="A93" s="195"/>
      <c r="B93" s="144">
        <v>90</v>
      </c>
      <c r="C93" s="2"/>
      <c r="D93" s="1"/>
      <c r="E93" s="3"/>
      <c r="F93" s="1"/>
      <c r="G93" s="141">
        <f>IF(Basic345678910111213141516[[#This Row],[نوع الخدمة]]="مخالفات", 50,
IF(Basic345678910111213141516[[#This Row],[نوع الخدمة]]="كاش ان",
    IF(F93&lt;=100, 18, IF(F93&lt;=250, 23, IF(F93&lt;=500, 35, IF(F93&lt;=1000, 40, F93*0.04)))),
IF(Basic345678910111213141516[[#This Row],[نوع الخدمة]]="كاش اوت",
    IF(F93&lt;=100, 15, IF(F93&lt;=250, 20, IF(F93&lt;=500, 30, IF(F93&lt;=1000, 35, F93*0.035)))),
0)))</f>
        <v>0</v>
      </c>
      <c r="H93" s="159">
        <f>IF(I93="مخالفات",50,Basic345678910111213141516[[#This Row],[قيمة الرسوم / العموله]]+Basic345678910111213141516[[#This Row],[قيمة الشحنه]])</f>
        <v>0</v>
      </c>
      <c r="I93" s="90"/>
      <c r="J93" s="142" t="str">
        <f t="shared" si="1"/>
        <v>17.5.2026</v>
      </c>
      <c r="L93" s="153">
        <v>82</v>
      </c>
      <c r="M93" s="92"/>
    </row>
    <row r="94" spans="1:13" ht="21.6" x14ac:dyDescent="0.65">
      <c r="A94" s="195"/>
      <c r="B94" s="140">
        <v>91</v>
      </c>
      <c r="C94" s="2"/>
      <c r="D94" s="1"/>
      <c r="E94" s="3"/>
      <c r="F94" s="1"/>
      <c r="G94" s="141">
        <f>IF(Basic345678910111213141516[[#This Row],[نوع الخدمة]]="مخالفات", 50,
IF(Basic345678910111213141516[[#This Row],[نوع الخدمة]]="كاش ان",
    IF(F94&lt;=100, 18, IF(F94&lt;=250, 23, IF(F94&lt;=500, 35, IF(F94&lt;=1000, 40, F94*0.04)))),
IF(Basic345678910111213141516[[#This Row],[نوع الخدمة]]="كاش اوت",
    IF(F94&lt;=100, 15, IF(F94&lt;=250, 20, IF(F94&lt;=500, 30, IF(F94&lt;=1000, 35, F94*0.035)))),
0)))</f>
        <v>0</v>
      </c>
      <c r="H94" s="159">
        <f>IF(I94="مخالفات",50,Basic345678910111213141516[[#This Row],[قيمة الرسوم / العموله]]+Basic345678910111213141516[[#This Row],[قيمة الشحنه]])</f>
        <v>0</v>
      </c>
      <c r="I94" s="90"/>
      <c r="J94" s="142" t="str">
        <f t="shared" si="1"/>
        <v>17.5.2026</v>
      </c>
      <c r="L94" s="153">
        <v>83</v>
      </c>
      <c r="M94" s="92"/>
    </row>
    <row r="95" spans="1:13" ht="21.6" x14ac:dyDescent="0.65">
      <c r="A95" s="195"/>
      <c r="B95" s="140">
        <v>92</v>
      </c>
      <c r="C95" s="2"/>
      <c r="D95" s="1"/>
      <c r="E95" s="3"/>
      <c r="F95" s="1"/>
      <c r="G95" s="141">
        <f>IF(Basic345678910111213141516[[#This Row],[نوع الخدمة]]="مخالفات", 50,
IF(Basic345678910111213141516[[#This Row],[نوع الخدمة]]="كاش ان",
    IF(F95&lt;=100, 18, IF(F95&lt;=250, 23, IF(F95&lt;=500, 35, IF(F95&lt;=1000, 40, F95*0.04)))),
IF(Basic345678910111213141516[[#This Row],[نوع الخدمة]]="كاش اوت",
    IF(F95&lt;=100, 15, IF(F95&lt;=250, 20, IF(F95&lt;=500, 30, IF(F95&lt;=1000, 35, F95*0.035)))),
0)))</f>
        <v>0</v>
      </c>
      <c r="H95" s="159">
        <f>IF(I95="مخالفات",50,Basic345678910111213141516[[#This Row],[قيمة الرسوم / العموله]]+Basic345678910111213141516[[#This Row],[قيمة الشحنه]])</f>
        <v>0</v>
      </c>
      <c r="I95" s="90"/>
      <c r="J95" s="142" t="str">
        <f t="shared" si="1"/>
        <v>17.5.2026</v>
      </c>
      <c r="L95" s="153">
        <v>84</v>
      </c>
      <c r="M95" s="92"/>
    </row>
    <row r="96" spans="1:13" ht="21.6" x14ac:dyDescent="0.65">
      <c r="A96" s="195"/>
      <c r="B96" s="140">
        <v>93</v>
      </c>
      <c r="C96" s="2"/>
      <c r="D96" s="1"/>
      <c r="E96" s="3"/>
      <c r="F96" s="1"/>
      <c r="G96" s="141">
        <f>IF(Basic345678910111213141516[[#This Row],[نوع الخدمة]]="مخالفات", 50,
IF(Basic345678910111213141516[[#This Row],[نوع الخدمة]]="كاش ان",
    IF(F96&lt;=100, 18, IF(F96&lt;=250, 23, IF(F96&lt;=500, 35, IF(F96&lt;=1000, 40, F96*0.04)))),
IF(Basic345678910111213141516[[#This Row],[نوع الخدمة]]="كاش اوت",
    IF(F96&lt;=100, 15, IF(F96&lt;=250, 20, IF(F96&lt;=500, 30, IF(F96&lt;=1000, 35, F96*0.035)))),
0)))</f>
        <v>0</v>
      </c>
      <c r="H96" s="159">
        <f>IF(I96="مخالفات",50,Basic345678910111213141516[[#This Row],[قيمة الرسوم / العموله]]+Basic345678910111213141516[[#This Row],[قيمة الشحنه]])</f>
        <v>0</v>
      </c>
      <c r="I96" s="90"/>
      <c r="J96" s="142" t="str">
        <f t="shared" si="1"/>
        <v>17.5.2026</v>
      </c>
      <c r="L96" s="153">
        <v>85</v>
      </c>
      <c r="M96" s="92"/>
    </row>
    <row r="97" spans="1:13" ht="21.6" x14ac:dyDescent="0.65">
      <c r="A97" s="195"/>
      <c r="B97" s="144">
        <v>94</v>
      </c>
      <c r="C97" s="2"/>
      <c r="D97" s="1"/>
      <c r="E97" s="3"/>
      <c r="F97" s="1"/>
      <c r="G97" s="141">
        <f>IF(Basic345678910111213141516[[#This Row],[نوع الخدمة]]="مخالفات", 50,
IF(Basic345678910111213141516[[#This Row],[نوع الخدمة]]="كاش ان",
    IF(F97&lt;=100, 18, IF(F97&lt;=250, 23, IF(F97&lt;=500, 35, IF(F97&lt;=1000, 40, F97*0.04)))),
IF(Basic345678910111213141516[[#This Row],[نوع الخدمة]]="كاش اوت",
    IF(F97&lt;=100, 15, IF(F97&lt;=250, 20, IF(F97&lt;=500, 30, IF(F97&lt;=1000, 35, F97*0.035)))),
0)))</f>
        <v>0</v>
      </c>
      <c r="H97" s="159">
        <f>IF(I97="مخالفات",50,Basic345678910111213141516[[#This Row],[قيمة الرسوم / العموله]]+Basic345678910111213141516[[#This Row],[قيمة الشحنه]])</f>
        <v>0</v>
      </c>
      <c r="I97" s="90"/>
      <c r="J97" s="142" t="str">
        <f t="shared" si="1"/>
        <v>17.5.2026</v>
      </c>
      <c r="L97" s="153">
        <v>86</v>
      </c>
      <c r="M97" s="92"/>
    </row>
    <row r="98" spans="1:13" ht="21.6" x14ac:dyDescent="0.65">
      <c r="A98" s="195"/>
      <c r="B98" s="140">
        <v>95</v>
      </c>
      <c r="C98" s="2"/>
      <c r="D98" s="1"/>
      <c r="E98" s="3"/>
      <c r="F98" s="1"/>
      <c r="G98" s="141">
        <f>IF(Basic345678910111213141516[[#This Row],[نوع الخدمة]]="مخالفات", 50,
IF(Basic345678910111213141516[[#This Row],[نوع الخدمة]]="كاش ان",
    IF(F98&lt;=100, 18, IF(F98&lt;=250, 23, IF(F98&lt;=500, 35, IF(F98&lt;=1000, 40, F98*0.04)))),
IF(Basic345678910111213141516[[#This Row],[نوع الخدمة]]="كاش اوت",
    IF(F98&lt;=100, 15, IF(F98&lt;=250, 20, IF(F98&lt;=500, 30, IF(F98&lt;=1000, 35, F98*0.035)))),
0)))</f>
        <v>0</v>
      </c>
      <c r="H98" s="159">
        <f>IF(I98="مخالفات",50,Basic345678910111213141516[[#This Row],[قيمة الرسوم / العموله]]+Basic345678910111213141516[[#This Row],[قيمة الشحنه]])</f>
        <v>0</v>
      </c>
      <c r="I98" s="90"/>
      <c r="J98" s="142" t="str">
        <f t="shared" si="1"/>
        <v>17.5.2026</v>
      </c>
      <c r="L98" s="153">
        <v>87</v>
      </c>
      <c r="M98" s="92"/>
    </row>
    <row r="99" spans="1:13" ht="21.6" x14ac:dyDescent="0.65">
      <c r="A99" s="195"/>
      <c r="B99" s="140">
        <v>96</v>
      </c>
      <c r="C99" s="2"/>
      <c r="D99" s="1"/>
      <c r="E99" s="3"/>
      <c r="F99" s="1"/>
      <c r="G99" s="141">
        <f>IF(Basic345678910111213141516[[#This Row],[نوع الخدمة]]="مخالفات", 50,
IF(Basic345678910111213141516[[#This Row],[نوع الخدمة]]="كاش ان",
    IF(F99&lt;=100, 18, IF(F99&lt;=250, 23, IF(F99&lt;=500, 35, IF(F99&lt;=1000, 40, F99*0.04)))),
IF(Basic345678910111213141516[[#This Row],[نوع الخدمة]]="كاش اوت",
    IF(F99&lt;=100, 15, IF(F99&lt;=250, 20, IF(F99&lt;=500, 30, IF(F99&lt;=1000, 35, F99*0.035)))),
0)))</f>
        <v>0</v>
      </c>
      <c r="H99" s="159">
        <f>IF(I99="مخالفات",50,Basic345678910111213141516[[#This Row],[قيمة الرسوم / العموله]]+Basic345678910111213141516[[#This Row],[قيمة الشحنه]])</f>
        <v>0</v>
      </c>
      <c r="I99" s="90"/>
      <c r="J99" s="142" t="str">
        <f t="shared" si="1"/>
        <v>17.5.2026</v>
      </c>
      <c r="L99" s="153">
        <v>88</v>
      </c>
      <c r="M99" s="92"/>
    </row>
    <row r="100" spans="1:13" ht="21.6" x14ac:dyDescent="0.65">
      <c r="A100" s="195"/>
      <c r="B100" s="140">
        <v>97</v>
      </c>
      <c r="C100" s="2"/>
      <c r="D100" s="1"/>
      <c r="E100" s="3"/>
      <c r="F100" s="1"/>
      <c r="G100" s="141">
        <f>IF(Basic345678910111213141516[[#This Row],[نوع الخدمة]]="مخالفات", 50,
IF(Basic345678910111213141516[[#This Row],[نوع الخدمة]]="كاش ان",
    IF(F100&lt;=100, 18, IF(F100&lt;=250, 23, IF(F100&lt;=500, 35, IF(F100&lt;=1000, 40, F100*0.04)))),
IF(Basic345678910111213141516[[#This Row],[نوع الخدمة]]="كاش اوت",
    IF(F100&lt;=100, 15, IF(F100&lt;=250, 20, IF(F100&lt;=500, 30, IF(F100&lt;=1000, 35, F100*0.035)))),
0)))</f>
        <v>0</v>
      </c>
      <c r="H100" s="159">
        <f>IF(I100="مخالفات",50,Basic345678910111213141516[[#This Row],[قيمة الرسوم / العموله]]+Basic345678910111213141516[[#This Row],[قيمة الشحنه]])</f>
        <v>0</v>
      </c>
      <c r="I100" s="90"/>
      <c r="J100" s="142" t="str">
        <f t="shared" si="1"/>
        <v>17.5.2026</v>
      </c>
      <c r="L100" s="153">
        <v>89</v>
      </c>
      <c r="M100" s="92"/>
    </row>
    <row r="101" spans="1:13" ht="21.6" x14ac:dyDescent="0.65">
      <c r="A101" s="195"/>
      <c r="B101" s="144">
        <v>98</v>
      </c>
      <c r="C101" s="2"/>
      <c r="D101" s="1"/>
      <c r="E101" s="3"/>
      <c r="F101" s="1"/>
      <c r="G101" s="141">
        <f>IF(Basic345678910111213141516[[#This Row],[نوع الخدمة]]="مخالفات", 50,
IF(Basic345678910111213141516[[#This Row],[نوع الخدمة]]="كاش ان",
    IF(F101&lt;=100, 18, IF(F101&lt;=250, 23, IF(F101&lt;=500, 35, IF(F101&lt;=1000, 40, F101*0.04)))),
IF(Basic345678910111213141516[[#This Row],[نوع الخدمة]]="كاش اوت",
    IF(F101&lt;=100, 15, IF(F101&lt;=250, 20, IF(F101&lt;=500, 30, IF(F101&lt;=1000, 35, F101*0.035)))),
0)))</f>
        <v>0</v>
      </c>
      <c r="H101" s="159">
        <f>IF(I101="مخالفات",50,Basic345678910111213141516[[#This Row],[قيمة الرسوم / العموله]]+Basic345678910111213141516[[#This Row],[قيمة الشحنه]])</f>
        <v>0</v>
      </c>
      <c r="I101" s="90"/>
      <c r="J101" s="142" t="str">
        <f t="shared" si="1"/>
        <v>17.5.2026</v>
      </c>
      <c r="L101" s="153">
        <v>90</v>
      </c>
      <c r="M101" s="92"/>
    </row>
    <row r="102" spans="1:13" ht="21.6" x14ac:dyDescent="0.65">
      <c r="A102" s="195"/>
      <c r="B102" s="140">
        <v>99</v>
      </c>
      <c r="C102" s="2"/>
      <c r="D102" s="1"/>
      <c r="E102" s="3"/>
      <c r="F102" s="1"/>
      <c r="G102" s="141">
        <f>IF(Basic345678910111213141516[[#This Row],[نوع الخدمة]]="مخالفات", 50,
IF(Basic345678910111213141516[[#This Row],[نوع الخدمة]]="كاش ان",
    IF(F102&lt;=100, 18, IF(F102&lt;=250, 23, IF(F102&lt;=500, 35, IF(F102&lt;=1000, 40, F102*0.04)))),
IF(Basic345678910111213141516[[#This Row],[نوع الخدمة]]="كاش اوت",
    IF(F102&lt;=100, 15, IF(F102&lt;=250, 20, IF(F102&lt;=500, 30, IF(F102&lt;=1000, 35, F102*0.035)))),
0)))</f>
        <v>0</v>
      </c>
      <c r="H102" s="159">
        <f>IF(I102="مخالفات",50,Basic345678910111213141516[[#This Row],[قيمة الرسوم / العموله]]+Basic345678910111213141516[[#This Row],[قيمة الشحنه]])</f>
        <v>0</v>
      </c>
      <c r="I102" s="90"/>
      <c r="J102" s="142" t="str">
        <f t="shared" si="1"/>
        <v>17.5.2026</v>
      </c>
      <c r="L102" s="153">
        <v>91</v>
      </c>
      <c r="M102" s="92"/>
    </row>
    <row r="103" spans="1:13" ht="21.6" x14ac:dyDescent="0.65">
      <c r="A103" s="195"/>
      <c r="B103" s="140">
        <v>100</v>
      </c>
      <c r="C103" s="2"/>
      <c r="D103" s="1"/>
      <c r="E103" s="3"/>
      <c r="F103" s="1"/>
      <c r="G103" s="141">
        <f>IF(Basic345678910111213141516[[#This Row],[نوع الخدمة]]="مخالفات", 50,
IF(Basic345678910111213141516[[#This Row],[نوع الخدمة]]="كاش ان",
    IF(F103&lt;=100, 18, IF(F103&lt;=250, 23, IF(F103&lt;=500, 35, IF(F103&lt;=1000, 40, F103*0.04)))),
IF(Basic345678910111213141516[[#This Row],[نوع الخدمة]]="كاش اوت",
    IF(F103&lt;=100, 15, IF(F103&lt;=250, 20, IF(F103&lt;=500, 30, IF(F103&lt;=1000, 35, F103*0.035)))),
0)))</f>
        <v>0</v>
      </c>
      <c r="H103" s="159">
        <f>IF(I103="مخالفات",50,Basic345678910111213141516[[#This Row],[قيمة الرسوم / العموله]]+Basic345678910111213141516[[#This Row],[قيمة الشحنه]])</f>
        <v>0</v>
      </c>
      <c r="I103" s="90"/>
      <c r="J103" s="142" t="str">
        <f t="shared" si="1"/>
        <v>17.5.2026</v>
      </c>
      <c r="L103" s="153">
        <v>92</v>
      </c>
      <c r="M103" s="92"/>
    </row>
    <row r="104" spans="1:13" ht="21.6" x14ac:dyDescent="0.65">
      <c r="A104" s="195"/>
      <c r="B104" s="140">
        <v>101</v>
      </c>
      <c r="C104" s="2"/>
      <c r="D104" s="1"/>
      <c r="E104" s="3"/>
      <c r="F104" s="1"/>
      <c r="G104" s="141">
        <f>IF(Basic345678910111213141516[[#This Row],[نوع الخدمة]]="مخالفات", 50,
IF(Basic345678910111213141516[[#This Row],[نوع الخدمة]]="كاش ان",
    IF(F104&lt;=100, 18, IF(F104&lt;=250, 23, IF(F104&lt;=500, 35, IF(F104&lt;=1000, 40, F104*0.04)))),
IF(Basic345678910111213141516[[#This Row],[نوع الخدمة]]="كاش اوت",
    IF(F104&lt;=100, 15, IF(F104&lt;=250, 20, IF(F104&lt;=500, 30, IF(F104&lt;=1000, 35, F104*0.035)))),
0)))</f>
        <v>0</v>
      </c>
      <c r="H104" s="159">
        <f>IF(I104="مخالفات",50,Basic345678910111213141516[[#This Row],[قيمة الرسوم / العموله]]+Basic345678910111213141516[[#This Row],[قيمة الشحنه]])</f>
        <v>0</v>
      </c>
      <c r="I104" s="90"/>
      <c r="J104" s="142" t="str">
        <f t="shared" si="1"/>
        <v>17.5.2026</v>
      </c>
      <c r="L104" s="153">
        <v>93</v>
      </c>
      <c r="M104" s="92"/>
    </row>
    <row r="105" spans="1:13" ht="21.6" x14ac:dyDescent="0.65">
      <c r="A105" s="195"/>
      <c r="B105" s="144">
        <v>102</v>
      </c>
      <c r="C105" s="2"/>
      <c r="D105" s="1"/>
      <c r="E105" s="3"/>
      <c r="F105" s="1"/>
      <c r="G105" s="141">
        <f>IF(Basic345678910111213141516[[#This Row],[نوع الخدمة]]="مخالفات", 50,
IF(Basic345678910111213141516[[#This Row],[نوع الخدمة]]="كاش ان",
    IF(F105&lt;=100, 18, IF(F105&lt;=250, 23, IF(F105&lt;=500, 35, IF(F105&lt;=1000, 40, F105*0.04)))),
IF(Basic345678910111213141516[[#This Row],[نوع الخدمة]]="كاش اوت",
    IF(F105&lt;=100, 15, IF(F105&lt;=250, 20, IF(F105&lt;=500, 30, IF(F105&lt;=1000, 35, F105*0.035)))),
0)))</f>
        <v>0</v>
      </c>
      <c r="H105" s="159">
        <f>IF(I105="مخالفات",50,Basic345678910111213141516[[#This Row],[قيمة الرسوم / العموله]]+Basic345678910111213141516[[#This Row],[قيمة الشحنه]])</f>
        <v>0</v>
      </c>
      <c r="I105" s="90"/>
      <c r="J105" s="142" t="str">
        <f t="shared" si="1"/>
        <v>17.5.2026</v>
      </c>
      <c r="L105" s="153">
        <v>94</v>
      </c>
      <c r="M105" s="92"/>
    </row>
    <row r="106" spans="1:13" ht="21.6" x14ac:dyDescent="0.65">
      <c r="A106" s="195"/>
      <c r="B106" s="140">
        <v>103</v>
      </c>
      <c r="C106" s="2"/>
      <c r="D106" s="1"/>
      <c r="E106" s="3"/>
      <c r="F106" s="1"/>
      <c r="G106" s="141">
        <f>IF(Basic345678910111213141516[[#This Row],[نوع الخدمة]]="مخالفات", 50,
IF(Basic345678910111213141516[[#This Row],[نوع الخدمة]]="كاش ان",
    IF(F106&lt;=100, 18, IF(F106&lt;=250, 23, IF(F106&lt;=500, 35, IF(F106&lt;=1000, 40, F106*0.04)))),
IF(Basic345678910111213141516[[#This Row],[نوع الخدمة]]="كاش اوت",
    IF(F106&lt;=100, 15, IF(F106&lt;=250, 20, IF(F106&lt;=500, 30, IF(F106&lt;=1000, 35, F106*0.035)))),
0)))</f>
        <v>0</v>
      </c>
      <c r="H106" s="159">
        <f>IF(I106="مخالفات",50,Basic345678910111213141516[[#This Row],[قيمة الرسوم / العموله]]+Basic345678910111213141516[[#This Row],[قيمة الشحنه]])</f>
        <v>0</v>
      </c>
      <c r="I106" s="90"/>
      <c r="J106" s="142" t="str">
        <f t="shared" si="1"/>
        <v>17.5.2026</v>
      </c>
      <c r="L106" s="153">
        <v>95</v>
      </c>
      <c r="M106" s="92"/>
    </row>
    <row r="107" spans="1:13" ht="21.6" x14ac:dyDescent="0.65">
      <c r="A107" s="195"/>
      <c r="B107" s="140">
        <v>104</v>
      </c>
      <c r="C107" s="2"/>
      <c r="D107" s="1"/>
      <c r="E107" s="3"/>
      <c r="F107" s="1"/>
      <c r="G107" s="141">
        <f>IF(Basic345678910111213141516[[#This Row],[نوع الخدمة]]="مخالفات", 50,
IF(Basic345678910111213141516[[#This Row],[نوع الخدمة]]="كاش ان",
    IF(F107&lt;=100, 18, IF(F107&lt;=250, 23, IF(F107&lt;=500, 35, IF(F107&lt;=1000, 40, F107*0.04)))),
IF(Basic345678910111213141516[[#This Row],[نوع الخدمة]]="كاش اوت",
    IF(F107&lt;=100, 15, IF(F107&lt;=250, 20, IF(F107&lt;=500, 30, IF(F107&lt;=1000, 35, F107*0.035)))),
0)))</f>
        <v>0</v>
      </c>
      <c r="H107" s="159">
        <f>IF(I107="مخالفات",50,Basic345678910111213141516[[#This Row],[قيمة الرسوم / العموله]]+Basic345678910111213141516[[#This Row],[قيمة الشحنه]])</f>
        <v>0</v>
      </c>
      <c r="I107" s="90"/>
      <c r="J107" s="142" t="str">
        <f t="shared" si="1"/>
        <v>17.5.2026</v>
      </c>
      <c r="L107" s="153">
        <v>96</v>
      </c>
      <c r="M107" s="92"/>
    </row>
    <row r="108" spans="1:13" ht="21.6" x14ac:dyDescent="0.65">
      <c r="A108" s="195"/>
      <c r="B108" s="140">
        <v>105</v>
      </c>
      <c r="C108" s="2"/>
      <c r="D108" s="1"/>
      <c r="E108" s="3"/>
      <c r="F108" s="1"/>
      <c r="G108" s="141">
        <f>IF(Basic345678910111213141516[[#This Row],[نوع الخدمة]]="مخالفات", 50,
IF(Basic345678910111213141516[[#This Row],[نوع الخدمة]]="كاش ان",
    IF(F108&lt;=100, 18, IF(F108&lt;=250, 23, IF(F108&lt;=500, 35, IF(F108&lt;=1000, 40, F108*0.04)))),
IF(Basic345678910111213141516[[#This Row],[نوع الخدمة]]="كاش اوت",
    IF(F108&lt;=100, 15, IF(F108&lt;=250, 20, IF(F108&lt;=500, 30, IF(F108&lt;=1000, 35, F108*0.035)))),
0)))</f>
        <v>0</v>
      </c>
      <c r="H108" s="159">
        <f>IF(I108="مخالفات",50,Basic345678910111213141516[[#This Row],[قيمة الرسوم / العموله]]+Basic345678910111213141516[[#This Row],[قيمة الشحنه]])</f>
        <v>0</v>
      </c>
      <c r="I108" s="90"/>
      <c r="J108" s="142" t="str">
        <f t="shared" si="1"/>
        <v>17.5.2026</v>
      </c>
      <c r="L108" s="153">
        <v>97</v>
      </c>
      <c r="M108" s="92"/>
    </row>
    <row r="109" spans="1:13" ht="21.6" x14ac:dyDescent="0.65">
      <c r="A109" s="195"/>
      <c r="B109" s="144">
        <v>106</v>
      </c>
      <c r="C109" s="2"/>
      <c r="D109" s="1"/>
      <c r="E109" s="3"/>
      <c r="F109" s="1"/>
      <c r="G109" s="141">
        <f>IF(Basic345678910111213141516[[#This Row],[نوع الخدمة]]="مخالفات", 50,
IF(Basic345678910111213141516[[#This Row],[نوع الخدمة]]="كاش ان",
    IF(F109&lt;=100, 18, IF(F109&lt;=250, 23, IF(F109&lt;=500, 35, IF(F109&lt;=1000, 40, F109*0.04)))),
IF(Basic345678910111213141516[[#This Row],[نوع الخدمة]]="كاش اوت",
    IF(F109&lt;=100, 15, IF(F109&lt;=250, 20, IF(F109&lt;=500, 30, IF(F109&lt;=1000, 35, F109*0.035)))),
0)))</f>
        <v>0</v>
      </c>
      <c r="H109" s="159">
        <f>IF(I109="مخالفات",50,Basic345678910111213141516[[#This Row],[قيمة الرسوم / العموله]]+Basic345678910111213141516[[#This Row],[قيمة الشحنه]])</f>
        <v>0</v>
      </c>
      <c r="I109" s="90"/>
      <c r="J109" s="142" t="str">
        <f t="shared" si="1"/>
        <v>17.5.2026</v>
      </c>
      <c r="L109" s="153">
        <v>98</v>
      </c>
      <c r="M109" s="92"/>
    </row>
    <row r="110" spans="1:13" ht="21.6" x14ac:dyDescent="0.65">
      <c r="A110" s="195"/>
      <c r="B110" s="140">
        <v>107</v>
      </c>
      <c r="C110" s="2"/>
      <c r="D110" s="1"/>
      <c r="E110" s="3"/>
      <c r="F110" s="1"/>
      <c r="G110" s="141">
        <f>IF(Basic345678910111213141516[[#This Row],[نوع الخدمة]]="مخالفات", 50,
IF(Basic345678910111213141516[[#This Row],[نوع الخدمة]]="كاش ان",
    IF(F110&lt;=100, 18, IF(F110&lt;=250, 23, IF(F110&lt;=500, 35, IF(F110&lt;=1000, 40, F110*0.04)))),
IF(Basic345678910111213141516[[#This Row],[نوع الخدمة]]="كاش اوت",
    IF(F110&lt;=100, 15, IF(F110&lt;=250, 20, IF(F110&lt;=500, 30, IF(F110&lt;=1000, 35, F110*0.035)))),
0)))</f>
        <v>0</v>
      </c>
      <c r="H110" s="159">
        <f>IF(I110="مخالفات",50,Basic345678910111213141516[[#This Row],[قيمة الرسوم / العموله]]+Basic345678910111213141516[[#This Row],[قيمة الشحنه]])</f>
        <v>0</v>
      </c>
      <c r="I110" s="90"/>
      <c r="J110" s="142" t="str">
        <f t="shared" si="1"/>
        <v>17.5.2026</v>
      </c>
      <c r="L110" s="153">
        <v>99</v>
      </c>
      <c r="M110" s="92"/>
    </row>
    <row r="111" spans="1:13" ht="21.6" x14ac:dyDescent="0.65">
      <c r="A111" s="195"/>
      <c r="B111" s="140">
        <v>108</v>
      </c>
      <c r="C111" s="2"/>
      <c r="D111" s="1"/>
      <c r="E111" s="3"/>
      <c r="F111" s="1"/>
      <c r="G111" s="141">
        <f>IF(Basic345678910111213141516[[#This Row],[نوع الخدمة]]="مخالفات", 50,
IF(Basic345678910111213141516[[#This Row],[نوع الخدمة]]="كاش ان",
    IF(F111&lt;=100, 18, IF(F111&lt;=250, 23, IF(F111&lt;=500, 35, IF(F111&lt;=1000, 40, F111*0.04)))),
IF(Basic345678910111213141516[[#This Row],[نوع الخدمة]]="كاش اوت",
    IF(F111&lt;=100, 15, IF(F111&lt;=250, 20, IF(F111&lt;=500, 30, IF(F111&lt;=1000, 35, F111*0.035)))),
0)))</f>
        <v>0</v>
      </c>
      <c r="H111" s="159">
        <f>IF(I111="مخالفات",50,Basic345678910111213141516[[#This Row],[قيمة الرسوم / العموله]]+Basic345678910111213141516[[#This Row],[قيمة الشحنه]])</f>
        <v>0</v>
      </c>
      <c r="I111" s="90"/>
      <c r="J111" s="142" t="str">
        <f t="shared" si="1"/>
        <v>17.5.2026</v>
      </c>
      <c r="L111" s="153">
        <v>100</v>
      </c>
      <c r="M111" s="92"/>
    </row>
    <row r="112" spans="1:13" ht="21.6" x14ac:dyDescent="0.65">
      <c r="A112" s="195"/>
      <c r="B112" s="140">
        <v>109</v>
      </c>
      <c r="C112" s="2"/>
      <c r="D112" s="1"/>
      <c r="E112" s="3"/>
      <c r="F112" s="1"/>
      <c r="G112" s="141">
        <f>IF(Basic345678910111213141516[[#This Row],[نوع الخدمة]]="مخالفات", 50,
IF(Basic345678910111213141516[[#This Row],[نوع الخدمة]]="كاش ان",
    IF(F112&lt;=100, 18, IF(F112&lt;=250, 23, IF(F112&lt;=500, 35, IF(F112&lt;=1000, 40, F112*0.04)))),
IF(Basic345678910111213141516[[#This Row],[نوع الخدمة]]="كاش اوت",
    IF(F112&lt;=100, 15, IF(F112&lt;=250, 20, IF(F112&lt;=500, 30, IF(F112&lt;=1000, 35, F112*0.035)))),
0)))</f>
        <v>0</v>
      </c>
      <c r="H112" s="159">
        <f>IF(I112="مخالفات",50,Basic345678910111213141516[[#This Row],[قيمة الرسوم / العموله]]+Basic345678910111213141516[[#This Row],[قيمة الشحنه]])</f>
        <v>0</v>
      </c>
      <c r="I112" s="90"/>
      <c r="J112" s="142" t="str">
        <f t="shared" si="1"/>
        <v>17.5.2026</v>
      </c>
      <c r="L112" s="153">
        <v>101</v>
      </c>
      <c r="M112" s="92"/>
    </row>
    <row r="113" spans="1:13" ht="21.6" x14ac:dyDescent="0.65">
      <c r="A113" s="195"/>
      <c r="B113" s="144">
        <v>110</v>
      </c>
      <c r="C113" s="2"/>
      <c r="D113" s="1"/>
      <c r="E113" s="3"/>
      <c r="F113" s="1"/>
      <c r="G113" s="141">
        <f>IF(Basic345678910111213141516[[#This Row],[نوع الخدمة]]="مخالفات", 50,
IF(Basic345678910111213141516[[#This Row],[نوع الخدمة]]="كاش ان",
    IF(F113&lt;=100, 18, IF(F113&lt;=250, 23, IF(F113&lt;=500, 35, IF(F113&lt;=1000, 40, F113*0.04)))),
IF(Basic345678910111213141516[[#This Row],[نوع الخدمة]]="كاش اوت",
    IF(F113&lt;=100, 15, IF(F113&lt;=250, 20, IF(F113&lt;=500, 30, IF(F113&lt;=1000, 35, F113*0.035)))),
0)))</f>
        <v>0</v>
      </c>
      <c r="H113" s="159">
        <f>IF(I113="مخالفات",50,Basic345678910111213141516[[#This Row],[قيمة الرسوم / العموله]]+Basic345678910111213141516[[#This Row],[قيمة الشحنه]])</f>
        <v>0</v>
      </c>
      <c r="I113" s="90"/>
      <c r="J113" s="142" t="str">
        <f t="shared" si="1"/>
        <v>17.5.2026</v>
      </c>
      <c r="L113" s="153">
        <v>102</v>
      </c>
      <c r="M113" s="92"/>
    </row>
    <row r="114" spans="1:13" ht="21.6" x14ac:dyDescent="0.65">
      <c r="A114" s="195"/>
      <c r="B114" s="140">
        <v>111</v>
      </c>
      <c r="C114" s="2"/>
      <c r="D114" s="1"/>
      <c r="E114" s="3"/>
      <c r="F114" s="1"/>
      <c r="G114" s="141">
        <f>IF(Basic345678910111213141516[[#This Row],[نوع الخدمة]]="مخالفات", 50,
IF(Basic345678910111213141516[[#This Row],[نوع الخدمة]]="كاش ان",
    IF(F114&lt;=100, 18, IF(F114&lt;=250, 23, IF(F114&lt;=500, 35, IF(F114&lt;=1000, 40, F114*0.04)))),
IF(Basic345678910111213141516[[#This Row],[نوع الخدمة]]="كاش اوت",
    IF(F114&lt;=100, 15, IF(F114&lt;=250, 20, IF(F114&lt;=500, 30, IF(F114&lt;=1000, 35, F114*0.035)))),
0)))</f>
        <v>0</v>
      </c>
      <c r="H114" s="159">
        <f>IF(I114="مخالفات",50,Basic345678910111213141516[[#This Row],[قيمة الرسوم / العموله]]+Basic345678910111213141516[[#This Row],[قيمة الشحنه]])</f>
        <v>0</v>
      </c>
      <c r="I114" s="90"/>
      <c r="J114" s="142" t="str">
        <f t="shared" si="1"/>
        <v>17.5.2026</v>
      </c>
      <c r="L114" s="153">
        <v>103</v>
      </c>
      <c r="M114" s="92"/>
    </row>
    <row r="115" spans="1:13" ht="21.6" x14ac:dyDescent="0.65">
      <c r="A115" s="195"/>
      <c r="B115" s="140">
        <v>112</v>
      </c>
      <c r="C115" s="2"/>
      <c r="D115" s="1"/>
      <c r="E115" s="3"/>
      <c r="F115" s="1"/>
      <c r="G115" s="141">
        <f>IF(Basic345678910111213141516[[#This Row],[نوع الخدمة]]="مخالفات", 50,
IF(Basic345678910111213141516[[#This Row],[نوع الخدمة]]="كاش ان",
    IF(F115&lt;=100, 18, IF(F115&lt;=250, 23, IF(F115&lt;=500, 35, IF(F115&lt;=1000, 40, F115*0.04)))),
IF(Basic345678910111213141516[[#This Row],[نوع الخدمة]]="كاش اوت",
    IF(F115&lt;=100, 15, IF(F115&lt;=250, 20, IF(F115&lt;=500, 30, IF(F115&lt;=1000, 35, F115*0.035)))),
0)))</f>
        <v>0</v>
      </c>
      <c r="H115" s="159">
        <f>IF(I115="مخالفات",50,Basic345678910111213141516[[#This Row],[قيمة الرسوم / العموله]]+Basic345678910111213141516[[#This Row],[قيمة الشحنه]])</f>
        <v>0</v>
      </c>
      <c r="I115" s="90"/>
      <c r="J115" s="142" t="str">
        <f t="shared" si="1"/>
        <v>17.5.2026</v>
      </c>
      <c r="L115" s="153">
        <v>104</v>
      </c>
      <c r="M115" s="92"/>
    </row>
    <row r="116" spans="1:13" ht="21.6" x14ac:dyDescent="0.65">
      <c r="A116" s="195"/>
      <c r="B116" s="140">
        <v>113</v>
      </c>
      <c r="C116" s="2"/>
      <c r="D116" s="1"/>
      <c r="E116" s="3"/>
      <c r="F116" s="1"/>
      <c r="G116" s="141">
        <f>IF(Basic345678910111213141516[[#This Row],[نوع الخدمة]]="مخالفات", 50,
IF(Basic345678910111213141516[[#This Row],[نوع الخدمة]]="كاش ان",
    IF(F116&lt;=100, 18, IF(F116&lt;=250, 23, IF(F116&lt;=500, 35, IF(F116&lt;=1000, 40, F116*0.04)))),
IF(Basic345678910111213141516[[#This Row],[نوع الخدمة]]="كاش اوت",
    IF(F116&lt;=100, 15, IF(F116&lt;=250, 20, IF(F116&lt;=500, 30, IF(F116&lt;=1000, 35, F116*0.035)))),
0)))</f>
        <v>0</v>
      </c>
      <c r="H116" s="159">
        <f>IF(I116="مخالفات",50,Basic345678910111213141516[[#This Row],[قيمة الرسوم / العموله]]+Basic345678910111213141516[[#This Row],[قيمة الشحنه]])</f>
        <v>0</v>
      </c>
      <c r="I116" s="90"/>
      <c r="J116" s="142" t="str">
        <f t="shared" si="1"/>
        <v>17.5.2026</v>
      </c>
      <c r="L116" s="153">
        <v>105</v>
      </c>
      <c r="M116" s="92"/>
    </row>
    <row r="117" spans="1:13" ht="21.6" x14ac:dyDescent="0.65">
      <c r="A117" s="195"/>
      <c r="B117" s="144">
        <v>114</v>
      </c>
      <c r="C117" s="2"/>
      <c r="D117" s="1"/>
      <c r="E117" s="3"/>
      <c r="F117" s="1"/>
      <c r="G117" s="141">
        <f>IF(Basic345678910111213141516[[#This Row],[نوع الخدمة]]="مخالفات", 50,
IF(Basic345678910111213141516[[#This Row],[نوع الخدمة]]="كاش ان",
    IF(F117&lt;=100, 18, IF(F117&lt;=250, 23, IF(F117&lt;=500, 35, IF(F117&lt;=1000, 40, F117*0.04)))),
IF(Basic345678910111213141516[[#This Row],[نوع الخدمة]]="كاش اوت",
    IF(F117&lt;=100, 15, IF(F117&lt;=250, 20, IF(F117&lt;=500, 30, IF(F117&lt;=1000, 35, F117*0.035)))),
0)))</f>
        <v>0</v>
      </c>
      <c r="H117" s="159">
        <f>IF(I117="مخالفات",50,Basic345678910111213141516[[#This Row],[قيمة الرسوم / العموله]]+Basic345678910111213141516[[#This Row],[قيمة الشحنه]])</f>
        <v>0</v>
      </c>
      <c r="I117" s="90"/>
      <c r="J117" s="142" t="str">
        <f t="shared" si="1"/>
        <v>17.5.2026</v>
      </c>
      <c r="L117" s="153">
        <v>106</v>
      </c>
      <c r="M117" s="92"/>
    </row>
    <row r="118" spans="1:13" ht="21.6" x14ac:dyDescent="0.65">
      <c r="A118" s="195"/>
      <c r="B118" s="140">
        <v>115</v>
      </c>
      <c r="C118" s="2"/>
      <c r="D118" s="1"/>
      <c r="E118" s="3"/>
      <c r="F118" s="1"/>
      <c r="G118" s="141">
        <f>IF(Basic345678910111213141516[[#This Row],[نوع الخدمة]]="مخالفات", 50,
IF(Basic345678910111213141516[[#This Row],[نوع الخدمة]]="كاش ان",
    IF(F118&lt;=100, 18, IF(F118&lt;=250, 23, IF(F118&lt;=500, 35, IF(F118&lt;=1000, 40, F118*0.04)))),
IF(Basic345678910111213141516[[#This Row],[نوع الخدمة]]="كاش اوت",
    IF(F118&lt;=100, 15, IF(F118&lt;=250, 20, IF(F118&lt;=500, 30, IF(F118&lt;=1000, 35, F118*0.035)))),
0)))</f>
        <v>0</v>
      </c>
      <c r="H118" s="159">
        <f>IF(I118="مخالفات",50,Basic345678910111213141516[[#This Row],[قيمة الرسوم / العموله]]+Basic345678910111213141516[[#This Row],[قيمة الشحنه]])</f>
        <v>0</v>
      </c>
      <c r="I118" s="90"/>
      <c r="J118" s="142" t="str">
        <f t="shared" si="1"/>
        <v>17.5.2026</v>
      </c>
      <c r="L118" s="153">
        <v>107</v>
      </c>
      <c r="M118" s="92"/>
    </row>
    <row r="119" spans="1:13" ht="21.6" x14ac:dyDescent="0.65">
      <c r="A119" s="195"/>
      <c r="B119" s="140">
        <v>116</v>
      </c>
      <c r="C119" s="2"/>
      <c r="D119" s="1"/>
      <c r="E119" s="3"/>
      <c r="F119" s="1"/>
      <c r="G119" s="141">
        <f>IF(Basic345678910111213141516[[#This Row],[نوع الخدمة]]="مخالفات", 50,
IF(Basic345678910111213141516[[#This Row],[نوع الخدمة]]="كاش ان",
    IF(F119&lt;=100, 18, IF(F119&lt;=250, 23, IF(F119&lt;=500, 35, IF(F119&lt;=1000, 40, F119*0.04)))),
IF(Basic345678910111213141516[[#This Row],[نوع الخدمة]]="كاش اوت",
    IF(F119&lt;=100, 15, IF(F119&lt;=250, 20, IF(F119&lt;=500, 30, IF(F119&lt;=1000, 35, F119*0.035)))),
0)))</f>
        <v>0</v>
      </c>
      <c r="H119" s="159">
        <f>IF(I119="مخالفات",50,Basic345678910111213141516[[#This Row],[قيمة الرسوم / العموله]]+Basic345678910111213141516[[#This Row],[قيمة الشحنه]])</f>
        <v>0</v>
      </c>
      <c r="I119" s="90"/>
      <c r="J119" s="142" t="str">
        <f t="shared" si="1"/>
        <v>17.5.2026</v>
      </c>
      <c r="L119" s="153">
        <v>108</v>
      </c>
      <c r="M119" s="92"/>
    </row>
    <row r="120" spans="1:13" ht="21.6" x14ac:dyDescent="0.65">
      <c r="A120" s="195"/>
      <c r="B120" s="140">
        <v>117</v>
      </c>
      <c r="C120" s="2"/>
      <c r="D120" s="1"/>
      <c r="E120" s="3"/>
      <c r="F120" s="1"/>
      <c r="G120" s="141">
        <f>IF(Basic345678910111213141516[[#This Row],[نوع الخدمة]]="مخالفات", 50,
IF(Basic345678910111213141516[[#This Row],[نوع الخدمة]]="كاش ان",
    IF(F120&lt;=100, 18, IF(F120&lt;=250, 23, IF(F120&lt;=500, 35, IF(F120&lt;=1000, 40, F120*0.04)))),
IF(Basic345678910111213141516[[#This Row],[نوع الخدمة]]="كاش اوت",
    IF(F120&lt;=100, 15, IF(F120&lt;=250, 20, IF(F120&lt;=500, 30, IF(F120&lt;=1000, 35, F120*0.035)))),
0)))</f>
        <v>0</v>
      </c>
      <c r="H120" s="159">
        <f>IF(I120="مخالفات",50,Basic345678910111213141516[[#This Row],[قيمة الرسوم / العموله]]+Basic345678910111213141516[[#This Row],[قيمة الشحنه]])</f>
        <v>0</v>
      </c>
      <c r="I120" s="90"/>
      <c r="J120" s="142" t="str">
        <f t="shared" si="1"/>
        <v>17.5.2026</v>
      </c>
      <c r="L120" s="153">
        <v>109</v>
      </c>
      <c r="M120" s="92"/>
    </row>
    <row r="121" spans="1:13" ht="21.6" x14ac:dyDescent="0.65">
      <c r="A121" s="195"/>
      <c r="B121" s="144">
        <v>118</v>
      </c>
      <c r="C121" s="2"/>
      <c r="D121" s="1"/>
      <c r="E121" s="3"/>
      <c r="F121" s="1"/>
      <c r="G121" s="141">
        <f>IF(Basic345678910111213141516[[#This Row],[نوع الخدمة]]="مخالفات", 50,
IF(Basic345678910111213141516[[#This Row],[نوع الخدمة]]="كاش ان",
    IF(F121&lt;=100, 18, IF(F121&lt;=250, 23, IF(F121&lt;=500, 35, IF(F121&lt;=1000, 40, F121*0.04)))),
IF(Basic345678910111213141516[[#This Row],[نوع الخدمة]]="كاش اوت",
    IF(F121&lt;=100, 15, IF(F121&lt;=250, 20, IF(F121&lt;=500, 30, IF(F121&lt;=1000, 35, F121*0.035)))),
0)))</f>
        <v>0</v>
      </c>
      <c r="H121" s="159">
        <f>IF(I121="مخالفات",50,Basic345678910111213141516[[#This Row],[قيمة الرسوم / العموله]]+Basic345678910111213141516[[#This Row],[قيمة الشحنه]])</f>
        <v>0</v>
      </c>
      <c r="I121" s="90"/>
      <c r="J121" s="142" t="str">
        <f t="shared" si="1"/>
        <v>17.5.2026</v>
      </c>
      <c r="L121" s="153">
        <v>110</v>
      </c>
      <c r="M121" s="92"/>
    </row>
    <row r="122" spans="1:13" ht="21.6" x14ac:dyDescent="0.65">
      <c r="A122" s="195"/>
      <c r="B122" s="140">
        <v>119</v>
      </c>
      <c r="C122" s="2"/>
      <c r="D122" s="1"/>
      <c r="E122" s="3"/>
      <c r="F122" s="1"/>
      <c r="G122" s="141">
        <f>IF(Basic345678910111213141516[[#This Row],[نوع الخدمة]]="مخالفات", 50,
IF(Basic345678910111213141516[[#This Row],[نوع الخدمة]]="كاش ان",
    IF(F122&lt;=100, 18, IF(F122&lt;=250, 23, IF(F122&lt;=500, 35, IF(F122&lt;=1000, 40, F122*0.04)))),
IF(Basic345678910111213141516[[#This Row],[نوع الخدمة]]="كاش اوت",
    IF(F122&lt;=100, 15, IF(F122&lt;=250, 20, IF(F122&lt;=500, 30, IF(F122&lt;=1000, 35, F122*0.035)))),
0)))</f>
        <v>0</v>
      </c>
      <c r="H122" s="159">
        <f>IF(I122="مخالفات",50,Basic345678910111213141516[[#This Row],[قيمة الرسوم / العموله]]+Basic345678910111213141516[[#This Row],[قيمة الشحنه]])</f>
        <v>0</v>
      </c>
      <c r="I122" s="90"/>
      <c r="J122" s="142" t="str">
        <f t="shared" si="1"/>
        <v>17.5.2026</v>
      </c>
      <c r="L122" s="153">
        <v>111</v>
      </c>
      <c r="M122" s="92"/>
    </row>
    <row r="123" spans="1:13" ht="21.6" x14ac:dyDescent="0.65">
      <c r="A123" s="195"/>
      <c r="B123" s="140">
        <v>120</v>
      </c>
      <c r="C123" s="2"/>
      <c r="D123" s="1"/>
      <c r="E123" s="3"/>
      <c r="F123" s="1"/>
      <c r="G123" s="141">
        <f>IF(Basic345678910111213141516[[#This Row],[نوع الخدمة]]="مخالفات", 50,
IF(Basic345678910111213141516[[#This Row],[نوع الخدمة]]="كاش ان",
    IF(F123&lt;=100, 18, IF(F123&lt;=250, 23, IF(F123&lt;=500, 35, IF(F123&lt;=1000, 40, F123*0.04)))),
IF(Basic345678910111213141516[[#This Row],[نوع الخدمة]]="كاش اوت",
    IF(F123&lt;=100, 15, IF(F123&lt;=250, 20, IF(F123&lt;=500, 30, IF(F123&lt;=1000, 35, F123*0.035)))),
0)))</f>
        <v>0</v>
      </c>
      <c r="H123" s="159">
        <f>IF(I123="مخالفات",50,Basic345678910111213141516[[#This Row],[قيمة الرسوم / العموله]]+Basic345678910111213141516[[#This Row],[قيمة الشحنه]])</f>
        <v>0</v>
      </c>
      <c r="I123" s="90"/>
      <c r="J123" s="142" t="str">
        <f t="shared" si="1"/>
        <v>17.5.2026</v>
      </c>
      <c r="L123" s="153">
        <v>112</v>
      </c>
      <c r="M123" s="92"/>
    </row>
    <row r="124" spans="1:13" ht="21.6" x14ac:dyDescent="0.65">
      <c r="A124" s="195"/>
      <c r="B124" s="140">
        <v>121</v>
      </c>
      <c r="C124" s="2"/>
      <c r="D124" s="1"/>
      <c r="E124" s="3"/>
      <c r="F124" s="1"/>
      <c r="G124" s="141">
        <f>IF(Basic345678910111213141516[[#This Row],[نوع الخدمة]]="مخالفات", 50,
IF(Basic345678910111213141516[[#This Row],[نوع الخدمة]]="كاش ان",
    IF(F124&lt;=100, 18, IF(F124&lt;=250, 23, IF(F124&lt;=500, 35, IF(F124&lt;=1000, 40, F124*0.04)))),
IF(Basic345678910111213141516[[#This Row],[نوع الخدمة]]="كاش اوت",
    IF(F124&lt;=100, 15, IF(F124&lt;=250, 20, IF(F124&lt;=500, 30, IF(F124&lt;=1000, 35, F124*0.035)))),
0)))</f>
        <v>0</v>
      </c>
      <c r="H124" s="159">
        <f>IF(I124="مخالفات",50,Basic345678910111213141516[[#This Row],[قيمة الرسوم / العموله]]+Basic345678910111213141516[[#This Row],[قيمة الشحنه]])</f>
        <v>0</v>
      </c>
      <c r="I124" s="90"/>
      <c r="J124" s="142" t="str">
        <f t="shared" si="1"/>
        <v>17.5.2026</v>
      </c>
      <c r="L124" s="153">
        <v>113</v>
      </c>
      <c r="M124" s="92"/>
    </row>
    <row r="125" spans="1:13" ht="21.6" x14ac:dyDescent="0.65">
      <c r="A125" s="195"/>
      <c r="B125" s="144">
        <v>122</v>
      </c>
      <c r="C125" s="2"/>
      <c r="D125" s="1"/>
      <c r="E125" s="3"/>
      <c r="F125" s="1"/>
      <c r="G125" s="141">
        <f>IF(Basic345678910111213141516[[#This Row],[نوع الخدمة]]="مخالفات", 50,
IF(Basic345678910111213141516[[#This Row],[نوع الخدمة]]="كاش ان",
    IF(F125&lt;=100, 18, IF(F125&lt;=250, 23, IF(F125&lt;=500, 35, IF(F125&lt;=1000, 40, F125*0.04)))),
IF(Basic345678910111213141516[[#This Row],[نوع الخدمة]]="كاش اوت",
    IF(F125&lt;=100, 15, IF(F125&lt;=250, 20, IF(F125&lt;=500, 30, IF(F125&lt;=1000, 35, F125*0.035)))),
0)))</f>
        <v>0</v>
      </c>
      <c r="H125" s="159">
        <f>IF(I125="مخالفات",50,Basic345678910111213141516[[#This Row],[قيمة الرسوم / العموله]]+Basic345678910111213141516[[#This Row],[قيمة الشحنه]])</f>
        <v>0</v>
      </c>
      <c r="I125" s="90"/>
      <c r="J125" s="142" t="str">
        <f t="shared" si="1"/>
        <v>17.5.2026</v>
      </c>
      <c r="L125" s="153">
        <v>114</v>
      </c>
      <c r="M125" s="92"/>
    </row>
    <row r="126" spans="1:13" ht="21.6" x14ac:dyDescent="0.65">
      <c r="A126" s="195"/>
      <c r="B126" s="140">
        <v>123</v>
      </c>
      <c r="C126" s="2"/>
      <c r="D126" s="1"/>
      <c r="E126" s="3"/>
      <c r="F126" s="1"/>
      <c r="G126" s="141">
        <f>IF(Basic345678910111213141516[[#This Row],[نوع الخدمة]]="مخالفات", 50,
IF(Basic345678910111213141516[[#This Row],[نوع الخدمة]]="كاش ان",
    IF(F126&lt;=100, 18, IF(F126&lt;=250, 23, IF(F126&lt;=500, 35, IF(F126&lt;=1000, 40, F126*0.04)))),
IF(Basic345678910111213141516[[#This Row],[نوع الخدمة]]="كاش اوت",
    IF(F126&lt;=100, 15, IF(F126&lt;=250, 20, IF(F126&lt;=500, 30, IF(F126&lt;=1000, 35, F126*0.035)))),
0)))</f>
        <v>0</v>
      </c>
      <c r="H126" s="159">
        <f>IF(I126="مخالفات",50,Basic345678910111213141516[[#This Row],[قيمة الرسوم / العموله]]+Basic345678910111213141516[[#This Row],[قيمة الشحنه]])</f>
        <v>0</v>
      </c>
      <c r="I126" s="90"/>
      <c r="J126" s="142" t="str">
        <f t="shared" si="1"/>
        <v>17.5.2026</v>
      </c>
      <c r="L126" s="153">
        <v>115</v>
      </c>
      <c r="M126" s="92"/>
    </row>
    <row r="127" spans="1:13" ht="21.6" x14ac:dyDescent="0.65">
      <c r="A127" s="195"/>
      <c r="B127" s="140">
        <v>124</v>
      </c>
      <c r="C127" s="2"/>
      <c r="D127" s="1"/>
      <c r="E127" s="3"/>
      <c r="F127" s="1"/>
      <c r="G127" s="141">
        <f>IF(Basic345678910111213141516[[#This Row],[نوع الخدمة]]="مخالفات", 50,
IF(Basic345678910111213141516[[#This Row],[نوع الخدمة]]="كاش ان",
    IF(F127&lt;=100, 18, IF(F127&lt;=250, 23, IF(F127&lt;=500, 35, IF(F127&lt;=1000, 40, F127*0.04)))),
IF(Basic345678910111213141516[[#This Row],[نوع الخدمة]]="كاش اوت",
    IF(F127&lt;=100, 15, IF(F127&lt;=250, 20, IF(F127&lt;=500, 30, IF(F127&lt;=1000, 35, F127*0.035)))),
0)))</f>
        <v>0</v>
      </c>
      <c r="H127" s="159">
        <f>IF(I127="مخالفات",50,Basic345678910111213141516[[#This Row],[قيمة الرسوم / العموله]]+Basic345678910111213141516[[#This Row],[قيمة الشحنه]])</f>
        <v>0</v>
      </c>
      <c r="I127" s="90"/>
      <c r="J127" s="142" t="str">
        <f t="shared" si="1"/>
        <v>17.5.2026</v>
      </c>
      <c r="L127" s="153">
        <v>116</v>
      </c>
      <c r="M127" s="92"/>
    </row>
    <row r="128" spans="1:13" ht="21.6" x14ac:dyDescent="0.65">
      <c r="A128" s="195"/>
      <c r="B128" s="140">
        <v>125</v>
      </c>
      <c r="C128" s="2"/>
      <c r="D128" s="1"/>
      <c r="E128" s="3"/>
      <c r="F128" s="1"/>
      <c r="G128" s="141">
        <f>IF(Basic345678910111213141516[[#This Row],[نوع الخدمة]]="مخالفات", 50,
IF(Basic345678910111213141516[[#This Row],[نوع الخدمة]]="كاش ان",
    IF(F128&lt;=100, 18, IF(F128&lt;=250, 23, IF(F128&lt;=500, 35, IF(F128&lt;=1000, 40, F128*0.04)))),
IF(Basic345678910111213141516[[#This Row],[نوع الخدمة]]="كاش اوت",
    IF(F128&lt;=100, 15, IF(F128&lt;=250, 20, IF(F128&lt;=500, 30, IF(F128&lt;=1000, 35, F128*0.035)))),
0)))</f>
        <v>0</v>
      </c>
      <c r="H128" s="159">
        <f>IF(I128="مخالفات",50,Basic345678910111213141516[[#This Row],[قيمة الرسوم / العموله]]+Basic345678910111213141516[[#This Row],[قيمة الشحنه]])</f>
        <v>0</v>
      </c>
      <c r="I128" s="90"/>
      <c r="J128" s="142" t="str">
        <f t="shared" si="1"/>
        <v>17.5.2026</v>
      </c>
      <c r="L128" s="153">
        <v>117</v>
      </c>
      <c r="M128" s="92"/>
    </row>
    <row r="129" spans="1:13" ht="21.6" x14ac:dyDescent="0.65">
      <c r="A129" s="195"/>
      <c r="B129" s="144">
        <v>126</v>
      </c>
      <c r="C129" s="2"/>
      <c r="D129" s="1"/>
      <c r="E129" s="3"/>
      <c r="F129" s="1"/>
      <c r="G129" s="141">
        <f>IF(Basic345678910111213141516[[#This Row],[نوع الخدمة]]="مخالفات", 50,
IF(Basic345678910111213141516[[#This Row],[نوع الخدمة]]="كاش ان",
    IF(F129&lt;=100, 18, IF(F129&lt;=250, 23, IF(F129&lt;=500, 35, IF(F129&lt;=1000, 40, F129*0.04)))),
IF(Basic345678910111213141516[[#This Row],[نوع الخدمة]]="كاش اوت",
    IF(F129&lt;=100, 15, IF(F129&lt;=250, 20, IF(F129&lt;=500, 30, IF(F129&lt;=1000, 35, F129*0.035)))),
0)))</f>
        <v>0</v>
      </c>
      <c r="H129" s="159">
        <f>IF(I129="مخالفات",50,Basic345678910111213141516[[#This Row],[قيمة الرسوم / العموله]]+Basic345678910111213141516[[#This Row],[قيمة الشحنه]])</f>
        <v>0</v>
      </c>
      <c r="I129" s="90"/>
      <c r="J129" s="142" t="str">
        <f t="shared" si="1"/>
        <v>17.5.2026</v>
      </c>
      <c r="L129" s="153">
        <v>118</v>
      </c>
      <c r="M129" s="92"/>
    </row>
    <row r="130" spans="1:13" ht="21.6" x14ac:dyDescent="0.65">
      <c r="A130" s="195"/>
      <c r="B130" s="140">
        <v>127</v>
      </c>
      <c r="C130" s="2"/>
      <c r="D130" s="1"/>
      <c r="E130" s="3"/>
      <c r="F130" s="1"/>
      <c r="G130" s="141">
        <f>IF(Basic345678910111213141516[[#This Row],[نوع الخدمة]]="مخالفات", 50,
IF(Basic345678910111213141516[[#This Row],[نوع الخدمة]]="كاش ان",
    IF(F130&lt;=100, 18, IF(F130&lt;=250, 23, IF(F130&lt;=500, 35, IF(F130&lt;=1000, 40, F130*0.04)))),
IF(Basic345678910111213141516[[#This Row],[نوع الخدمة]]="كاش اوت",
    IF(F130&lt;=100, 15, IF(F130&lt;=250, 20, IF(F130&lt;=500, 30, IF(F130&lt;=1000, 35, F130*0.035)))),
0)))</f>
        <v>0</v>
      </c>
      <c r="H130" s="159">
        <f>IF(I130="مخالفات",50,Basic345678910111213141516[[#This Row],[قيمة الرسوم / العموله]]+Basic345678910111213141516[[#This Row],[قيمة الشحنه]])</f>
        <v>0</v>
      </c>
      <c r="I130" s="90"/>
      <c r="J130" s="142" t="str">
        <f t="shared" si="1"/>
        <v>17.5.2026</v>
      </c>
      <c r="L130" s="153">
        <v>119</v>
      </c>
      <c r="M130" s="92"/>
    </row>
    <row r="131" spans="1:13" ht="21.6" x14ac:dyDescent="0.65">
      <c r="A131" s="195"/>
      <c r="B131" s="140">
        <v>128</v>
      </c>
      <c r="C131" s="2"/>
      <c r="D131" s="1"/>
      <c r="E131" s="3"/>
      <c r="F131" s="1"/>
      <c r="G131" s="141">
        <f>IF(Basic345678910111213141516[[#This Row],[نوع الخدمة]]="مخالفات", 50,
IF(Basic345678910111213141516[[#This Row],[نوع الخدمة]]="كاش ان",
    IF(F131&lt;=100, 18, IF(F131&lt;=250, 23, IF(F131&lt;=500, 35, IF(F131&lt;=1000, 40, F131*0.04)))),
IF(Basic345678910111213141516[[#This Row],[نوع الخدمة]]="كاش اوت",
    IF(F131&lt;=100, 15, IF(F131&lt;=250, 20, IF(F131&lt;=500, 30, IF(F131&lt;=1000, 35, F131*0.035)))),
0)))</f>
        <v>0</v>
      </c>
      <c r="H131" s="159">
        <f>IF(I131="مخالفات",50,Basic345678910111213141516[[#This Row],[قيمة الرسوم / العموله]]+Basic345678910111213141516[[#This Row],[قيمة الشحنه]])</f>
        <v>0</v>
      </c>
      <c r="I131" s="90"/>
      <c r="J131" s="142" t="str">
        <f t="shared" si="1"/>
        <v>17.5.2026</v>
      </c>
      <c r="L131" s="153">
        <v>120</v>
      </c>
      <c r="M131" s="92"/>
    </row>
    <row r="132" spans="1:13" ht="21.6" x14ac:dyDescent="0.65">
      <c r="A132" s="195"/>
      <c r="B132" s="140">
        <v>129</v>
      </c>
      <c r="C132" s="2"/>
      <c r="D132" s="1"/>
      <c r="E132" s="3"/>
      <c r="F132" s="1"/>
      <c r="G132" s="141">
        <f>IF(Basic345678910111213141516[[#This Row],[نوع الخدمة]]="مخالفات", 50,
IF(Basic345678910111213141516[[#This Row],[نوع الخدمة]]="كاش ان",
    IF(F132&lt;=100, 18, IF(F132&lt;=250, 23, IF(F132&lt;=500, 35, IF(F132&lt;=1000, 40, F132*0.04)))),
IF(Basic345678910111213141516[[#This Row],[نوع الخدمة]]="كاش اوت",
    IF(F132&lt;=100, 15, IF(F132&lt;=250, 20, IF(F132&lt;=500, 30, IF(F132&lt;=1000, 35, F132*0.035)))),
0)))</f>
        <v>0</v>
      </c>
      <c r="H132" s="159">
        <f>IF(I132="مخالفات",50,Basic345678910111213141516[[#This Row],[قيمة الرسوم / العموله]]+Basic345678910111213141516[[#This Row],[قيمة الشحنه]])</f>
        <v>0</v>
      </c>
      <c r="I132" s="90"/>
      <c r="J132" s="142" t="str">
        <f t="shared" ref="J132:J195" si="2">M$3</f>
        <v>17.5.2026</v>
      </c>
      <c r="L132" s="153">
        <v>121</v>
      </c>
      <c r="M132" s="92"/>
    </row>
    <row r="133" spans="1:13" ht="21.6" x14ac:dyDescent="0.65">
      <c r="A133" s="195"/>
      <c r="B133" s="144">
        <v>130</v>
      </c>
      <c r="C133" s="2"/>
      <c r="D133" s="1"/>
      <c r="E133" s="3"/>
      <c r="F133" s="1"/>
      <c r="G133" s="141">
        <f>IF(Basic345678910111213141516[[#This Row],[نوع الخدمة]]="مخالفات", 50,
IF(Basic345678910111213141516[[#This Row],[نوع الخدمة]]="كاش ان",
    IF(F133&lt;=100, 18, IF(F133&lt;=250, 23, IF(F133&lt;=500, 35, IF(F133&lt;=1000, 40, F133*0.04)))),
IF(Basic345678910111213141516[[#This Row],[نوع الخدمة]]="كاش اوت",
    IF(F133&lt;=100, 15, IF(F133&lt;=250, 20, IF(F133&lt;=500, 30, IF(F133&lt;=1000, 35, F133*0.035)))),
0)))</f>
        <v>0</v>
      </c>
      <c r="H133" s="159">
        <f>IF(I133="مخالفات",50,Basic345678910111213141516[[#This Row],[قيمة الرسوم / العموله]]+Basic345678910111213141516[[#This Row],[قيمة الشحنه]])</f>
        <v>0</v>
      </c>
      <c r="I133" s="90"/>
      <c r="J133" s="142" t="str">
        <f t="shared" si="2"/>
        <v>17.5.2026</v>
      </c>
      <c r="L133" s="153">
        <v>122</v>
      </c>
      <c r="M133" s="92"/>
    </row>
    <row r="134" spans="1:13" ht="21.6" x14ac:dyDescent="0.65">
      <c r="A134" s="195"/>
      <c r="B134" s="140">
        <v>131</v>
      </c>
      <c r="C134" s="2"/>
      <c r="D134" s="1"/>
      <c r="E134" s="3"/>
      <c r="F134" s="1"/>
      <c r="G134" s="141">
        <f>IF(Basic345678910111213141516[[#This Row],[نوع الخدمة]]="مخالفات", 50,
IF(Basic345678910111213141516[[#This Row],[نوع الخدمة]]="كاش ان",
    IF(F134&lt;=100, 18, IF(F134&lt;=250, 23, IF(F134&lt;=500, 35, IF(F134&lt;=1000, 40, F134*0.04)))),
IF(Basic345678910111213141516[[#This Row],[نوع الخدمة]]="كاش اوت",
    IF(F134&lt;=100, 15, IF(F134&lt;=250, 20, IF(F134&lt;=500, 30, IF(F134&lt;=1000, 35, F134*0.035)))),
0)))</f>
        <v>0</v>
      </c>
      <c r="H134" s="159">
        <f>IF(I134="مخالفات",50,Basic345678910111213141516[[#This Row],[قيمة الرسوم / العموله]]+Basic345678910111213141516[[#This Row],[قيمة الشحنه]])</f>
        <v>0</v>
      </c>
      <c r="I134" s="90"/>
      <c r="J134" s="142" t="str">
        <f t="shared" si="2"/>
        <v>17.5.2026</v>
      </c>
      <c r="L134" s="153">
        <v>123</v>
      </c>
      <c r="M134" s="92"/>
    </row>
    <row r="135" spans="1:13" ht="21.6" x14ac:dyDescent="0.65">
      <c r="A135" s="195"/>
      <c r="B135" s="140">
        <v>132</v>
      </c>
      <c r="C135" s="2"/>
      <c r="D135" s="1"/>
      <c r="E135" s="3"/>
      <c r="F135" s="1"/>
      <c r="G135" s="141">
        <f>IF(Basic345678910111213141516[[#This Row],[نوع الخدمة]]="مخالفات", 50,
IF(Basic345678910111213141516[[#This Row],[نوع الخدمة]]="كاش ان",
    IF(F135&lt;=100, 18, IF(F135&lt;=250, 23, IF(F135&lt;=500, 35, IF(F135&lt;=1000, 40, F135*0.04)))),
IF(Basic345678910111213141516[[#This Row],[نوع الخدمة]]="كاش اوت",
    IF(F135&lt;=100, 15, IF(F135&lt;=250, 20, IF(F135&lt;=500, 30, IF(F135&lt;=1000, 35, F135*0.035)))),
0)))</f>
        <v>0</v>
      </c>
      <c r="H135" s="159">
        <f>IF(I135="مخالفات",50,Basic345678910111213141516[[#This Row],[قيمة الرسوم / العموله]]+Basic345678910111213141516[[#This Row],[قيمة الشحنه]])</f>
        <v>0</v>
      </c>
      <c r="I135" s="90"/>
      <c r="J135" s="142" t="str">
        <f t="shared" si="2"/>
        <v>17.5.2026</v>
      </c>
      <c r="L135" s="153">
        <v>124</v>
      </c>
      <c r="M135" s="92"/>
    </row>
    <row r="136" spans="1:13" ht="21.6" x14ac:dyDescent="0.65">
      <c r="A136" s="195"/>
      <c r="B136" s="140">
        <v>133</v>
      </c>
      <c r="C136" s="2"/>
      <c r="D136" s="1"/>
      <c r="E136" s="3"/>
      <c r="F136" s="1"/>
      <c r="G136" s="141">
        <f>IF(Basic345678910111213141516[[#This Row],[نوع الخدمة]]="مخالفات", 50,
IF(Basic345678910111213141516[[#This Row],[نوع الخدمة]]="كاش ان",
    IF(F136&lt;=100, 18, IF(F136&lt;=250, 23, IF(F136&lt;=500, 35, IF(F136&lt;=1000, 40, F136*0.04)))),
IF(Basic345678910111213141516[[#This Row],[نوع الخدمة]]="كاش اوت",
    IF(F136&lt;=100, 15, IF(F136&lt;=250, 20, IF(F136&lt;=500, 30, IF(F136&lt;=1000, 35, F136*0.035)))),
0)))</f>
        <v>0</v>
      </c>
      <c r="H136" s="159">
        <f>IF(I136="مخالفات",50,Basic345678910111213141516[[#This Row],[قيمة الرسوم / العموله]]+Basic345678910111213141516[[#This Row],[قيمة الشحنه]])</f>
        <v>0</v>
      </c>
      <c r="I136" s="90"/>
      <c r="J136" s="142" t="str">
        <f t="shared" si="2"/>
        <v>17.5.2026</v>
      </c>
      <c r="L136" s="153">
        <v>125</v>
      </c>
      <c r="M136" s="92"/>
    </row>
    <row r="137" spans="1:13" ht="21.6" x14ac:dyDescent="0.65">
      <c r="A137" s="195"/>
      <c r="B137" s="144">
        <v>134</v>
      </c>
      <c r="C137" s="2"/>
      <c r="D137" s="1"/>
      <c r="E137" s="3"/>
      <c r="F137" s="1"/>
      <c r="G137" s="141">
        <f>IF(Basic345678910111213141516[[#This Row],[نوع الخدمة]]="مخالفات", 50,
IF(Basic345678910111213141516[[#This Row],[نوع الخدمة]]="كاش ان",
    IF(F137&lt;=100, 18, IF(F137&lt;=250, 23, IF(F137&lt;=500, 35, IF(F137&lt;=1000, 40, F137*0.04)))),
IF(Basic345678910111213141516[[#This Row],[نوع الخدمة]]="كاش اوت",
    IF(F137&lt;=100, 15, IF(F137&lt;=250, 20, IF(F137&lt;=500, 30, IF(F137&lt;=1000, 35, F137*0.035)))),
0)))</f>
        <v>0</v>
      </c>
      <c r="H137" s="159">
        <f>IF(I137="مخالفات",50,Basic345678910111213141516[[#This Row],[قيمة الرسوم / العموله]]+Basic345678910111213141516[[#This Row],[قيمة الشحنه]])</f>
        <v>0</v>
      </c>
      <c r="I137" s="90"/>
      <c r="J137" s="142" t="str">
        <f t="shared" si="2"/>
        <v>17.5.2026</v>
      </c>
      <c r="L137" s="153">
        <v>126</v>
      </c>
      <c r="M137" s="92"/>
    </row>
    <row r="138" spans="1:13" ht="21.6" x14ac:dyDescent="0.65">
      <c r="A138" s="195"/>
      <c r="B138" s="140">
        <v>135</v>
      </c>
      <c r="C138" s="2"/>
      <c r="D138" s="1"/>
      <c r="E138" s="3"/>
      <c r="F138" s="1"/>
      <c r="G138" s="141">
        <f>IF(Basic345678910111213141516[[#This Row],[نوع الخدمة]]="مخالفات", 50,
IF(Basic345678910111213141516[[#This Row],[نوع الخدمة]]="كاش ان",
    IF(F138&lt;=100, 18, IF(F138&lt;=250, 23, IF(F138&lt;=500, 35, IF(F138&lt;=1000, 40, F138*0.04)))),
IF(Basic345678910111213141516[[#This Row],[نوع الخدمة]]="كاش اوت",
    IF(F138&lt;=100, 15, IF(F138&lt;=250, 20, IF(F138&lt;=500, 30, IF(F138&lt;=1000, 35, F138*0.035)))),
0)))</f>
        <v>0</v>
      </c>
      <c r="H138" s="159">
        <f>IF(I138="مخالفات",50,Basic345678910111213141516[[#This Row],[قيمة الرسوم / العموله]]+Basic345678910111213141516[[#This Row],[قيمة الشحنه]])</f>
        <v>0</v>
      </c>
      <c r="I138" s="90"/>
      <c r="J138" s="142" t="str">
        <f t="shared" si="2"/>
        <v>17.5.2026</v>
      </c>
      <c r="L138" s="153">
        <v>127</v>
      </c>
      <c r="M138" s="92"/>
    </row>
    <row r="139" spans="1:13" ht="21.6" x14ac:dyDescent="0.65">
      <c r="A139" s="195"/>
      <c r="B139" s="140">
        <v>136</v>
      </c>
      <c r="C139" s="2"/>
      <c r="D139" s="1"/>
      <c r="E139" s="3"/>
      <c r="F139" s="1"/>
      <c r="G139" s="141">
        <f>IF(Basic345678910111213141516[[#This Row],[نوع الخدمة]]="مخالفات", 50,
IF(Basic345678910111213141516[[#This Row],[نوع الخدمة]]="كاش ان",
    IF(F139&lt;=100, 18, IF(F139&lt;=250, 23, IF(F139&lt;=500, 35, IF(F139&lt;=1000, 40, F139*0.04)))),
IF(Basic345678910111213141516[[#This Row],[نوع الخدمة]]="كاش اوت",
    IF(F139&lt;=100, 15, IF(F139&lt;=250, 20, IF(F139&lt;=500, 30, IF(F139&lt;=1000, 35, F139*0.035)))),
0)))</f>
        <v>0</v>
      </c>
      <c r="H139" s="159">
        <f>IF(I139="مخالفات",50,Basic345678910111213141516[[#This Row],[قيمة الرسوم / العموله]]+Basic345678910111213141516[[#This Row],[قيمة الشحنه]])</f>
        <v>0</v>
      </c>
      <c r="I139" s="90"/>
      <c r="J139" s="142" t="str">
        <f t="shared" si="2"/>
        <v>17.5.2026</v>
      </c>
      <c r="L139" s="153">
        <v>128</v>
      </c>
      <c r="M139" s="92"/>
    </row>
    <row r="140" spans="1:13" ht="21.6" x14ac:dyDescent="0.65">
      <c r="A140" s="195"/>
      <c r="B140" s="140">
        <v>137</v>
      </c>
      <c r="C140" s="2"/>
      <c r="D140" s="1"/>
      <c r="E140" s="3"/>
      <c r="F140" s="1"/>
      <c r="G140" s="141">
        <f>IF(Basic345678910111213141516[[#This Row],[نوع الخدمة]]="مخالفات", 50,
IF(Basic345678910111213141516[[#This Row],[نوع الخدمة]]="كاش ان",
    IF(F140&lt;=100, 18, IF(F140&lt;=250, 23, IF(F140&lt;=500, 35, IF(F140&lt;=1000, 40, F140*0.04)))),
IF(Basic345678910111213141516[[#This Row],[نوع الخدمة]]="كاش اوت",
    IF(F140&lt;=100, 15, IF(F140&lt;=250, 20, IF(F140&lt;=500, 30, IF(F140&lt;=1000, 35, F140*0.035)))),
0)))</f>
        <v>0</v>
      </c>
      <c r="H140" s="159">
        <f>IF(I140="مخالفات",50,Basic345678910111213141516[[#This Row],[قيمة الرسوم / العموله]]+Basic345678910111213141516[[#This Row],[قيمة الشحنه]])</f>
        <v>0</v>
      </c>
      <c r="I140" s="90"/>
      <c r="J140" s="142" t="str">
        <f t="shared" si="2"/>
        <v>17.5.2026</v>
      </c>
      <c r="L140" s="153">
        <v>129</v>
      </c>
      <c r="M140" s="92"/>
    </row>
    <row r="141" spans="1:13" ht="21.6" x14ac:dyDescent="0.65">
      <c r="A141" s="195"/>
      <c r="B141" s="144">
        <v>138</v>
      </c>
      <c r="C141" s="2"/>
      <c r="D141" s="1"/>
      <c r="E141" s="3"/>
      <c r="F141" s="1"/>
      <c r="G141" s="141">
        <f>IF(Basic345678910111213141516[[#This Row],[نوع الخدمة]]="مخالفات", 50,
IF(Basic345678910111213141516[[#This Row],[نوع الخدمة]]="كاش ان",
    IF(F141&lt;=100, 18, IF(F141&lt;=250, 23, IF(F141&lt;=500, 35, IF(F141&lt;=1000, 40, F141*0.04)))),
IF(Basic345678910111213141516[[#This Row],[نوع الخدمة]]="كاش اوت",
    IF(F141&lt;=100, 15, IF(F141&lt;=250, 20, IF(F141&lt;=500, 30, IF(F141&lt;=1000, 35, F141*0.035)))),
0)))</f>
        <v>0</v>
      </c>
      <c r="H141" s="159">
        <f>IF(I141="مخالفات",50,Basic345678910111213141516[[#This Row],[قيمة الرسوم / العموله]]+Basic345678910111213141516[[#This Row],[قيمة الشحنه]])</f>
        <v>0</v>
      </c>
      <c r="I141" s="90"/>
      <c r="J141" s="142" t="str">
        <f t="shared" si="2"/>
        <v>17.5.2026</v>
      </c>
      <c r="L141" s="153">
        <v>130</v>
      </c>
      <c r="M141" s="92"/>
    </row>
    <row r="142" spans="1:13" ht="21.6" x14ac:dyDescent="0.65">
      <c r="A142" s="195"/>
      <c r="B142" s="140">
        <v>139</v>
      </c>
      <c r="C142" s="2"/>
      <c r="D142" s="1"/>
      <c r="E142" s="3"/>
      <c r="F142" s="1"/>
      <c r="G142" s="141">
        <f>IF(Basic345678910111213141516[[#This Row],[نوع الخدمة]]="مخالفات", 50,
IF(Basic345678910111213141516[[#This Row],[نوع الخدمة]]="كاش ان",
    IF(F142&lt;=100, 18, IF(F142&lt;=250, 23, IF(F142&lt;=500, 35, IF(F142&lt;=1000, 40, F142*0.04)))),
IF(Basic345678910111213141516[[#This Row],[نوع الخدمة]]="كاش اوت",
    IF(F142&lt;=100, 15, IF(F142&lt;=250, 20, IF(F142&lt;=500, 30, IF(F142&lt;=1000, 35, F142*0.035)))),
0)))</f>
        <v>0</v>
      </c>
      <c r="H142" s="159">
        <f>IF(I142="مخالفات",50,Basic345678910111213141516[[#This Row],[قيمة الرسوم / العموله]]+Basic345678910111213141516[[#This Row],[قيمة الشحنه]])</f>
        <v>0</v>
      </c>
      <c r="I142" s="90"/>
      <c r="J142" s="142" t="str">
        <f t="shared" si="2"/>
        <v>17.5.2026</v>
      </c>
      <c r="L142" s="153">
        <v>131</v>
      </c>
      <c r="M142" s="92"/>
    </row>
    <row r="143" spans="1:13" ht="21.6" x14ac:dyDescent="0.65">
      <c r="A143" s="195"/>
      <c r="B143" s="140">
        <v>140</v>
      </c>
      <c r="C143" s="2"/>
      <c r="D143" s="1"/>
      <c r="E143" s="3"/>
      <c r="F143" s="1"/>
      <c r="G143" s="141">
        <f>IF(Basic345678910111213141516[[#This Row],[نوع الخدمة]]="مخالفات", 50,
IF(Basic345678910111213141516[[#This Row],[نوع الخدمة]]="كاش ان",
    IF(F143&lt;=100, 18, IF(F143&lt;=250, 23, IF(F143&lt;=500, 35, IF(F143&lt;=1000, 40, F143*0.04)))),
IF(Basic345678910111213141516[[#This Row],[نوع الخدمة]]="كاش اوت",
    IF(F143&lt;=100, 15, IF(F143&lt;=250, 20, IF(F143&lt;=500, 30, IF(F143&lt;=1000, 35, F143*0.035)))),
0)))</f>
        <v>0</v>
      </c>
      <c r="H143" s="159">
        <f>IF(I143="مخالفات",50,Basic345678910111213141516[[#This Row],[قيمة الرسوم / العموله]]+Basic345678910111213141516[[#This Row],[قيمة الشحنه]])</f>
        <v>0</v>
      </c>
      <c r="I143" s="90"/>
      <c r="J143" s="142" t="str">
        <f t="shared" si="2"/>
        <v>17.5.2026</v>
      </c>
      <c r="L143" s="153">
        <v>132</v>
      </c>
      <c r="M143" s="92"/>
    </row>
    <row r="144" spans="1:13" ht="21.6" x14ac:dyDescent="0.65">
      <c r="A144" s="195"/>
      <c r="B144" s="140">
        <v>141</v>
      </c>
      <c r="C144" s="2"/>
      <c r="D144" s="1"/>
      <c r="E144" s="3"/>
      <c r="F144" s="1"/>
      <c r="G144" s="141">
        <f>IF(Basic345678910111213141516[[#This Row],[نوع الخدمة]]="مخالفات", 50,
IF(Basic345678910111213141516[[#This Row],[نوع الخدمة]]="كاش ان",
    IF(F144&lt;=100, 18, IF(F144&lt;=250, 23, IF(F144&lt;=500, 35, IF(F144&lt;=1000, 40, F144*0.04)))),
IF(Basic345678910111213141516[[#This Row],[نوع الخدمة]]="كاش اوت",
    IF(F144&lt;=100, 15, IF(F144&lt;=250, 20, IF(F144&lt;=500, 30, IF(F144&lt;=1000, 35, F144*0.035)))),
0)))</f>
        <v>0</v>
      </c>
      <c r="H144" s="159">
        <f>IF(I144="مخالفات",50,Basic345678910111213141516[[#This Row],[قيمة الرسوم / العموله]]+Basic345678910111213141516[[#This Row],[قيمة الشحنه]])</f>
        <v>0</v>
      </c>
      <c r="I144" s="90"/>
      <c r="J144" s="142" t="str">
        <f t="shared" si="2"/>
        <v>17.5.2026</v>
      </c>
      <c r="L144" s="153">
        <v>133</v>
      </c>
      <c r="M144" s="92"/>
    </row>
    <row r="145" spans="1:13" ht="21.6" x14ac:dyDescent="0.65">
      <c r="A145" s="195"/>
      <c r="B145" s="144">
        <v>142</v>
      </c>
      <c r="C145" s="2"/>
      <c r="D145" s="1"/>
      <c r="E145" s="3"/>
      <c r="F145" s="1"/>
      <c r="G145" s="141">
        <f>IF(Basic345678910111213141516[[#This Row],[نوع الخدمة]]="مخالفات", 50,
IF(Basic345678910111213141516[[#This Row],[نوع الخدمة]]="كاش ان",
    IF(F145&lt;=100, 18, IF(F145&lt;=250, 23, IF(F145&lt;=500, 35, IF(F145&lt;=1000, 40, F145*0.04)))),
IF(Basic345678910111213141516[[#This Row],[نوع الخدمة]]="كاش اوت",
    IF(F145&lt;=100, 15, IF(F145&lt;=250, 20, IF(F145&lt;=500, 30, IF(F145&lt;=1000, 35, F145*0.035)))),
0)))</f>
        <v>0</v>
      </c>
      <c r="H145" s="159">
        <f>IF(I145="مخالفات",50,Basic345678910111213141516[[#This Row],[قيمة الرسوم / العموله]]+Basic345678910111213141516[[#This Row],[قيمة الشحنه]])</f>
        <v>0</v>
      </c>
      <c r="I145" s="90"/>
      <c r="J145" s="142" t="str">
        <f t="shared" si="2"/>
        <v>17.5.2026</v>
      </c>
      <c r="L145" s="153">
        <v>134</v>
      </c>
      <c r="M145" s="92"/>
    </row>
    <row r="146" spans="1:13" ht="21.6" x14ac:dyDescent="0.65">
      <c r="A146" s="195"/>
      <c r="B146" s="140">
        <v>143</v>
      </c>
      <c r="C146" s="2"/>
      <c r="D146" s="1"/>
      <c r="E146" s="3"/>
      <c r="F146" s="1"/>
      <c r="G146" s="141">
        <f>IF(Basic345678910111213141516[[#This Row],[نوع الخدمة]]="مخالفات", 50,
IF(Basic345678910111213141516[[#This Row],[نوع الخدمة]]="كاش ان",
    IF(F146&lt;=100, 18, IF(F146&lt;=250, 23, IF(F146&lt;=500, 35, IF(F146&lt;=1000, 40, F146*0.04)))),
IF(Basic345678910111213141516[[#This Row],[نوع الخدمة]]="كاش اوت",
    IF(F146&lt;=100, 15, IF(F146&lt;=250, 20, IF(F146&lt;=500, 30, IF(F146&lt;=1000, 35, F146*0.035)))),
0)))</f>
        <v>0</v>
      </c>
      <c r="H146" s="159">
        <f>IF(I146="مخالفات",50,Basic345678910111213141516[[#This Row],[قيمة الرسوم / العموله]]+Basic345678910111213141516[[#This Row],[قيمة الشحنه]])</f>
        <v>0</v>
      </c>
      <c r="I146" s="90"/>
      <c r="J146" s="142" t="str">
        <f t="shared" si="2"/>
        <v>17.5.2026</v>
      </c>
      <c r="L146" s="153">
        <v>135</v>
      </c>
      <c r="M146" s="92"/>
    </row>
    <row r="147" spans="1:13" ht="21.6" x14ac:dyDescent="0.65">
      <c r="A147" s="195"/>
      <c r="B147" s="140">
        <v>144</v>
      </c>
      <c r="C147" s="2"/>
      <c r="D147" s="1"/>
      <c r="E147" s="3"/>
      <c r="F147" s="1"/>
      <c r="G147" s="141">
        <f>IF(Basic345678910111213141516[[#This Row],[نوع الخدمة]]="مخالفات", 50,
IF(Basic345678910111213141516[[#This Row],[نوع الخدمة]]="كاش ان",
    IF(F147&lt;=100, 18, IF(F147&lt;=250, 23, IF(F147&lt;=500, 35, IF(F147&lt;=1000, 40, F147*0.04)))),
IF(Basic345678910111213141516[[#This Row],[نوع الخدمة]]="كاش اوت",
    IF(F147&lt;=100, 15, IF(F147&lt;=250, 20, IF(F147&lt;=500, 30, IF(F147&lt;=1000, 35, F147*0.035)))),
0)))</f>
        <v>0</v>
      </c>
      <c r="H147" s="159">
        <f>IF(I147="مخالفات",50,Basic345678910111213141516[[#This Row],[قيمة الرسوم / العموله]]+Basic345678910111213141516[[#This Row],[قيمة الشحنه]])</f>
        <v>0</v>
      </c>
      <c r="I147" s="90"/>
      <c r="J147" s="142" t="str">
        <f t="shared" si="2"/>
        <v>17.5.2026</v>
      </c>
      <c r="L147" s="153">
        <v>136</v>
      </c>
      <c r="M147" s="92"/>
    </row>
    <row r="148" spans="1:13" ht="21.6" x14ac:dyDescent="0.65">
      <c r="A148" s="195"/>
      <c r="B148" s="140">
        <v>145</v>
      </c>
      <c r="C148" s="2"/>
      <c r="D148" s="1"/>
      <c r="E148" s="3"/>
      <c r="F148" s="1"/>
      <c r="G148" s="141">
        <f>IF(Basic345678910111213141516[[#This Row],[نوع الخدمة]]="مخالفات", 50,
IF(Basic345678910111213141516[[#This Row],[نوع الخدمة]]="كاش ان",
    IF(F148&lt;=100, 18, IF(F148&lt;=250, 23, IF(F148&lt;=500, 35, IF(F148&lt;=1000, 40, F148*0.04)))),
IF(Basic345678910111213141516[[#This Row],[نوع الخدمة]]="كاش اوت",
    IF(F148&lt;=100, 15, IF(F148&lt;=250, 20, IF(F148&lt;=500, 30, IF(F148&lt;=1000, 35, F148*0.035)))),
0)))</f>
        <v>0</v>
      </c>
      <c r="H148" s="159">
        <f>IF(I148="مخالفات",50,Basic345678910111213141516[[#This Row],[قيمة الرسوم / العموله]]+Basic345678910111213141516[[#This Row],[قيمة الشحنه]])</f>
        <v>0</v>
      </c>
      <c r="I148" s="90"/>
      <c r="J148" s="142" t="str">
        <f t="shared" si="2"/>
        <v>17.5.2026</v>
      </c>
      <c r="L148" s="153">
        <v>137</v>
      </c>
      <c r="M148" s="92"/>
    </row>
    <row r="149" spans="1:13" ht="21.6" x14ac:dyDescent="0.65">
      <c r="A149" s="195"/>
      <c r="B149" s="144">
        <v>146</v>
      </c>
      <c r="C149" s="2"/>
      <c r="D149" s="1"/>
      <c r="E149" s="3"/>
      <c r="F149" s="1"/>
      <c r="G149" s="141">
        <f>IF(Basic345678910111213141516[[#This Row],[نوع الخدمة]]="مخالفات", 50,
IF(Basic345678910111213141516[[#This Row],[نوع الخدمة]]="كاش ان",
    IF(F149&lt;=100, 18, IF(F149&lt;=250, 23, IF(F149&lt;=500, 35, IF(F149&lt;=1000, 40, F149*0.04)))),
IF(Basic345678910111213141516[[#This Row],[نوع الخدمة]]="كاش اوت",
    IF(F149&lt;=100, 15, IF(F149&lt;=250, 20, IF(F149&lt;=500, 30, IF(F149&lt;=1000, 35, F149*0.035)))),
0)))</f>
        <v>0</v>
      </c>
      <c r="H149" s="159">
        <f>IF(I149="مخالفات",50,Basic345678910111213141516[[#This Row],[قيمة الرسوم / العموله]]+Basic345678910111213141516[[#This Row],[قيمة الشحنه]])</f>
        <v>0</v>
      </c>
      <c r="I149" s="90"/>
      <c r="J149" s="142" t="str">
        <f t="shared" si="2"/>
        <v>17.5.2026</v>
      </c>
      <c r="L149" s="153">
        <v>138</v>
      </c>
      <c r="M149" s="92"/>
    </row>
    <row r="150" spans="1:13" ht="21.6" x14ac:dyDescent="0.65">
      <c r="A150" s="195"/>
      <c r="B150" s="140">
        <v>147</v>
      </c>
      <c r="C150" s="2"/>
      <c r="D150" s="1"/>
      <c r="E150" s="3"/>
      <c r="F150" s="1"/>
      <c r="G150" s="141">
        <f>IF(Basic345678910111213141516[[#This Row],[نوع الخدمة]]="مخالفات", 50,
IF(Basic345678910111213141516[[#This Row],[نوع الخدمة]]="كاش ان",
    IF(F150&lt;=100, 18, IF(F150&lt;=250, 23, IF(F150&lt;=500, 35, IF(F150&lt;=1000, 40, F150*0.04)))),
IF(Basic345678910111213141516[[#This Row],[نوع الخدمة]]="كاش اوت",
    IF(F150&lt;=100, 15, IF(F150&lt;=250, 20, IF(F150&lt;=500, 30, IF(F150&lt;=1000, 35, F150*0.035)))),
0)))</f>
        <v>0</v>
      </c>
      <c r="H150" s="159">
        <f>IF(I150="مخالفات",50,Basic345678910111213141516[[#This Row],[قيمة الرسوم / العموله]]+Basic345678910111213141516[[#This Row],[قيمة الشحنه]])</f>
        <v>0</v>
      </c>
      <c r="I150" s="90"/>
      <c r="J150" s="142" t="str">
        <f t="shared" si="2"/>
        <v>17.5.2026</v>
      </c>
      <c r="L150" s="153">
        <v>139</v>
      </c>
      <c r="M150" s="92"/>
    </row>
    <row r="151" spans="1:13" ht="21.6" x14ac:dyDescent="0.65">
      <c r="A151" s="195"/>
      <c r="B151" s="140">
        <v>148</v>
      </c>
      <c r="C151" s="2"/>
      <c r="D151" s="1"/>
      <c r="E151" s="3"/>
      <c r="F151" s="1"/>
      <c r="G151" s="141">
        <f>IF(Basic345678910111213141516[[#This Row],[نوع الخدمة]]="مخالفات", 50,
IF(Basic345678910111213141516[[#This Row],[نوع الخدمة]]="كاش ان",
    IF(F151&lt;=100, 18, IF(F151&lt;=250, 23, IF(F151&lt;=500, 35, IF(F151&lt;=1000, 40, F151*0.04)))),
IF(Basic345678910111213141516[[#This Row],[نوع الخدمة]]="كاش اوت",
    IF(F151&lt;=100, 15, IF(F151&lt;=250, 20, IF(F151&lt;=500, 30, IF(F151&lt;=1000, 35, F151*0.035)))),
0)))</f>
        <v>0</v>
      </c>
      <c r="H151" s="159">
        <f>IF(I151="مخالفات",50,Basic345678910111213141516[[#This Row],[قيمة الرسوم / العموله]]+Basic345678910111213141516[[#This Row],[قيمة الشحنه]])</f>
        <v>0</v>
      </c>
      <c r="I151" s="90"/>
      <c r="J151" s="142" t="str">
        <f t="shared" si="2"/>
        <v>17.5.2026</v>
      </c>
      <c r="L151" s="153">
        <v>140</v>
      </c>
      <c r="M151" s="92"/>
    </row>
    <row r="152" spans="1:13" ht="21.6" x14ac:dyDescent="0.65">
      <c r="A152" s="195"/>
      <c r="B152" s="140">
        <v>149</v>
      </c>
      <c r="C152" s="2"/>
      <c r="D152" s="1"/>
      <c r="E152" s="3"/>
      <c r="F152" s="1"/>
      <c r="G152" s="141">
        <f>IF(Basic345678910111213141516[[#This Row],[نوع الخدمة]]="مخالفات", 50,
IF(Basic345678910111213141516[[#This Row],[نوع الخدمة]]="كاش ان",
    IF(F152&lt;=100, 18, IF(F152&lt;=250, 23, IF(F152&lt;=500, 35, IF(F152&lt;=1000, 40, F152*0.04)))),
IF(Basic345678910111213141516[[#This Row],[نوع الخدمة]]="كاش اوت",
    IF(F152&lt;=100, 15, IF(F152&lt;=250, 20, IF(F152&lt;=500, 30, IF(F152&lt;=1000, 35, F152*0.035)))),
0)))</f>
        <v>0</v>
      </c>
      <c r="H152" s="159">
        <f>IF(I152="مخالفات",50,Basic345678910111213141516[[#This Row],[قيمة الرسوم / العموله]]+Basic345678910111213141516[[#This Row],[قيمة الشحنه]])</f>
        <v>0</v>
      </c>
      <c r="I152" s="90"/>
      <c r="J152" s="142" t="str">
        <f t="shared" si="2"/>
        <v>17.5.2026</v>
      </c>
      <c r="L152" s="153">
        <v>141</v>
      </c>
      <c r="M152" s="92"/>
    </row>
    <row r="153" spans="1:13" ht="21.6" x14ac:dyDescent="0.65">
      <c r="A153" s="195"/>
      <c r="B153" s="144">
        <v>150</v>
      </c>
      <c r="C153" s="2"/>
      <c r="D153" s="1"/>
      <c r="E153" s="3"/>
      <c r="F153" s="1"/>
      <c r="G153" s="141">
        <f>IF(Basic345678910111213141516[[#This Row],[نوع الخدمة]]="مخالفات", 50,
IF(Basic345678910111213141516[[#This Row],[نوع الخدمة]]="كاش ان",
    IF(F153&lt;=100, 18, IF(F153&lt;=250, 23, IF(F153&lt;=500, 35, IF(F153&lt;=1000, 40, F153*0.04)))),
IF(Basic345678910111213141516[[#This Row],[نوع الخدمة]]="كاش اوت",
    IF(F153&lt;=100, 15, IF(F153&lt;=250, 20, IF(F153&lt;=500, 30, IF(F153&lt;=1000, 35, F153*0.035)))),
0)))</f>
        <v>0</v>
      </c>
      <c r="H153" s="159">
        <f>IF(I153="مخالفات",50,Basic345678910111213141516[[#This Row],[قيمة الرسوم / العموله]]+Basic345678910111213141516[[#This Row],[قيمة الشحنه]])</f>
        <v>0</v>
      </c>
      <c r="I153" s="90"/>
      <c r="J153" s="142" t="str">
        <f t="shared" si="2"/>
        <v>17.5.2026</v>
      </c>
      <c r="L153" s="153">
        <v>142</v>
      </c>
      <c r="M153" s="92"/>
    </row>
    <row r="154" spans="1:13" ht="21.6" x14ac:dyDescent="0.65">
      <c r="A154" s="195"/>
      <c r="B154" s="140">
        <v>151</v>
      </c>
      <c r="C154" s="2"/>
      <c r="D154" s="1"/>
      <c r="E154" s="3"/>
      <c r="F154" s="1"/>
      <c r="G154" s="141">
        <f>IF(Basic345678910111213141516[[#This Row],[نوع الخدمة]]="مخالفات", 50,
IF(Basic345678910111213141516[[#This Row],[نوع الخدمة]]="كاش ان",
    IF(F154&lt;=100, 18, IF(F154&lt;=250, 23, IF(F154&lt;=500, 35, IF(F154&lt;=1000, 40, F154*0.04)))),
IF(Basic345678910111213141516[[#This Row],[نوع الخدمة]]="كاش اوت",
    IF(F154&lt;=100, 15, IF(F154&lt;=250, 20, IF(F154&lt;=500, 30, IF(F154&lt;=1000, 35, F154*0.035)))),
0)))</f>
        <v>0</v>
      </c>
      <c r="H154" s="159">
        <f>IF(I154="مخالفات",50,Basic345678910111213141516[[#This Row],[قيمة الرسوم / العموله]]+Basic345678910111213141516[[#This Row],[قيمة الشحنه]])</f>
        <v>0</v>
      </c>
      <c r="I154" s="90"/>
      <c r="J154" s="142" t="str">
        <f t="shared" si="2"/>
        <v>17.5.2026</v>
      </c>
      <c r="L154" s="153">
        <v>143</v>
      </c>
      <c r="M154" s="92"/>
    </row>
    <row r="155" spans="1:13" ht="21.6" x14ac:dyDescent="0.65">
      <c r="A155" s="195"/>
      <c r="B155" s="140">
        <v>152</v>
      </c>
      <c r="C155" s="2"/>
      <c r="D155" s="1"/>
      <c r="E155" s="3"/>
      <c r="F155" s="1"/>
      <c r="G155" s="141">
        <f>IF(Basic345678910111213141516[[#This Row],[نوع الخدمة]]="مخالفات", 50,
IF(Basic345678910111213141516[[#This Row],[نوع الخدمة]]="كاش ان",
    IF(F155&lt;=100, 18, IF(F155&lt;=250, 23, IF(F155&lt;=500, 35, IF(F155&lt;=1000, 40, F155*0.04)))),
IF(Basic345678910111213141516[[#This Row],[نوع الخدمة]]="كاش اوت",
    IF(F155&lt;=100, 15, IF(F155&lt;=250, 20, IF(F155&lt;=500, 30, IF(F155&lt;=1000, 35, F155*0.035)))),
0)))</f>
        <v>0</v>
      </c>
      <c r="H155" s="159">
        <f>IF(I155="مخالفات",50,Basic345678910111213141516[[#This Row],[قيمة الرسوم / العموله]]+Basic345678910111213141516[[#This Row],[قيمة الشحنه]])</f>
        <v>0</v>
      </c>
      <c r="I155" s="90"/>
      <c r="J155" s="142" t="str">
        <f t="shared" si="2"/>
        <v>17.5.2026</v>
      </c>
      <c r="L155" s="153">
        <v>144</v>
      </c>
      <c r="M155" s="92"/>
    </row>
    <row r="156" spans="1:13" ht="21.6" x14ac:dyDescent="0.65">
      <c r="A156" s="195"/>
      <c r="B156" s="140">
        <v>153</v>
      </c>
      <c r="C156" s="2"/>
      <c r="D156" s="1"/>
      <c r="E156" s="3"/>
      <c r="F156" s="1"/>
      <c r="G156" s="141">
        <f>IF(Basic345678910111213141516[[#This Row],[نوع الخدمة]]="مخالفات", 50,
IF(Basic345678910111213141516[[#This Row],[نوع الخدمة]]="كاش ان",
    IF(F156&lt;=100, 18, IF(F156&lt;=250, 23, IF(F156&lt;=500, 35, IF(F156&lt;=1000, 40, F156*0.04)))),
IF(Basic345678910111213141516[[#This Row],[نوع الخدمة]]="كاش اوت",
    IF(F156&lt;=100, 15, IF(F156&lt;=250, 20, IF(F156&lt;=500, 30, IF(F156&lt;=1000, 35, F156*0.035)))),
0)))</f>
        <v>0</v>
      </c>
      <c r="H156" s="159">
        <f>IF(I156="مخالفات",50,Basic345678910111213141516[[#This Row],[قيمة الرسوم / العموله]]+Basic345678910111213141516[[#This Row],[قيمة الشحنه]])</f>
        <v>0</v>
      </c>
      <c r="I156" s="90"/>
      <c r="J156" s="142" t="str">
        <f t="shared" si="2"/>
        <v>17.5.2026</v>
      </c>
      <c r="L156" s="153">
        <v>145</v>
      </c>
      <c r="M156" s="92"/>
    </row>
    <row r="157" spans="1:13" ht="21.6" x14ac:dyDescent="0.65">
      <c r="A157" s="195"/>
      <c r="B157" s="144">
        <v>154</v>
      </c>
      <c r="C157" s="2"/>
      <c r="D157" s="1"/>
      <c r="E157" s="3"/>
      <c r="F157" s="1"/>
      <c r="G157" s="141">
        <f>IF(Basic345678910111213141516[[#This Row],[نوع الخدمة]]="مخالفات", 50,
IF(Basic345678910111213141516[[#This Row],[نوع الخدمة]]="كاش ان",
    IF(F157&lt;=100, 18, IF(F157&lt;=250, 23, IF(F157&lt;=500, 35, IF(F157&lt;=1000, 40, F157*0.04)))),
IF(Basic345678910111213141516[[#This Row],[نوع الخدمة]]="كاش اوت",
    IF(F157&lt;=100, 15, IF(F157&lt;=250, 20, IF(F157&lt;=500, 30, IF(F157&lt;=1000, 35, F157*0.035)))),
0)))</f>
        <v>0</v>
      </c>
      <c r="H157" s="159">
        <f>IF(I157="مخالفات",50,Basic345678910111213141516[[#This Row],[قيمة الرسوم / العموله]]+Basic345678910111213141516[[#This Row],[قيمة الشحنه]])</f>
        <v>0</v>
      </c>
      <c r="I157" s="90"/>
      <c r="J157" s="142" t="str">
        <f t="shared" si="2"/>
        <v>17.5.2026</v>
      </c>
      <c r="L157" s="153">
        <v>146</v>
      </c>
      <c r="M157" s="92"/>
    </row>
    <row r="158" spans="1:13" ht="21.6" x14ac:dyDescent="0.65">
      <c r="A158" s="195"/>
      <c r="B158" s="140">
        <v>155</v>
      </c>
      <c r="C158" s="2"/>
      <c r="D158" s="1"/>
      <c r="E158" s="3"/>
      <c r="F158" s="1"/>
      <c r="G158" s="141">
        <f>IF(Basic345678910111213141516[[#This Row],[نوع الخدمة]]="مخالفات", 50,
IF(Basic345678910111213141516[[#This Row],[نوع الخدمة]]="كاش ان",
    IF(F158&lt;=100, 18, IF(F158&lt;=250, 23, IF(F158&lt;=500, 35, IF(F158&lt;=1000, 40, F158*0.04)))),
IF(Basic345678910111213141516[[#This Row],[نوع الخدمة]]="كاش اوت",
    IF(F158&lt;=100, 15, IF(F158&lt;=250, 20, IF(F158&lt;=500, 30, IF(F158&lt;=1000, 35, F158*0.035)))),
0)))</f>
        <v>0</v>
      </c>
      <c r="H158" s="159">
        <f>IF(I158="مخالفات",50,Basic345678910111213141516[[#This Row],[قيمة الرسوم / العموله]]+Basic345678910111213141516[[#This Row],[قيمة الشحنه]])</f>
        <v>0</v>
      </c>
      <c r="I158" s="90"/>
      <c r="J158" s="142" t="str">
        <f t="shared" si="2"/>
        <v>17.5.2026</v>
      </c>
      <c r="L158" s="153">
        <v>147</v>
      </c>
      <c r="M158" s="92"/>
    </row>
    <row r="159" spans="1:13" ht="21.6" x14ac:dyDescent="0.65">
      <c r="A159" s="195"/>
      <c r="B159" s="140">
        <v>156</v>
      </c>
      <c r="C159" s="2"/>
      <c r="D159" s="1"/>
      <c r="E159" s="3"/>
      <c r="F159" s="1"/>
      <c r="G159" s="141">
        <f>IF(Basic345678910111213141516[[#This Row],[نوع الخدمة]]="مخالفات", 50,
IF(Basic345678910111213141516[[#This Row],[نوع الخدمة]]="كاش ان",
    IF(F159&lt;=100, 18, IF(F159&lt;=250, 23, IF(F159&lt;=500, 35, IF(F159&lt;=1000, 40, F159*0.04)))),
IF(Basic345678910111213141516[[#This Row],[نوع الخدمة]]="كاش اوت",
    IF(F159&lt;=100, 15, IF(F159&lt;=250, 20, IF(F159&lt;=500, 30, IF(F159&lt;=1000, 35, F159*0.035)))),
0)))</f>
        <v>0</v>
      </c>
      <c r="H159" s="159">
        <f>IF(I159="مخالفات",50,Basic345678910111213141516[[#This Row],[قيمة الرسوم / العموله]]+Basic345678910111213141516[[#This Row],[قيمة الشحنه]])</f>
        <v>0</v>
      </c>
      <c r="I159" s="90"/>
      <c r="J159" s="142" t="str">
        <f t="shared" si="2"/>
        <v>17.5.2026</v>
      </c>
      <c r="L159" s="153">
        <v>148</v>
      </c>
      <c r="M159" s="92"/>
    </row>
    <row r="160" spans="1:13" ht="21.6" x14ac:dyDescent="0.65">
      <c r="A160" s="195"/>
      <c r="B160" s="140">
        <v>157</v>
      </c>
      <c r="C160" s="2"/>
      <c r="D160" s="1"/>
      <c r="E160" s="3"/>
      <c r="F160" s="1"/>
      <c r="G160" s="141">
        <f>IF(Basic345678910111213141516[[#This Row],[نوع الخدمة]]="مخالفات", 50,
IF(Basic345678910111213141516[[#This Row],[نوع الخدمة]]="كاش ان",
    IF(F160&lt;=100, 18, IF(F160&lt;=250, 23, IF(F160&lt;=500, 35, IF(F160&lt;=1000, 40, F160*0.04)))),
IF(Basic345678910111213141516[[#This Row],[نوع الخدمة]]="كاش اوت",
    IF(F160&lt;=100, 15, IF(F160&lt;=250, 20, IF(F160&lt;=500, 30, IF(F160&lt;=1000, 35, F160*0.035)))),
0)))</f>
        <v>0</v>
      </c>
      <c r="H160" s="159">
        <f>IF(I160="مخالفات",50,Basic345678910111213141516[[#This Row],[قيمة الرسوم / العموله]]+Basic345678910111213141516[[#This Row],[قيمة الشحنه]])</f>
        <v>0</v>
      </c>
      <c r="I160" s="90"/>
      <c r="J160" s="142" t="str">
        <f t="shared" si="2"/>
        <v>17.5.2026</v>
      </c>
      <c r="L160" s="153">
        <v>149</v>
      </c>
      <c r="M160" s="92"/>
    </row>
    <row r="161" spans="1:13" ht="21.6" x14ac:dyDescent="0.65">
      <c r="A161" s="195"/>
      <c r="B161" s="144">
        <v>158</v>
      </c>
      <c r="C161" s="2"/>
      <c r="D161" s="1"/>
      <c r="E161" s="3"/>
      <c r="F161" s="1"/>
      <c r="G161" s="141">
        <f>IF(Basic345678910111213141516[[#This Row],[نوع الخدمة]]="مخالفات", 50,
IF(Basic345678910111213141516[[#This Row],[نوع الخدمة]]="كاش ان",
    IF(F161&lt;=100, 18, IF(F161&lt;=250, 23, IF(F161&lt;=500, 35, IF(F161&lt;=1000, 40, F161*0.04)))),
IF(Basic345678910111213141516[[#This Row],[نوع الخدمة]]="كاش اوت",
    IF(F161&lt;=100, 15, IF(F161&lt;=250, 20, IF(F161&lt;=500, 30, IF(F161&lt;=1000, 35, F161*0.035)))),
0)))</f>
        <v>0</v>
      </c>
      <c r="H161" s="159">
        <f>IF(I161="مخالفات",50,Basic345678910111213141516[[#This Row],[قيمة الرسوم / العموله]]+Basic345678910111213141516[[#This Row],[قيمة الشحنه]])</f>
        <v>0</v>
      </c>
      <c r="I161" s="90"/>
      <c r="J161" s="142" t="str">
        <f t="shared" si="2"/>
        <v>17.5.2026</v>
      </c>
      <c r="L161" s="153">
        <v>150</v>
      </c>
      <c r="M161" s="92"/>
    </row>
    <row r="162" spans="1:13" ht="21.6" x14ac:dyDescent="0.65">
      <c r="A162" s="195"/>
      <c r="B162" s="140">
        <v>159</v>
      </c>
      <c r="C162" s="2"/>
      <c r="D162" s="1"/>
      <c r="E162" s="3"/>
      <c r="F162" s="1"/>
      <c r="G162" s="141">
        <f>IF(Basic345678910111213141516[[#This Row],[نوع الخدمة]]="مخالفات", 50,
IF(Basic345678910111213141516[[#This Row],[نوع الخدمة]]="كاش ان",
    IF(F162&lt;=100, 18, IF(F162&lt;=250, 23, IF(F162&lt;=500, 35, IF(F162&lt;=1000, 40, F162*0.04)))),
IF(Basic345678910111213141516[[#This Row],[نوع الخدمة]]="كاش اوت",
    IF(F162&lt;=100, 15, IF(F162&lt;=250, 20, IF(F162&lt;=500, 30, IF(F162&lt;=1000, 35, F162*0.035)))),
0)))</f>
        <v>0</v>
      </c>
      <c r="H162" s="159">
        <f>IF(I162="مخالفات",50,Basic345678910111213141516[[#This Row],[قيمة الرسوم / العموله]]+Basic345678910111213141516[[#This Row],[قيمة الشحنه]])</f>
        <v>0</v>
      </c>
      <c r="I162" s="90"/>
      <c r="J162" s="142" t="str">
        <f t="shared" si="2"/>
        <v>17.5.2026</v>
      </c>
      <c r="L162" s="153">
        <v>151</v>
      </c>
      <c r="M162" s="92"/>
    </row>
    <row r="163" spans="1:13" ht="21.6" x14ac:dyDescent="0.65">
      <c r="A163" s="195"/>
      <c r="B163" s="140">
        <v>160</v>
      </c>
      <c r="C163" s="2"/>
      <c r="D163" s="1"/>
      <c r="E163" s="3"/>
      <c r="F163" s="1"/>
      <c r="G163" s="141">
        <f>IF(Basic345678910111213141516[[#This Row],[نوع الخدمة]]="مخالفات", 50,
IF(Basic345678910111213141516[[#This Row],[نوع الخدمة]]="كاش ان",
    IF(F163&lt;=100, 18, IF(F163&lt;=250, 23, IF(F163&lt;=500, 35, IF(F163&lt;=1000, 40, F163*0.04)))),
IF(Basic345678910111213141516[[#This Row],[نوع الخدمة]]="كاش اوت",
    IF(F163&lt;=100, 15, IF(F163&lt;=250, 20, IF(F163&lt;=500, 30, IF(F163&lt;=1000, 35, F163*0.035)))),
0)))</f>
        <v>0</v>
      </c>
      <c r="H163" s="159">
        <f>IF(I163="مخالفات",50,Basic345678910111213141516[[#This Row],[قيمة الرسوم / العموله]]+Basic345678910111213141516[[#This Row],[قيمة الشحنه]])</f>
        <v>0</v>
      </c>
      <c r="I163" s="90"/>
      <c r="J163" s="142" t="str">
        <f t="shared" si="2"/>
        <v>17.5.2026</v>
      </c>
      <c r="L163" s="153">
        <v>152</v>
      </c>
      <c r="M163" s="92"/>
    </row>
    <row r="164" spans="1:13" ht="21.6" x14ac:dyDescent="0.65">
      <c r="A164" s="195"/>
      <c r="B164" s="140">
        <v>161</v>
      </c>
      <c r="C164" s="2"/>
      <c r="D164" s="1"/>
      <c r="E164" s="3"/>
      <c r="F164" s="1"/>
      <c r="G164" s="141">
        <f>IF(Basic345678910111213141516[[#This Row],[نوع الخدمة]]="مخالفات", 50,
IF(Basic345678910111213141516[[#This Row],[نوع الخدمة]]="كاش ان",
    IF(F164&lt;=100, 18, IF(F164&lt;=250, 23, IF(F164&lt;=500, 35, IF(F164&lt;=1000, 40, F164*0.04)))),
IF(Basic345678910111213141516[[#This Row],[نوع الخدمة]]="كاش اوت",
    IF(F164&lt;=100, 15, IF(F164&lt;=250, 20, IF(F164&lt;=500, 30, IF(F164&lt;=1000, 35, F164*0.035)))),
0)))</f>
        <v>0</v>
      </c>
      <c r="H164" s="159">
        <f>IF(I164="مخالفات",50,Basic345678910111213141516[[#This Row],[قيمة الرسوم / العموله]]+Basic345678910111213141516[[#This Row],[قيمة الشحنه]])</f>
        <v>0</v>
      </c>
      <c r="I164" s="90"/>
      <c r="J164" s="142" t="str">
        <f t="shared" si="2"/>
        <v>17.5.2026</v>
      </c>
      <c r="L164" s="153">
        <v>153</v>
      </c>
      <c r="M164" s="92"/>
    </row>
    <row r="165" spans="1:13" ht="21.6" x14ac:dyDescent="0.65">
      <c r="A165" s="195"/>
      <c r="B165" s="144">
        <v>162</v>
      </c>
      <c r="C165" s="2"/>
      <c r="D165" s="1"/>
      <c r="E165" s="3"/>
      <c r="F165" s="1"/>
      <c r="G165" s="141">
        <f>IF(Basic345678910111213141516[[#This Row],[نوع الخدمة]]="مخالفات", 50,
IF(Basic345678910111213141516[[#This Row],[نوع الخدمة]]="كاش ان",
    IF(F165&lt;=100, 18, IF(F165&lt;=250, 23, IF(F165&lt;=500, 35, IF(F165&lt;=1000, 40, F165*0.04)))),
IF(Basic345678910111213141516[[#This Row],[نوع الخدمة]]="كاش اوت",
    IF(F165&lt;=100, 15, IF(F165&lt;=250, 20, IF(F165&lt;=500, 30, IF(F165&lt;=1000, 35, F165*0.035)))),
0)))</f>
        <v>0</v>
      </c>
      <c r="H165" s="159">
        <f>IF(I165="مخالفات",50,Basic345678910111213141516[[#This Row],[قيمة الرسوم / العموله]]+Basic345678910111213141516[[#This Row],[قيمة الشحنه]])</f>
        <v>0</v>
      </c>
      <c r="I165" s="90"/>
      <c r="J165" s="142" t="str">
        <f t="shared" si="2"/>
        <v>17.5.2026</v>
      </c>
      <c r="L165" s="153">
        <v>154</v>
      </c>
      <c r="M165" s="92"/>
    </row>
    <row r="166" spans="1:13" ht="21.6" x14ac:dyDescent="0.65">
      <c r="A166" s="195"/>
      <c r="B166" s="140">
        <v>163</v>
      </c>
      <c r="C166" s="2"/>
      <c r="D166" s="1"/>
      <c r="E166" s="3"/>
      <c r="F166" s="1"/>
      <c r="G166" s="141">
        <f>IF(Basic345678910111213141516[[#This Row],[نوع الخدمة]]="مخالفات", 50,
IF(Basic345678910111213141516[[#This Row],[نوع الخدمة]]="كاش ان",
    IF(F166&lt;=100, 18, IF(F166&lt;=250, 23, IF(F166&lt;=500, 35, IF(F166&lt;=1000, 40, F166*0.04)))),
IF(Basic345678910111213141516[[#This Row],[نوع الخدمة]]="كاش اوت",
    IF(F166&lt;=100, 15, IF(F166&lt;=250, 20, IF(F166&lt;=500, 30, IF(F166&lt;=1000, 35, F166*0.035)))),
0)))</f>
        <v>0</v>
      </c>
      <c r="H166" s="159">
        <f>IF(I166="مخالفات",50,Basic345678910111213141516[[#This Row],[قيمة الرسوم / العموله]]+Basic345678910111213141516[[#This Row],[قيمة الشحنه]])</f>
        <v>0</v>
      </c>
      <c r="I166" s="90"/>
      <c r="J166" s="142" t="str">
        <f t="shared" si="2"/>
        <v>17.5.2026</v>
      </c>
      <c r="L166" s="153">
        <v>155</v>
      </c>
      <c r="M166" s="92"/>
    </row>
    <row r="167" spans="1:13" ht="21.6" x14ac:dyDescent="0.65">
      <c r="A167" s="195"/>
      <c r="B167" s="140">
        <v>164</v>
      </c>
      <c r="C167" s="2"/>
      <c r="D167" s="1"/>
      <c r="E167" s="3"/>
      <c r="F167" s="1"/>
      <c r="G167" s="141">
        <f>IF(Basic345678910111213141516[[#This Row],[نوع الخدمة]]="مخالفات", 50,
IF(Basic345678910111213141516[[#This Row],[نوع الخدمة]]="كاش ان",
    IF(F167&lt;=100, 18, IF(F167&lt;=250, 23, IF(F167&lt;=500, 35, IF(F167&lt;=1000, 40, F167*0.04)))),
IF(Basic345678910111213141516[[#This Row],[نوع الخدمة]]="كاش اوت",
    IF(F167&lt;=100, 15, IF(F167&lt;=250, 20, IF(F167&lt;=500, 30, IF(F167&lt;=1000, 35, F167*0.035)))),
0)))</f>
        <v>0</v>
      </c>
      <c r="H167" s="159">
        <f>IF(I167="مخالفات",50,Basic345678910111213141516[[#This Row],[قيمة الرسوم / العموله]]+Basic345678910111213141516[[#This Row],[قيمة الشحنه]])</f>
        <v>0</v>
      </c>
      <c r="I167" s="90"/>
      <c r="J167" s="142" t="str">
        <f t="shared" si="2"/>
        <v>17.5.2026</v>
      </c>
      <c r="L167" s="153">
        <v>156</v>
      </c>
      <c r="M167" s="92"/>
    </row>
    <row r="168" spans="1:13" ht="21.6" x14ac:dyDescent="0.65">
      <c r="A168" s="195"/>
      <c r="B168" s="140">
        <v>165</v>
      </c>
      <c r="C168" s="2"/>
      <c r="D168" s="1"/>
      <c r="E168" s="3"/>
      <c r="F168" s="1"/>
      <c r="G168" s="141">
        <f>IF(Basic345678910111213141516[[#This Row],[نوع الخدمة]]="مخالفات", 50,
IF(Basic345678910111213141516[[#This Row],[نوع الخدمة]]="كاش ان",
    IF(F168&lt;=100, 18, IF(F168&lt;=250, 23, IF(F168&lt;=500, 35, IF(F168&lt;=1000, 40, F168*0.04)))),
IF(Basic345678910111213141516[[#This Row],[نوع الخدمة]]="كاش اوت",
    IF(F168&lt;=100, 15, IF(F168&lt;=250, 20, IF(F168&lt;=500, 30, IF(F168&lt;=1000, 35, F168*0.035)))),
0)))</f>
        <v>0</v>
      </c>
      <c r="H168" s="159">
        <f>IF(I168="مخالفات",50,Basic345678910111213141516[[#This Row],[قيمة الرسوم / العموله]]+Basic345678910111213141516[[#This Row],[قيمة الشحنه]])</f>
        <v>0</v>
      </c>
      <c r="I168" s="90"/>
      <c r="J168" s="142" t="str">
        <f t="shared" si="2"/>
        <v>17.5.2026</v>
      </c>
      <c r="L168" s="153">
        <v>157</v>
      </c>
      <c r="M168" s="92"/>
    </row>
    <row r="169" spans="1:13" ht="21.6" x14ac:dyDescent="0.65">
      <c r="A169" s="195"/>
      <c r="B169" s="144">
        <v>166</v>
      </c>
      <c r="C169" s="2"/>
      <c r="D169" s="1"/>
      <c r="E169" s="3"/>
      <c r="F169" s="1"/>
      <c r="G169" s="141">
        <f>IF(Basic345678910111213141516[[#This Row],[نوع الخدمة]]="مخالفات", 50,
IF(Basic345678910111213141516[[#This Row],[نوع الخدمة]]="كاش ان",
    IF(F169&lt;=100, 18, IF(F169&lt;=250, 23, IF(F169&lt;=500, 35, IF(F169&lt;=1000, 40, F169*0.04)))),
IF(Basic345678910111213141516[[#This Row],[نوع الخدمة]]="كاش اوت",
    IF(F169&lt;=100, 15, IF(F169&lt;=250, 20, IF(F169&lt;=500, 30, IF(F169&lt;=1000, 35, F169*0.035)))),
0)))</f>
        <v>0</v>
      </c>
      <c r="H169" s="159">
        <f>IF(I169="مخالفات",50,Basic345678910111213141516[[#This Row],[قيمة الرسوم / العموله]]+Basic345678910111213141516[[#This Row],[قيمة الشحنه]])</f>
        <v>0</v>
      </c>
      <c r="I169" s="90"/>
      <c r="J169" s="142" t="str">
        <f t="shared" si="2"/>
        <v>17.5.2026</v>
      </c>
      <c r="L169" s="153">
        <v>158</v>
      </c>
      <c r="M169" s="92"/>
    </row>
    <row r="170" spans="1:13" ht="21.6" x14ac:dyDescent="0.65">
      <c r="A170" s="195"/>
      <c r="B170" s="140">
        <v>167</v>
      </c>
      <c r="C170" s="2"/>
      <c r="D170" s="1"/>
      <c r="E170" s="3"/>
      <c r="F170" s="1"/>
      <c r="G170" s="141">
        <f>IF(Basic345678910111213141516[[#This Row],[نوع الخدمة]]="مخالفات", 50,
IF(Basic345678910111213141516[[#This Row],[نوع الخدمة]]="كاش ان",
    IF(F170&lt;=100, 18, IF(F170&lt;=250, 23, IF(F170&lt;=500, 35, IF(F170&lt;=1000, 40, F170*0.04)))),
IF(Basic345678910111213141516[[#This Row],[نوع الخدمة]]="كاش اوت",
    IF(F170&lt;=100, 15, IF(F170&lt;=250, 20, IF(F170&lt;=500, 30, IF(F170&lt;=1000, 35, F170*0.035)))),
0)))</f>
        <v>0</v>
      </c>
      <c r="H170" s="159">
        <f>IF(I170="مخالفات",50,Basic345678910111213141516[[#This Row],[قيمة الرسوم / العموله]]+Basic345678910111213141516[[#This Row],[قيمة الشحنه]])</f>
        <v>0</v>
      </c>
      <c r="I170" s="90"/>
      <c r="J170" s="142" t="str">
        <f t="shared" si="2"/>
        <v>17.5.2026</v>
      </c>
      <c r="L170" s="153">
        <v>159</v>
      </c>
      <c r="M170" s="92"/>
    </row>
    <row r="171" spans="1:13" ht="21.6" x14ac:dyDescent="0.65">
      <c r="A171" s="195"/>
      <c r="B171" s="140">
        <v>168</v>
      </c>
      <c r="C171" s="2"/>
      <c r="D171" s="1"/>
      <c r="E171" s="3"/>
      <c r="F171" s="1"/>
      <c r="G171" s="141">
        <f>IF(Basic345678910111213141516[[#This Row],[نوع الخدمة]]="مخالفات", 50,
IF(Basic345678910111213141516[[#This Row],[نوع الخدمة]]="كاش ان",
    IF(F171&lt;=100, 18, IF(F171&lt;=250, 23, IF(F171&lt;=500, 35, IF(F171&lt;=1000, 40, F171*0.04)))),
IF(Basic345678910111213141516[[#This Row],[نوع الخدمة]]="كاش اوت",
    IF(F171&lt;=100, 15, IF(F171&lt;=250, 20, IF(F171&lt;=500, 30, IF(F171&lt;=1000, 35, F171*0.035)))),
0)))</f>
        <v>0</v>
      </c>
      <c r="H171" s="159">
        <f>IF(I171="مخالفات",50,Basic345678910111213141516[[#This Row],[قيمة الرسوم / العموله]]+Basic345678910111213141516[[#This Row],[قيمة الشحنه]])</f>
        <v>0</v>
      </c>
      <c r="I171" s="90"/>
      <c r="J171" s="142" t="str">
        <f t="shared" si="2"/>
        <v>17.5.2026</v>
      </c>
      <c r="L171" s="153">
        <v>160</v>
      </c>
      <c r="M171" s="92"/>
    </row>
    <row r="172" spans="1:13" ht="21.6" x14ac:dyDescent="0.65">
      <c r="A172" s="195"/>
      <c r="B172" s="140">
        <v>169</v>
      </c>
      <c r="C172" s="2"/>
      <c r="D172" s="1"/>
      <c r="E172" s="3"/>
      <c r="F172" s="1"/>
      <c r="G172" s="141">
        <f>IF(Basic345678910111213141516[[#This Row],[نوع الخدمة]]="مخالفات", 50,
IF(Basic345678910111213141516[[#This Row],[نوع الخدمة]]="كاش ان",
    IF(F172&lt;=100, 18, IF(F172&lt;=250, 23, IF(F172&lt;=500, 35, IF(F172&lt;=1000, 40, F172*0.04)))),
IF(Basic345678910111213141516[[#This Row],[نوع الخدمة]]="كاش اوت",
    IF(F172&lt;=100, 15, IF(F172&lt;=250, 20, IF(F172&lt;=500, 30, IF(F172&lt;=1000, 35, F172*0.035)))),
0)))</f>
        <v>0</v>
      </c>
      <c r="H172" s="159">
        <f>IF(I172="مخالفات",50,Basic345678910111213141516[[#This Row],[قيمة الرسوم / العموله]]+Basic345678910111213141516[[#This Row],[قيمة الشحنه]])</f>
        <v>0</v>
      </c>
      <c r="I172" s="90"/>
      <c r="J172" s="142" t="str">
        <f t="shared" si="2"/>
        <v>17.5.2026</v>
      </c>
      <c r="L172" s="153">
        <v>161</v>
      </c>
      <c r="M172" s="92"/>
    </row>
    <row r="173" spans="1:13" ht="21.6" x14ac:dyDescent="0.65">
      <c r="A173" s="195"/>
      <c r="B173" s="144">
        <v>170</v>
      </c>
      <c r="C173" s="2"/>
      <c r="D173" s="1"/>
      <c r="E173" s="3"/>
      <c r="F173" s="1"/>
      <c r="G173" s="141">
        <f>IF(Basic345678910111213141516[[#This Row],[نوع الخدمة]]="مخالفات", 50,
IF(Basic345678910111213141516[[#This Row],[نوع الخدمة]]="كاش ان",
    IF(F173&lt;=100, 18, IF(F173&lt;=250, 23, IF(F173&lt;=500, 35, IF(F173&lt;=1000, 40, F173*0.04)))),
IF(Basic345678910111213141516[[#This Row],[نوع الخدمة]]="كاش اوت",
    IF(F173&lt;=100, 15, IF(F173&lt;=250, 20, IF(F173&lt;=500, 30, IF(F173&lt;=1000, 35, F173*0.035)))),
0)))</f>
        <v>0</v>
      </c>
      <c r="H173" s="159">
        <f>IF(I173="مخالفات",50,Basic345678910111213141516[[#This Row],[قيمة الرسوم / العموله]]+Basic345678910111213141516[[#This Row],[قيمة الشحنه]])</f>
        <v>0</v>
      </c>
      <c r="I173" s="90"/>
      <c r="J173" s="142" t="str">
        <f t="shared" si="2"/>
        <v>17.5.2026</v>
      </c>
      <c r="L173" s="153">
        <v>162</v>
      </c>
      <c r="M173" s="92"/>
    </row>
    <row r="174" spans="1:13" ht="21.6" x14ac:dyDescent="0.65">
      <c r="A174" s="195"/>
      <c r="B174" s="140">
        <v>171</v>
      </c>
      <c r="C174" s="2"/>
      <c r="D174" s="1"/>
      <c r="E174" s="3"/>
      <c r="F174" s="1"/>
      <c r="G174" s="141">
        <f>IF(Basic345678910111213141516[[#This Row],[نوع الخدمة]]="مخالفات", 50,
IF(Basic345678910111213141516[[#This Row],[نوع الخدمة]]="كاش ان",
    IF(F174&lt;=100, 18, IF(F174&lt;=250, 23, IF(F174&lt;=500, 35, IF(F174&lt;=1000, 40, F174*0.04)))),
IF(Basic345678910111213141516[[#This Row],[نوع الخدمة]]="كاش اوت",
    IF(F174&lt;=100, 15, IF(F174&lt;=250, 20, IF(F174&lt;=500, 30, IF(F174&lt;=1000, 35, F174*0.035)))),
0)))</f>
        <v>0</v>
      </c>
      <c r="H174" s="159">
        <f>IF(I174="مخالفات",50,Basic345678910111213141516[[#This Row],[قيمة الرسوم / العموله]]+Basic345678910111213141516[[#This Row],[قيمة الشحنه]])</f>
        <v>0</v>
      </c>
      <c r="I174" s="90"/>
      <c r="J174" s="142" t="str">
        <f t="shared" si="2"/>
        <v>17.5.2026</v>
      </c>
      <c r="L174" s="153">
        <v>163</v>
      </c>
      <c r="M174" s="92"/>
    </row>
    <row r="175" spans="1:13" ht="21.6" x14ac:dyDescent="0.65">
      <c r="A175" s="195"/>
      <c r="B175" s="140">
        <v>172</v>
      </c>
      <c r="C175" s="2"/>
      <c r="D175" s="1"/>
      <c r="E175" s="3"/>
      <c r="F175" s="1"/>
      <c r="G175" s="141">
        <f>IF(Basic345678910111213141516[[#This Row],[نوع الخدمة]]="مخالفات", 50,
IF(Basic345678910111213141516[[#This Row],[نوع الخدمة]]="كاش ان",
    IF(F175&lt;=100, 18, IF(F175&lt;=250, 23, IF(F175&lt;=500, 35, IF(F175&lt;=1000, 40, F175*0.04)))),
IF(Basic345678910111213141516[[#This Row],[نوع الخدمة]]="كاش اوت",
    IF(F175&lt;=100, 15, IF(F175&lt;=250, 20, IF(F175&lt;=500, 30, IF(F175&lt;=1000, 35, F175*0.035)))),
0)))</f>
        <v>0</v>
      </c>
      <c r="H175" s="159">
        <f>IF(I175="مخالفات",50,Basic345678910111213141516[[#This Row],[قيمة الرسوم / العموله]]+Basic345678910111213141516[[#This Row],[قيمة الشحنه]])</f>
        <v>0</v>
      </c>
      <c r="I175" s="90"/>
      <c r="J175" s="142" t="str">
        <f t="shared" si="2"/>
        <v>17.5.2026</v>
      </c>
      <c r="L175" s="153">
        <v>164</v>
      </c>
      <c r="M175" s="92"/>
    </row>
    <row r="176" spans="1:13" ht="21.6" x14ac:dyDescent="0.65">
      <c r="A176" s="195"/>
      <c r="B176" s="140">
        <v>173</v>
      </c>
      <c r="C176" s="2"/>
      <c r="D176" s="1"/>
      <c r="E176" s="3"/>
      <c r="F176" s="1"/>
      <c r="G176" s="141">
        <f>IF(Basic345678910111213141516[[#This Row],[نوع الخدمة]]="مخالفات", 50,
IF(Basic345678910111213141516[[#This Row],[نوع الخدمة]]="كاش ان",
    IF(F176&lt;=100, 18, IF(F176&lt;=250, 23, IF(F176&lt;=500, 35, IF(F176&lt;=1000, 40, F176*0.04)))),
IF(Basic345678910111213141516[[#This Row],[نوع الخدمة]]="كاش اوت",
    IF(F176&lt;=100, 15, IF(F176&lt;=250, 20, IF(F176&lt;=500, 30, IF(F176&lt;=1000, 35, F176*0.035)))),
0)))</f>
        <v>0</v>
      </c>
      <c r="H176" s="159">
        <f>IF(I176="مخالفات",50,Basic345678910111213141516[[#This Row],[قيمة الرسوم / العموله]]+Basic345678910111213141516[[#This Row],[قيمة الشحنه]])</f>
        <v>0</v>
      </c>
      <c r="I176" s="90"/>
      <c r="J176" s="142" t="str">
        <f t="shared" si="2"/>
        <v>17.5.2026</v>
      </c>
      <c r="L176" s="153">
        <v>165</v>
      </c>
      <c r="M176" s="92"/>
    </row>
    <row r="177" spans="1:13" ht="21.6" x14ac:dyDescent="0.65">
      <c r="A177" s="195"/>
      <c r="B177" s="144">
        <v>174</v>
      </c>
      <c r="C177" s="2"/>
      <c r="D177" s="1"/>
      <c r="E177" s="3"/>
      <c r="F177" s="1"/>
      <c r="G177" s="141">
        <f>IF(Basic345678910111213141516[[#This Row],[نوع الخدمة]]="مخالفات", 50,
IF(Basic345678910111213141516[[#This Row],[نوع الخدمة]]="كاش ان",
    IF(F177&lt;=100, 18, IF(F177&lt;=250, 23, IF(F177&lt;=500, 35, IF(F177&lt;=1000, 40, F177*0.04)))),
IF(Basic345678910111213141516[[#This Row],[نوع الخدمة]]="كاش اوت",
    IF(F177&lt;=100, 15, IF(F177&lt;=250, 20, IF(F177&lt;=500, 30, IF(F177&lt;=1000, 35, F177*0.035)))),
0)))</f>
        <v>0</v>
      </c>
      <c r="H177" s="159">
        <f>IF(I177="مخالفات",50,Basic345678910111213141516[[#This Row],[قيمة الرسوم / العموله]]+Basic345678910111213141516[[#This Row],[قيمة الشحنه]])</f>
        <v>0</v>
      </c>
      <c r="I177" s="90"/>
      <c r="J177" s="142" t="str">
        <f t="shared" si="2"/>
        <v>17.5.2026</v>
      </c>
      <c r="L177" s="153">
        <v>166</v>
      </c>
      <c r="M177" s="92"/>
    </row>
    <row r="178" spans="1:13" ht="21.6" x14ac:dyDescent="0.65">
      <c r="A178" s="195"/>
      <c r="B178" s="140">
        <v>175</v>
      </c>
      <c r="C178" s="2"/>
      <c r="D178" s="1"/>
      <c r="E178" s="3"/>
      <c r="F178" s="1"/>
      <c r="G178" s="141">
        <f>IF(Basic345678910111213141516[[#This Row],[نوع الخدمة]]="مخالفات", 50,
IF(Basic345678910111213141516[[#This Row],[نوع الخدمة]]="كاش ان",
    IF(F178&lt;=100, 18, IF(F178&lt;=250, 23, IF(F178&lt;=500, 35, IF(F178&lt;=1000, 40, F178*0.04)))),
IF(Basic345678910111213141516[[#This Row],[نوع الخدمة]]="كاش اوت",
    IF(F178&lt;=100, 15, IF(F178&lt;=250, 20, IF(F178&lt;=500, 30, IF(F178&lt;=1000, 35, F178*0.035)))),
0)))</f>
        <v>0</v>
      </c>
      <c r="H178" s="159">
        <f>IF(I178="مخالفات",50,Basic345678910111213141516[[#This Row],[قيمة الرسوم / العموله]]+Basic345678910111213141516[[#This Row],[قيمة الشحنه]])</f>
        <v>0</v>
      </c>
      <c r="I178" s="90"/>
      <c r="J178" s="142" t="str">
        <f t="shared" si="2"/>
        <v>17.5.2026</v>
      </c>
      <c r="L178" s="153">
        <v>167</v>
      </c>
      <c r="M178" s="92"/>
    </row>
    <row r="179" spans="1:13" ht="21.6" x14ac:dyDescent="0.65">
      <c r="A179" s="195"/>
      <c r="B179" s="140">
        <v>176</v>
      </c>
      <c r="C179" s="2"/>
      <c r="D179" s="1"/>
      <c r="E179" s="3"/>
      <c r="F179" s="1"/>
      <c r="G179" s="141">
        <f>IF(Basic345678910111213141516[[#This Row],[نوع الخدمة]]="مخالفات", 50,
IF(Basic345678910111213141516[[#This Row],[نوع الخدمة]]="كاش ان",
    IF(F179&lt;=100, 18, IF(F179&lt;=250, 23, IF(F179&lt;=500, 35, IF(F179&lt;=1000, 40, F179*0.04)))),
IF(Basic345678910111213141516[[#This Row],[نوع الخدمة]]="كاش اوت",
    IF(F179&lt;=100, 15, IF(F179&lt;=250, 20, IF(F179&lt;=500, 30, IF(F179&lt;=1000, 35, F179*0.035)))),
0)))</f>
        <v>0</v>
      </c>
      <c r="H179" s="159">
        <f>IF(I179="مخالفات",50,Basic345678910111213141516[[#This Row],[قيمة الرسوم / العموله]]+Basic345678910111213141516[[#This Row],[قيمة الشحنه]])</f>
        <v>0</v>
      </c>
      <c r="I179" s="90"/>
      <c r="J179" s="142" t="str">
        <f t="shared" si="2"/>
        <v>17.5.2026</v>
      </c>
      <c r="L179" s="153">
        <v>168</v>
      </c>
      <c r="M179" s="92"/>
    </row>
    <row r="180" spans="1:13" ht="21.6" x14ac:dyDescent="0.65">
      <c r="A180" s="195"/>
      <c r="B180" s="140">
        <v>177</v>
      </c>
      <c r="C180" s="2"/>
      <c r="D180" s="1"/>
      <c r="E180" s="3"/>
      <c r="F180" s="1"/>
      <c r="G180" s="141">
        <f>IF(Basic345678910111213141516[[#This Row],[نوع الخدمة]]="مخالفات", 50,
IF(Basic345678910111213141516[[#This Row],[نوع الخدمة]]="كاش ان",
    IF(F180&lt;=100, 18, IF(F180&lt;=250, 23, IF(F180&lt;=500, 35, IF(F180&lt;=1000, 40, F180*0.04)))),
IF(Basic345678910111213141516[[#This Row],[نوع الخدمة]]="كاش اوت",
    IF(F180&lt;=100, 15, IF(F180&lt;=250, 20, IF(F180&lt;=500, 30, IF(F180&lt;=1000, 35, F180*0.035)))),
0)))</f>
        <v>0</v>
      </c>
      <c r="H180" s="159">
        <f>IF(I180="مخالفات",50,Basic345678910111213141516[[#This Row],[قيمة الرسوم / العموله]]+Basic345678910111213141516[[#This Row],[قيمة الشحنه]])</f>
        <v>0</v>
      </c>
      <c r="I180" s="90"/>
      <c r="J180" s="142" t="str">
        <f t="shared" si="2"/>
        <v>17.5.2026</v>
      </c>
      <c r="L180" s="153">
        <v>169</v>
      </c>
      <c r="M180" s="92"/>
    </row>
    <row r="181" spans="1:13" ht="21.6" x14ac:dyDescent="0.65">
      <c r="A181" s="195"/>
      <c r="B181" s="144">
        <v>178</v>
      </c>
      <c r="C181" s="2"/>
      <c r="D181" s="1"/>
      <c r="E181" s="3"/>
      <c r="F181" s="1"/>
      <c r="G181" s="141">
        <f>IF(Basic345678910111213141516[[#This Row],[نوع الخدمة]]="مخالفات", 50,
IF(Basic345678910111213141516[[#This Row],[نوع الخدمة]]="كاش ان",
    IF(F181&lt;=100, 18, IF(F181&lt;=250, 23, IF(F181&lt;=500, 35, IF(F181&lt;=1000, 40, F181*0.04)))),
IF(Basic345678910111213141516[[#This Row],[نوع الخدمة]]="كاش اوت",
    IF(F181&lt;=100, 15, IF(F181&lt;=250, 20, IF(F181&lt;=500, 30, IF(F181&lt;=1000, 35, F181*0.035)))),
0)))</f>
        <v>0</v>
      </c>
      <c r="H181" s="159">
        <f>IF(I181="مخالفات",50,Basic345678910111213141516[[#This Row],[قيمة الرسوم / العموله]]+Basic345678910111213141516[[#This Row],[قيمة الشحنه]])</f>
        <v>0</v>
      </c>
      <c r="I181" s="90"/>
      <c r="J181" s="142" t="str">
        <f t="shared" si="2"/>
        <v>17.5.2026</v>
      </c>
      <c r="L181" s="153">
        <v>170</v>
      </c>
      <c r="M181" s="92"/>
    </row>
    <row r="182" spans="1:13" ht="21.6" x14ac:dyDescent="0.65">
      <c r="A182" s="195"/>
      <c r="B182" s="140">
        <v>179</v>
      </c>
      <c r="C182" s="2"/>
      <c r="D182" s="1"/>
      <c r="E182" s="3"/>
      <c r="F182" s="1"/>
      <c r="G182" s="141">
        <f>IF(Basic345678910111213141516[[#This Row],[نوع الخدمة]]="مخالفات", 50,
IF(Basic345678910111213141516[[#This Row],[نوع الخدمة]]="كاش ان",
    IF(F182&lt;=100, 18, IF(F182&lt;=250, 23, IF(F182&lt;=500, 35, IF(F182&lt;=1000, 40, F182*0.04)))),
IF(Basic345678910111213141516[[#This Row],[نوع الخدمة]]="كاش اوت",
    IF(F182&lt;=100, 15, IF(F182&lt;=250, 20, IF(F182&lt;=500, 30, IF(F182&lt;=1000, 35, F182*0.035)))),
0)))</f>
        <v>0</v>
      </c>
      <c r="H182" s="159">
        <f>IF(I182="مخالفات",50,Basic345678910111213141516[[#This Row],[قيمة الرسوم / العموله]]+Basic345678910111213141516[[#This Row],[قيمة الشحنه]])</f>
        <v>0</v>
      </c>
      <c r="I182" s="90"/>
      <c r="J182" s="142" t="str">
        <f t="shared" si="2"/>
        <v>17.5.2026</v>
      </c>
      <c r="L182" s="153">
        <v>171</v>
      </c>
      <c r="M182" s="92"/>
    </row>
    <row r="183" spans="1:13" ht="21.6" x14ac:dyDescent="0.65">
      <c r="A183" s="195"/>
      <c r="B183" s="140">
        <v>180</v>
      </c>
      <c r="C183" s="2"/>
      <c r="D183" s="1"/>
      <c r="E183" s="3"/>
      <c r="F183" s="1"/>
      <c r="G183" s="141">
        <f>IF(Basic345678910111213141516[[#This Row],[نوع الخدمة]]="مخالفات", 50,
IF(Basic345678910111213141516[[#This Row],[نوع الخدمة]]="كاش ان",
    IF(F183&lt;=100, 18, IF(F183&lt;=250, 23, IF(F183&lt;=500, 35, IF(F183&lt;=1000, 40, F183*0.04)))),
IF(Basic345678910111213141516[[#This Row],[نوع الخدمة]]="كاش اوت",
    IF(F183&lt;=100, 15, IF(F183&lt;=250, 20, IF(F183&lt;=500, 30, IF(F183&lt;=1000, 35, F183*0.035)))),
0)))</f>
        <v>0</v>
      </c>
      <c r="H183" s="159">
        <f>IF(I183="مخالفات",50,Basic345678910111213141516[[#This Row],[قيمة الرسوم / العموله]]+Basic345678910111213141516[[#This Row],[قيمة الشحنه]])</f>
        <v>0</v>
      </c>
      <c r="I183" s="90"/>
      <c r="J183" s="142" t="str">
        <f t="shared" si="2"/>
        <v>17.5.2026</v>
      </c>
      <c r="L183" s="153">
        <v>172</v>
      </c>
      <c r="M183" s="92"/>
    </row>
    <row r="184" spans="1:13" ht="21.6" x14ac:dyDescent="0.65">
      <c r="A184" s="195"/>
      <c r="B184" s="140">
        <v>181</v>
      </c>
      <c r="C184" s="2"/>
      <c r="D184" s="1"/>
      <c r="E184" s="3"/>
      <c r="F184" s="1"/>
      <c r="G184" s="141">
        <f>IF(Basic345678910111213141516[[#This Row],[نوع الخدمة]]="مخالفات", 50,
IF(Basic345678910111213141516[[#This Row],[نوع الخدمة]]="كاش ان",
    IF(F184&lt;=100, 18, IF(F184&lt;=250, 23, IF(F184&lt;=500, 35, IF(F184&lt;=1000, 40, F184*0.04)))),
IF(Basic345678910111213141516[[#This Row],[نوع الخدمة]]="كاش اوت",
    IF(F184&lt;=100, 15, IF(F184&lt;=250, 20, IF(F184&lt;=500, 30, IF(F184&lt;=1000, 35, F184*0.035)))),
0)))</f>
        <v>0</v>
      </c>
      <c r="H184" s="159">
        <f>IF(I184="مخالفات",50,Basic345678910111213141516[[#This Row],[قيمة الرسوم / العموله]]+Basic345678910111213141516[[#This Row],[قيمة الشحنه]])</f>
        <v>0</v>
      </c>
      <c r="I184" s="90"/>
      <c r="J184" s="142" t="str">
        <f t="shared" si="2"/>
        <v>17.5.2026</v>
      </c>
      <c r="L184" s="153">
        <v>173</v>
      </c>
      <c r="M184" s="92"/>
    </row>
    <row r="185" spans="1:13" ht="21.6" x14ac:dyDescent="0.65">
      <c r="A185" s="195"/>
      <c r="B185" s="144">
        <v>182</v>
      </c>
      <c r="C185" s="2"/>
      <c r="D185" s="1"/>
      <c r="E185" s="3"/>
      <c r="F185" s="1"/>
      <c r="G185" s="141">
        <f>IF(Basic345678910111213141516[[#This Row],[نوع الخدمة]]="مخالفات", 50,
IF(Basic345678910111213141516[[#This Row],[نوع الخدمة]]="كاش ان",
    IF(F185&lt;=100, 18, IF(F185&lt;=250, 23, IF(F185&lt;=500, 35, IF(F185&lt;=1000, 40, F185*0.04)))),
IF(Basic345678910111213141516[[#This Row],[نوع الخدمة]]="كاش اوت",
    IF(F185&lt;=100, 15, IF(F185&lt;=250, 20, IF(F185&lt;=500, 30, IF(F185&lt;=1000, 35, F185*0.035)))),
0)))</f>
        <v>0</v>
      </c>
      <c r="H185" s="159">
        <f>IF(I185="مخالفات",50,Basic345678910111213141516[[#This Row],[قيمة الرسوم / العموله]]+Basic345678910111213141516[[#This Row],[قيمة الشحنه]])</f>
        <v>0</v>
      </c>
      <c r="I185" s="90"/>
      <c r="J185" s="142" t="str">
        <f t="shared" si="2"/>
        <v>17.5.2026</v>
      </c>
      <c r="L185" s="153">
        <v>174</v>
      </c>
      <c r="M185" s="92"/>
    </row>
    <row r="186" spans="1:13" ht="21.6" x14ac:dyDescent="0.65">
      <c r="A186" s="195"/>
      <c r="B186" s="140">
        <v>183</v>
      </c>
      <c r="C186" s="2"/>
      <c r="D186" s="1"/>
      <c r="E186" s="3"/>
      <c r="F186" s="1"/>
      <c r="G186" s="141">
        <f>IF(Basic345678910111213141516[[#This Row],[نوع الخدمة]]="مخالفات", 50,
IF(Basic345678910111213141516[[#This Row],[نوع الخدمة]]="كاش ان",
    IF(F186&lt;=100, 18, IF(F186&lt;=250, 23, IF(F186&lt;=500, 35, IF(F186&lt;=1000, 40, F186*0.04)))),
IF(Basic345678910111213141516[[#This Row],[نوع الخدمة]]="كاش اوت",
    IF(F186&lt;=100, 15, IF(F186&lt;=250, 20, IF(F186&lt;=500, 30, IF(F186&lt;=1000, 35, F186*0.035)))),
0)))</f>
        <v>0</v>
      </c>
      <c r="H186" s="159">
        <f>IF(I186="مخالفات",50,Basic345678910111213141516[[#This Row],[قيمة الرسوم / العموله]]+Basic345678910111213141516[[#This Row],[قيمة الشحنه]])</f>
        <v>0</v>
      </c>
      <c r="I186" s="90"/>
      <c r="J186" s="142" t="str">
        <f t="shared" si="2"/>
        <v>17.5.2026</v>
      </c>
      <c r="L186" s="153">
        <v>175</v>
      </c>
      <c r="M186" s="92"/>
    </row>
    <row r="187" spans="1:13" ht="21.6" x14ac:dyDescent="0.65">
      <c r="A187" s="195"/>
      <c r="B187" s="140">
        <v>184</v>
      </c>
      <c r="C187" s="2"/>
      <c r="D187" s="1"/>
      <c r="E187" s="3"/>
      <c r="F187" s="1"/>
      <c r="G187" s="141">
        <f>IF(Basic345678910111213141516[[#This Row],[نوع الخدمة]]="مخالفات", 50,
IF(Basic345678910111213141516[[#This Row],[نوع الخدمة]]="كاش ان",
    IF(F187&lt;=100, 18, IF(F187&lt;=250, 23, IF(F187&lt;=500, 35, IF(F187&lt;=1000, 40, F187*0.04)))),
IF(Basic345678910111213141516[[#This Row],[نوع الخدمة]]="كاش اوت",
    IF(F187&lt;=100, 15, IF(F187&lt;=250, 20, IF(F187&lt;=500, 30, IF(F187&lt;=1000, 35, F187*0.035)))),
0)))</f>
        <v>0</v>
      </c>
      <c r="H187" s="159">
        <f>IF(I187="مخالفات",50,Basic345678910111213141516[[#This Row],[قيمة الرسوم / العموله]]+Basic345678910111213141516[[#This Row],[قيمة الشحنه]])</f>
        <v>0</v>
      </c>
      <c r="I187" s="90"/>
      <c r="J187" s="142" t="str">
        <f t="shared" si="2"/>
        <v>17.5.2026</v>
      </c>
      <c r="L187" s="153">
        <v>176</v>
      </c>
      <c r="M187" s="92"/>
    </row>
    <row r="188" spans="1:13" ht="21.6" x14ac:dyDescent="0.65">
      <c r="A188" s="195"/>
      <c r="B188" s="140">
        <v>185</v>
      </c>
      <c r="C188" s="2"/>
      <c r="D188" s="1"/>
      <c r="E188" s="3"/>
      <c r="F188" s="1"/>
      <c r="G188" s="141">
        <f>IF(Basic345678910111213141516[[#This Row],[نوع الخدمة]]="مخالفات", 50,
IF(Basic345678910111213141516[[#This Row],[نوع الخدمة]]="كاش ان",
    IF(F188&lt;=100, 18, IF(F188&lt;=250, 23, IF(F188&lt;=500, 35, IF(F188&lt;=1000, 40, F188*0.04)))),
IF(Basic345678910111213141516[[#This Row],[نوع الخدمة]]="كاش اوت",
    IF(F188&lt;=100, 15, IF(F188&lt;=250, 20, IF(F188&lt;=500, 30, IF(F188&lt;=1000, 35, F188*0.035)))),
0)))</f>
        <v>0</v>
      </c>
      <c r="H188" s="159">
        <f>IF(I188="مخالفات",50,Basic345678910111213141516[[#This Row],[قيمة الرسوم / العموله]]+Basic345678910111213141516[[#This Row],[قيمة الشحنه]])</f>
        <v>0</v>
      </c>
      <c r="I188" s="90"/>
      <c r="J188" s="142" t="str">
        <f t="shared" si="2"/>
        <v>17.5.2026</v>
      </c>
      <c r="L188" s="153">
        <v>177</v>
      </c>
      <c r="M188" s="92"/>
    </row>
    <row r="189" spans="1:13" ht="21.6" x14ac:dyDescent="0.65">
      <c r="A189" s="195"/>
      <c r="B189" s="144">
        <v>186</v>
      </c>
      <c r="C189" s="2"/>
      <c r="D189" s="1"/>
      <c r="E189" s="3"/>
      <c r="F189" s="1"/>
      <c r="G189" s="141">
        <f>IF(Basic345678910111213141516[[#This Row],[نوع الخدمة]]="مخالفات", 50,
IF(Basic345678910111213141516[[#This Row],[نوع الخدمة]]="كاش ان",
    IF(F189&lt;=100, 18, IF(F189&lt;=250, 23, IF(F189&lt;=500, 35, IF(F189&lt;=1000, 40, F189*0.04)))),
IF(Basic345678910111213141516[[#This Row],[نوع الخدمة]]="كاش اوت",
    IF(F189&lt;=100, 15, IF(F189&lt;=250, 20, IF(F189&lt;=500, 30, IF(F189&lt;=1000, 35, F189*0.035)))),
0)))</f>
        <v>0</v>
      </c>
      <c r="H189" s="159">
        <f>IF(I189="مخالفات",50,Basic345678910111213141516[[#This Row],[قيمة الرسوم / العموله]]+Basic345678910111213141516[[#This Row],[قيمة الشحنه]])</f>
        <v>0</v>
      </c>
      <c r="I189" s="90"/>
      <c r="J189" s="142" t="str">
        <f t="shared" si="2"/>
        <v>17.5.2026</v>
      </c>
      <c r="L189" s="153">
        <v>178</v>
      </c>
      <c r="M189" s="92"/>
    </row>
    <row r="190" spans="1:13" ht="21.6" x14ac:dyDescent="0.65">
      <c r="A190" s="195"/>
      <c r="B190" s="140">
        <v>187</v>
      </c>
      <c r="C190" s="2"/>
      <c r="D190" s="1"/>
      <c r="E190" s="3"/>
      <c r="F190" s="1"/>
      <c r="G190" s="141">
        <f>IF(Basic345678910111213141516[[#This Row],[نوع الخدمة]]="مخالفات", 50,
IF(Basic345678910111213141516[[#This Row],[نوع الخدمة]]="كاش ان",
    IF(F190&lt;=100, 18, IF(F190&lt;=250, 23, IF(F190&lt;=500, 35, IF(F190&lt;=1000, 40, F190*0.04)))),
IF(Basic345678910111213141516[[#This Row],[نوع الخدمة]]="كاش اوت",
    IF(F190&lt;=100, 15, IF(F190&lt;=250, 20, IF(F190&lt;=500, 30, IF(F190&lt;=1000, 35, F190*0.035)))),
0)))</f>
        <v>0</v>
      </c>
      <c r="H190" s="159">
        <f>IF(I190="مخالفات",50,Basic345678910111213141516[[#This Row],[قيمة الرسوم / العموله]]+Basic345678910111213141516[[#This Row],[قيمة الشحنه]])</f>
        <v>0</v>
      </c>
      <c r="I190" s="90"/>
      <c r="J190" s="142" t="str">
        <f t="shared" si="2"/>
        <v>17.5.2026</v>
      </c>
      <c r="L190" s="153">
        <v>179</v>
      </c>
      <c r="M190" s="92"/>
    </row>
    <row r="191" spans="1:13" ht="21.6" x14ac:dyDescent="0.65">
      <c r="A191" s="195"/>
      <c r="B191" s="140">
        <v>188</v>
      </c>
      <c r="C191" s="2"/>
      <c r="D191" s="1"/>
      <c r="E191" s="3"/>
      <c r="F191" s="1"/>
      <c r="G191" s="141">
        <f>IF(Basic345678910111213141516[[#This Row],[نوع الخدمة]]="مخالفات", 50,
IF(Basic345678910111213141516[[#This Row],[نوع الخدمة]]="كاش ان",
    IF(F191&lt;=100, 18, IF(F191&lt;=250, 23, IF(F191&lt;=500, 35, IF(F191&lt;=1000, 40, F191*0.04)))),
IF(Basic345678910111213141516[[#This Row],[نوع الخدمة]]="كاش اوت",
    IF(F191&lt;=100, 15, IF(F191&lt;=250, 20, IF(F191&lt;=500, 30, IF(F191&lt;=1000, 35, F191*0.035)))),
0)))</f>
        <v>0</v>
      </c>
      <c r="H191" s="159">
        <f>IF(I191="مخالفات",50,Basic345678910111213141516[[#This Row],[قيمة الرسوم / العموله]]+Basic345678910111213141516[[#This Row],[قيمة الشحنه]])</f>
        <v>0</v>
      </c>
      <c r="I191" s="90"/>
      <c r="J191" s="142" t="str">
        <f t="shared" si="2"/>
        <v>17.5.2026</v>
      </c>
      <c r="L191" s="153">
        <v>180</v>
      </c>
      <c r="M191" s="92"/>
    </row>
    <row r="192" spans="1:13" ht="21.6" x14ac:dyDescent="0.65">
      <c r="A192" s="195"/>
      <c r="B192" s="140">
        <v>189</v>
      </c>
      <c r="C192" s="2"/>
      <c r="D192" s="1"/>
      <c r="E192" s="3"/>
      <c r="F192" s="1"/>
      <c r="G192" s="141">
        <f>IF(Basic345678910111213141516[[#This Row],[نوع الخدمة]]="مخالفات", 50,
IF(Basic345678910111213141516[[#This Row],[نوع الخدمة]]="كاش ان",
    IF(F192&lt;=100, 18, IF(F192&lt;=250, 23, IF(F192&lt;=500, 35, IF(F192&lt;=1000, 40, F192*0.04)))),
IF(Basic345678910111213141516[[#This Row],[نوع الخدمة]]="كاش اوت",
    IF(F192&lt;=100, 15, IF(F192&lt;=250, 20, IF(F192&lt;=500, 30, IF(F192&lt;=1000, 35, F192*0.035)))),
0)))</f>
        <v>0</v>
      </c>
      <c r="H192" s="159">
        <f>IF(I192="مخالفات",50,Basic345678910111213141516[[#This Row],[قيمة الرسوم / العموله]]+Basic345678910111213141516[[#This Row],[قيمة الشحنه]])</f>
        <v>0</v>
      </c>
      <c r="I192" s="90"/>
      <c r="J192" s="142" t="str">
        <f t="shared" si="2"/>
        <v>17.5.2026</v>
      </c>
      <c r="L192" s="153">
        <v>181</v>
      </c>
      <c r="M192" s="92"/>
    </row>
    <row r="193" spans="1:13" ht="21.6" x14ac:dyDescent="0.65">
      <c r="A193" s="195"/>
      <c r="B193" s="144">
        <v>190</v>
      </c>
      <c r="C193" s="2"/>
      <c r="D193" s="1"/>
      <c r="E193" s="3"/>
      <c r="F193" s="1"/>
      <c r="G193" s="141">
        <f>IF(Basic345678910111213141516[[#This Row],[نوع الخدمة]]="مخالفات", 50,
IF(Basic345678910111213141516[[#This Row],[نوع الخدمة]]="كاش ان",
    IF(F193&lt;=100, 18, IF(F193&lt;=250, 23, IF(F193&lt;=500, 35, IF(F193&lt;=1000, 40, F193*0.04)))),
IF(Basic345678910111213141516[[#This Row],[نوع الخدمة]]="كاش اوت",
    IF(F193&lt;=100, 15, IF(F193&lt;=250, 20, IF(F193&lt;=500, 30, IF(F193&lt;=1000, 35, F193*0.035)))),
0)))</f>
        <v>0</v>
      </c>
      <c r="H193" s="159">
        <f>IF(I193="مخالفات",50,Basic345678910111213141516[[#This Row],[قيمة الرسوم / العموله]]+Basic345678910111213141516[[#This Row],[قيمة الشحنه]])</f>
        <v>0</v>
      </c>
      <c r="I193" s="90"/>
      <c r="J193" s="142" t="str">
        <f t="shared" si="2"/>
        <v>17.5.2026</v>
      </c>
      <c r="L193" s="153">
        <v>182</v>
      </c>
      <c r="M193" s="92"/>
    </row>
    <row r="194" spans="1:13" ht="21.6" x14ac:dyDescent="0.65">
      <c r="A194" s="195"/>
      <c r="B194" s="140">
        <v>191</v>
      </c>
      <c r="C194" s="2"/>
      <c r="D194" s="1"/>
      <c r="E194" s="3"/>
      <c r="F194" s="1"/>
      <c r="G194" s="141">
        <f>IF(Basic345678910111213141516[[#This Row],[نوع الخدمة]]="مخالفات", 50,
IF(Basic345678910111213141516[[#This Row],[نوع الخدمة]]="كاش ان",
    IF(F194&lt;=100, 18, IF(F194&lt;=250, 23, IF(F194&lt;=500, 35, IF(F194&lt;=1000, 40, F194*0.04)))),
IF(Basic345678910111213141516[[#This Row],[نوع الخدمة]]="كاش اوت",
    IF(F194&lt;=100, 15, IF(F194&lt;=250, 20, IF(F194&lt;=500, 30, IF(F194&lt;=1000, 35, F194*0.035)))),
0)))</f>
        <v>0</v>
      </c>
      <c r="H194" s="159">
        <f>IF(I194="مخالفات",50,Basic345678910111213141516[[#This Row],[قيمة الرسوم / العموله]]+Basic345678910111213141516[[#This Row],[قيمة الشحنه]])</f>
        <v>0</v>
      </c>
      <c r="I194" s="90"/>
      <c r="J194" s="142" t="str">
        <f t="shared" si="2"/>
        <v>17.5.2026</v>
      </c>
      <c r="L194" s="153">
        <v>183</v>
      </c>
      <c r="M194" s="92"/>
    </row>
    <row r="195" spans="1:13" ht="21.6" x14ac:dyDescent="0.65">
      <c r="A195" s="195"/>
      <c r="B195" s="140">
        <v>192</v>
      </c>
      <c r="C195" s="2"/>
      <c r="D195" s="1"/>
      <c r="E195" s="3"/>
      <c r="F195" s="1"/>
      <c r="G195" s="141">
        <f>IF(Basic345678910111213141516[[#This Row],[نوع الخدمة]]="مخالفات", 50,
IF(Basic345678910111213141516[[#This Row],[نوع الخدمة]]="كاش ان",
    IF(F195&lt;=100, 18, IF(F195&lt;=250, 23, IF(F195&lt;=500, 35, IF(F195&lt;=1000, 40, F195*0.04)))),
IF(Basic345678910111213141516[[#This Row],[نوع الخدمة]]="كاش اوت",
    IF(F195&lt;=100, 15, IF(F195&lt;=250, 20, IF(F195&lt;=500, 30, IF(F195&lt;=1000, 35, F195*0.035)))),
0)))</f>
        <v>0</v>
      </c>
      <c r="H195" s="159">
        <f>IF(I195="مخالفات",50,Basic345678910111213141516[[#This Row],[قيمة الرسوم / العموله]]+Basic345678910111213141516[[#This Row],[قيمة الشحنه]])</f>
        <v>0</v>
      </c>
      <c r="I195" s="90"/>
      <c r="J195" s="142" t="str">
        <f t="shared" si="2"/>
        <v>17.5.2026</v>
      </c>
      <c r="L195" s="153">
        <v>184</v>
      </c>
      <c r="M195" s="92"/>
    </row>
    <row r="196" spans="1:13" ht="21.6" x14ac:dyDescent="0.65">
      <c r="A196" s="195"/>
      <c r="B196" s="140">
        <v>193</v>
      </c>
      <c r="C196" s="2"/>
      <c r="D196" s="1"/>
      <c r="E196" s="3"/>
      <c r="F196" s="1"/>
      <c r="G196" s="141">
        <f>IF(Basic345678910111213141516[[#This Row],[نوع الخدمة]]="مخالفات", 50,
IF(Basic345678910111213141516[[#This Row],[نوع الخدمة]]="كاش ان",
    IF(F196&lt;=100, 18, IF(F196&lt;=250, 23, IF(F196&lt;=500, 35, IF(F196&lt;=1000, 40, F196*0.04)))),
IF(Basic345678910111213141516[[#This Row],[نوع الخدمة]]="كاش اوت",
    IF(F196&lt;=100, 15, IF(F196&lt;=250, 20, IF(F196&lt;=500, 30, IF(F196&lt;=1000, 35, F196*0.035)))),
0)))</f>
        <v>0</v>
      </c>
      <c r="H196" s="159">
        <f>IF(I196="مخالفات",50,Basic345678910111213141516[[#This Row],[قيمة الرسوم / العموله]]+Basic345678910111213141516[[#This Row],[قيمة الشحنه]])</f>
        <v>0</v>
      </c>
      <c r="I196" s="90"/>
      <c r="J196" s="142" t="str">
        <f t="shared" ref="J196:J226" si="3">M$3</f>
        <v>17.5.2026</v>
      </c>
      <c r="L196" s="153">
        <v>185</v>
      </c>
      <c r="M196" s="92"/>
    </row>
    <row r="197" spans="1:13" ht="21.6" x14ac:dyDescent="0.65">
      <c r="A197" s="195"/>
      <c r="B197" s="144">
        <v>194</v>
      </c>
      <c r="C197" s="2"/>
      <c r="D197" s="1"/>
      <c r="E197" s="3"/>
      <c r="F197" s="1"/>
      <c r="G197" s="141">
        <f>IF(Basic345678910111213141516[[#This Row],[نوع الخدمة]]="مخالفات", 50,
IF(Basic345678910111213141516[[#This Row],[نوع الخدمة]]="كاش ان",
    IF(F197&lt;=100, 18, IF(F197&lt;=250, 23, IF(F197&lt;=500, 35, IF(F197&lt;=1000, 40, F197*0.04)))),
IF(Basic345678910111213141516[[#This Row],[نوع الخدمة]]="كاش اوت",
    IF(F197&lt;=100, 15, IF(F197&lt;=250, 20, IF(F197&lt;=500, 30, IF(F197&lt;=1000, 35, F197*0.035)))),
0)))</f>
        <v>0</v>
      </c>
      <c r="H197" s="159">
        <f>IF(I197="مخالفات",50,Basic345678910111213141516[[#This Row],[قيمة الرسوم / العموله]]+Basic345678910111213141516[[#This Row],[قيمة الشحنه]])</f>
        <v>0</v>
      </c>
      <c r="I197" s="90"/>
      <c r="J197" s="142" t="str">
        <f t="shared" si="3"/>
        <v>17.5.2026</v>
      </c>
      <c r="L197" s="153">
        <v>186</v>
      </c>
      <c r="M197" s="92"/>
    </row>
    <row r="198" spans="1:13" ht="21.6" x14ac:dyDescent="0.65">
      <c r="A198" s="195"/>
      <c r="B198" s="140">
        <v>195</v>
      </c>
      <c r="C198" s="2"/>
      <c r="D198" s="1"/>
      <c r="E198" s="3"/>
      <c r="F198" s="1"/>
      <c r="G198" s="141">
        <f>IF(Basic345678910111213141516[[#This Row],[نوع الخدمة]]="مخالفات", 50,
IF(Basic345678910111213141516[[#This Row],[نوع الخدمة]]="كاش ان",
    IF(F198&lt;=100, 18, IF(F198&lt;=250, 23, IF(F198&lt;=500, 35, IF(F198&lt;=1000, 40, F198*0.04)))),
IF(Basic345678910111213141516[[#This Row],[نوع الخدمة]]="كاش اوت",
    IF(F198&lt;=100, 15, IF(F198&lt;=250, 20, IF(F198&lt;=500, 30, IF(F198&lt;=1000, 35, F198*0.035)))),
0)))</f>
        <v>0</v>
      </c>
      <c r="H198" s="159">
        <f>IF(I198="مخالفات",50,Basic345678910111213141516[[#This Row],[قيمة الرسوم / العموله]]+Basic345678910111213141516[[#This Row],[قيمة الشحنه]])</f>
        <v>0</v>
      </c>
      <c r="I198" s="90"/>
      <c r="J198" s="142" t="str">
        <f t="shared" si="3"/>
        <v>17.5.2026</v>
      </c>
      <c r="L198" s="153">
        <v>187</v>
      </c>
      <c r="M198" s="92"/>
    </row>
    <row r="199" spans="1:13" ht="21.6" x14ac:dyDescent="0.65">
      <c r="A199" s="195"/>
      <c r="B199" s="140">
        <v>196</v>
      </c>
      <c r="C199" s="2"/>
      <c r="D199" s="1"/>
      <c r="E199" s="3"/>
      <c r="F199" s="1"/>
      <c r="G199" s="141">
        <f>IF(Basic345678910111213141516[[#This Row],[نوع الخدمة]]="مخالفات", 50,
IF(Basic345678910111213141516[[#This Row],[نوع الخدمة]]="كاش ان",
    IF(F199&lt;=100, 18, IF(F199&lt;=250, 23, IF(F199&lt;=500, 35, IF(F199&lt;=1000, 40, F199*0.04)))),
IF(Basic345678910111213141516[[#This Row],[نوع الخدمة]]="كاش اوت",
    IF(F199&lt;=100, 15, IF(F199&lt;=250, 20, IF(F199&lt;=500, 30, IF(F199&lt;=1000, 35, F199*0.035)))),
0)))</f>
        <v>0</v>
      </c>
      <c r="H199" s="159">
        <f>IF(I199="مخالفات",50,Basic345678910111213141516[[#This Row],[قيمة الرسوم / العموله]]+Basic345678910111213141516[[#This Row],[قيمة الشحنه]])</f>
        <v>0</v>
      </c>
      <c r="I199" s="90"/>
      <c r="J199" s="142" t="str">
        <f t="shared" si="3"/>
        <v>17.5.2026</v>
      </c>
      <c r="L199" s="153">
        <v>188</v>
      </c>
      <c r="M199" s="92"/>
    </row>
    <row r="200" spans="1:13" ht="21.6" x14ac:dyDescent="0.65">
      <c r="A200" s="195"/>
      <c r="B200" s="140">
        <v>197</v>
      </c>
      <c r="C200" s="2"/>
      <c r="D200" s="1"/>
      <c r="E200" s="3"/>
      <c r="F200" s="1"/>
      <c r="G200" s="141">
        <f>IF(Basic345678910111213141516[[#This Row],[نوع الخدمة]]="مخالفات", 50,
IF(Basic345678910111213141516[[#This Row],[نوع الخدمة]]="كاش ان",
    IF(F200&lt;=100, 18, IF(F200&lt;=250, 23, IF(F200&lt;=500, 35, IF(F200&lt;=1000, 40, F200*0.04)))),
IF(Basic345678910111213141516[[#This Row],[نوع الخدمة]]="كاش اوت",
    IF(F200&lt;=100, 15, IF(F200&lt;=250, 20, IF(F200&lt;=500, 30, IF(F200&lt;=1000, 35, F200*0.035)))),
0)))</f>
        <v>0</v>
      </c>
      <c r="H200" s="159">
        <f>IF(I200="مخالفات",50,Basic345678910111213141516[[#This Row],[قيمة الرسوم / العموله]]+Basic345678910111213141516[[#This Row],[قيمة الشحنه]])</f>
        <v>0</v>
      </c>
      <c r="I200" s="90"/>
      <c r="J200" s="142" t="str">
        <f t="shared" si="3"/>
        <v>17.5.2026</v>
      </c>
      <c r="L200" s="153">
        <v>189</v>
      </c>
      <c r="M200" s="92"/>
    </row>
    <row r="201" spans="1:13" ht="21.6" x14ac:dyDescent="0.65">
      <c r="A201" s="195"/>
      <c r="B201" s="144">
        <v>198</v>
      </c>
      <c r="C201" s="2"/>
      <c r="D201" s="1"/>
      <c r="E201" s="3"/>
      <c r="F201" s="1"/>
      <c r="G201" s="141">
        <f>IF(Basic345678910111213141516[[#This Row],[نوع الخدمة]]="مخالفات", 50,
IF(Basic345678910111213141516[[#This Row],[نوع الخدمة]]="كاش ان",
    IF(F201&lt;=100, 18, IF(F201&lt;=250, 23, IF(F201&lt;=500, 35, IF(F201&lt;=1000, 40, F201*0.04)))),
IF(Basic345678910111213141516[[#This Row],[نوع الخدمة]]="كاش اوت",
    IF(F201&lt;=100, 15, IF(F201&lt;=250, 20, IF(F201&lt;=500, 30, IF(F201&lt;=1000, 35, F201*0.035)))),
0)))</f>
        <v>0</v>
      </c>
      <c r="H201" s="159">
        <f>IF(I201="مخالفات",50,Basic345678910111213141516[[#This Row],[قيمة الرسوم / العموله]]+Basic345678910111213141516[[#This Row],[قيمة الشحنه]])</f>
        <v>0</v>
      </c>
      <c r="I201" s="90"/>
      <c r="J201" s="142" t="str">
        <f t="shared" si="3"/>
        <v>17.5.2026</v>
      </c>
      <c r="L201" s="153">
        <v>190</v>
      </c>
      <c r="M201" s="92"/>
    </row>
    <row r="202" spans="1:13" ht="21.6" x14ac:dyDescent="0.65">
      <c r="A202" s="195"/>
      <c r="B202" s="140">
        <v>199</v>
      </c>
      <c r="C202" s="2"/>
      <c r="D202" s="1"/>
      <c r="E202" s="3"/>
      <c r="F202" s="1"/>
      <c r="G202" s="141">
        <f>IF(Basic345678910111213141516[[#This Row],[نوع الخدمة]]="مخالفات", 50,
IF(Basic345678910111213141516[[#This Row],[نوع الخدمة]]="كاش ان",
    IF(F202&lt;=100, 18, IF(F202&lt;=250, 23, IF(F202&lt;=500, 35, IF(F202&lt;=1000, 40, F202*0.04)))),
IF(Basic345678910111213141516[[#This Row],[نوع الخدمة]]="كاش اوت",
    IF(F202&lt;=100, 15, IF(F202&lt;=250, 20, IF(F202&lt;=500, 30, IF(F202&lt;=1000, 35, F202*0.035)))),
0)))</f>
        <v>0</v>
      </c>
      <c r="H202" s="159">
        <f>IF(I202="مخالفات",50,Basic345678910111213141516[[#This Row],[قيمة الرسوم / العموله]]+Basic345678910111213141516[[#This Row],[قيمة الشحنه]])</f>
        <v>0</v>
      </c>
      <c r="I202" s="90"/>
      <c r="J202" s="142" t="str">
        <f t="shared" si="3"/>
        <v>17.5.2026</v>
      </c>
      <c r="L202" s="153">
        <v>191</v>
      </c>
      <c r="M202" s="92"/>
    </row>
    <row r="203" spans="1:13" ht="21.6" x14ac:dyDescent="0.65">
      <c r="A203" s="195"/>
      <c r="B203" s="140">
        <v>200</v>
      </c>
      <c r="C203" s="2"/>
      <c r="D203" s="1"/>
      <c r="E203" s="3"/>
      <c r="F203" s="1"/>
      <c r="G203" s="141">
        <f>IF(Basic345678910111213141516[[#This Row],[نوع الخدمة]]="مخالفات", 50,
IF(Basic345678910111213141516[[#This Row],[نوع الخدمة]]="كاش ان",
    IF(F203&lt;=100, 18, IF(F203&lt;=250, 23, IF(F203&lt;=500, 35, IF(F203&lt;=1000, 40, F203*0.04)))),
IF(Basic345678910111213141516[[#This Row],[نوع الخدمة]]="كاش اوت",
    IF(F203&lt;=100, 15, IF(F203&lt;=250, 20, IF(F203&lt;=500, 30, IF(F203&lt;=1000, 35, F203*0.035)))),
0)))</f>
        <v>0</v>
      </c>
      <c r="H203" s="159">
        <f>IF(I203="مخالفات",50,Basic345678910111213141516[[#This Row],[قيمة الرسوم / العموله]]+Basic345678910111213141516[[#This Row],[قيمة الشحنه]])</f>
        <v>0</v>
      </c>
      <c r="I203" s="90"/>
      <c r="J203" s="142" t="str">
        <f t="shared" si="3"/>
        <v>17.5.2026</v>
      </c>
      <c r="L203" s="153">
        <v>192</v>
      </c>
      <c r="M203" s="92"/>
    </row>
    <row r="204" spans="1:13" ht="21.6" x14ac:dyDescent="0.65">
      <c r="A204" s="195"/>
      <c r="B204" s="140">
        <v>201</v>
      </c>
      <c r="C204" s="2"/>
      <c r="D204" s="1"/>
      <c r="E204" s="3"/>
      <c r="F204" s="1"/>
      <c r="G204" s="141">
        <f>IF(Basic345678910111213141516[[#This Row],[نوع الخدمة]]="مخالفات", 50,
IF(Basic345678910111213141516[[#This Row],[نوع الخدمة]]="كاش ان",
    IF(F204&lt;=100, 18, IF(F204&lt;=250, 23, IF(F204&lt;=500, 35, IF(F204&lt;=1000, 40, F204*0.04)))),
IF(Basic345678910111213141516[[#This Row],[نوع الخدمة]]="كاش اوت",
    IF(F204&lt;=100, 15, IF(F204&lt;=250, 20, IF(F204&lt;=500, 30, IF(F204&lt;=1000, 35, F204*0.035)))),
0)))</f>
        <v>0</v>
      </c>
      <c r="H204" s="159">
        <f>IF(I204="مخالفات",50,Basic345678910111213141516[[#This Row],[قيمة الرسوم / العموله]]+Basic345678910111213141516[[#This Row],[قيمة الشحنه]])</f>
        <v>0</v>
      </c>
      <c r="I204" s="90"/>
      <c r="J204" s="142" t="str">
        <f t="shared" si="3"/>
        <v>17.5.2026</v>
      </c>
      <c r="L204" s="153">
        <v>193</v>
      </c>
      <c r="M204" s="92"/>
    </row>
    <row r="205" spans="1:13" ht="21.6" x14ac:dyDescent="0.65">
      <c r="A205" s="195"/>
      <c r="B205" s="144">
        <v>202</v>
      </c>
      <c r="C205" s="2"/>
      <c r="D205" s="1"/>
      <c r="E205" s="3"/>
      <c r="F205" s="1"/>
      <c r="G205" s="141">
        <f>IF(Basic345678910111213141516[[#This Row],[نوع الخدمة]]="مخالفات", 50,
IF(Basic345678910111213141516[[#This Row],[نوع الخدمة]]="كاش ان",
    IF(F205&lt;=100, 18, IF(F205&lt;=250, 23, IF(F205&lt;=500, 35, IF(F205&lt;=1000, 40, F205*0.04)))),
IF(Basic345678910111213141516[[#This Row],[نوع الخدمة]]="كاش اوت",
    IF(F205&lt;=100, 15, IF(F205&lt;=250, 20, IF(F205&lt;=500, 30, IF(F205&lt;=1000, 35, F205*0.035)))),
0)))</f>
        <v>0</v>
      </c>
      <c r="H205" s="159">
        <f>IF(I205="مخالفات",50,Basic345678910111213141516[[#This Row],[قيمة الرسوم / العموله]]+Basic345678910111213141516[[#This Row],[قيمة الشحنه]])</f>
        <v>0</v>
      </c>
      <c r="I205" s="90"/>
      <c r="J205" s="142" t="str">
        <f t="shared" si="3"/>
        <v>17.5.2026</v>
      </c>
      <c r="L205" s="153">
        <v>194</v>
      </c>
      <c r="M205" s="92"/>
    </row>
    <row r="206" spans="1:13" ht="21.6" x14ac:dyDescent="0.65">
      <c r="A206" s="195"/>
      <c r="B206" s="140">
        <v>203</v>
      </c>
      <c r="C206" s="2"/>
      <c r="D206" s="1"/>
      <c r="E206" s="3"/>
      <c r="F206" s="1"/>
      <c r="G206" s="141">
        <f>IF(Basic345678910111213141516[[#This Row],[نوع الخدمة]]="مخالفات", 50,
IF(Basic345678910111213141516[[#This Row],[نوع الخدمة]]="كاش ان",
    IF(F206&lt;=100, 18, IF(F206&lt;=250, 23, IF(F206&lt;=500, 35, IF(F206&lt;=1000, 40, F206*0.04)))),
IF(Basic345678910111213141516[[#This Row],[نوع الخدمة]]="كاش اوت",
    IF(F206&lt;=100, 15, IF(F206&lt;=250, 20, IF(F206&lt;=500, 30, IF(F206&lt;=1000, 35, F206*0.035)))),
0)))</f>
        <v>0</v>
      </c>
      <c r="H206" s="159">
        <f>IF(I206="مخالفات",50,Basic345678910111213141516[[#This Row],[قيمة الرسوم / العموله]]+Basic345678910111213141516[[#This Row],[قيمة الشحنه]])</f>
        <v>0</v>
      </c>
      <c r="I206" s="90"/>
      <c r="J206" s="142" t="str">
        <f t="shared" si="3"/>
        <v>17.5.2026</v>
      </c>
      <c r="L206" s="153">
        <v>195</v>
      </c>
      <c r="M206" s="92"/>
    </row>
    <row r="207" spans="1:13" ht="21.6" x14ac:dyDescent="0.65">
      <c r="A207" s="195"/>
      <c r="B207" s="140">
        <v>204</v>
      </c>
      <c r="C207" s="2"/>
      <c r="D207" s="1"/>
      <c r="E207" s="3"/>
      <c r="F207" s="1"/>
      <c r="G207" s="141">
        <f>IF(Basic345678910111213141516[[#This Row],[نوع الخدمة]]="مخالفات", 50,
IF(Basic345678910111213141516[[#This Row],[نوع الخدمة]]="كاش ان",
    IF(F207&lt;=100, 18, IF(F207&lt;=250, 23, IF(F207&lt;=500, 35, IF(F207&lt;=1000, 40, F207*0.04)))),
IF(Basic345678910111213141516[[#This Row],[نوع الخدمة]]="كاش اوت",
    IF(F207&lt;=100, 15, IF(F207&lt;=250, 20, IF(F207&lt;=500, 30, IF(F207&lt;=1000, 35, F207*0.035)))),
0)))</f>
        <v>0</v>
      </c>
      <c r="H207" s="159">
        <f>IF(I207="مخالفات",50,Basic345678910111213141516[[#This Row],[قيمة الرسوم / العموله]]+Basic345678910111213141516[[#This Row],[قيمة الشحنه]])</f>
        <v>0</v>
      </c>
      <c r="I207" s="90"/>
      <c r="J207" s="142" t="str">
        <f t="shared" si="3"/>
        <v>17.5.2026</v>
      </c>
      <c r="L207" s="153">
        <v>196</v>
      </c>
      <c r="M207" s="92"/>
    </row>
    <row r="208" spans="1:13" ht="21.6" x14ac:dyDescent="0.65">
      <c r="A208" s="195"/>
      <c r="B208" s="140">
        <v>205</v>
      </c>
      <c r="C208" s="2"/>
      <c r="D208" s="1"/>
      <c r="E208" s="3"/>
      <c r="F208" s="1"/>
      <c r="G208" s="141">
        <f>IF(Basic345678910111213141516[[#This Row],[نوع الخدمة]]="مخالفات", 50,
IF(Basic345678910111213141516[[#This Row],[نوع الخدمة]]="كاش ان",
    IF(F208&lt;=100, 18, IF(F208&lt;=250, 23, IF(F208&lt;=500, 35, IF(F208&lt;=1000, 40, F208*0.04)))),
IF(Basic345678910111213141516[[#This Row],[نوع الخدمة]]="كاش اوت",
    IF(F208&lt;=100, 15, IF(F208&lt;=250, 20, IF(F208&lt;=500, 30, IF(F208&lt;=1000, 35, F208*0.035)))),
0)))</f>
        <v>0</v>
      </c>
      <c r="H208" s="159">
        <f>IF(I208="مخالفات",50,Basic345678910111213141516[[#This Row],[قيمة الرسوم / العموله]]+Basic345678910111213141516[[#This Row],[قيمة الشحنه]])</f>
        <v>0</v>
      </c>
      <c r="I208" s="90"/>
      <c r="J208" s="142" t="str">
        <f t="shared" si="3"/>
        <v>17.5.2026</v>
      </c>
      <c r="L208" s="153">
        <v>197</v>
      </c>
      <c r="M208" s="92"/>
    </row>
    <row r="209" spans="1:13" ht="21.6" x14ac:dyDescent="0.65">
      <c r="A209" s="195"/>
      <c r="B209" s="144">
        <v>206</v>
      </c>
      <c r="C209" s="2"/>
      <c r="D209" s="1"/>
      <c r="E209" s="3"/>
      <c r="F209" s="1"/>
      <c r="G209" s="141">
        <f>IF(Basic345678910111213141516[[#This Row],[نوع الخدمة]]="مخالفات", 50,
IF(Basic345678910111213141516[[#This Row],[نوع الخدمة]]="كاش ان",
    IF(F209&lt;=100, 18, IF(F209&lt;=250, 23, IF(F209&lt;=500, 35, IF(F209&lt;=1000, 40, F209*0.04)))),
IF(Basic345678910111213141516[[#This Row],[نوع الخدمة]]="كاش اوت",
    IF(F209&lt;=100, 15, IF(F209&lt;=250, 20, IF(F209&lt;=500, 30, IF(F209&lt;=1000, 35, F209*0.035)))),
0)))</f>
        <v>0</v>
      </c>
      <c r="H209" s="159">
        <f>IF(I209="مخالفات",50,Basic345678910111213141516[[#This Row],[قيمة الرسوم / العموله]]+Basic345678910111213141516[[#This Row],[قيمة الشحنه]])</f>
        <v>0</v>
      </c>
      <c r="I209" s="90"/>
      <c r="J209" s="142" t="str">
        <f t="shared" si="3"/>
        <v>17.5.2026</v>
      </c>
      <c r="L209" s="153">
        <v>198</v>
      </c>
      <c r="M209" s="92"/>
    </row>
    <row r="210" spans="1:13" ht="21.6" x14ac:dyDescent="0.65">
      <c r="A210" s="195"/>
      <c r="B210" s="140">
        <v>207</v>
      </c>
      <c r="C210" s="2"/>
      <c r="D210" s="1"/>
      <c r="E210" s="3"/>
      <c r="F210" s="1"/>
      <c r="G210" s="141">
        <f>IF(Basic345678910111213141516[[#This Row],[نوع الخدمة]]="مخالفات", 50,
IF(Basic345678910111213141516[[#This Row],[نوع الخدمة]]="كاش ان",
    IF(F210&lt;=100, 18, IF(F210&lt;=250, 23, IF(F210&lt;=500, 35, IF(F210&lt;=1000, 40, F210*0.04)))),
IF(Basic345678910111213141516[[#This Row],[نوع الخدمة]]="كاش اوت",
    IF(F210&lt;=100, 15, IF(F210&lt;=250, 20, IF(F210&lt;=500, 30, IF(F210&lt;=1000, 35, F210*0.035)))),
0)))</f>
        <v>0</v>
      </c>
      <c r="H210" s="159">
        <f>IF(I210="مخالفات",50,Basic345678910111213141516[[#This Row],[قيمة الرسوم / العموله]]+Basic345678910111213141516[[#This Row],[قيمة الشحنه]])</f>
        <v>0</v>
      </c>
      <c r="I210" s="90"/>
      <c r="J210" s="142" t="str">
        <f t="shared" si="3"/>
        <v>17.5.2026</v>
      </c>
      <c r="L210" s="153">
        <v>199</v>
      </c>
      <c r="M210" s="92"/>
    </row>
    <row r="211" spans="1:13" ht="21.6" x14ac:dyDescent="0.65">
      <c r="A211" s="195"/>
      <c r="B211" s="140">
        <v>208</v>
      </c>
      <c r="C211" s="2"/>
      <c r="D211" s="1"/>
      <c r="E211" s="3"/>
      <c r="F211" s="1"/>
      <c r="G211" s="141">
        <f>IF(Basic345678910111213141516[[#This Row],[نوع الخدمة]]="مخالفات", 50,
IF(Basic345678910111213141516[[#This Row],[نوع الخدمة]]="كاش ان",
    IF(F211&lt;=100, 18, IF(F211&lt;=250, 23, IF(F211&lt;=500, 35, IF(F211&lt;=1000, 40, F211*0.04)))),
IF(Basic345678910111213141516[[#This Row],[نوع الخدمة]]="كاش اوت",
    IF(F211&lt;=100, 15, IF(F211&lt;=250, 20, IF(F211&lt;=500, 30, IF(F211&lt;=1000, 35, F211*0.035)))),
0)))</f>
        <v>0</v>
      </c>
      <c r="H211" s="159">
        <f>IF(I211="مخالفات",50,Basic345678910111213141516[[#This Row],[قيمة الرسوم / العموله]]+Basic345678910111213141516[[#This Row],[قيمة الشحنه]])</f>
        <v>0</v>
      </c>
      <c r="I211" s="90"/>
      <c r="J211" s="142" t="str">
        <f t="shared" si="3"/>
        <v>17.5.2026</v>
      </c>
      <c r="L211" s="153">
        <v>200</v>
      </c>
      <c r="M211" s="92"/>
    </row>
    <row r="212" spans="1:13" ht="21.6" x14ac:dyDescent="0.65">
      <c r="A212" s="195"/>
      <c r="B212" s="140">
        <v>209</v>
      </c>
      <c r="C212" s="2"/>
      <c r="D212" s="1"/>
      <c r="E212" s="3"/>
      <c r="F212" s="1"/>
      <c r="G212" s="141">
        <f>IF(Basic345678910111213141516[[#This Row],[نوع الخدمة]]="مخالفات", 50,
IF(Basic345678910111213141516[[#This Row],[نوع الخدمة]]="كاش ان",
    IF(F212&lt;=100, 18, IF(F212&lt;=250, 23, IF(F212&lt;=500, 35, IF(F212&lt;=1000, 40, F212*0.04)))),
IF(Basic345678910111213141516[[#This Row],[نوع الخدمة]]="كاش اوت",
    IF(F212&lt;=100, 15, IF(F212&lt;=250, 20, IF(F212&lt;=500, 30, IF(F212&lt;=1000, 35, F212*0.035)))),
0)))</f>
        <v>0</v>
      </c>
      <c r="H212" s="159">
        <f>IF(I212="مخالفات",50,Basic345678910111213141516[[#This Row],[قيمة الرسوم / العموله]]+Basic345678910111213141516[[#This Row],[قيمة الشحنه]])</f>
        <v>0</v>
      </c>
      <c r="I212" s="90"/>
      <c r="J212" s="142" t="str">
        <f t="shared" si="3"/>
        <v>17.5.2026</v>
      </c>
      <c r="L212" s="153">
        <v>201</v>
      </c>
      <c r="M212" s="92"/>
    </row>
    <row r="213" spans="1:13" ht="21.6" x14ac:dyDescent="0.65">
      <c r="A213" s="195"/>
      <c r="B213" s="144">
        <v>210</v>
      </c>
      <c r="C213" s="2"/>
      <c r="D213" s="1"/>
      <c r="E213" s="3"/>
      <c r="F213" s="1"/>
      <c r="G213" s="141">
        <f>IF(Basic345678910111213141516[[#This Row],[نوع الخدمة]]="مخالفات", 50,
IF(Basic345678910111213141516[[#This Row],[نوع الخدمة]]="كاش ان",
    IF(F213&lt;=100, 18, IF(F213&lt;=250, 23, IF(F213&lt;=500, 35, IF(F213&lt;=1000, 40, F213*0.04)))),
IF(Basic345678910111213141516[[#This Row],[نوع الخدمة]]="كاش اوت",
    IF(F213&lt;=100, 15, IF(F213&lt;=250, 20, IF(F213&lt;=500, 30, IF(F213&lt;=1000, 35, F213*0.035)))),
0)))</f>
        <v>0</v>
      </c>
      <c r="H213" s="159">
        <f>IF(I213="مخالفات",50,Basic345678910111213141516[[#This Row],[قيمة الرسوم / العموله]]+Basic345678910111213141516[[#This Row],[قيمة الشحنه]])</f>
        <v>0</v>
      </c>
      <c r="I213" s="90"/>
      <c r="J213" s="142" t="str">
        <f t="shared" si="3"/>
        <v>17.5.2026</v>
      </c>
      <c r="L213" s="153">
        <v>202</v>
      </c>
      <c r="M213" s="92"/>
    </row>
    <row r="214" spans="1:13" ht="21.6" x14ac:dyDescent="0.65">
      <c r="A214" s="195"/>
      <c r="B214" s="140">
        <v>211</v>
      </c>
      <c r="C214" s="2"/>
      <c r="D214" s="1"/>
      <c r="E214" s="3"/>
      <c r="F214" s="1"/>
      <c r="G214" s="141">
        <f>IF(Basic345678910111213141516[[#This Row],[نوع الخدمة]]="مخالفات", 50,
IF(Basic345678910111213141516[[#This Row],[نوع الخدمة]]="كاش ان",
    IF(F214&lt;=100, 18, IF(F214&lt;=250, 23, IF(F214&lt;=500, 35, IF(F214&lt;=1000, 40, F214*0.04)))),
IF(Basic345678910111213141516[[#This Row],[نوع الخدمة]]="كاش اوت",
    IF(F214&lt;=100, 15, IF(F214&lt;=250, 20, IF(F214&lt;=500, 30, IF(F214&lt;=1000, 35, F214*0.035)))),
0)))</f>
        <v>0</v>
      </c>
      <c r="H214" s="159">
        <f>IF(I214="مخالفات",50,Basic345678910111213141516[[#This Row],[قيمة الرسوم / العموله]]+Basic345678910111213141516[[#This Row],[قيمة الشحنه]])</f>
        <v>0</v>
      </c>
      <c r="I214" s="90"/>
      <c r="J214" s="142" t="str">
        <f t="shared" si="3"/>
        <v>17.5.2026</v>
      </c>
      <c r="L214" s="153">
        <v>203</v>
      </c>
      <c r="M214" s="92"/>
    </row>
    <row r="215" spans="1:13" ht="21.6" x14ac:dyDescent="0.65">
      <c r="A215" s="195"/>
      <c r="B215" s="140">
        <v>212</v>
      </c>
      <c r="C215" s="2"/>
      <c r="D215" s="1"/>
      <c r="E215" s="3"/>
      <c r="F215" s="1"/>
      <c r="G215" s="141">
        <f>IF(Basic345678910111213141516[[#This Row],[نوع الخدمة]]="مخالفات", 50,
IF(Basic345678910111213141516[[#This Row],[نوع الخدمة]]="كاش ان",
    IF(F215&lt;=100, 18, IF(F215&lt;=250, 23, IF(F215&lt;=500, 35, IF(F215&lt;=1000, 40, F215*0.04)))),
IF(Basic345678910111213141516[[#This Row],[نوع الخدمة]]="كاش اوت",
    IF(F215&lt;=100, 15, IF(F215&lt;=250, 20, IF(F215&lt;=500, 30, IF(F215&lt;=1000, 35, F215*0.035)))),
0)))</f>
        <v>0</v>
      </c>
      <c r="H215" s="159">
        <f>IF(I215="مخالفات",50,Basic345678910111213141516[[#This Row],[قيمة الرسوم / العموله]]+Basic345678910111213141516[[#This Row],[قيمة الشحنه]])</f>
        <v>0</v>
      </c>
      <c r="I215" s="90"/>
      <c r="J215" s="142" t="str">
        <f t="shared" si="3"/>
        <v>17.5.2026</v>
      </c>
      <c r="L215" s="153">
        <v>204</v>
      </c>
      <c r="M215" s="92"/>
    </row>
    <row r="216" spans="1:13" ht="21.6" x14ac:dyDescent="0.65">
      <c r="A216" s="195"/>
      <c r="B216" s="140">
        <v>213</v>
      </c>
      <c r="C216" s="2"/>
      <c r="D216" s="1"/>
      <c r="E216" s="3"/>
      <c r="F216" s="1"/>
      <c r="G216" s="141">
        <f>IF(Basic345678910111213141516[[#This Row],[نوع الخدمة]]="مخالفات", 50,
IF(Basic345678910111213141516[[#This Row],[نوع الخدمة]]="كاش ان",
    IF(F216&lt;=100, 18, IF(F216&lt;=250, 23, IF(F216&lt;=500, 35, IF(F216&lt;=1000, 40, F216*0.04)))),
IF(Basic345678910111213141516[[#This Row],[نوع الخدمة]]="كاش اوت",
    IF(F216&lt;=100, 15, IF(F216&lt;=250, 20, IF(F216&lt;=500, 30, IF(F216&lt;=1000, 35, F216*0.035)))),
0)))</f>
        <v>0</v>
      </c>
      <c r="H216" s="159">
        <f>IF(I216="مخالفات",50,Basic345678910111213141516[[#This Row],[قيمة الرسوم / العموله]]+Basic345678910111213141516[[#This Row],[قيمة الشحنه]])</f>
        <v>0</v>
      </c>
      <c r="I216" s="90"/>
      <c r="J216" s="142" t="str">
        <f t="shared" si="3"/>
        <v>17.5.2026</v>
      </c>
      <c r="L216" s="153">
        <v>205</v>
      </c>
      <c r="M216" s="92"/>
    </row>
    <row r="217" spans="1:13" ht="21.6" x14ac:dyDescent="0.65">
      <c r="A217" s="195"/>
      <c r="B217" s="144">
        <v>214</v>
      </c>
      <c r="C217" s="2"/>
      <c r="D217" s="1"/>
      <c r="E217" s="3"/>
      <c r="F217" s="1"/>
      <c r="G217" s="141">
        <f>IF(Basic345678910111213141516[[#This Row],[نوع الخدمة]]="مخالفات", 50,
IF(Basic345678910111213141516[[#This Row],[نوع الخدمة]]="كاش ان",
    IF(F217&lt;=100, 18, IF(F217&lt;=250, 23, IF(F217&lt;=500, 35, IF(F217&lt;=1000, 40, F217*0.04)))),
IF(Basic345678910111213141516[[#This Row],[نوع الخدمة]]="كاش اوت",
    IF(F217&lt;=100, 15, IF(F217&lt;=250, 20, IF(F217&lt;=500, 30, IF(F217&lt;=1000, 35, F217*0.035)))),
0)))</f>
        <v>0</v>
      </c>
      <c r="H217" s="159">
        <f>IF(I217="مخالفات",50,Basic345678910111213141516[[#This Row],[قيمة الرسوم / العموله]]+Basic345678910111213141516[[#This Row],[قيمة الشحنه]])</f>
        <v>0</v>
      </c>
      <c r="I217" s="90"/>
      <c r="J217" s="142" t="str">
        <f t="shared" si="3"/>
        <v>17.5.2026</v>
      </c>
      <c r="L217" s="153">
        <v>206</v>
      </c>
      <c r="M217" s="92"/>
    </row>
    <row r="218" spans="1:13" ht="21.6" x14ac:dyDescent="0.65">
      <c r="A218" s="195"/>
      <c r="B218" s="140">
        <v>215</v>
      </c>
      <c r="C218" s="2"/>
      <c r="D218" s="1"/>
      <c r="E218" s="3"/>
      <c r="F218" s="1"/>
      <c r="G218" s="141">
        <f>IF(Basic345678910111213141516[[#This Row],[نوع الخدمة]]="مخالفات", 50,
IF(Basic345678910111213141516[[#This Row],[نوع الخدمة]]="كاش ان",
    IF(F218&lt;=100, 18, IF(F218&lt;=250, 23, IF(F218&lt;=500, 35, IF(F218&lt;=1000, 40, F218*0.04)))),
IF(Basic345678910111213141516[[#This Row],[نوع الخدمة]]="كاش اوت",
    IF(F218&lt;=100, 15, IF(F218&lt;=250, 20, IF(F218&lt;=500, 30, IF(F218&lt;=1000, 35, F218*0.035)))),
0)))</f>
        <v>0</v>
      </c>
      <c r="H218" s="159">
        <f>IF(I218="مخالفات",50,Basic345678910111213141516[[#This Row],[قيمة الرسوم / العموله]]+Basic345678910111213141516[[#This Row],[قيمة الشحنه]])</f>
        <v>0</v>
      </c>
      <c r="I218" s="90"/>
      <c r="J218" s="142" t="str">
        <f t="shared" si="3"/>
        <v>17.5.2026</v>
      </c>
      <c r="L218" s="153">
        <v>207</v>
      </c>
      <c r="M218" s="92"/>
    </row>
    <row r="219" spans="1:13" ht="21.6" x14ac:dyDescent="0.65">
      <c r="A219" s="195"/>
      <c r="B219" s="140">
        <v>216</v>
      </c>
      <c r="C219" s="2"/>
      <c r="D219" s="1"/>
      <c r="E219" s="3"/>
      <c r="F219" s="1"/>
      <c r="G219" s="141">
        <f>IF(Basic345678910111213141516[[#This Row],[نوع الخدمة]]="مخالفات", 50,
IF(Basic345678910111213141516[[#This Row],[نوع الخدمة]]="كاش ان",
    IF(F219&lt;=100, 18, IF(F219&lt;=250, 23, IF(F219&lt;=500, 35, IF(F219&lt;=1000, 40, F219*0.04)))),
IF(Basic345678910111213141516[[#This Row],[نوع الخدمة]]="كاش اوت",
    IF(F219&lt;=100, 15, IF(F219&lt;=250, 20, IF(F219&lt;=500, 30, IF(F219&lt;=1000, 35, F219*0.035)))),
0)))</f>
        <v>0</v>
      </c>
      <c r="H219" s="159">
        <f>IF(I219="مخالفات",50,Basic345678910111213141516[[#This Row],[قيمة الرسوم / العموله]]+Basic345678910111213141516[[#This Row],[قيمة الشحنه]])</f>
        <v>0</v>
      </c>
      <c r="I219" s="90"/>
      <c r="J219" s="142" t="str">
        <f t="shared" si="3"/>
        <v>17.5.2026</v>
      </c>
      <c r="L219" s="153">
        <v>208</v>
      </c>
      <c r="M219" s="92"/>
    </row>
    <row r="220" spans="1:13" ht="21.6" x14ac:dyDescent="0.65">
      <c r="A220" s="195"/>
      <c r="B220" s="140">
        <v>217</v>
      </c>
      <c r="C220" s="2"/>
      <c r="D220" s="1"/>
      <c r="E220" s="3"/>
      <c r="F220" s="1"/>
      <c r="G220" s="141">
        <f>IF(Basic345678910111213141516[[#This Row],[نوع الخدمة]]="مخالفات", 50,
IF(Basic345678910111213141516[[#This Row],[نوع الخدمة]]="كاش ان",
    IF(F220&lt;=100, 18, IF(F220&lt;=250, 23, IF(F220&lt;=500, 35, IF(F220&lt;=1000, 40, F220*0.04)))),
IF(Basic345678910111213141516[[#This Row],[نوع الخدمة]]="كاش اوت",
    IF(F220&lt;=100, 15, IF(F220&lt;=250, 20, IF(F220&lt;=500, 30, IF(F220&lt;=1000, 35, F220*0.035)))),
0)))</f>
        <v>0</v>
      </c>
      <c r="H220" s="159">
        <f>IF(I220="مخالفات",50,Basic345678910111213141516[[#This Row],[قيمة الرسوم / العموله]]+Basic345678910111213141516[[#This Row],[قيمة الشحنه]])</f>
        <v>0</v>
      </c>
      <c r="I220" s="90"/>
      <c r="J220" s="142" t="str">
        <f t="shared" si="3"/>
        <v>17.5.2026</v>
      </c>
      <c r="L220" s="153">
        <v>209</v>
      </c>
      <c r="M220" s="92"/>
    </row>
    <row r="221" spans="1:13" ht="21.6" x14ac:dyDescent="0.65">
      <c r="A221" s="195"/>
      <c r="B221" s="144">
        <v>218</v>
      </c>
      <c r="C221" s="2"/>
      <c r="D221" s="1"/>
      <c r="E221" s="3"/>
      <c r="F221" s="1"/>
      <c r="G221" s="141">
        <f>IF(Basic345678910111213141516[[#This Row],[نوع الخدمة]]="مخالفات", 50,
IF(Basic345678910111213141516[[#This Row],[نوع الخدمة]]="كاش ان",
    IF(F221&lt;=100, 18, IF(F221&lt;=250, 23, IF(F221&lt;=500, 35, IF(F221&lt;=1000, 40, F221*0.04)))),
IF(Basic345678910111213141516[[#This Row],[نوع الخدمة]]="كاش اوت",
    IF(F221&lt;=100, 15, IF(F221&lt;=250, 20, IF(F221&lt;=500, 30, IF(F221&lt;=1000, 35, F221*0.035)))),
0)))</f>
        <v>0</v>
      </c>
      <c r="H221" s="159">
        <f>IF(I221="مخالفات",50,Basic345678910111213141516[[#This Row],[قيمة الرسوم / العموله]]+Basic345678910111213141516[[#This Row],[قيمة الشحنه]])</f>
        <v>0</v>
      </c>
      <c r="I221" s="90"/>
      <c r="J221" s="142" t="str">
        <f t="shared" si="3"/>
        <v>17.5.2026</v>
      </c>
      <c r="L221" s="153">
        <v>210</v>
      </c>
      <c r="M221" s="92"/>
    </row>
    <row r="222" spans="1:13" ht="21.6" x14ac:dyDescent="0.65">
      <c r="A222" s="195"/>
      <c r="B222" s="140">
        <v>219</v>
      </c>
      <c r="C222" s="2"/>
      <c r="D222" s="1"/>
      <c r="E222" s="3"/>
      <c r="F222" s="1"/>
      <c r="G222" s="141">
        <f>IF(Basic345678910111213141516[[#This Row],[نوع الخدمة]]="مخالفات", 50,
IF(Basic345678910111213141516[[#This Row],[نوع الخدمة]]="كاش ان",
    IF(F222&lt;=100, 18, IF(F222&lt;=250, 23, IF(F222&lt;=500, 35, IF(F222&lt;=1000, 40, F222*0.04)))),
IF(Basic345678910111213141516[[#This Row],[نوع الخدمة]]="كاش اوت",
    IF(F222&lt;=100, 15, IF(F222&lt;=250, 20, IF(F222&lt;=500, 30, IF(F222&lt;=1000, 35, F222*0.035)))),
0)))</f>
        <v>0</v>
      </c>
      <c r="H222" s="159">
        <f>IF(I222="مخالفات",50,Basic345678910111213141516[[#This Row],[قيمة الرسوم / العموله]]+Basic345678910111213141516[[#This Row],[قيمة الشحنه]])</f>
        <v>0</v>
      </c>
      <c r="I222" s="90"/>
      <c r="J222" s="142" t="str">
        <f t="shared" si="3"/>
        <v>17.5.2026</v>
      </c>
      <c r="L222" s="153">
        <v>211</v>
      </c>
      <c r="M222" s="92"/>
    </row>
    <row r="223" spans="1:13" ht="21.6" x14ac:dyDescent="0.65">
      <c r="A223" s="195"/>
      <c r="B223" s="140">
        <v>220</v>
      </c>
      <c r="C223" s="2"/>
      <c r="D223" s="1"/>
      <c r="E223" s="3"/>
      <c r="F223" s="1"/>
      <c r="G223" s="141">
        <f>IF(Basic345678910111213141516[[#This Row],[نوع الخدمة]]="مخالفات", 50,
IF(Basic345678910111213141516[[#This Row],[نوع الخدمة]]="كاش ان",
    IF(F223&lt;=100, 18, IF(F223&lt;=250, 23, IF(F223&lt;=500, 35, IF(F223&lt;=1000, 40, F223*0.04)))),
IF(Basic345678910111213141516[[#This Row],[نوع الخدمة]]="كاش اوت",
    IF(F223&lt;=100, 15, IF(F223&lt;=250, 20, IF(F223&lt;=500, 30, IF(F223&lt;=1000, 35, F223*0.035)))),
0)))</f>
        <v>0</v>
      </c>
      <c r="H223" s="159">
        <f>IF(I223="مخالفات",50,Basic345678910111213141516[[#This Row],[قيمة الرسوم / العموله]]+Basic345678910111213141516[[#This Row],[قيمة الشحنه]])</f>
        <v>0</v>
      </c>
      <c r="I223" s="90"/>
      <c r="J223" s="142" t="str">
        <f t="shared" si="3"/>
        <v>17.5.2026</v>
      </c>
      <c r="L223" s="153">
        <v>212</v>
      </c>
      <c r="M223" s="92"/>
    </row>
    <row r="224" spans="1:13" ht="21.6" x14ac:dyDescent="0.65">
      <c r="A224" s="195"/>
      <c r="B224" s="140">
        <v>221</v>
      </c>
      <c r="C224" s="2"/>
      <c r="D224" s="1"/>
      <c r="E224" s="3"/>
      <c r="F224" s="1"/>
      <c r="G224" s="141">
        <f>IF(Basic345678910111213141516[[#This Row],[نوع الخدمة]]="مخالفات", 50,
IF(Basic345678910111213141516[[#This Row],[نوع الخدمة]]="كاش ان",
    IF(F224&lt;=100, 18, IF(F224&lt;=250, 23, IF(F224&lt;=500, 35, IF(F224&lt;=1000, 40, F224*0.04)))),
IF(Basic345678910111213141516[[#This Row],[نوع الخدمة]]="كاش اوت",
    IF(F224&lt;=100, 15, IF(F224&lt;=250, 20, IF(F224&lt;=500, 30, IF(F224&lt;=1000, 35, F224*0.035)))),
0)))</f>
        <v>0</v>
      </c>
      <c r="H224" s="159">
        <f>IF(I224="مخالفات",50,Basic345678910111213141516[[#This Row],[قيمة الرسوم / العموله]]+Basic345678910111213141516[[#This Row],[قيمة الشحنه]])</f>
        <v>0</v>
      </c>
      <c r="I224" s="90"/>
      <c r="J224" s="142" t="str">
        <f t="shared" si="3"/>
        <v>17.5.2026</v>
      </c>
      <c r="L224" s="153">
        <v>213</v>
      </c>
      <c r="M224" s="92"/>
    </row>
    <row r="225" spans="1:13" ht="21.6" x14ac:dyDescent="0.65">
      <c r="A225" s="195"/>
      <c r="B225" s="144">
        <v>222</v>
      </c>
      <c r="C225" s="2"/>
      <c r="D225" s="1"/>
      <c r="E225" s="3"/>
      <c r="F225" s="1"/>
      <c r="G225" s="141">
        <f>IF(Basic345678910111213141516[[#This Row],[نوع الخدمة]]="مخالفات", 50,
IF(Basic345678910111213141516[[#This Row],[نوع الخدمة]]="كاش ان",
    IF(F225&lt;=100, 18, IF(F225&lt;=250, 23, IF(F225&lt;=500, 35, IF(F225&lt;=1000, 40, F225*0.04)))),
IF(Basic345678910111213141516[[#This Row],[نوع الخدمة]]="كاش اوت",
    IF(F225&lt;=100, 15, IF(F225&lt;=250, 20, IF(F225&lt;=500, 30, IF(F225&lt;=1000, 35, F225*0.035)))),
0)))</f>
        <v>0</v>
      </c>
      <c r="H225" s="159">
        <f>IF(I225="مخالفات",50,Basic345678910111213141516[[#This Row],[قيمة الرسوم / العموله]]+Basic345678910111213141516[[#This Row],[قيمة الشحنه]])</f>
        <v>0</v>
      </c>
      <c r="I225" s="90"/>
      <c r="J225" s="142" t="str">
        <f t="shared" si="3"/>
        <v>17.5.2026</v>
      </c>
      <c r="L225" s="153">
        <v>214</v>
      </c>
      <c r="M225" s="92"/>
    </row>
    <row r="226" spans="1:13" ht="21.6" x14ac:dyDescent="0.65">
      <c r="A226" s="195"/>
      <c r="B226" s="140">
        <v>223</v>
      </c>
      <c r="C226" s="4"/>
      <c r="D226" s="5"/>
      <c r="E226" s="6"/>
      <c r="F226" s="5"/>
      <c r="G226" s="141">
        <f>IF(Basic345678910111213141516[[#This Row],[نوع الخدمة]]="مخالفات", 50,
IF(Basic345678910111213141516[[#This Row],[نوع الخدمة]]="كاش ان",
    IF(F226&lt;=100, 18, IF(F226&lt;=250, 23, IF(F226&lt;=500, 35, IF(F226&lt;=1000, 40, F226*0.04)))),
IF(Basic345678910111213141516[[#This Row],[نوع الخدمة]]="كاش اوت",
    IF(F226&lt;=100, 15, IF(F226&lt;=250, 20, IF(F226&lt;=500, 30, IF(F226&lt;=1000, 35, F226*0.035)))),
0)))</f>
        <v>0</v>
      </c>
      <c r="H226" s="160">
        <f>IF(I226="مخالفات",50,Basic345678910111213141516[[#This Row],[قيمة الرسوم / العموله]]+Basic345678910111213141516[[#This Row],[قيمة الشحنه]])</f>
        <v>0</v>
      </c>
      <c r="I226" s="90"/>
      <c r="J226" s="142" t="str">
        <f t="shared" si="3"/>
        <v>17.5.2026</v>
      </c>
      <c r="L226" s="156">
        <v>215</v>
      </c>
      <c r="M226" s="93"/>
    </row>
  </sheetData>
  <sheetProtection algorithmName="SHA-512" hashValue="q0PQJuB3dRYFHgB7tzwoXZEiXZ8GVLdoKIOjyj/6TZoOSgMChbXA/oDRrtrftywLk10WIcJO2G4DHfMcUU4Oig==" saltValue="MzGWiqbh2m+jP7gELS7qyA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59" priority="12" operator="equal">
      <formula>$BH$10</formula>
    </cfRule>
    <cfRule type="cellIs" dxfId="58" priority="13" operator="equal">
      <formula>$BH$9</formula>
    </cfRule>
    <cfRule type="cellIs" dxfId="57" priority="14" operator="equal">
      <formula>$BH$8</formula>
    </cfRule>
  </conditionalFormatting>
  <conditionalFormatting sqref="P11">
    <cfRule type="cellIs" dxfId="56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{90A2FC10-00FD-4AB8-92AE-D62CC682D2FA}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{8C08DA5C-15C1-4BB7-9076-980BC6B1C1F6}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{1EB50530-72A0-4565-B56C-F111E3299B5F}</x14:id>
        </ext>
      </extLst>
    </cfRule>
  </conditionalFormatting>
  <dataValidations count="2">
    <dataValidation type="list" allowBlank="1" showInputMessage="1" showErrorMessage="1" sqref="I4:I226" xr:uid="{00000000-0002-0000-1000-000000000000}">
      <formula1>$BH$8:$BH$10</formula1>
    </dataValidation>
    <dataValidation type="textLength" operator="equal" allowBlank="1" showInputMessage="1" showErrorMessage="1" errorTitle="يجب إخال رقم IPN صحيح 13 رقم" sqref="C1:C1048576" xr:uid="{00000000-0002-0000-1000-000001000000}">
      <formula1>13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0A2FC10-00FD-4AB8-92AE-D62CC682D2FA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8C08DA5C-15C1-4BB7-9076-980BC6B1C1F6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1EB50530-72A0-4565-B56C-F111E3299B5F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H226"/>
  <sheetViews>
    <sheetView showGridLines="0" showRowColHeaders="0" rightToLeft="1" topLeftCell="E1" zoomScale="80" zoomScaleNormal="80" workbookViewId="0">
      <selection activeCell="M4" sqref="M4"/>
    </sheetView>
  </sheetViews>
  <sheetFormatPr defaultColWidth="9.109375" defaultRowHeight="14.4" x14ac:dyDescent="0.3"/>
  <cols>
    <col min="1" max="1" width="4.109375" style="124" customWidth="1"/>
    <col min="2" max="2" width="6.5546875" style="125" bestFit="1" customWidth="1"/>
    <col min="3" max="3" width="27.5546875" style="126" customWidth="1"/>
    <col min="4" max="4" width="17" style="124" customWidth="1"/>
    <col min="5" max="5" width="16.88671875" style="157" customWidth="1"/>
    <col min="6" max="6" width="12.88671875" style="124" bestFit="1" customWidth="1"/>
    <col min="7" max="7" width="19" style="124" bestFit="1" customWidth="1"/>
    <col min="8" max="8" width="19" style="124" customWidth="1"/>
    <col min="9" max="9" width="12.44140625" style="128" bestFit="1" customWidth="1"/>
    <col min="10" max="10" width="12.44140625" style="129" customWidth="1"/>
    <col min="11" max="11" width="3.5546875" style="124" customWidth="1"/>
    <col min="12" max="12" width="8.5546875" style="124" bestFit="1" customWidth="1"/>
    <col min="13" max="13" width="23" style="124" customWidth="1"/>
    <col min="14" max="14" width="8.33203125" style="124" bestFit="1" customWidth="1"/>
    <col min="15" max="15" width="26.5546875" style="124" bestFit="1" customWidth="1"/>
    <col min="16" max="16" width="13.33203125" style="124" customWidth="1"/>
    <col min="17" max="17" width="3.5546875" style="124" customWidth="1"/>
    <col min="18" max="19" width="17.44140625" style="128" customWidth="1"/>
    <col min="20" max="20" width="11.5546875" style="128" bestFit="1" customWidth="1"/>
    <col min="21" max="22" width="12.6640625" style="128" customWidth="1"/>
    <col min="23" max="23" width="9.6640625" style="128" customWidth="1"/>
    <col min="24" max="24" width="12.6640625" style="128" customWidth="1"/>
    <col min="25" max="16384" width="9.109375" style="124"/>
  </cols>
  <sheetData>
    <row r="1" spans="1:60" x14ac:dyDescent="0.3">
      <c r="E1" s="127">
        <f>Total!F5</f>
        <v>69</v>
      </c>
      <c r="F1" s="192" t="str">
        <f>Total!G5</f>
        <v>العبور</v>
      </c>
      <c r="G1" s="192"/>
      <c r="H1" s="192"/>
    </row>
    <row r="3" spans="1:60" ht="15.6" x14ac:dyDescent="0.3">
      <c r="B3" s="130" t="s">
        <v>0</v>
      </c>
      <c r="C3" s="131" t="s">
        <v>1</v>
      </c>
      <c r="D3" s="132" t="s">
        <v>2</v>
      </c>
      <c r="E3" s="133" t="s">
        <v>3</v>
      </c>
      <c r="F3" s="132" t="s">
        <v>4</v>
      </c>
      <c r="G3" s="132" t="s">
        <v>5</v>
      </c>
      <c r="H3" s="132" t="s">
        <v>76</v>
      </c>
      <c r="I3" s="132" t="s">
        <v>6</v>
      </c>
      <c r="J3" s="134" t="s">
        <v>7</v>
      </c>
      <c r="L3" s="135" t="s">
        <v>7</v>
      </c>
      <c r="M3" s="7" t="s">
        <v>87</v>
      </c>
      <c r="O3" s="137" t="s">
        <v>17</v>
      </c>
      <c r="P3" s="138">
        <f>M5+M6</f>
        <v>0</v>
      </c>
      <c r="T3" s="173"/>
      <c r="U3" s="173"/>
      <c r="V3" s="173"/>
      <c r="W3" s="173"/>
      <c r="X3" s="173"/>
    </row>
    <row r="4" spans="1:60" ht="21.6" x14ac:dyDescent="0.65">
      <c r="A4" s="195"/>
      <c r="B4" s="140">
        <v>1</v>
      </c>
      <c r="C4" s="8"/>
      <c r="D4" s="9"/>
      <c r="E4" s="10"/>
      <c r="F4" s="9"/>
      <c r="G4" s="141">
        <f>IF(Basic3456789101112131415[[#This Row],[نوع الخدمة]]="مخالفات", 50,
IF(Basic3456789101112131415[[#This Row],[نوع الخدمة]]="كاش ان",
    IF(F4&lt;=100, 18, IF(F4&lt;=250, 23, IF(F4&lt;=500, 35, IF(F4&lt;=1000, 40, F4*0.04)))),
IF(Basic3456789101112131415[[#This Row],[نوع الخدمة]]="كاش اوت",
    IF(F4&lt;=100, 15, IF(F4&lt;=250, 20, IF(F4&lt;=500, 30, IF(F4&lt;=1000, 35, F4*0.035)))),
0)))</f>
        <v>0</v>
      </c>
      <c r="H4" s="141">
        <f>IF(I4="مخالفات",50,Basic3456789101112131415[[#This Row],[قيمة الرسوم / العموله]]+Basic3456789101112131415[[#This Row],[قيمة الشحنه]])</f>
        <v>0</v>
      </c>
      <c r="I4" s="90"/>
      <c r="J4" s="142" t="str">
        <f t="shared" ref="J4:J67" si="0">M$3</f>
        <v>18.5.2026</v>
      </c>
      <c r="L4" s="135" t="s">
        <v>26</v>
      </c>
      <c r="M4" s="90">
        <v>0</v>
      </c>
      <c r="O4" s="137" t="s">
        <v>18</v>
      </c>
      <c r="P4" s="138">
        <f>M4</f>
        <v>0</v>
      </c>
      <c r="S4" s="143" t="s">
        <v>22</v>
      </c>
      <c r="T4" s="143" t="s">
        <v>23</v>
      </c>
      <c r="U4" s="173"/>
      <c r="V4" s="173"/>
      <c r="W4" s="173"/>
      <c r="X4" s="173"/>
    </row>
    <row r="5" spans="1:60" ht="21.6" x14ac:dyDescent="0.65">
      <c r="A5" s="195"/>
      <c r="B5" s="144">
        <v>2</v>
      </c>
      <c r="C5" s="8"/>
      <c r="D5" s="9"/>
      <c r="E5" s="10"/>
      <c r="F5" s="9"/>
      <c r="G5" s="141">
        <f>IF(Basic3456789101112131415[[#This Row],[نوع الخدمة]]="مخالفات", 50,
IF(Basic3456789101112131415[[#This Row],[نوع الخدمة]]="كاش ان",
    IF(F5&lt;=100, 18, IF(F5&lt;=250, 23, IF(F5&lt;=500, 35, IF(F5&lt;=1000, 40, F5*0.04)))),
IF(Basic3456789101112131415[[#This Row],[نوع الخدمة]]="كاش اوت",
    IF(F5&lt;=100, 15, IF(F5&lt;=250, 20, IF(F5&lt;=500, 30, IF(F5&lt;=1000, 35, F5*0.035)))),
0)))</f>
        <v>0</v>
      </c>
      <c r="H5" s="141">
        <f>IF(I5="مخالفات",50,Basic3456789101112131415[[#This Row],[قيمة الرسوم / العموله]]+Basic3456789101112131415[[#This Row],[قيمة الشحنه]])</f>
        <v>0</v>
      </c>
      <c r="I5" s="90"/>
      <c r="J5" s="142" t="str">
        <f t="shared" si="0"/>
        <v>18.5.2026</v>
      </c>
      <c r="L5" s="135" t="s">
        <v>27</v>
      </c>
      <c r="M5" s="90"/>
      <c r="O5" s="137" t="s">
        <v>19</v>
      </c>
      <c r="P5" s="138">
        <f>SUMIF(Basic3456789101112131415[نوع الخدمة],"كاش ان",Basic3456789101112131415[قيمة الشحنه])</f>
        <v>0</v>
      </c>
      <c r="S5" s="145">
        <f>P5+P9+P12+P7</f>
        <v>0</v>
      </c>
      <c r="T5" s="145">
        <f>P3</f>
        <v>0</v>
      </c>
    </row>
    <row r="6" spans="1:60" ht="21.6" x14ac:dyDescent="0.65">
      <c r="A6" s="195"/>
      <c r="B6" s="140">
        <v>3</v>
      </c>
      <c r="C6" s="8"/>
      <c r="D6" s="9"/>
      <c r="E6" s="10"/>
      <c r="F6" s="9"/>
      <c r="G6" s="141">
        <f>IF(Basic3456789101112131415[[#This Row],[نوع الخدمة]]="مخالفات", 50,
IF(Basic3456789101112131415[[#This Row],[نوع الخدمة]]="كاش ان",
    IF(F6&lt;=100, 18, IF(F6&lt;=250, 23, IF(F6&lt;=500, 35, IF(F6&lt;=1000, 40, F6*0.04)))),
IF(Basic3456789101112131415[[#This Row],[نوع الخدمة]]="كاش اوت",
    IF(F6&lt;=100, 15, IF(F6&lt;=250, 20, IF(F6&lt;=500, 30, IF(F6&lt;=1000, 35, F6*0.035)))),
0)))</f>
        <v>0</v>
      </c>
      <c r="H6" s="141">
        <f>IF(I6="مخالفات",50,Basic3456789101112131415[[#This Row],[قيمة الرسوم / العموله]]+Basic3456789101112131415[[#This Row],[قيمة الشحنه]])</f>
        <v>0</v>
      </c>
      <c r="I6" s="90"/>
      <c r="J6" s="142" t="str">
        <f t="shared" si="0"/>
        <v>18.5.2026</v>
      </c>
      <c r="L6" s="135" t="s">
        <v>28</v>
      </c>
      <c r="M6" s="90"/>
      <c r="O6" s="146" t="s">
        <v>12</v>
      </c>
      <c r="P6" s="138">
        <f>P3*150</f>
        <v>0</v>
      </c>
    </row>
    <row r="7" spans="1:60" ht="21.6" x14ac:dyDescent="0.65">
      <c r="A7" s="195"/>
      <c r="B7" s="140">
        <v>4</v>
      </c>
      <c r="C7" s="8"/>
      <c r="D7" s="9"/>
      <c r="E7" s="10"/>
      <c r="F7" s="9"/>
      <c r="G7" s="141">
        <f>IF(Basic3456789101112131415[[#This Row],[نوع الخدمة]]="مخالفات", 50,
IF(Basic3456789101112131415[[#This Row],[نوع الخدمة]]="كاش ان",
    IF(F7&lt;=100, 18, IF(F7&lt;=250, 23, IF(F7&lt;=500, 35, IF(F7&lt;=1000, 40, F7*0.04)))),
IF(Basic3456789101112131415[[#This Row],[نوع الخدمة]]="كاش اوت",
    IF(F7&lt;=100, 15, IF(F7&lt;=250, 20, IF(F7&lt;=500, 30, IF(F7&lt;=1000, 35, F7*0.035)))),
0)))</f>
        <v>0</v>
      </c>
      <c r="H7" s="141">
        <f>IF(I7="مخالفات",50,Basic3456789101112131415[[#This Row],[قيمة الرسوم / العموله]]+Basic3456789101112131415[[#This Row],[قيمة الشحنه]])</f>
        <v>0</v>
      </c>
      <c r="I7" s="90"/>
      <c r="J7" s="142" t="str">
        <f t="shared" si="0"/>
        <v>18.5.2026</v>
      </c>
      <c r="L7" s="137" t="s">
        <v>11</v>
      </c>
      <c r="M7" s="165"/>
      <c r="O7" s="146" t="s">
        <v>75</v>
      </c>
      <c r="P7" s="138">
        <f>SUMIF(Basic3456789101112131415[نوع الخدمة],"مخالفات",Basic3456789101112131415[الاجمــــــــــالي])</f>
        <v>0</v>
      </c>
      <c r="R7" s="173"/>
      <c r="S7" s="173"/>
    </row>
    <row r="8" spans="1:60" ht="21.6" x14ac:dyDescent="0.65">
      <c r="A8" s="195"/>
      <c r="B8" s="140">
        <v>5</v>
      </c>
      <c r="C8" s="8"/>
      <c r="D8" s="9"/>
      <c r="E8" s="10"/>
      <c r="F8" s="9"/>
      <c r="G8" s="141">
        <f>IF(Basic3456789101112131415[[#This Row],[نوع الخدمة]]="مخالفات", 50,
IF(Basic3456789101112131415[[#This Row],[نوع الخدمة]]="كاش ان",
    IF(F8&lt;=100, 18, IF(F8&lt;=250, 23, IF(F8&lt;=500, 35, IF(F8&lt;=1000, 40, F8*0.04)))),
IF(Basic3456789101112131415[[#This Row],[نوع الخدمة]]="كاش اوت",
    IF(F8&lt;=100, 15, IF(F8&lt;=250, 20, IF(F8&lt;=500, 30, IF(F8&lt;=1000, 35, F8*0.035)))),
0)))</f>
        <v>0</v>
      </c>
      <c r="H8" s="141">
        <f>IF(I8="مخالفات",50,Basic3456789101112131415[[#This Row],[قيمة الرسوم / العموله]]+Basic3456789101112131415[[#This Row],[قيمة الشحنه]])</f>
        <v>0</v>
      </c>
      <c r="I8" s="90"/>
      <c r="J8" s="142" t="str">
        <f t="shared" si="0"/>
        <v>18.5.2026</v>
      </c>
      <c r="L8" s="166" t="s">
        <v>79</v>
      </c>
      <c r="M8" s="167">
        <v>0</v>
      </c>
      <c r="O8" s="137" t="s">
        <v>11</v>
      </c>
      <c r="P8" s="138">
        <f>M7</f>
        <v>0</v>
      </c>
      <c r="R8" s="143" t="s">
        <v>72</v>
      </c>
      <c r="S8" s="143" t="s">
        <v>25</v>
      </c>
      <c r="T8" s="143" t="s">
        <v>24</v>
      </c>
      <c r="U8" s="143" t="s">
        <v>73</v>
      </c>
      <c r="V8" s="143" t="s">
        <v>25</v>
      </c>
      <c r="W8" s="143" t="s">
        <v>24</v>
      </c>
      <c r="BH8" s="148" t="s">
        <v>8</v>
      </c>
    </row>
    <row r="9" spans="1:60" ht="18" customHeight="1" x14ac:dyDescent="0.65">
      <c r="A9" s="195"/>
      <c r="B9" s="144">
        <v>6</v>
      </c>
      <c r="C9" s="8"/>
      <c r="D9" s="9"/>
      <c r="E9" s="10"/>
      <c r="F9" s="9"/>
      <c r="G9" s="141">
        <f>IF(Basic3456789101112131415[[#This Row],[نوع الخدمة]]="مخالفات", 50,
IF(Basic3456789101112131415[[#This Row],[نوع الخدمة]]="كاش ان",
    IF(F9&lt;=100, 18, IF(F9&lt;=250, 23, IF(F9&lt;=500, 35, IF(F9&lt;=1000, 40, F9*0.04)))),
IF(Basic3456789101112131415[[#This Row],[نوع الخدمة]]="كاش اوت",
    IF(F9&lt;=100, 15, IF(F9&lt;=250, 20, IF(F9&lt;=500, 30, IF(F9&lt;=1000, 35, F9*0.035)))),
0)))</f>
        <v>0</v>
      </c>
      <c r="H9" s="141">
        <f>IF(I9="مخالفات",50,Basic3456789101112131415[[#This Row],[قيمة الرسوم / العموله]]+Basic3456789101112131415[[#This Row],[قيمة الشحنه]])</f>
        <v>0</v>
      </c>
      <c r="I9" s="90"/>
      <c r="J9" s="142" t="str">
        <f t="shared" si="0"/>
        <v>18.5.2026</v>
      </c>
      <c r="L9" s="166" t="s">
        <v>80</v>
      </c>
      <c r="M9" s="167">
        <v>0</v>
      </c>
      <c r="O9" s="137" t="s">
        <v>20</v>
      </c>
      <c r="P9" s="138">
        <f>SUMIF(Basic3456789101112131415[نوع الخدمة],"كاش ان",Basic3456789101112131415[قيمة الرسوم / العموله])</f>
        <v>0</v>
      </c>
      <c r="R9" s="149">
        <f>Total!H5/24</f>
        <v>29166.666666666668</v>
      </c>
      <c r="S9" s="149">
        <f>S5</f>
        <v>0</v>
      </c>
      <c r="T9" s="150">
        <f>S9/R9</f>
        <v>0</v>
      </c>
      <c r="U9" s="149">
        <f>Total!K5/24</f>
        <v>2.9166666666666665</v>
      </c>
      <c r="V9" s="149">
        <f>T5</f>
        <v>0</v>
      </c>
      <c r="W9" s="150">
        <f>V9/U9</f>
        <v>0</v>
      </c>
      <c r="BH9" s="148" t="s">
        <v>9</v>
      </c>
    </row>
    <row r="10" spans="1:60" ht="21.6" x14ac:dyDescent="0.65">
      <c r="A10" s="195"/>
      <c r="B10" s="140">
        <v>7</v>
      </c>
      <c r="C10" s="8"/>
      <c r="D10" s="9"/>
      <c r="E10" s="10"/>
      <c r="F10" s="9"/>
      <c r="G10" s="141">
        <f>IF(Basic3456789101112131415[[#This Row],[نوع الخدمة]]="مخالفات", 50,
IF(Basic3456789101112131415[[#This Row],[نوع الخدمة]]="كاش ان",
    IF(F10&lt;=100, 18, IF(F10&lt;=250, 23, IF(F10&lt;=500, 35, IF(F10&lt;=1000, 40, F10*0.04)))),
IF(Basic3456789101112131415[[#This Row],[نوع الخدمة]]="كاش اوت",
    IF(F10&lt;=100, 15, IF(F10&lt;=250, 20, IF(F10&lt;=500, 30, IF(F10&lt;=1000, 35, F10*0.035)))),
0)))</f>
        <v>0</v>
      </c>
      <c r="H10" s="141">
        <f>IF(I10="مخالفات",50,Basic3456789101112131415[[#This Row],[قيمة الرسوم / العموله]]+Basic3456789101112131415[[#This Row],[قيمة الشحنه]])</f>
        <v>0</v>
      </c>
      <c r="I10" s="90"/>
      <c r="J10" s="142" t="str">
        <f t="shared" si="0"/>
        <v>18.5.2026</v>
      </c>
      <c r="O10" s="137" t="s">
        <v>16</v>
      </c>
      <c r="P10" s="138">
        <f>SUMIF(Basic3456789101112131415[نوع الخدمة],"كاش اوت",Basic3456789101112131415[قيمة الشحنه])</f>
        <v>0</v>
      </c>
      <c r="R10" s="191">
        <f>(W9+T9)/2</f>
        <v>0</v>
      </c>
      <c r="S10" s="191"/>
      <c r="T10" s="191"/>
      <c r="U10" s="191"/>
      <c r="V10" s="191"/>
      <c r="W10" s="191"/>
      <c r="BH10" s="148" t="s">
        <v>10</v>
      </c>
    </row>
    <row r="11" spans="1:60" ht="21.6" x14ac:dyDescent="0.65">
      <c r="A11" s="195"/>
      <c r="B11" s="140">
        <v>8</v>
      </c>
      <c r="C11" s="8"/>
      <c r="D11" s="9"/>
      <c r="E11" s="10"/>
      <c r="F11" s="9"/>
      <c r="G11" s="141">
        <f>IF(Basic3456789101112131415[[#This Row],[نوع الخدمة]]="مخالفات", 50,
IF(Basic3456789101112131415[[#This Row],[نوع الخدمة]]="كاش ان",
    IF(F11&lt;=100, 18, IF(F11&lt;=250, 23, IF(F11&lt;=500, 35, IF(F11&lt;=1000, 40, F11*0.04)))),
IF(Basic3456789101112131415[[#This Row],[نوع الخدمة]]="كاش اوت",
    IF(F11&lt;=100, 15, IF(F11&lt;=250, 20, IF(F11&lt;=500, 30, IF(F11&lt;=1000, 35, F11*0.035)))),
0)))</f>
        <v>0</v>
      </c>
      <c r="H11" s="141">
        <f>IF(I11="مخالفات",50,Basic3456789101112131415[[#This Row],[قيمة الرسوم / العموله]]+Basic3456789101112131415[[#This Row],[قيمة الشحنه]])</f>
        <v>0</v>
      </c>
      <c r="I11" s="90"/>
      <c r="J11" s="142" t="str">
        <f t="shared" si="0"/>
        <v>18.5.2026</v>
      </c>
      <c r="L11" s="169" t="s">
        <v>77</v>
      </c>
      <c r="M11" s="168" t="s">
        <v>78</v>
      </c>
      <c r="O11" s="151" t="s">
        <v>21</v>
      </c>
      <c r="P11" s="152">
        <f>(P5+P6+P9+P7+P4)-P10-P8</f>
        <v>0</v>
      </c>
      <c r="T11" s="173"/>
    </row>
    <row r="12" spans="1:60" ht="21.6" x14ac:dyDescent="0.65">
      <c r="A12" s="195"/>
      <c r="B12" s="140">
        <v>9</v>
      </c>
      <c r="C12" s="8"/>
      <c r="D12" s="9"/>
      <c r="E12" s="10"/>
      <c r="F12" s="9"/>
      <c r="G12" s="141">
        <f>IF(Basic3456789101112131415[[#This Row],[نوع الخدمة]]="مخالفات", 50,
IF(Basic3456789101112131415[[#This Row],[نوع الخدمة]]="كاش ان",
    IF(F12&lt;=100, 18, IF(F12&lt;=250, 23, IF(F12&lt;=500, 35, IF(F12&lt;=1000, 40, F12*0.04)))),
IF(Basic3456789101112131415[[#This Row],[نوع الخدمة]]="كاش اوت",
    IF(F12&lt;=100, 15, IF(F12&lt;=250, 20, IF(F12&lt;=500, 30, IF(F12&lt;=1000, 35, F12*0.035)))),
0)))</f>
        <v>0</v>
      </c>
      <c r="H12" s="141">
        <f>IF(I12="مخالفات",50,Basic3456789101112131415[[#This Row],[قيمة الرسوم / العموله]]+Basic3456789101112131415[[#This Row],[قيمة الشحنه]])</f>
        <v>0</v>
      </c>
      <c r="I12" s="90"/>
      <c r="J12" s="142" t="str">
        <f t="shared" si="0"/>
        <v>18.5.2026</v>
      </c>
      <c r="L12" s="153">
        <v>1</v>
      </c>
      <c r="M12" s="91"/>
      <c r="O12" s="137" t="s">
        <v>29</v>
      </c>
      <c r="P12" s="138">
        <f>SUMIF(Basic3456789101112131415[نوع الخدمة],"كاش اوت",Basic3456789101112131415[الاجمــــــــــالي])</f>
        <v>0</v>
      </c>
    </row>
    <row r="13" spans="1:60" ht="21.6" x14ac:dyDescent="0.65">
      <c r="A13" s="195"/>
      <c r="B13" s="144">
        <v>10</v>
      </c>
      <c r="C13" s="8"/>
      <c r="D13" s="9"/>
      <c r="E13" s="10"/>
      <c r="F13" s="9"/>
      <c r="G13" s="141">
        <f>IF(Basic3456789101112131415[[#This Row],[نوع الخدمة]]="مخالفات", 50,
IF(Basic3456789101112131415[[#This Row],[نوع الخدمة]]="كاش ان",
    IF(F13&lt;=100, 18, IF(F13&lt;=250, 23, IF(F13&lt;=500, 35, IF(F13&lt;=1000, 40, F13*0.04)))),
IF(Basic3456789101112131415[[#This Row],[نوع الخدمة]]="كاش اوت",
    IF(F13&lt;=100, 15, IF(F13&lt;=250, 20, IF(F13&lt;=500, 30, IF(F13&lt;=1000, 35, F13*0.035)))),
0)))</f>
        <v>0</v>
      </c>
      <c r="H13" s="141">
        <f>IF(I13="مخالفات",50,Basic3456789101112131415[[#This Row],[قيمة الرسوم / العموله]]+Basic3456789101112131415[[#This Row],[قيمة الشحنه]])</f>
        <v>0</v>
      </c>
      <c r="I13" s="90"/>
      <c r="J13" s="142" t="str">
        <f t="shared" si="0"/>
        <v>18.5.2026</v>
      </c>
      <c r="L13" s="153">
        <v>2</v>
      </c>
      <c r="M13" s="92"/>
    </row>
    <row r="14" spans="1:60" ht="21.6" x14ac:dyDescent="0.65">
      <c r="A14" s="195"/>
      <c r="B14" s="140">
        <v>11</v>
      </c>
      <c r="C14" s="2"/>
      <c r="D14" s="1"/>
      <c r="E14" s="3"/>
      <c r="F14" s="1"/>
      <c r="G14" s="141">
        <f>IF(Basic3456789101112131415[[#This Row],[نوع الخدمة]]="مخالفات", 50,
IF(Basic3456789101112131415[[#This Row],[نوع الخدمة]]="كاش ان",
    IF(F14&lt;=100, 18, IF(F14&lt;=250, 23, IF(F14&lt;=500, 35, IF(F14&lt;=1000, 40, F14*0.04)))),
IF(Basic3456789101112131415[[#This Row],[نوع الخدمة]]="كاش اوت",
    IF(F14&lt;=100, 15, IF(F14&lt;=250, 20, IF(F14&lt;=500, 30, IF(F14&lt;=1000, 35, F14*0.035)))),
0)))</f>
        <v>0</v>
      </c>
      <c r="H14" s="159">
        <f>IF(I14="مخالفات",50,Basic3456789101112131415[[#This Row],[قيمة الرسوم / العموله]]+Basic3456789101112131415[[#This Row],[قيمة الشحنه]])</f>
        <v>0</v>
      </c>
      <c r="I14" s="90"/>
      <c r="J14" s="142" t="str">
        <f t="shared" si="0"/>
        <v>18.5.2026</v>
      </c>
      <c r="L14" s="153">
        <v>3</v>
      </c>
      <c r="M14" s="92"/>
    </row>
    <row r="15" spans="1:60" ht="21.6" x14ac:dyDescent="0.65">
      <c r="A15" s="195"/>
      <c r="B15" s="140">
        <v>12</v>
      </c>
      <c r="C15" s="2"/>
      <c r="D15" s="1"/>
      <c r="E15" s="3"/>
      <c r="F15" s="1"/>
      <c r="G15" s="141">
        <f>IF(Basic3456789101112131415[[#This Row],[نوع الخدمة]]="مخالفات", 50,
IF(Basic3456789101112131415[[#This Row],[نوع الخدمة]]="كاش ان",
    IF(F15&lt;=100, 18, IF(F15&lt;=250, 23, IF(F15&lt;=500, 35, IF(F15&lt;=1000, 40, F15*0.04)))),
IF(Basic3456789101112131415[[#This Row],[نوع الخدمة]]="كاش اوت",
    IF(F15&lt;=100, 15, IF(F15&lt;=250, 20, IF(F15&lt;=500, 30, IF(F15&lt;=1000, 35, F15*0.035)))),
0)))</f>
        <v>0</v>
      </c>
      <c r="H15" s="159">
        <f>IF(I15="مخالفات",50,Basic3456789101112131415[[#This Row],[قيمة الرسوم / العموله]]+Basic3456789101112131415[[#This Row],[قيمة الشحنه]])</f>
        <v>0</v>
      </c>
      <c r="I15" s="90"/>
      <c r="J15" s="142" t="str">
        <f t="shared" si="0"/>
        <v>18.5.2026</v>
      </c>
      <c r="L15" s="153">
        <v>4</v>
      </c>
      <c r="M15" s="92"/>
      <c r="O15" s="154" t="s">
        <v>10</v>
      </c>
      <c r="P15" s="155">
        <f>COUNTIF(Basic3456789101112131415[نوع الخدمة],"مخالفات")</f>
        <v>0</v>
      </c>
    </row>
    <row r="16" spans="1:60" ht="21.6" x14ac:dyDescent="0.65">
      <c r="A16" s="195"/>
      <c r="B16" s="140">
        <v>13</v>
      </c>
      <c r="C16" s="2"/>
      <c r="D16" s="1"/>
      <c r="E16" s="3"/>
      <c r="F16" s="1"/>
      <c r="G16" s="141">
        <f>IF(Basic3456789101112131415[[#This Row],[نوع الخدمة]]="مخالفات", 50,
IF(Basic3456789101112131415[[#This Row],[نوع الخدمة]]="كاش ان",
    IF(F16&lt;=100, 18, IF(F16&lt;=250, 23, IF(F16&lt;=500, 35, IF(F16&lt;=1000, 40, F16*0.04)))),
IF(Basic3456789101112131415[[#This Row],[نوع الخدمة]]="كاش اوت",
    IF(F16&lt;=100, 15, IF(F16&lt;=250, 20, IF(F16&lt;=500, 30, IF(F16&lt;=1000, 35, F16*0.035)))),
0)))</f>
        <v>0</v>
      </c>
      <c r="H16" s="159">
        <f>IF(I16="مخالفات",50,Basic3456789101112131415[[#This Row],[قيمة الرسوم / العموله]]+Basic3456789101112131415[[#This Row],[قيمة الشحنه]])</f>
        <v>0</v>
      </c>
      <c r="I16" s="90"/>
      <c r="J16" s="142" t="str">
        <f t="shared" si="0"/>
        <v>18.5.2026</v>
      </c>
      <c r="L16" s="153">
        <v>5</v>
      </c>
      <c r="M16" s="92"/>
      <c r="O16" s="154" t="s">
        <v>13</v>
      </c>
      <c r="P16" s="155">
        <f>COUNTIF(Basic3456789101112131415[نوع الخدمة],"كاش ان")</f>
        <v>0</v>
      </c>
    </row>
    <row r="17" spans="1:21" ht="21.6" x14ac:dyDescent="0.65">
      <c r="A17" s="195"/>
      <c r="B17" s="144">
        <v>14</v>
      </c>
      <c r="C17" s="2"/>
      <c r="D17" s="1"/>
      <c r="E17" s="3"/>
      <c r="F17" s="1"/>
      <c r="G17" s="141">
        <f>IF(Basic3456789101112131415[[#This Row],[نوع الخدمة]]="مخالفات", 50,
IF(Basic3456789101112131415[[#This Row],[نوع الخدمة]]="كاش ان",
    IF(F17&lt;=100, 18, IF(F17&lt;=250, 23, IF(F17&lt;=500, 35, IF(F17&lt;=1000, 40, F17*0.04)))),
IF(Basic3456789101112131415[[#This Row],[نوع الخدمة]]="كاش اوت",
    IF(F17&lt;=100, 15, IF(F17&lt;=250, 20, IF(F17&lt;=500, 30, IF(F17&lt;=1000, 35, F17*0.035)))),
0)))</f>
        <v>0</v>
      </c>
      <c r="H17" s="159">
        <f>IF(I17="مخالفات",50,Basic3456789101112131415[[#This Row],[قيمة الرسوم / العموله]]+Basic3456789101112131415[[#This Row],[قيمة الشحنه]])</f>
        <v>0</v>
      </c>
      <c r="I17" s="90"/>
      <c r="J17" s="142" t="str">
        <f t="shared" si="0"/>
        <v>18.5.2026</v>
      </c>
      <c r="L17" s="153">
        <v>6</v>
      </c>
      <c r="M17" s="92"/>
      <c r="O17" s="154" t="s">
        <v>14</v>
      </c>
      <c r="P17" s="155">
        <f>COUNTIF(Basic3456789101112131415[نوع الخدمة],"كاش اوت")</f>
        <v>0</v>
      </c>
    </row>
    <row r="18" spans="1:21" ht="21.6" x14ac:dyDescent="0.65">
      <c r="A18" s="195"/>
      <c r="B18" s="140">
        <v>15</v>
      </c>
      <c r="C18" s="2"/>
      <c r="D18" s="1"/>
      <c r="E18" s="3"/>
      <c r="F18" s="1"/>
      <c r="G18" s="141">
        <f>IF(Basic3456789101112131415[[#This Row],[نوع الخدمة]]="مخالفات", 50,
IF(Basic3456789101112131415[[#This Row],[نوع الخدمة]]="كاش ان",
    IF(F18&lt;=100, 18, IF(F18&lt;=250, 23, IF(F18&lt;=500, 35, IF(F18&lt;=1000, 40, F18*0.04)))),
IF(Basic3456789101112131415[[#This Row],[نوع الخدمة]]="كاش اوت",
    IF(F18&lt;=100, 15, IF(F18&lt;=250, 20, IF(F18&lt;=500, 30, IF(F18&lt;=1000, 35, F18*0.035)))),
0)))</f>
        <v>0</v>
      </c>
      <c r="H18" s="159">
        <f>IF(I18="مخالفات",50,Basic3456789101112131415[[#This Row],[قيمة الرسوم / العموله]]+Basic3456789101112131415[[#This Row],[قيمة الشحنه]])</f>
        <v>0</v>
      </c>
      <c r="I18" s="90"/>
      <c r="J18" s="142" t="str">
        <f t="shared" si="0"/>
        <v>18.5.2026</v>
      </c>
      <c r="L18" s="153">
        <v>7</v>
      </c>
      <c r="M18" s="92"/>
      <c r="O18" s="154" t="s">
        <v>15</v>
      </c>
      <c r="P18" s="155">
        <f>P16+P17</f>
        <v>0</v>
      </c>
    </row>
    <row r="19" spans="1:21" ht="21.6" x14ac:dyDescent="0.65">
      <c r="A19" s="195"/>
      <c r="B19" s="140">
        <v>16</v>
      </c>
      <c r="C19" s="2"/>
      <c r="D19" s="1"/>
      <c r="E19" s="3"/>
      <c r="F19" s="1"/>
      <c r="G19" s="141">
        <f>IF(Basic3456789101112131415[[#This Row],[نوع الخدمة]]="مخالفات", 50,
IF(Basic3456789101112131415[[#This Row],[نوع الخدمة]]="كاش ان",
    IF(F19&lt;=100, 18, IF(F19&lt;=250, 23, IF(F19&lt;=500, 35, IF(F19&lt;=1000, 40, F19*0.04)))),
IF(Basic3456789101112131415[[#This Row],[نوع الخدمة]]="كاش اوت",
    IF(F19&lt;=100, 15, IF(F19&lt;=250, 20, IF(F19&lt;=500, 30, IF(F19&lt;=1000, 35, F19*0.035)))),
0)))</f>
        <v>0</v>
      </c>
      <c r="H19" s="159">
        <f>IF(I19="مخالفات",50,Basic3456789101112131415[[#This Row],[قيمة الرسوم / العموله]]+Basic3456789101112131415[[#This Row],[قيمة الشحنه]])</f>
        <v>0</v>
      </c>
      <c r="I19" s="90"/>
      <c r="J19" s="142" t="str">
        <f t="shared" si="0"/>
        <v>18.5.2026</v>
      </c>
      <c r="L19" s="153">
        <v>8</v>
      </c>
      <c r="M19" s="92"/>
    </row>
    <row r="20" spans="1:21" ht="21.6" x14ac:dyDescent="0.65">
      <c r="A20" s="195"/>
      <c r="B20" s="140">
        <v>17</v>
      </c>
      <c r="C20" s="2"/>
      <c r="D20" s="1"/>
      <c r="E20" s="3"/>
      <c r="F20" s="1"/>
      <c r="G20" s="141">
        <f>IF(Basic3456789101112131415[[#This Row],[نوع الخدمة]]="مخالفات", 50,
IF(Basic3456789101112131415[[#This Row],[نوع الخدمة]]="كاش ان",
    IF(F20&lt;=100, 18, IF(F20&lt;=250, 23, IF(F20&lt;=500, 35, IF(F20&lt;=1000, 40, F20*0.04)))),
IF(Basic3456789101112131415[[#This Row],[نوع الخدمة]]="كاش اوت",
    IF(F20&lt;=100, 15, IF(F20&lt;=250, 20, IF(F20&lt;=500, 30, IF(F20&lt;=1000, 35, F20*0.035)))),
0)))</f>
        <v>0</v>
      </c>
      <c r="H20" s="159">
        <f>IF(I20="مخالفات",50,Basic3456789101112131415[[#This Row],[قيمة الرسوم / العموله]]+Basic3456789101112131415[[#This Row],[قيمة الشحنه]])</f>
        <v>0</v>
      </c>
      <c r="I20" s="90"/>
      <c r="J20" s="142" t="str">
        <f t="shared" si="0"/>
        <v>18.5.2026</v>
      </c>
      <c r="L20" s="153">
        <v>9</v>
      </c>
      <c r="M20" s="92"/>
      <c r="O20" s="193" t="s">
        <v>30</v>
      </c>
      <c r="P20" s="194"/>
    </row>
    <row r="21" spans="1:21" ht="21.6" x14ac:dyDescent="0.65">
      <c r="A21" s="195"/>
      <c r="B21" s="144">
        <v>18</v>
      </c>
      <c r="C21" s="2"/>
      <c r="D21" s="1"/>
      <c r="E21" s="3"/>
      <c r="F21" s="1"/>
      <c r="G21" s="141">
        <f>IF(Basic3456789101112131415[[#This Row],[نوع الخدمة]]="مخالفات", 50,
IF(Basic3456789101112131415[[#This Row],[نوع الخدمة]]="كاش ان",
    IF(F21&lt;=100, 18, IF(F21&lt;=250, 23, IF(F21&lt;=500, 35, IF(F21&lt;=1000, 40, F21*0.04)))),
IF(Basic3456789101112131415[[#This Row],[نوع الخدمة]]="كاش اوت",
    IF(F21&lt;=100, 15, IF(F21&lt;=250, 20, IF(F21&lt;=500, 30, IF(F21&lt;=1000, 35, F21*0.035)))),
0)))</f>
        <v>0</v>
      </c>
      <c r="H21" s="159">
        <f>IF(I21="مخالفات",50,Basic3456789101112131415[[#This Row],[قيمة الرسوم / العموله]]+Basic3456789101112131415[[#This Row],[قيمة الشحنه]])</f>
        <v>0</v>
      </c>
      <c r="I21" s="90"/>
      <c r="J21" s="142" t="str">
        <f t="shared" si="0"/>
        <v>18.5.2026</v>
      </c>
      <c r="L21" s="153">
        <v>10</v>
      </c>
      <c r="M21" s="92"/>
      <c r="O21" s="196" t="s">
        <v>31</v>
      </c>
      <c r="P21" s="197"/>
    </row>
    <row r="22" spans="1:21" ht="21.6" x14ac:dyDescent="0.65">
      <c r="A22" s="195"/>
      <c r="B22" s="140">
        <v>19</v>
      </c>
      <c r="C22" s="2"/>
      <c r="D22" s="1"/>
      <c r="E22" s="3"/>
      <c r="F22" s="1"/>
      <c r="G22" s="141">
        <f>IF(Basic3456789101112131415[[#This Row],[نوع الخدمة]]="مخالفات", 50,
IF(Basic3456789101112131415[[#This Row],[نوع الخدمة]]="كاش ان",
    IF(F22&lt;=100, 18, IF(F22&lt;=250, 23, IF(F22&lt;=500, 35, IF(F22&lt;=1000, 40, F22*0.04)))),
IF(Basic3456789101112131415[[#This Row],[نوع الخدمة]]="كاش اوت",
    IF(F22&lt;=100, 15, IF(F22&lt;=250, 20, IF(F22&lt;=500, 30, IF(F22&lt;=1000, 35, F22*0.035)))),
0)))</f>
        <v>0</v>
      </c>
      <c r="H22" s="159">
        <f>IF(I22="مخالفات",50,Basic3456789101112131415[[#This Row],[قيمة الرسوم / العموله]]+Basic3456789101112131415[[#This Row],[قيمة الشحنه]])</f>
        <v>0</v>
      </c>
      <c r="I22" s="90"/>
      <c r="J22" s="142" t="str">
        <f t="shared" si="0"/>
        <v>18.5.2026</v>
      </c>
      <c r="L22" s="153">
        <v>11</v>
      </c>
      <c r="M22" s="92"/>
      <c r="O22" s="147" t="s">
        <v>27</v>
      </c>
      <c r="P22" s="135">
        <f>M8+'17'!P28</f>
        <v>-4</v>
      </c>
    </row>
    <row r="23" spans="1:21" ht="21.6" x14ac:dyDescent="0.65">
      <c r="A23" s="195"/>
      <c r="B23" s="140">
        <v>20</v>
      </c>
      <c r="C23" s="2"/>
      <c r="D23" s="1"/>
      <c r="E23" s="3"/>
      <c r="F23" s="1"/>
      <c r="G23" s="141">
        <f>IF(Basic3456789101112131415[[#This Row],[نوع الخدمة]]="مخالفات", 50,
IF(Basic3456789101112131415[[#This Row],[نوع الخدمة]]="كاش ان",
    IF(F23&lt;=100, 18, IF(F23&lt;=250, 23, IF(F23&lt;=500, 35, IF(F23&lt;=1000, 40, F23*0.04)))),
IF(Basic3456789101112131415[[#This Row],[نوع الخدمة]]="كاش اوت",
    IF(F23&lt;=100, 15, IF(F23&lt;=250, 20, IF(F23&lt;=500, 30, IF(F23&lt;=1000, 35, F23*0.035)))),
0)))</f>
        <v>0</v>
      </c>
      <c r="H23" s="159">
        <f>IF(I23="مخالفات",50,Basic3456789101112131415[[#This Row],[قيمة الرسوم / العموله]]+Basic3456789101112131415[[#This Row],[قيمة الشحنه]])</f>
        <v>0</v>
      </c>
      <c r="I23" s="90"/>
      <c r="J23" s="142" t="str">
        <f t="shared" si="0"/>
        <v>18.5.2026</v>
      </c>
      <c r="L23" s="153">
        <v>12</v>
      </c>
      <c r="M23" s="92"/>
      <c r="O23" s="147" t="s">
        <v>28</v>
      </c>
      <c r="P23" s="135">
        <f>M9+'17'!P29</f>
        <v>0</v>
      </c>
      <c r="T23" s="173"/>
      <c r="U23" s="173"/>
    </row>
    <row r="24" spans="1:21" ht="21.6" x14ac:dyDescent="0.65">
      <c r="A24" s="195"/>
      <c r="B24" s="140">
        <v>21</v>
      </c>
      <c r="C24" s="2"/>
      <c r="D24" s="1"/>
      <c r="E24" s="3"/>
      <c r="F24" s="1"/>
      <c r="G24" s="141">
        <f>IF(Basic3456789101112131415[[#This Row],[نوع الخدمة]]="مخالفات", 50,
IF(Basic3456789101112131415[[#This Row],[نوع الخدمة]]="كاش ان",
    IF(F24&lt;=100, 18, IF(F24&lt;=250, 23, IF(F24&lt;=500, 35, IF(F24&lt;=1000, 40, F24*0.04)))),
IF(Basic3456789101112131415[[#This Row],[نوع الخدمة]]="كاش اوت",
    IF(F24&lt;=100, 15, IF(F24&lt;=250, 20, IF(F24&lt;=500, 30, IF(F24&lt;=1000, 35, F24*0.035)))),
0)))</f>
        <v>0</v>
      </c>
      <c r="H24" s="159">
        <f>IF(I24="مخالفات",50,Basic3456789101112131415[[#This Row],[قيمة الرسوم / العموله]]+Basic3456789101112131415[[#This Row],[قيمة الشحنه]])</f>
        <v>0</v>
      </c>
      <c r="I24" s="90"/>
      <c r="J24" s="142" t="str">
        <f t="shared" si="0"/>
        <v>18.5.2026</v>
      </c>
      <c r="L24" s="153">
        <v>13</v>
      </c>
      <c r="M24" s="92"/>
      <c r="O24" s="196" t="s">
        <v>32</v>
      </c>
      <c r="P24" s="197"/>
    </row>
    <row r="25" spans="1:21" ht="21.6" x14ac:dyDescent="0.65">
      <c r="A25" s="195"/>
      <c r="B25" s="144">
        <v>22</v>
      </c>
      <c r="C25" s="2"/>
      <c r="D25" s="1"/>
      <c r="E25" s="3"/>
      <c r="F25" s="1"/>
      <c r="G25" s="141">
        <f>IF(Basic3456789101112131415[[#This Row],[نوع الخدمة]]="مخالفات", 50,
IF(Basic3456789101112131415[[#This Row],[نوع الخدمة]]="كاش ان",
    IF(F25&lt;=100, 18, IF(F25&lt;=250, 23, IF(F25&lt;=500, 35, IF(F25&lt;=1000, 40, F25*0.04)))),
IF(Basic3456789101112131415[[#This Row],[نوع الخدمة]]="كاش اوت",
    IF(F25&lt;=100, 15, IF(F25&lt;=250, 20, IF(F25&lt;=500, 30, IF(F25&lt;=1000, 35, F25*0.035)))),
0)))</f>
        <v>0</v>
      </c>
      <c r="H25" s="159">
        <f>IF(I25="مخالفات",50,Basic3456789101112131415[[#This Row],[قيمة الرسوم / العموله]]+Basic3456789101112131415[[#This Row],[قيمة الشحنه]])</f>
        <v>0</v>
      </c>
      <c r="I25" s="90"/>
      <c r="J25" s="142" t="str">
        <f t="shared" si="0"/>
        <v>18.5.2026</v>
      </c>
      <c r="L25" s="153">
        <v>14</v>
      </c>
      <c r="M25" s="92"/>
      <c r="O25" s="147" t="s">
        <v>27</v>
      </c>
      <c r="P25" s="135">
        <f>M5</f>
        <v>0</v>
      </c>
    </row>
    <row r="26" spans="1:21" ht="21.6" x14ac:dyDescent="0.65">
      <c r="A26" s="195"/>
      <c r="B26" s="140">
        <v>23</v>
      </c>
      <c r="C26" s="2"/>
      <c r="D26" s="1"/>
      <c r="E26" s="3"/>
      <c r="F26" s="1"/>
      <c r="G26" s="141">
        <f>IF(Basic3456789101112131415[[#This Row],[نوع الخدمة]]="مخالفات", 50,
IF(Basic3456789101112131415[[#This Row],[نوع الخدمة]]="كاش ان",
    IF(F26&lt;=100, 18, IF(F26&lt;=250, 23, IF(F26&lt;=500, 35, IF(F26&lt;=1000, 40, F26*0.04)))),
IF(Basic3456789101112131415[[#This Row],[نوع الخدمة]]="كاش اوت",
    IF(F26&lt;=100, 15, IF(F26&lt;=250, 20, IF(F26&lt;=500, 30, IF(F26&lt;=1000, 35, F26*0.035)))),
0)))</f>
        <v>0</v>
      </c>
      <c r="H26" s="159">
        <f>IF(I26="مخالفات",50,Basic3456789101112131415[[#This Row],[قيمة الرسوم / العموله]]+Basic3456789101112131415[[#This Row],[قيمة الشحنه]])</f>
        <v>0</v>
      </c>
      <c r="I26" s="90"/>
      <c r="J26" s="142" t="str">
        <f t="shared" si="0"/>
        <v>18.5.2026</v>
      </c>
      <c r="L26" s="153">
        <v>15</v>
      </c>
      <c r="M26" s="92"/>
      <c r="O26" s="147" t="s">
        <v>28</v>
      </c>
      <c r="P26" s="135">
        <f>M6</f>
        <v>0</v>
      </c>
    </row>
    <row r="27" spans="1:21" ht="21.6" x14ac:dyDescent="0.65">
      <c r="A27" s="195"/>
      <c r="B27" s="140">
        <v>24</v>
      </c>
      <c r="C27" s="2"/>
      <c r="D27" s="1"/>
      <c r="E27" s="3"/>
      <c r="F27" s="1"/>
      <c r="G27" s="141">
        <f>IF(Basic3456789101112131415[[#This Row],[نوع الخدمة]]="مخالفات", 50,
IF(Basic3456789101112131415[[#This Row],[نوع الخدمة]]="كاش ان",
    IF(F27&lt;=100, 18, IF(F27&lt;=250, 23, IF(F27&lt;=500, 35, IF(F27&lt;=1000, 40, F27*0.04)))),
IF(Basic3456789101112131415[[#This Row],[نوع الخدمة]]="كاش اوت",
    IF(F27&lt;=100, 15, IF(F27&lt;=250, 20, IF(F27&lt;=500, 30, IF(F27&lt;=1000, 35, F27*0.035)))),
0)))</f>
        <v>0</v>
      </c>
      <c r="H27" s="159">
        <f>IF(I27="مخالفات",50,Basic3456789101112131415[[#This Row],[قيمة الرسوم / العموله]]+Basic3456789101112131415[[#This Row],[قيمة الشحنه]])</f>
        <v>0</v>
      </c>
      <c r="I27" s="90"/>
      <c r="J27" s="142" t="str">
        <f t="shared" si="0"/>
        <v>18.5.2026</v>
      </c>
      <c r="L27" s="153">
        <v>16</v>
      </c>
      <c r="M27" s="92"/>
      <c r="O27" s="196" t="s">
        <v>33</v>
      </c>
      <c r="P27" s="197"/>
    </row>
    <row r="28" spans="1:21" ht="21.6" x14ac:dyDescent="0.65">
      <c r="A28" s="195"/>
      <c r="B28" s="140">
        <v>25</v>
      </c>
      <c r="C28" s="2"/>
      <c r="D28" s="1"/>
      <c r="E28" s="3"/>
      <c r="F28" s="1"/>
      <c r="G28" s="141">
        <f>IF(Basic3456789101112131415[[#This Row],[نوع الخدمة]]="مخالفات", 50,
IF(Basic3456789101112131415[[#This Row],[نوع الخدمة]]="كاش ان",
    IF(F28&lt;=100, 18, IF(F28&lt;=250, 23, IF(F28&lt;=500, 35, IF(F28&lt;=1000, 40, F28*0.04)))),
IF(Basic3456789101112131415[[#This Row],[نوع الخدمة]]="كاش اوت",
    IF(F28&lt;=100, 15, IF(F28&lt;=250, 20, IF(F28&lt;=500, 30, IF(F28&lt;=1000, 35, F28*0.035)))),
0)))</f>
        <v>0</v>
      </c>
      <c r="H28" s="159">
        <f>IF(I28="مخالفات",50,Basic3456789101112131415[[#This Row],[قيمة الرسوم / العموله]]+Basic3456789101112131415[[#This Row],[قيمة الشحنه]])</f>
        <v>0</v>
      </c>
      <c r="I28" s="90"/>
      <c r="J28" s="142" t="str">
        <f t="shared" si="0"/>
        <v>18.5.2026</v>
      </c>
      <c r="L28" s="153">
        <v>17</v>
      </c>
      <c r="M28" s="92"/>
      <c r="O28" s="147" t="s">
        <v>27</v>
      </c>
      <c r="P28" s="135">
        <f>P22-P25</f>
        <v>-4</v>
      </c>
    </row>
    <row r="29" spans="1:21" ht="21.6" x14ac:dyDescent="0.65">
      <c r="A29" s="195"/>
      <c r="B29" s="144">
        <v>26</v>
      </c>
      <c r="C29" s="2"/>
      <c r="D29" s="1"/>
      <c r="E29" s="3"/>
      <c r="F29" s="1"/>
      <c r="G29" s="141">
        <f>IF(Basic3456789101112131415[[#This Row],[نوع الخدمة]]="مخالفات", 50,
IF(Basic3456789101112131415[[#This Row],[نوع الخدمة]]="كاش ان",
    IF(F29&lt;=100, 18, IF(F29&lt;=250, 23, IF(F29&lt;=500, 35, IF(F29&lt;=1000, 40, F29*0.04)))),
IF(Basic3456789101112131415[[#This Row],[نوع الخدمة]]="كاش اوت",
    IF(F29&lt;=100, 15, IF(F29&lt;=250, 20, IF(F29&lt;=500, 30, IF(F29&lt;=1000, 35, F29*0.035)))),
0)))</f>
        <v>0</v>
      </c>
      <c r="H29" s="159">
        <f>IF(I29="مخالفات",50,Basic3456789101112131415[[#This Row],[قيمة الرسوم / العموله]]+Basic3456789101112131415[[#This Row],[قيمة الشحنه]])</f>
        <v>0</v>
      </c>
      <c r="I29" s="90"/>
      <c r="J29" s="142" t="str">
        <f t="shared" si="0"/>
        <v>18.5.2026</v>
      </c>
      <c r="L29" s="153">
        <v>18</v>
      </c>
      <c r="M29" s="92"/>
      <c r="O29" s="147" t="s">
        <v>28</v>
      </c>
      <c r="P29" s="135">
        <f>P23-P26</f>
        <v>0</v>
      </c>
    </row>
    <row r="30" spans="1:21" ht="21.6" x14ac:dyDescent="0.65">
      <c r="A30" s="195"/>
      <c r="B30" s="140">
        <v>27</v>
      </c>
      <c r="C30" s="2"/>
      <c r="D30" s="1"/>
      <c r="E30" s="3"/>
      <c r="F30" s="1"/>
      <c r="G30" s="141">
        <f>IF(Basic3456789101112131415[[#This Row],[نوع الخدمة]]="مخالفات", 50,
IF(Basic3456789101112131415[[#This Row],[نوع الخدمة]]="كاش ان",
    IF(F30&lt;=100, 18, IF(F30&lt;=250, 23, IF(F30&lt;=500, 35, IF(F30&lt;=1000, 40, F30*0.04)))),
IF(Basic3456789101112131415[[#This Row],[نوع الخدمة]]="كاش اوت",
    IF(F30&lt;=100, 15, IF(F30&lt;=250, 20, IF(F30&lt;=500, 30, IF(F30&lt;=1000, 35, F30*0.035)))),
0)))</f>
        <v>0</v>
      </c>
      <c r="H30" s="159">
        <f>IF(I30="مخالفات",50,Basic3456789101112131415[[#This Row],[قيمة الرسوم / العموله]]+Basic3456789101112131415[[#This Row],[قيمة الشحنه]])</f>
        <v>0</v>
      </c>
      <c r="I30" s="90"/>
      <c r="J30" s="142" t="str">
        <f t="shared" si="0"/>
        <v>18.5.2026</v>
      </c>
      <c r="L30" s="153">
        <v>19</v>
      </c>
      <c r="M30" s="92"/>
    </row>
    <row r="31" spans="1:21" ht="21.6" x14ac:dyDescent="0.65">
      <c r="A31" s="195"/>
      <c r="B31" s="140">
        <v>28</v>
      </c>
      <c r="C31" s="2"/>
      <c r="D31" s="1"/>
      <c r="E31" s="3"/>
      <c r="F31" s="1"/>
      <c r="G31" s="141">
        <f>IF(Basic3456789101112131415[[#This Row],[نوع الخدمة]]="مخالفات", 50,
IF(Basic3456789101112131415[[#This Row],[نوع الخدمة]]="كاش ان",
    IF(F31&lt;=100, 18, IF(F31&lt;=250, 23, IF(F31&lt;=500, 35, IF(F31&lt;=1000, 40, F31*0.04)))),
IF(Basic3456789101112131415[[#This Row],[نوع الخدمة]]="كاش اوت",
    IF(F31&lt;=100, 15, IF(F31&lt;=250, 20, IF(F31&lt;=500, 30, IF(F31&lt;=1000, 35, F31*0.035)))),
0)))</f>
        <v>0</v>
      </c>
      <c r="H31" s="159">
        <f>IF(I31="مخالفات",50,Basic3456789101112131415[[#This Row],[قيمة الرسوم / العموله]]+Basic3456789101112131415[[#This Row],[قيمة الشحنه]])</f>
        <v>0</v>
      </c>
      <c r="I31" s="90"/>
      <c r="J31" s="142" t="str">
        <f t="shared" si="0"/>
        <v>18.5.2026</v>
      </c>
      <c r="L31" s="153">
        <v>20</v>
      </c>
      <c r="M31" s="92"/>
    </row>
    <row r="32" spans="1:21" ht="21.6" x14ac:dyDescent="0.65">
      <c r="A32" s="195"/>
      <c r="B32" s="140">
        <v>29</v>
      </c>
      <c r="C32" s="2"/>
      <c r="D32" s="1"/>
      <c r="E32" s="3"/>
      <c r="F32" s="1"/>
      <c r="G32" s="141">
        <f>IF(Basic3456789101112131415[[#This Row],[نوع الخدمة]]="مخالفات", 50,
IF(Basic3456789101112131415[[#This Row],[نوع الخدمة]]="كاش ان",
    IF(F32&lt;=100, 18, IF(F32&lt;=250, 23, IF(F32&lt;=500, 35, IF(F32&lt;=1000, 40, F32*0.04)))),
IF(Basic3456789101112131415[[#This Row],[نوع الخدمة]]="كاش اوت",
    IF(F32&lt;=100, 15, IF(F32&lt;=250, 20, IF(F32&lt;=500, 30, IF(F32&lt;=1000, 35, F32*0.035)))),
0)))</f>
        <v>0</v>
      </c>
      <c r="H32" s="159">
        <f>IF(I32="مخالفات",50,Basic3456789101112131415[[#This Row],[قيمة الرسوم / العموله]]+Basic3456789101112131415[[#This Row],[قيمة الشحنه]])</f>
        <v>0</v>
      </c>
      <c r="I32" s="90"/>
      <c r="J32" s="142" t="str">
        <f t="shared" si="0"/>
        <v>18.5.2026</v>
      </c>
      <c r="L32" s="153">
        <v>21</v>
      </c>
      <c r="M32" s="92"/>
    </row>
    <row r="33" spans="1:13" ht="21.6" x14ac:dyDescent="0.65">
      <c r="A33" s="195"/>
      <c r="B33" s="144">
        <v>30</v>
      </c>
      <c r="C33" s="2"/>
      <c r="D33" s="1"/>
      <c r="E33" s="3"/>
      <c r="F33" s="1"/>
      <c r="G33" s="141">
        <f>IF(Basic3456789101112131415[[#This Row],[نوع الخدمة]]="مخالفات", 50,
IF(Basic3456789101112131415[[#This Row],[نوع الخدمة]]="كاش ان",
    IF(F33&lt;=100, 18, IF(F33&lt;=250, 23, IF(F33&lt;=500, 35, IF(F33&lt;=1000, 40, F33*0.04)))),
IF(Basic3456789101112131415[[#This Row],[نوع الخدمة]]="كاش اوت",
    IF(F33&lt;=100, 15, IF(F33&lt;=250, 20, IF(F33&lt;=500, 30, IF(F33&lt;=1000, 35, F33*0.035)))),
0)))</f>
        <v>0</v>
      </c>
      <c r="H33" s="159">
        <f>IF(I33="مخالفات",50,Basic3456789101112131415[[#This Row],[قيمة الرسوم / العموله]]+Basic3456789101112131415[[#This Row],[قيمة الشحنه]])</f>
        <v>0</v>
      </c>
      <c r="I33" s="90"/>
      <c r="J33" s="142" t="str">
        <f t="shared" si="0"/>
        <v>18.5.2026</v>
      </c>
      <c r="L33" s="153">
        <v>22</v>
      </c>
      <c r="M33" s="92"/>
    </row>
    <row r="34" spans="1:13" ht="21.6" x14ac:dyDescent="0.65">
      <c r="A34" s="195"/>
      <c r="B34" s="140">
        <v>31</v>
      </c>
      <c r="C34" s="2"/>
      <c r="D34" s="1"/>
      <c r="E34" s="3"/>
      <c r="F34" s="1"/>
      <c r="G34" s="141">
        <f>IF(Basic3456789101112131415[[#This Row],[نوع الخدمة]]="مخالفات", 50,
IF(Basic3456789101112131415[[#This Row],[نوع الخدمة]]="كاش ان",
    IF(F34&lt;=100, 18, IF(F34&lt;=250, 23, IF(F34&lt;=500, 35, IF(F34&lt;=1000, 40, F34*0.04)))),
IF(Basic3456789101112131415[[#This Row],[نوع الخدمة]]="كاش اوت",
    IF(F34&lt;=100, 15, IF(F34&lt;=250, 20, IF(F34&lt;=500, 30, IF(F34&lt;=1000, 35, F34*0.035)))),
0)))</f>
        <v>0</v>
      </c>
      <c r="H34" s="159">
        <f>IF(I34="مخالفات",50,Basic3456789101112131415[[#This Row],[قيمة الرسوم / العموله]]+Basic3456789101112131415[[#This Row],[قيمة الشحنه]])</f>
        <v>0</v>
      </c>
      <c r="I34" s="90"/>
      <c r="J34" s="142" t="str">
        <f t="shared" si="0"/>
        <v>18.5.2026</v>
      </c>
      <c r="L34" s="153">
        <v>23</v>
      </c>
      <c r="M34" s="92"/>
    </row>
    <row r="35" spans="1:13" ht="21.6" x14ac:dyDescent="0.65">
      <c r="A35" s="195"/>
      <c r="B35" s="140">
        <v>32</v>
      </c>
      <c r="C35" s="2"/>
      <c r="D35" s="1"/>
      <c r="E35" s="3"/>
      <c r="F35" s="1"/>
      <c r="G35" s="141">
        <f>IF(Basic3456789101112131415[[#This Row],[نوع الخدمة]]="مخالفات", 50,
IF(Basic3456789101112131415[[#This Row],[نوع الخدمة]]="كاش ان",
    IF(F35&lt;=100, 18, IF(F35&lt;=250, 23, IF(F35&lt;=500, 35, IF(F35&lt;=1000, 40, F35*0.04)))),
IF(Basic3456789101112131415[[#This Row],[نوع الخدمة]]="كاش اوت",
    IF(F35&lt;=100, 15, IF(F35&lt;=250, 20, IF(F35&lt;=500, 30, IF(F35&lt;=1000, 35, F35*0.035)))),
0)))</f>
        <v>0</v>
      </c>
      <c r="H35" s="159">
        <f>IF(I35="مخالفات",50,Basic3456789101112131415[[#This Row],[قيمة الرسوم / العموله]]+Basic3456789101112131415[[#This Row],[قيمة الشحنه]])</f>
        <v>0</v>
      </c>
      <c r="I35" s="90"/>
      <c r="J35" s="142" t="str">
        <f t="shared" si="0"/>
        <v>18.5.2026</v>
      </c>
      <c r="L35" s="153">
        <v>24</v>
      </c>
      <c r="M35" s="92"/>
    </row>
    <row r="36" spans="1:13" ht="21.6" x14ac:dyDescent="0.65">
      <c r="A36" s="195"/>
      <c r="B36" s="140">
        <v>33</v>
      </c>
      <c r="C36" s="2"/>
      <c r="D36" s="1"/>
      <c r="E36" s="3"/>
      <c r="F36" s="1"/>
      <c r="G36" s="141">
        <f>IF(Basic3456789101112131415[[#This Row],[نوع الخدمة]]="مخالفات", 50,
IF(Basic3456789101112131415[[#This Row],[نوع الخدمة]]="كاش ان",
    IF(F36&lt;=100, 18, IF(F36&lt;=250, 23, IF(F36&lt;=500, 35, IF(F36&lt;=1000, 40, F36*0.04)))),
IF(Basic3456789101112131415[[#This Row],[نوع الخدمة]]="كاش اوت",
    IF(F36&lt;=100, 15, IF(F36&lt;=250, 20, IF(F36&lt;=500, 30, IF(F36&lt;=1000, 35, F36*0.035)))),
0)))</f>
        <v>0</v>
      </c>
      <c r="H36" s="159">
        <f>IF(I36="مخالفات",50,Basic3456789101112131415[[#This Row],[قيمة الرسوم / العموله]]+Basic3456789101112131415[[#This Row],[قيمة الشحنه]])</f>
        <v>0</v>
      </c>
      <c r="I36" s="90"/>
      <c r="J36" s="142" t="str">
        <f t="shared" si="0"/>
        <v>18.5.2026</v>
      </c>
      <c r="L36" s="153">
        <v>25</v>
      </c>
      <c r="M36" s="92"/>
    </row>
    <row r="37" spans="1:13" ht="21.6" x14ac:dyDescent="0.65">
      <c r="A37" s="195"/>
      <c r="B37" s="144">
        <v>34</v>
      </c>
      <c r="C37" s="2"/>
      <c r="D37" s="1"/>
      <c r="E37" s="3"/>
      <c r="F37" s="1"/>
      <c r="G37" s="141">
        <f>IF(Basic3456789101112131415[[#This Row],[نوع الخدمة]]="مخالفات", 50,
IF(Basic3456789101112131415[[#This Row],[نوع الخدمة]]="كاش ان",
    IF(F37&lt;=100, 18, IF(F37&lt;=250, 23, IF(F37&lt;=500, 35, IF(F37&lt;=1000, 40, F37*0.04)))),
IF(Basic3456789101112131415[[#This Row],[نوع الخدمة]]="كاش اوت",
    IF(F37&lt;=100, 15, IF(F37&lt;=250, 20, IF(F37&lt;=500, 30, IF(F37&lt;=1000, 35, F37*0.035)))),
0)))</f>
        <v>0</v>
      </c>
      <c r="H37" s="159">
        <f>IF(I37="مخالفات",50,Basic3456789101112131415[[#This Row],[قيمة الرسوم / العموله]]+Basic3456789101112131415[[#This Row],[قيمة الشحنه]])</f>
        <v>0</v>
      </c>
      <c r="I37" s="90"/>
      <c r="J37" s="142" t="str">
        <f t="shared" si="0"/>
        <v>18.5.2026</v>
      </c>
      <c r="L37" s="153">
        <v>26</v>
      </c>
      <c r="M37" s="92"/>
    </row>
    <row r="38" spans="1:13" ht="21.6" x14ac:dyDescent="0.65">
      <c r="A38" s="195"/>
      <c r="B38" s="140">
        <v>35</v>
      </c>
      <c r="C38" s="2"/>
      <c r="D38" s="1"/>
      <c r="E38" s="3"/>
      <c r="F38" s="1"/>
      <c r="G38" s="141">
        <f>IF(Basic3456789101112131415[[#This Row],[نوع الخدمة]]="مخالفات", 50,
IF(Basic3456789101112131415[[#This Row],[نوع الخدمة]]="كاش ان",
    IF(F38&lt;=100, 18, IF(F38&lt;=250, 23, IF(F38&lt;=500, 35, IF(F38&lt;=1000, 40, F38*0.04)))),
IF(Basic3456789101112131415[[#This Row],[نوع الخدمة]]="كاش اوت",
    IF(F38&lt;=100, 15, IF(F38&lt;=250, 20, IF(F38&lt;=500, 30, IF(F38&lt;=1000, 35, F38*0.035)))),
0)))</f>
        <v>0</v>
      </c>
      <c r="H38" s="159">
        <f>IF(I38="مخالفات",50,Basic3456789101112131415[[#This Row],[قيمة الرسوم / العموله]]+Basic3456789101112131415[[#This Row],[قيمة الشحنه]])</f>
        <v>0</v>
      </c>
      <c r="I38" s="90"/>
      <c r="J38" s="142" t="str">
        <f t="shared" si="0"/>
        <v>18.5.2026</v>
      </c>
      <c r="L38" s="153">
        <v>27</v>
      </c>
      <c r="M38" s="92"/>
    </row>
    <row r="39" spans="1:13" ht="21.6" x14ac:dyDescent="0.65">
      <c r="A39" s="195"/>
      <c r="B39" s="140">
        <v>36</v>
      </c>
      <c r="C39" s="2"/>
      <c r="D39" s="1"/>
      <c r="E39" s="3"/>
      <c r="F39" s="1"/>
      <c r="G39" s="141">
        <f>IF(Basic3456789101112131415[[#This Row],[نوع الخدمة]]="مخالفات", 50,
IF(Basic3456789101112131415[[#This Row],[نوع الخدمة]]="كاش ان",
    IF(F39&lt;=100, 18, IF(F39&lt;=250, 23, IF(F39&lt;=500, 35, IF(F39&lt;=1000, 40, F39*0.04)))),
IF(Basic3456789101112131415[[#This Row],[نوع الخدمة]]="كاش اوت",
    IF(F39&lt;=100, 15, IF(F39&lt;=250, 20, IF(F39&lt;=500, 30, IF(F39&lt;=1000, 35, F39*0.035)))),
0)))</f>
        <v>0</v>
      </c>
      <c r="H39" s="159">
        <f>IF(I39="مخالفات",50,Basic3456789101112131415[[#This Row],[قيمة الرسوم / العموله]]+Basic3456789101112131415[[#This Row],[قيمة الشحنه]])</f>
        <v>0</v>
      </c>
      <c r="I39" s="90"/>
      <c r="J39" s="142" t="str">
        <f t="shared" si="0"/>
        <v>18.5.2026</v>
      </c>
      <c r="L39" s="153">
        <v>28</v>
      </c>
      <c r="M39" s="92"/>
    </row>
    <row r="40" spans="1:13" ht="21.6" x14ac:dyDescent="0.65">
      <c r="A40" s="195"/>
      <c r="B40" s="140">
        <v>37</v>
      </c>
      <c r="C40" s="2"/>
      <c r="D40" s="1"/>
      <c r="E40" s="3"/>
      <c r="F40" s="1"/>
      <c r="G40" s="141">
        <f>IF(Basic3456789101112131415[[#This Row],[نوع الخدمة]]="مخالفات", 50,
IF(Basic3456789101112131415[[#This Row],[نوع الخدمة]]="كاش ان",
    IF(F40&lt;=100, 18, IF(F40&lt;=250, 23, IF(F40&lt;=500, 35, IF(F40&lt;=1000, 40, F40*0.04)))),
IF(Basic3456789101112131415[[#This Row],[نوع الخدمة]]="كاش اوت",
    IF(F40&lt;=100, 15, IF(F40&lt;=250, 20, IF(F40&lt;=500, 30, IF(F40&lt;=1000, 35, F40*0.035)))),
0)))</f>
        <v>0</v>
      </c>
      <c r="H40" s="159">
        <f>IF(I40="مخالفات",50,Basic3456789101112131415[[#This Row],[قيمة الرسوم / العموله]]+Basic3456789101112131415[[#This Row],[قيمة الشحنه]])</f>
        <v>0</v>
      </c>
      <c r="I40" s="90"/>
      <c r="J40" s="142" t="str">
        <f t="shared" si="0"/>
        <v>18.5.2026</v>
      </c>
      <c r="L40" s="153">
        <v>29</v>
      </c>
      <c r="M40" s="92"/>
    </row>
    <row r="41" spans="1:13" ht="21.6" x14ac:dyDescent="0.65">
      <c r="A41" s="195"/>
      <c r="B41" s="144">
        <v>38</v>
      </c>
      <c r="C41" s="2"/>
      <c r="D41" s="1"/>
      <c r="E41" s="3"/>
      <c r="F41" s="1"/>
      <c r="G41" s="141">
        <f>IF(Basic3456789101112131415[[#This Row],[نوع الخدمة]]="مخالفات", 50,
IF(Basic3456789101112131415[[#This Row],[نوع الخدمة]]="كاش ان",
    IF(F41&lt;=100, 18, IF(F41&lt;=250, 23, IF(F41&lt;=500, 35, IF(F41&lt;=1000, 40, F41*0.04)))),
IF(Basic3456789101112131415[[#This Row],[نوع الخدمة]]="كاش اوت",
    IF(F41&lt;=100, 15, IF(F41&lt;=250, 20, IF(F41&lt;=500, 30, IF(F41&lt;=1000, 35, F41*0.035)))),
0)))</f>
        <v>0</v>
      </c>
      <c r="H41" s="159">
        <f>IF(I41="مخالفات",50,Basic3456789101112131415[[#This Row],[قيمة الرسوم / العموله]]+Basic3456789101112131415[[#This Row],[قيمة الشحنه]])</f>
        <v>0</v>
      </c>
      <c r="I41" s="90"/>
      <c r="J41" s="142" t="str">
        <f t="shared" si="0"/>
        <v>18.5.2026</v>
      </c>
      <c r="L41" s="153">
        <v>30</v>
      </c>
      <c r="M41" s="92"/>
    </row>
    <row r="42" spans="1:13" ht="21.6" x14ac:dyDescent="0.65">
      <c r="A42" s="195"/>
      <c r="B42" s="140">
        <v>39</v>
      </c>
      <c r="C42" s="2"/>
      <c r="D42" s="1"/>
      <c r="E42" s="3"/>
      <c r="F42" s="1"/>
      <c r="G42" s="141">
        <f>IF(Basic3456789101112131415[[#This Row],[نوع الخدمة]]="مخالفات", 50,
IF(Basic3456789101112131415[[#This Row],[نوع الخدمة]]="كاش ان",
    IF(F42&lt;=100, 18, IF(F42&lt;=250, 23, IF(F42&lt;=500, 35, IF(F42&lt;=1000, 40, F42*0.04)))),
IF(Basic3456789101112131415[[#This Row],[نوع الخدمة]]="كاش اوت",
    IF(F42&lt;=100, 15, IF(F42&lt;=250, 20, IF(F42&lt;=500, 30, IF(F42&lt;=1000, 35, F42*0.035)))),
0)))</f>
        <v>0</v>
      </c>
      <c r="H42" s="159">
        <f>IF(I42="مخالفات",50,Basic3456789101112131415[[#This Row],[قيمة الرسوم / العموله]]+Basic3456789101112131415[[#This Row],[قيمة الشحنه]])</f>
        <v>0</v>
      </c>
      <c r="I42" s="90"/>
      <c r="J42" s="142" t="str">
        <f t="shared" si="0"/>
        <v>18.5.2026</v>
      </c>
      <c r="L42" s="153">
        <v>31</v>
      </c>
      <c r="M42" s="92"/>
    </row>
    <row r="43" spans="1:13" ht="21.6" x14ac:dyDescent="0.65">
      <c r="A43" s="195"/>
      <c r="B43" s="140">
        <v>40</v>
      </c>
      <c r="C43" s="2"/>
      <c r="D43" s="1"/>
      <c r="E43" s="3"/>
      <c r="F43" s="1"/>
      <c r="G43" s="141">
        <f>IF(Basic3456789101112131415[[#This Row],[نوع الخدمة]]="مخالفات", 50,
IF(Basic3456789101112131415[[#This Row],[نوع الخدمة]]="كاش ان",
    IF(F43&lt;=100, 18, IF(F43&lt;=250, 23, IF(F43&lt;=500, 35, IF(F43&lt;=1000, 40, F43*0.04)))),
IF(Basic3456789101112131415[[#This Row],[نوع الخدمة]]="كاش اوت",
    IF(F43&lt;=100, 15, IF(F43&lt;=250, 20, IF(F43&lt;=500, 30, IF(F43&lt;=1000, 35, F43*0.035)))),
0)))</f>
        <v>0</v>
      </c>
      <c r="H43" s="159">
        <f>IF(I43="مخالفات",50,Basic3456789101112131415[[#This Row],[قيمة الرسوم / العموله]]+Basic3456789101112131415[[#This Row],[قيمة الشحنه]])</f>
        <v>0</v>
      </c>
      <c r="I43" s="90"/>
      <c r="J43" s="142" t="str">
        <f t="shared" si="0"/>
        <v>18.5.2026</v>
      </c>
      <c r="L43" s="153">
        <v>32</v>
      </c>
      <c r="M43" s="92"/>
    </row>
    <row r="44" spans="1:13" ht="21.6" x14ac:dyDescent="0.65">
      <c r="A44" s="195"/>
      <c r="B44" s="140">
        <v>41</v>
      </c>
      <c r="C44" s="2"/>
      <c r="D44" s="1"/>
      <c r="E44" s="3"/>
      <c r="F44" s="1"/>
      <c r="G44" s="141">
        <f>IF(Basic3456789101112131415[[#This Row],[نوع الخدمة]]="مخالفات", 50,
IF(Basic3456789101112131415[[#This Row],[نوع الخدمة]]="كاش ان",
    IF(F44&lt;=100, 18, IF(F44&lt;=250, 23, IF(F44&lt;=500, 35, IF(F44&lt;=1000, 40, F44*0.04)))),
IF(Basic3456789101112131415[[#This Row],[نوع الخدمة]]="كاش اوت",
    IF(F44&lt;=100, 15, IF(F44&lt;=250, 20, IF(F44&lt;=500, 30, IF(F44&lt;=1000, 35, F44*0.035)))),
0)))</f>
        <v>0</v>
      </c>
      <c r="H44" s="159">
        <f>IF(I44="مخالفات",50,Basic3456789101112131415[[#This Row],[قيمة الرسوم / العموله]]+Basic3456789101112131415[[#This Row],[قيمة الشحنه]])</f>
        <v>0</v>
      </c>
      <c r="I44" s="90"/>
      <c r="J44" s="142" t="str">
        <f t="shared" si="0"/>
        <v>18.5.2026</v>
      </c>
      <c r="L44" s="153">
        <v>33</v>
      </c>
      <c r="M44" s="92"/>
    </row>
    <row r="45" spans="1:13" ht="21.6" x14ac:dyDescent="0.65">
      <c r="A45" s="195"/>
      <c r="B45" s="144">
        <v>42</v>
      </c>
      <c r="C45" s="2"/>
      <c r="D45" s="1"/>
      <c r="E45" s="3"/>
      <c r="F45" s="1"/>
      <c r="G45" s="141">
        <f>IF(Basic3456789101112131415[[#This Row],[نوع الخدمة]]="مخالفات", 50,
IF(Basic3456789101112131415[[#This Row],[نوع الخدمة]]="كاش ان",
    IF(F45&lt;=100, 18, IF(F45&lt;=250, 23, IF(F45&lt;=500, 35, IF(F45&lt;=1000, 40, F45*0.04)))),
IF(Basic3456789101112131415[[#This Row],[نوع الخدمة]]="كاش اوت",
    IF(F45&lt;=100, 15, IF(F45&lt;=250, 20, IF(F45&lt;=500, 30, IF(F45&lt;=1000, 35, F45*0.035)))),
0)))</f>
        <v>0</v>
      </c>
      <c r="H45" s="159">
        <f>IF(I45="مخالفات",50,Basic3456789101112131415[[#This Row],[قيمة الرسوم / العموله]]+Basic3456789101112131415[[#This Row],[قيمة الشحنه]])</f>
        <v>0</v>
      </c>
      <c r="I45" s="90"/>
      <c r="J45" s="142" t="str">
        <f t="shared" si="0"/>
        <v>18.5.2026</v>
      </c>
      <c r="L45" s="153">
        <v>34</v>
      </c>
      <c r="M45" s="92"/>
    </row>
    <row r="46" spans="1:13" ht="21.6" x14ac:dyDescent="0.65">
      <c r="A46" s="195"/>
      <c r="B46" s="140">
        <v>43</v>
      </c>
      <c r="C46" s="2"/>
      <c r="D46" s="1"/>
      <c r="E46" s="3"/>
      <c r="F46" s="1"/>
      <c r="G46" s="141">
        <f>IF(Basic3456789101112131415[[#This Row],[نوع الخدمة]]="مخالفات", 50,
IF(Basic3456789101112131415[[#This Row],[نوع الخدمة]]="كاش ان",
    IF(F46&lt;=100, 18, IF(F46&lt;=250, 23, IF(F46&lt;=500, 35, IF(F46&lt;=1000, 40, F46*0.04)))),
IF(Basic3456789101112131415[[#This Row],[نوع الخدمة]]="كاش اوت",
    IF(F46&lt;=100, 15, IF(F46&lt;=250, 20, IF(F46&lt;=500, 30, IF(F46&lt;=1000, 35, F46*0.035)))),
0)))</f>
        <v>0</v>
      </c>
      <c r="H46" s="159">
        <f>IF(I46="مخالفات",50,Basic3456789101112131415[[#This Row],[قيمة الرسوم / العموله]]+Basic3456789101112131415[[#This Row],[قيمة الشحنه]])</f>
        <v>0</v>
      </c>
      <c r="I46" s="90"/>
      <c r="J46" s="142" t="str">
        <f t="shared" si="0"/>
        <v>18.5.2026</v>
      </c>
      <c r="L46" s="153">
        <v>35</v>
      </c>
      <c r="M46" s="92"/>
    </row>
    <row r="47" spans="1:13" ht="21.6" x14ac:dyDescent="0.65">
      <c r="A47" s="195"/>
      <c r="B47" s="140">
        <v>44</v>
      </c>
      <c r="C47" s="2"/>
      <c r="D47" s="1"/>
      <c r="E47" s="3"/>
      <c r="F47" s="1"/>
      <c r="G47" s="141">
        <f>IF(Basic3456789101112131415[[#This Row],[نوع الخدمة]]="مخالفات", 50,
IF(Basic3456789101112131415[[#This Row],[نوع الخدمة]]="كاش ان",
    IF(F47&lt;=100, 18, IF(F47&lt;=250, 23, IF(F47&lt;=500, 35, IF(F47&lt;=1000, 40, F47*0.04)))),
IF(Basic3456789101112131415[[#This Row],[نوع الخدمة]]="كاش اوت",
    IF(F47&lt;=100, 15, IF(F47&lt;=250, 20, IF(F47&lt;=500, 30, IF(F47&lt;=1000, 35, F47*0.035)))),
0)))</f>
        <v>0</v>
      </c>
      <c r="H47" s="159">
        <f>IF(I47="مخالفات",50,Basic3456789101112131415[[#This Row],[قيمة الرسوم / العموله]]+Basic3456789101112131415[[#This Row],[قيمة الشحنه]])</f>
        <v>0</v>
      </c>
      <c r="I47" s="90"/>
      <c r="J47" s="142" t="str">
        <f t="shared" si="0"/>
        <v>18.5.2026</v>
      </c>
      <c r="L47" s="153">
        <v>36</v>
      </c>
      <c r="M47" s="92"/>
    </row>
    <row r="48" spans="1:13" ht="21.6" x14ac:dyDescent="0.65">
      <c r="A48" s="195"/>
      <c r="B48" s="140">
        <v>45</v>
      </c>
      <c r="C48" s="2"/>
      <c r="D48" s="1"/>
      <c r="E48" s="3"/>
      <c r="F48" s="1"/>
      <c r="G48" s="141">
        <f>IF(Basic3456789101112131415[[#This Row],[نوع الخدمة]]="مخالفات", 50,
IF(Basic3456789101112131415[[#This Row],[نوع الخدمة]]="كاش ان",
    IF(F48&lt;=100, 18, IF(F48&lt;=250, 23, IF(F48&lt;=500, 35, IF(F48&lt;=1000, 40, F48*0.04)))),
IF(Basic3456789101112131415[[#This Row],[نوع الخدمة]]="كاش اوت",
    IF(F48&lt;=100, 15, IF(F48&lt;=250, 20, IF(F48&lt;=500, 30, IF(F48&lt;=1000, 35, F48*0.035)))),
0)))</f>
        <v>0</v>
      </c>
      <c r="H48" s="159">
        <f>IF(I48="مخالفات",50,Basic3456789101112131415[[#This Row],[قيمة الرسوم / العموله]]+Basic3456789101112131415[[#This Row],[قيمة الشحنه]])</f>
        <v>0</v>
      </c>
      <c r="I48" s="90"/>
      <c r="J48" s="142" t="str">
        <f t="shared" si="0"/>
        <v>18.5.2026</v>
      </c>
      <c r="L48" s="153">
        <v>37</v>
      </c>
      <c r="M48" s="92"/>
    </row>
    <row r="49" spans="1:13" ht="21.6" x14ac:dyDescent="0.65">
      <c r="A49" s="195"/>
      <c r="B49" s="144">
        <v>46</v>
      </c>
      <c r="C49" s="2"/>
      <c r="D49" s="1"/>
      <c r="E49" s="3"/>
      <c r="F49" s="1"/>
      <c r="G49" s="141">
        <f>IF(Basic3456789101112131415[[#This Row],[نوع الخدمة]]="مخالفات", 50,
IF(Basic3456789101112131415[[#This Row],[نوع الخدمة]]="كاش ان",
    IF(F49&lt;=100, 18, IF(F49&lt;=250, 23, IF(F49&lt;=500, 35, IF(F49&lt;=1000, 40, F49*0.04)))),
IF(Basic3456789101112131415[[#This Row],[نوع الخدمة]]="كاش اوت",
    IF(F49&lt;=100, 15, IF(F49&lt;=250, 20, IF(F49&lt;=500, 30, IF(F49&lt;=1000, 35, F49*0.035)))),
0)))</f>
        <v>0</v>
      </c>
      <c r="H49" s="159">
        <f>IF(I49="مخالفات",50,Basic3456789101112131415[[#This Row],[قيمة الرسوم / العموله]]+Basic3456789101112131415[[#This Row],[قيمة الشحنه]])</f>
        <v>0</v>
      </c>
      <c r="I49" s="90"/>
      <c r="J49" s="142" t="str">
        <f t="shared" si="0"/>
        <v>18.5.2026</v>
      </c>
      <c r="L49" s="153">
        <v>38</v>
      </c>
      <c r="M49" s="92"/>
    </row>
    <row r="50" spans="1:13" ht="21.6" x14ac:dyDescent="0.65">
      <c r="A50" s="195"/>
      <c r="B50" s="140">
        <v>47</v>
      </c>
      <c r="C50" s="2"/>
      <c r="D50" s="1"/>
      <c r="E50" s="3"/>
      <c r="F50" s="1"/>
      <c r="G50" s="141">
        <f>IF(Basic3456789101112131415[[#This Row],[نوع الخدمة]]="مخالفات", 50,
IF(Basic3456789101112131415[[#This Row],[نوع الخدمة]]="كاش ان",
    IF(F50&lt;=100, 18, IF(F50&lt;=250, 23, IF(F50&lt;=500, 35, IF(F50&lt;=1000, 40, F50*0.04)))),
IF(Basic3456789101112131415[[#This Row],[نوع الخدمة]]="كاش اوت",
    IF(F50&lt;=100, 15, IF(F50&lt;=250, 20, IF(F50&lt;=500, 30, IF(F50&lt;=1000, 35, F50*0.035)))),
0)))</f>
        <v>0</v>
      </c>
      <c r="H50" s="159">
        <f>IF(I50="مخالفات",50,Basic3456789101112131415[[#This Row],[قيمة الرسوم / العموله]]+Basic3456789101112131415[[#This Row],[قيمة الشحنه]])</f>
        <v>0</v>
      </c>
      <c r="I50" s="90"/>
      <c r="J50" s="142" t="str">
        <f t="shared" si="0"/>
        <v>18.5.2026</v>
      </c>
      <c r="L50" s="153">
        <v>39</v>
      </c>
      <c r="M50" s="92"/>
    </row>
    <row r="51" spans="1:13" ht="21.6" x14ac:dyDescent="0.65">
      <c r="A51" s="195"/>
      <c r="B51" s="140">
        <v>48</v>
      </c>
      <c r="C51" s="2"/>
      <c r="D51" s="1"/>
      <c r="E51" s="3"/>
      <c r="F51" s="1"/>
      <c r="G51" s="141">
        <f>IF(Basic3456789101112131415[[#This Row],[نوع الخدمة]]="مخالفات", 50,
IF(Basic3456789101112131415[[#This Row],[نوع الخدمة]]="كاش ان",
    IF(F51&lt;=100, 18, IF(F51&lt;=250, 23, IF(F51&lt;=500, 35, IF(F51&lt;=1000, 40, F51*0.04)))),
IF(Basic3456789101112131415[[#This Row],[نوع الخدمة]]="كاش اوت",
    IF(F51&lt;=100, 15, IF(F51&lt;=250, 20, IF(F51&lt;=500, 30, IF(F51&lt;=1000, 35, F51*0.035)))),
0)))</f>
        <v>0</v>
      </c>
      <c r="H51" s="159">
        <f>IF(I51="مخالفات",50,Basic3456789101112131415[[#This Row],[قيمة الرسوم / العموله]]+Basic3456789101112131415[[#This Row],[قيمة الشحنه]])</f>
        <v>0</v>
      </c>
      <c r="I51" s="90"/>
      <c r="J51" s="142" t="str">
        <f t="shared" si="0"/>
        <v>18.5.2026</v>
      </c>
      <c r="L51" s="153">
        <v>40</v>
      </c>
      <c r="M51" s="92"/>
    </row>
    <row r="52" spans="1:13" ht="21.6" x14ac:dyDescent="0.65">
      <c r="A52" s="195"/>
      <c r="B52" s="140">
        <v>49</v>
      </c>
      <c r="C52" s="2"/>
      <c r="D52" s="1"/>
      <c r="E52" s="3"/>
      <c r="F52" s="1"/>
      <c r="G52" s="141">
        <f>IF(Basic3456789101112131415[[#This Row],[نوع الخدمة]]="مخالفات", 50,
IF(Basic3456789101112131415[[#This Row],[نوع الخدمة]]="كاش ان",
    IF(F52&lt;=100, 18, IF(F52&lt;=250, 23, IF(F52&lt;=500, 35, IF(F52&lt;=1000, 40, F52*0.04)))),
IF(Basic3456789101112131415[[#This Row],[نوع الخدمة]]="كاش اوت",
    IF(F52&lt;=100, 15, IF(F52&lt;=250, 20, IF(F52&lt;=500, 30, IF(F52&lt;=1000, 35, F52*0.035)))),
0)))</f>
        <v>0</v>
      </c>
      <c r="H52" s="159">
        <f>IF(I52="مخالفات",50,Basic3456789101112131415[[#This Row],[قيمة الرسوم / العموله]]+Basic3456789101112131415[[#This Row],[قيمة الشحنه]])</f>
        <v>0</v>
      </c>
      <c r="I52" s="90"/>
      <c r="J52" s="142" t="str">
        <f t="shared" si="0"/>
        <v>18.5.2026</v>
      </c>
      <c r="L52" s="153">
        <v>41</v>
      </c>
      <c r="M52" s="92"/>
    </row>
    <row r="53" spans="1:13" ht="21.6" x14ac:dyDescent="0.65">
      <c r="A53" s="195"/>
      <c r="B53" s="144">
        <v>50</v>
      </c>
      <c r="C53" s="2"/>
      <c r="D53" s="1"/>
      <c r="E53" s="3"/>
      <c r="F53" s="1"/>
      <c r="G53" s="141">
        <f>IF(Basic3456789101112131415[[#This Row],[نوع الخدمة]]="مخالفات", 50,
IF(Basic3456789101112131415[[#This Row],[نوع الخدمة]]="كاش ان",
    IF(F53&lt;=100, 18, IF(F53&lt;=250, 23, IF(F53&lt;=500, 35, IF(F53&lt;=1000, 40, F53*0.04)))),
IF(Basic3456789101112131415[[#This Row],[نوع الخدمة]]="كاش اوت",
    IF(F53&lt;=100, 15, IF(F53&lt;=250, 20, IF(F53&lt;=500, 30, IF(F53&lt;=1000, 35, F53*0.035)))),
0)))</f>
        <v>0</v>
      </c>
      <c r="H53" s="159">
        <f>IF(I53="مخالفات",50,Basic3456789101112131415[[#This Row],[قيمة الرسوم / العموله]]+Basic3456789101112131415[[#This Row],[قيمة الشحنه]])</f>
        <v>0</v>
      </c>
      <c r="I53" s="90"/>
      <c r="J53" s="142" t="str">
        <f t="shared" si="0"/>
        <v>18.5.2026</v>
      </c>
      <c r="L53" s="153">
        <v>42</v>
      </c>
      <c r="M53" s="92"/>
    </row>
    <row r="54" spans="1:13" ht="21.6" x14ac:dyDescent="0.65">
      <c r="A54" s="195"/>
      <c r="B54" s="140">
        <v>51</v>
      </c>
      <c r="C54" s="2"/>
      <c r="D54" s="1"/>
      <c r="E54" s="3"/>
      <c r="F54" s="1"/>
      <c r="G54" s="141">
        <f>IF(Basic3456789101112131415[[#This Row],[نوع الخدمة]]="مخالفات", 50,
IF(Basic3456789101112131415[[#This Row],[نوع الخدمة]]="كاش ان",
    IF(F54&lt;=100, 18, IF(F54&lt;=250, 23, IF(F54&lt;=500, 35, IF(F54&lt;=1000, 40, F54*0.04)))),
IF(Basic3456789101112131415[[#This Row],[نوع الخدمة]]="كاش اوت",
    IF(F54&lt;=100, 15, IF(F54&lt;=250, 20, IF(F54&lt;=500, 30, IF(F54&lt;=1000, 35, F54*0.035)))),
0)))</f>
        <v>0</v>
      </c>
      <c r="H54" s="159">
        <f>IF(I54="مخالفات",50,Basic3456789101112131415[[#This Row],[قيمة الرسوم / العموله]]+Basic3456789101112131415[[#This Row],[قيمة الشحنه]])</f>
        <v>0</v>
      </c>
      <c r="I54" s="90"/>
      <c r="J54" s="142" t="str">
        <f t="shared" si="0"/>
        <v>18.5.2026</v>
      </c>
      <c r="L54" s="153">
        <v>43</v>
      </c>
      <c r="M54" s="92"/>
    </row>
    <row r="55" spans="1:13" ht="21.6" x14ac:dyDescent="0.65">
      <c r="A55" s="195"/>
      <c r="B55" s="140">
        <v>52</v>
      </c>
      <c r="C55" s="2"/>
      <c r="D55" s="1"/>
      <c r="E55" s="3"/>
      <c r="F55" s="1"/>
      <c r="G55" s="141">
        <f>IF(Basic3456789101112131415[[#This Row],[نوع الخدمة]]="مخالفات", 50,
IF(Basic3456789101112131415[[#This Row],[نوع الخدمة]]="كاش ان",
    IF(F55&lt;=100, 18, IF(F55&lt;=250, 23, IF(F55&lt;=500, 35, IF(F55&lt;=1000, 40, F55*0.04)))),
IF(Basic3456789101112131415[[#This Row],[نوع الخدمة]]="كاش اوت",
    IF(F55&lt;=100, 15, IF(F55&lt;=250, 20, IF(F55&lt;=500, 30, IF(F55&lt;=1000, 35, F55*0.035)))),
0)))</f>
        <v>0</v>
      </c>
      <c r="H55" s="159">
        <f>IF(I55="مخالفات",50,Basic3456789101112131415[[#This Row],[قيمة الرسوم / العموله]]+Basic3456789101112131415[[#This Row],[قيمة الشحنه]])</f>
        <v>0</v>
      </c>
      <c r="I55" s="90"/>
      <c r="J55" s="142" t="str">
        <f t="shared" si="0"/>
        <v>18.5.2026</v>
      </c>
      <c r="L55" s="153">
        <v>44</v>
      </c>
      <c r="M55" s="92"/>
    </row>
    <row r="56" spans="1:13" ht="21.6" x14ac:dyDescent="0.65">
      <c r="A56" s="195"/>
      <c r="B56" s="140">
        <v>53</v>
      </c>
      <c r="C56" s="2"/>
      <c r="D56" s="1"/>
      <c r="E56" s="3"/>
      <c r="F56" s="1"/>
      <c r="G56" s="141">
        <f>IF(Basic3456789101112131415[[#This Row],[نوع الخدمة]]="مخالفات", 50,
IF(Basic3456789101112131415[[#This Row],[نوع الخدمة]]="كاش ان",
    IF(F56&lt;=100, 18, IF(F56&lt;=250, 23, IF(F56&lt;=500, 35, IF(F56&lt;=1000, 40, F56*0.04)))),
IF(Basic3456789101112131415[[#This Row],[نوع الخدمة]]="كاش اوت",
    IF(F56&lt;=100, 15, IF(F56&lt;=250, 20, IF(F56&lt;=500, 30, IF(F56&lt;=1000, 35, F56*0.035)))),
0)))</f>
        <v>0</v>
      </c>
      <c r="H56" s="159">
        <f>IF(I56="مخالفات",50,Basic3456789101112131415[[#This Row],[قيمة الرسوم / العموله]]+Basic3456789101112131415[[#This Row],[قيمة الشحنه]])</f>
        <v>0</v>
      </c>
      <c r="I56" s="90"/>
      <c r="J56" s="142" t="str">
        <f t="shared" si="0"/>
        <v>18.5.2026</v>
      </c>
      <c r="L56" s="153">
        <v>45</v>
      </c>
      <c r="M56" s="92"/>
    </row>
    <row r="57" spans="1:13" ht="21.6" x14ac:dyDescent="0.65">
      <c r="A57" s="195"/>
      <c r="B57" s="144">
        <v>54</v>
      </c>
      <c r="C57" s="2"/>
      <c r="D57" s="1"/>
      <c r="E57" s="3"/>
      <c r="F57" s="1"/>
      <c r="G57" s="141">
        <f>IF(Basic3456789101112131415[[#This Row],[نوع الخدمة]]="مخالفات", 50,
IF(Basic3456789101112131415[[#This Row],[نوع الخدمة]]="كاش ان",
    IF(F57&lt;=100, 18, IF(F57&lt;=250, 23, IF(F57&lt;=500, 35, IF(F57&lt;=1000, 40, F57*0.04)))),
IF(Basic3456789101112131415[[#This Row],[نوع الخدمة]]="كاش اوت",
    IF(F57&lt;=100, 15, IF(F57&lt;=250, 20, IF(F57&lt;=500, 30, IF(F57&lt;=1000, 35, F57*0.035)))),
0)))</f>
        <v>0</v>
      </c>
      <c r="H57" s="159">
        <f>IF(I57="مخالفات",50,Basic3456789101112131415[[#This Row],[قيمة الرسوم / العموله]]+Basic3456789101112131415[[#This Row],[قيمة الشحنه]])</f>
        <v>0</v>
      </c>
      <c r="I57" s="90"/>
      <c r="J57" s="142" t="str">
        <f t="shared" si="0"/>
        <v>18.5.2026</v>
      </c>
      <c r="L57" s="153">
        <v>46</v>
      </c>
      <c r="M57" s="92"/>
    </row>
    <row r="58" spans="1:13" ht="21.6" x14ac:dyDescent="0.65">
      <c r="A58" s="195"/>
      <c r="B58" s="140">
        <v>55</v>
      </c>
      <c r="C58" s="2"/>
      <c r="D58" s="1"/>
      <c r="E58" s="3"/>
      <c r="F58" s="1"/>
      <c r="G58" s="141">
        <f>IF(Basic3456789101112131415[[#This Row],[نوع الخدمة]]="مخالفات", 50,
IF(Basic3456789101112131415[[#This Row],[نوع الخدمة]]="كاش ان",
    IF(F58&lt;=100, 18, IF(F58&lt;=250, 23, IF(F58&lt;=500, 35, IF(F58&lt;=1000, 40, F58*0.04)))),
IF(Basic3456789101112131415[[#This Row],[نوع الخدمة]]="كاش اوت",
    IF(F58&lt;=100, 15, IF(F58&lt;=250, 20, IF(F58&lt;=500, 30, IF(F58&lt;=1000, 35, F58*0.035)))),
0)))</f>
        <v>0</v>
      </c>
      <c r="H58" s="159">
        <f>IF(I58="مخالفات",50,Basic3456789101112131415[[#This Row],[قيمة الرسوم / العموله]]+Basic3456789101112131415[[#This Row],[قيمة الشحنه]])</f>
        <v>0</v>
      </c>
      <c r="I58" s="90"/>
      <c r="J58" s="142" t="str">
        <f t="shared" si="0"/>
        <v>18.5.2026</v>
      </c>
      <c r="L58" s="153">
        <v>47</v>
      </c>
      <c r="M58" s="92"/>
    </row>
    <row r="59" spans="1:13" ht="21.6" x14ac:dyDescent="0.65">
      <c r="A59" s="195"/>
      <c r="B59" s="140">
        <v>56</v>
      </c>
      <c r="C59" s="2"/>
      <c r="D59" s="1"/>
      <c r="E59" s="3"/>
      <c r="F59" s="1"/>
      <c r="G59" s="141">
        <f>IF(Basic3456789101112131415[[#This Row],[نوع الخدمة]]="مخالفات", 50,
IF(Basic3456789101112131415[[#This Row],[نوع الخدمة]]="كاش ان",
    IF(F59&lt;=100, 18, IF(F59&lt;=250, 23, IF(F59&lt;=500, 35, IF(F59&lt;=1000, 40, F59*0.04)))),
IF(Basic3456789101112131415[[#This Row],[نوع الخدمة]]="كاش اوت",
    IF(F59&lt;=100, 15, IF(F59&lt;=250, 20, IF(F59&lt;=500, 30, IF(F59&lt;=1000, 35, F59*0.035)))),
0)))</f>
        <v>0</v>
      </c>
      <c r="H59" s="159">
        <f>IF(I59="مخالفات",50,Basic3456789101112131415[[#This Row],[قيمة الرسوم / العموله]]+Basic3456789101112131415[[#This Row],[قيمة الشحنه]])</f>
        <v>0</v>
      </c>
      <c r="I59" s="90"/>
      <c r="J59" s="142" t="str">
        <f t="shared" si="0"/>
        <v>18.5.2026</v>
      </c>
      <c r="L59" s="153">
        <v>48</v>
      </c>
      <c r="M59" s="92"/>
    </row>
    <row r="60" spans="1:13" ht="21.6" x14ac:dyDescent="0.65">
      <c r="A60" s="195"/>
      <c r="B60" s="140">
        <v>57</v>
      </c>
      <c r="C60" s="2"/>
      <c r="D60" s="1"/>
      <c r="E60" s="3"/>
      <c r="F60" s="1"/>
      <c r="G60" s="141">
        <f>IF(Basic3456789101112131415[[#This Row],[نوع الخدمة]]="مخالفات", 50,
IF(Basic3456789101112131415[[#This Row],[نوع الخدمة]]="كاش ان",
    IF(F60&lt;=100, 18, IF(F60&lt;=250, 23, IF(F60&lt;=500, 35, IF(F60&lt;=1000, 40, F60*0.04)))),
IF(Basic3456789101112131415[[#This Row],[نوع الخدمة]]="كاش اوت",
    IF(F60&lt;=100, 15, IF(F60&lt;=250, 20, IF(F60&lt;=500, 30, IF(F60&lt;=1000, 35, F60*0.035)))),
0)))</f>
        <v>0</v>
      </c>
      <c r="H60" s="159">
        <f>IF(I60="مخالفات",50,Basic3456789101112131415[[#This Row],[قيمة الرسوم / العموله]]+Basic3456789101112131415[[#This Row],[قيمة الشحنه]])</f>
        <v>0</v>
      </c>
      <c r="I60" s="90"/>
      <c r="J60" s="142" t="str">
        <f t="shared" si="0"/>
        <v>18.5.2026</v>
      </c>
      <c r="L60" s="153">
        <v>49</v>
      </c>
      <c r="M60" s="92"/>
    </row>
    <row r="61" spans="1:13" ht="21.6" x14ac:dyDescent="0.65">
      <c r="A61" s="195"/>
      <c r="B61" s="144">
        <v>58</v>
      </c>
      <c r="C61" s="2"/>
      <c r="D61" s="1"/>
      <c r="E61" s="3"/>
      <c r="F61" s="1"/>
      <c r="G61" s="141">
        <f>IF(Basic3456789101112131415[[#This Row],[نوع الخدمة]]="مخالفات", 50,
IF(Basic3456789101112131415[[#This Row],[نوع الخدمة]]="كاش ان",
    IF(F61&lt;=100, 18, IF(F61&lt;=250, 23, IF(F61&lt;=500, 35, IF(F61&lt;=1000, 40, F61*0.04)))),
IF(Basic3456789101112131415[[#This Row],[نوع الخدمة]]="كاش اوت",
    IF(F61&lt;=100, 15, IF(F61&lt;=250, 20, IF(F61&lt;=500, 30, IF(F61&lt;=1000, 35, F61*0.035)))),
0)))</f>
        <v>0</v>
      </c>
      <c r="H61" s="159">
        <f>IF(I61="مخالفات",50,Basic3456789101112131415[[#This Row],[قيمة الرسوم / العموله]]+Basic3456789101112131415[[#This Row],[قيمة الشحنه]])</f>
        <v>0</v>
      </c>
      <c r="I61" s="90"/>
      <c r="J61" s="142" t="str">
        <f t="shared" si="0"/>
        <v>18.5.2026</v>
      </c>
      <c r="L61" s="153">
        <v>50</v>
      </c>
      <c r="M61" s="92"/>
    </row>
    <row r="62" spans="1:13" ht="21.6" x14ac:dyDescent="0.65">
      <c r="A62" s="195"/>
      <c r="B62" s="140">
        <v>59</v>
      </c>
      <c r="C62" s="2"/>
      <c r="D62" s="1"/>
      <c r="E62" s="3"/>
      <c r="F62" s="1"/>
      <c r="G62" s="141">
        <f>IF(Basic3456789101112131415[[#This Row],[نوع الخدمة]]="مخالفات", 50,
IF(Basic3456789101112131415[[#This Row],[نوع الخدمة]]="كاش ان",
    IF(F62&lt;=100, 18, IF(F62&lt;=250, 23, IF(F62&lt;=500, 35, IF(F62&lt;=1000, 40, F62*0.04)))),
IF(Basic3456789101112131415[[#This Row],[نوع الخدمة]]="كاش اوت",
    IF(F62&lt;=100, 15, IF(F62&lt;=250, 20, IF(F62&lt;=500, 30, IF(F62&lt;=1000, 35, F62*0.035)))),
0)))</f>
        <v>0</v>
      </c>
      <c r="H62" s="159">
        <f>IF(I62="مخالفات",50,Basic3456789101112131415[[#This Row],[قيمة الرسوم / العموله]]+Basic3456789101112131415[[#This Row],[قيمة الشحنه]])</f>
        <v>0</v>
      </c>
      <c r="I62" s="90"/>
      <c r="J62" s="142" t="str">
        <f t="shared" si="0"/>
        <v>18.5.2026</v>
      </c>
      <c r="L62" s="153">
        <v>51</v>
      </c>
      <c r="M62" s="92"/>
    </row>
    <row r="63" spans="1:13" ht="21.6" x14ac:dyDescent="0.65">
      <c r="A63" s="195"/>
      <c r="B63" s="140">
        <v>60</v>
      </c>
      <c r="C63" s="2"/>
      <c r="D63" s="1"/>
      <c r="E63" s="3"/>
      <c r="F63" s="1"/>
      <c r="G63" s="141">
        <f>IF(Basic3456789101112131415[[#This Row],[نوع الخدمة]]="مخالفات", 50,
IF(Basic3456789101112131415[[#This Row],[نوع الخدمة]]="كاش ان",
    IF(F63&lt;=100, 18, IF(F63&lt;=250, 23, IF(F63&lt;=500, 35, IF(F63&lt;=1000, 40, F63*0.04)))),
IF(Basic3456789101112131415[[#This Row],[نوع الخدمة]]="كاش اوت",
    IF(F63&lt;=100, 15, IF(F63&lt;=250, 20, IF(F63&lt;=500, 30, IF(F63&lt;=1000, 35, F63*0.035)))),
0)))</f>
        <v>0</v>
      </c>
      <c r="H63" s="159">
        <f>IF(I63="مخالفات",50,Basic3456789101112131415[[#This Row],[قيمة الرسوم / العموله]]+Basic3456789101112131415[[#This Row],[قيمة الشحنه]])</f>
        <v>0</v>
      </c>
      <c r="I63" s="90"/>
      <c r="J63" s="142" t="str">
        <f t="shared" si="0"/>
        <v>18.5.2026</v>
      </c>
      <c r="L63" s="153">
        <v>52</v>
      </c>
      <c r="M63" s="92"/>
    </row>
    <row r="64" spans="1:13" ht="21.6" x14ac:dyDescent="0.65">
      <c r="A64" s="195"/>
      <c r="B64" s="140">
        <v>61</v>
      </c>
      <c r="C64" s="2"/>
      <c r="D64" s="1"/>
      <c r="E64" s="3"/>
      <c r="F64" s="1"/>
      <c r="G64" s="141">
        <f>IF(Basic3456789101112131415[[#This Row],[نوع الخدمة]]="مخالفات", 50,
IF(Basic3456789101112131415[[#This Row],[نوع الخدمة]]="كاش ان",
    IF(F64&lt;=100, 18, IF(F64&lt;=250, 23, IF(F64&lt;=500, 35, IF(F64&lt;=1000, 40, F64*0.04)))),
IF(Basic3456789101112131415[[#This Row],[نوع الخدمة]]="كاش اوت",
    IF(F64&lt;=100, 15, IF(F64&lt;=250, 20, IF(F64&lt;=500, 30, IF(F64&lt;=1000, 35, F64*0.035)))),
0)))</f>
        <v>0</v>
      </c>
      <c r="H64" s="159">
        <f>IF(I64="مخالفات",50,Basic3456789101112131415[[#This Row],[قيمة الرسوم / العموله]]+Basic3456789101112131415[[#This Row],[قيمة الشحنه]])</f>
        <v>0</v>
      </c>
      <c r="I64" s="90"/>
      <c r="J64" s="142" t="str">
        <f t="shared" si="0"/>
        <v>18.5.2026</v>
      </c>
      <c r="L64" s="153">
        <v>53</v>
      </c>
      <c r="M64" s="92"/>
    </row>
    <row r="65" spans="1:13" ht="21.6" x14ac:dyDescent="0.65">
      <c r="A65" s="195"/>
      <c r="B65" s="144">
        <v>62</v>
      </c>
      <c r="C65" s="2"/>
      <c r="D65" s="1"/>
      <c r="E65" s="3"/>
      <c r="F65" s="1"/>
      <c r="G65" s="141">
        <f>IF(Basic3456789101112131415[[#This Row],[نوع الخدمة]]="مخالفات", 50,
IF(Basic3456789101112131415[[#This Row],[نوع الخدمة]]="كاش ان",
    IF(F65&lt;=100, 18, IF(F65&lt;=250, 23, IF(F65&lt;=500, 35, IF(F65&lt;=1000, 40, F65*0.04)))),
IF(Basic3456789101112131415[[#This Row],[نوع الخدمة]]="كاش اوت",
    IF(F65&lt;=100, 15, IF(F65&lt;=250, 20, IF(F65&lt;=500, 30, IF(F65&lt;=1000, 35, F65*0.035)))),
0)))</f>
        <v>0</v>
      </c>
      <c r="H65" s="159">
        <f>IF(I65="مخالفات",50,Basic3456789101112131415[[#This Row],[قيمة الرسوم / العموله]]+Basic3456789101112131415[[#This Row],[قيمة الشحنه]])</f>
        <v>0</v>
      </c>
      <c r="I65" s="90"/>
      <c r="J65" s="142" t="str">
        <f t="shared" si="0"/>
        <v>18.5.2026</v>
      </c>
      <c r="L65" s="153">
        <v>54</v>
      </c>
      <c r="M65" s="92"/>
    </row>
    <row r="66" spans="1:13" ht="21.6" x14ac:dyDescent="0.65">
      <c r="A66" s="195"/>
      <c r="B66" s="140">
        <v>63</v>
      </c>
      <c r="C66" s="2"/>
      <c r="D66" s="1"/>
      <c r="E66" s="3"/>
      <c r="F66" s="1"/>
      <c r="G66" s="141">
        <f>IF(Basic3456789101112131415[[#This Row],[نوع الخدمة]]="مخالفات", 50,
IF(Basic3456789101112131415[[#This Row],[نوع الخدمة]]="كاش ان",
    IF(F66&lt;=100, 18, IF(F66&lt;=250, 23, IF(F66&lt;=500, 35, IF(F66&lt;=1000, 40, F66*0.04)))),
IF(Basic3456789101112131415[[#This Row],[نوع الخدمة]]="كاش اوت",
    IF(F66&lt;=100, 15, IF(F66&lt;=250, 20, IF(F66&lt;=500, 30, IF(F66&lt;=1000, 35, F66*0.035)))),
0)))</f>
        <v>0</v>
      </c>
      <c r="H66" s="159">
        <f>IF(I66="مخالفات",50,Basic3456789101112131415[[#This Row],[قيمة الرسوم / العموله]]+Basic3456789101112131415[[#This Row],[قيمة الشحنه]])</f>
        <v>0</v>
      </c>
      <c r="I66" s="90"/>
      <c r="J66" s="142" t="str">
        <f t="shared" si="0"/>
        <v>18.5.2026</v>
      </c>
      <c r="L66" s="153">
        <v>55</v>
      </c>
      <c r="M66" s="92"/>
    </row>
    <row r="67" spans="1:13" ht="21.6" x14ac:dyDescent="0.65">
      <c r="A67" s="195"/>
      <c r="B67" s="140">
        <v>64</v>
      </c>
      <c r="C67" s="2"/>
      <c r="D67" s="1"/>
      <c r="E67" s="3"/>
      <c r="F67" s="1"/>
      <c r="G67" s="141">
        <f>IF(Basic3456789101112131415[[#This Row],[نوع الخدمة]]="مخالفات", 50,
IF(Basic3456789101112131415[[#This Row],[نوع الخدمة]]="كاش ان",
    IF(F67&lt;=100, 18, IF(F67&lt;=250, 23, IF(F67&lt;=500, 35, IF(F67&lt;=1000, 40, F67*0.04)))),
IF(Basic3456789101112131415[[#This Row],[نوع الخدمة]]="كاش اوت",
    IF(F67&lt;=100, 15, IF(F67&lt;=250, 20, IF(F67&lt;=500, 30, IF(F67&lt;=1000, 35, F67*0.035)))),
0)))</f>
        <v>0</v>
      </c>
      <c r="H67" s="159">
        <f>IF(I67="مخالفات",50,Basic3456789101112131415[[#This Row],[قيمة الرسوم / العموله]]+Basic3456789101112131415[[#This Row],[قيمة الشحنه]])</f>
        <v>0</v>
      </c>
      <c r="I67" s="90"/>
      <c r="J67" s="142" t="str">
        <f t="shared" si="0"/>
        <v>18.5.2026</v>
      </c>
      <c r="L67" s="153">
        <v>56</v>
      </c>
      <c r="M67" s="92"/>
    </row>
    <row r="68" spans="1:13" ht="21.6" x14ac:dyDescent="0.65">
      <c r="A68" s="195"/>
      <c r="B68" s="140">
        <v>65</v>
      </c>
      <c r="C68" s="2"/>
      <c r="D68" s="1"/>
      <c r="E68" s="3"/>
      <c r="F68" s="1"/>
      <c r="G68" s="141">
        <f>IF(Basic3456789101112131415[[#This Row],[نوع الخدمة]]="مخالفات", 50,
IF(Basic3456789101112131415[[#This Row],[نوع الخدمة]]="كاش ان",
    IF(F68&lt;=100, 18, IF(F68&lt;=250, 23, IF(F68&lt;=500, 35, IF(F68&lt;=1000, 40, F68*0.04)))),
IF(Basic3456789101112131415[[#This Row],[نوع الخدمة]]="كاش اوت",
    IF(F68&lt;=100, 15, IF(F68&lt;=250, 20, IF(F68&lt;=500, 30, IF(F68&lt;=1000, 35, F68*0.035)))),
0)))</f>
        <v>0</v>
      </c>
      <c r="H68" s="159">
        <f>IF(I68="مخالفات",50,Basic3456789101112131415[[#This Row],[قيمة الرسوم / العموله]]+Basic3456789101112131415[[#This Row],[قيمة الشحنه]])</f>
        <v>0</v>
      </c>
      <c r="I68" s="90"/>
      <c r="J68" s="142" t="str">
        <f t="shared" ref="J68:J131" si="1">M$3</f>
        <v>18.5.2026</v>
      </c>
      <c r="L68" s="153">
        <v>57</v>
      </c>
      <c r="M68" s="92"/>
    </row>
    <row r="69" spans="1:13" ht="21.6" x14ac:dyDescent="0.65">
      <c r="A69" s="195"/>
      <c r="B69" s="144">
        <v>66</v>
      </c>
      <c r="C69" s="2"/>
      <c r="D69" s="1"/>
      <c r="E69" s="3"/>
      <c r="F69" s="1"/>
      <c r="G69" s="141">
        <f>IF(Basic3456789101112131415[[#This Row],[نوع الخدمة]]="مخالفات", 50,
IF(Basic3456789101112131415[[#This Row],[نوع الخدمة]]="كاش ان",
    IF(F69&lt;=100, 18, IF(F69&lt;=250, 23, IF(F69&lt;=500, 35, IF(F69&lt;=1000, 40, F69*0.04)))),
IF(Basic3456789101112131415[[#This Row],[نوع الخدمة]]="كاش اوت",
    IF(F69&lt;=100, 15, IF(F69&lt;=250, 20, IF(F69&lt;=500, 30, IF(F69&lt;=1000, 35, F69*0.035)))),
0)))</f>
        <v>0</v>
      </c>
      <c r="H69" s="159">
        <f>IF(I69="مخالفات",50,Basic3456789101112131415[[#This Row],[قيمة الرسوم / العموله]]+Basic3456789101112131415[[#This Row],[قيمة الشحنه]])</f>
        <v>0</v>
      </c>
      <c r="I69" s="90"/>
      <c r="J69" s="142" t="str">
        <f t="shared" si="1"/>
        <v>18.5.2026</v>
      </c>
      <c r="L69" s="153">
        <v>58</v>
      </c>
      <c r="M69" s="92"/>
    </row>
    <row r="70" spans="1:13" ht="21.6" x14ac:dyDescent="0.65">
      <c r="A70" s="195"/>
      <c r="B70" s="140">
        <v>67</v>
      </c>
      <c r="C70" s="2"/>
      <c r="D70" s="1"/>
      <c r="E70" s="3"/>
      <c r="F70" s="1"/>
      <c r="G70" s="141">
        <f>IF(Basic3456789101112131415[[#This Row],[نوع الخدمة]]="مخالفات", 50,
IF(Basic3456789101112131415[[#This Row],[نوع الخدمة]]="كاش ان",
    IF(F70&lt;=100, 18, IF(F70&lt;=250, 23, IF(F70&lt;=500, 35, IF(F70&lt;=1000, 40, F70*0.04)))),
IF(Basic3456789101112131415[[#This Row],[نوع الخدمة]]="كاش اوت",
    IF(F70&lt;=100, 15, IF(F70&lt;=250, 20, IF(F70&lt;=500, 30, IF(F70&lt;=1000, 35, F70*0.035)))),
0)))</f>
        <v>0</v>
      </c>
      <c r="H70" s="159">
        <f>IF(I70="مخالفات",50,Basic3456789101112131415[[#This Row],[قيمة الرسوم / العموله]]+Basic3456789101112131415[[#This Row],[قيمة الشحنه]])</f>
        <v>0</v>
      </c>
      <c r="I70" s="90"/>
      <c r="J70" s="142" t="str">
        <f t="shared" si="1"/>
        <v>18.5.2026</v>
      </c>
      <c r="L70" s="153">
        <v>59</v>
      </c>
      <c r="M70" s="92"/>
    </row>
    <row r="71" spans="1:13" ht="21.6" x14ac:dyDescent="0.65">
      <c r="A71" s="195"/>
      <c r="B71" s="140">
        <v>68</v>
      </c>
      <c r="C71" s="2"/>
      <c r="D71" s="1"/>
      <c r="E71" s="3"/>
      <c r="F71" s="1"/>
      <c r="G71" s="141">
        <f>IF(Basic3456789101112131415[[#This Row],[نوع الخدمة]]="مخالفات", 50,
IF(Basic3456789101112131415[[#This Row],[نوع الخدمة]]="كاش ان",
    IF(F71&lt;=100, 18, IF(F71&lt;=250, 23, IF(F71&lt;=500, 35, IF(F71&lt;=1000, 40, F71*0.04)))),
IF(Basic3456789101112131415[[#This Row],[نوع الخدمة]]="كاش اوت",
    IF(F71&lt;=100, 15, IF(F71&lt;=250, 20, IF(F71&lt;=500, 30, IF(F71&lt;=1000, 35, F71*0.035)))),
0)))</f>
        <v>0</v>
      </c>
      <c r="H71" s="159">
        <f>IF(I71="مخالفات",50,Basic3456789101112131415[[#This Row],[قيمة الرسوم / العموله]]+Basic3456789101112131415[[#This Row],[قيمة الشحنه]])</f>
        <v>0</v>
      </c>
      <c r="I71" s="90"/>
      <c r="J71" s="142" t="str">
        <f t="shared" si="1"/>
        <v>18.5.2026</v>
      </c>
      <c r="L71" s="153">
        <v>60</v>
      </c>
      <c r="M71" s="92"/>
    </row>
    <row r="72" spans="1:13" ht="21.6" x14ac:dyDescent="0.65">
      <c r="A72" s="195"/>
      <c r="B72" s="140">
        <v>69</v>
      </c>
      <c r="C72" s="2"/>
      <c r="D72" s="1"/>
      <c r="E72" s="3"/>
      <c r="F72" s="1"/>
      <c r="G72" s="141">
        <f>IF(Basic3456789101112131415[[#This Row],[نوع الخدمة]]="مخالفات", 50,
IF(Basic3456789101112131415[[#This Row],[نوع الخدمة]]="كاش ان",
    IF(F72&lt;=100, 18, IF(F72&lt;=250, 23, IF(F72&lt;=500, 35, IF(F72&lt;=1000, 40, F72*0.04)))),
IF(Basic3456789101112131415[[#This Row],[نوع الخدمة]]="كاش اوت",
    IF(F72&lt;=100, 15, IF(F72&lt;=250, 20, IF(F72&lt;=500, 30, IF(F72&lt;=1000, 35, F72*0.035)))),
0)))</f>
        <v>0</v>
      </c>
      <c r="H72" s="159">
        <f>IF(I72="مخالفات",50,Basic3456789101112131415[[#This Row],[قيمة الرسوم / العموله]]+Basic3456789101112131415[[#This Row],[قيمة الشحنه]])</f>
        <v>0</v>
      </c>
      <c r="I72" s="90"/>
      <c r="J72" s="142" t="str">
        <f t="shared" si="1"/>
        <v>18.5.2026</v>
      </c>
      <c r="L72" s="153">
        <v>61</v>
      </c>
      <c r="M72" s="92"/>
    </row>
    <row r="73" spans="1:13" ht="21.6" x14ac:dyDescent="0.65">
      <c r="A73" s="195"/>
      <c r="B73" s="144">
        <v>70</v>
      </c>
      <c r="C73" s="2"/>
      <c r="D73" s="1"/>
      <c r="E73" s="3"/>
      <c r="F73" s="1"/>
      <c r="G73" s="141">
        <f>IF(Basic3456789101112131415[[#This Row],[نوع الخدمة]]="مخالفات", 50,
IF(Basic3456789101112131415[[#This Row],[نوع الخدمة]]="كاش ان",
    IF(F73&lt;=100, 18, IF(F73&lt;=250, 23, IF(F73&lt;=500, 35, IF(F73&lt;=1000, 40, F73*0.04)))),
IF(Basic3456789101112131415[[#This Row],[نوع الخدمة]]="كاش اوت",
    IF(F73&lt;=100, 15, IF(F73&lt;=250, 20, IF(F73&lt;=500, 30, IF(F73&lt;=1000, 35, F73*0.035)))),
0)))</f>
        <v>0</v>
      </c>
      <c r="H73" s="159">
        <f>IF(I73="مخالفات",50,Basic3456789101112131415[[#This Row],[قيمة الرسوم / العموله]]+Basic3456789101112131415[[#This Row],[قيمة الشحنه]])</f>
        <v>0</v>
      </c>
      <c r="I73" s="90"/>
      <c r="J73" s="142" t="str">
        <f t="shared" si="1"/>
        <v>18.5.2026</v>
      </c>
      <c r="L73" s="153">
        <v>62</v>
      </c>
      <c r="M73" s="92"/>
    </row>
    <row r="74" spans="1:13" ht="21.6" x14ac:dyDescent="0.65">
      <c r="A74" s="195"/>
      <c r="B74" s="140">
        <v>71</v>
      </c>
      <c r="C74" s="2"/>
      <c r="D74" s="1"/>
      <c r="E74" s="3"/>
      <c r="F74" s="1"/>
      <c r="G74" s="141">
        <f>IF(Basic3456789101112131415[[#This Row],[نوع الخدمة]]="مخالفات", 50,
IF(Basic3456789101112131415[[#This Row],[نوع الخدمة]]="كاش ان",
    IF(F74&lt;=100, 18, IF(F74&lt;=250, 23, IF(F74&lt;=500, 35, IF(F74&lt;=1000, 40, F74*0.04)))),
IF(Basic3456789101112131415[[#This Row],[نوع الخدمة]]="كاش اوت",
    IF(F74&lt;=100, 15, IF(F74&lt;=250, 20, IF(F74&lt;=500, 30, IF(F74&lt;=1000, 35, F74*0.035)))),
0)))</f>
        <v>0</v>
      </c>
      <c r="H74" s="159">
        <f>IF(I74="مخالفات",50,Basic3456789101112131415[[#This Row],[قيمة الرسوم / العموله]]+Basic3456789101112131415[[#This Row],[قيمة الشحنه]])</f>
        <v>0</v>
      </c>
      <c r="I74" s="90"/>
      <c r="J74" s="142" t="str">
        <f t="shared" si="1"/>
        <v>18.5.2026</v>
      </c>
      <c r="L74" s="153">
        <v>63</v>
      </c>
      <c r="M74" s="92"/>
    </row>
    <row r="75" spans="1:13" ht="21.6" x14ac:dyDescent="0.65">
      <c r="A75" s="195"/>
      <c r="B75" s="140">
        <v>72</v>
      </c>
      <c r="C75" s="2"/>
      <c r="D75" s="1"/>
      <c r="E75" s="3"/>
      <c r="F75" s="1"/>
      <c r="G75" s="141">
        <f>IF(Basic3456789101112131415[[#This Row],[نوع الخدمة]]="مخالفات", 50,
IF(Basic3456789101112131415[[#This Row],[نوع الخدمة]]="كاش ان",
    IF(F75&lt;=100, 18, IF(F75&lt;=250, 23, IF(F75&lt;=500, 35, IF(F75&lt;=1000, 40, F75*0.04)))),
IF(Basic3456789101112131415[[#This Row],[نوع الخدمة]]="كاش اوت",
    IF(F75&lt;=100, 15, IF(F75&lt;=250, 20, IF(F75&lt;=500, 30, IF(F75&lt;=1000, 35, F75*0.035)))),
0)))</f>
        <v>0</v>
      </c>
      <c r="H75" s="159">
        <f>IF(I75="مخالفات",50,Basic3456789101112131415[[#This Row],[قيمة الرسوم / العموله]]+Basic3456789101112131415[[#This Row],[قيمة الشحنه]])</f>
        <v>0</v>
      </c>
      <c r="I75" s="90"/>
      <c r="J75" s="142" t="str">
        <f t="shared" si="1"/>
        <v>18.5.2026</v>
      </c>
      <c r="L75" s="153">
        <v>64</v>
      </c>
      <c r="M75" s="92"/>
    </row>
    <row r="76" spans="1:13" ht="21.6" x14ac:dyDescent="0.65">
      <c r="A76" s="195"/>
      <c r="B76" s="140">
        <v>73</v>
      </c>
      <c r="C76" s="2"/>
      <c r="D76" s="1"/>
      <c r="E76" s="3"/>
      <c r="F76" s="1"/>
      <c r="G76" s="141">
        <f>IF(Basic3456789101112131415[[#This Row],[نوع الخدمة]]="مخالفات", 50,
IF(Basic3456789101112131415[[#This Row],[نوع الخدمة]]="كاش ان",
    IF(F76&lt;=100, 18, IF(F76&lt;=250, 23, IF(F76&lt;=500, 35, IF(F76&lt;=1000, 40, F76*0.04)))),
IF(Basic3456789101112131415[[#This Row],[نوع الخدمة]]="كاش اوت",
    IF(F76&lt;=100, 15, IF(F76&lt;=250, 20, IF(F76&lt;=500, 30, IF(F76&lt;=1000, 35, F76*0.035)))),
0)))</f>
        <v>0</v>
      </c>
      <c r="H76" s="159">
        <f>IF(I76="مخالفات",50,Basic3456789101112131415[[#This Row],[قيمة الرسوم / العموله]]+Basic3456789101112131415[[#This Row],[قيمة الشحنه]])</f>
        <v>0</v>
      </c>
      <c r="I76" s="90"/>
      <c r="J76" s="142" t="str">
        <f t="shared" si="1"/>
        <v>18.5.2026</v>
      </c>
      <c r="L76" s="153">
        <v>65</v>
      </c>
      <c r="M76" s="92"/>
    </row>
    <row r="77" spans="1:13" ht="21.6" x14ac:dyDescent="0.65">
      <c r="A77" s="195"/>
      <c r="B77" s="144">
        <v>74</v>
      </c>
      <c r="C77" s="2"/>
      <c r="D77" s="1"/>
      <c r="E77" s="3"/>
      <c r="F77" s="1"/>
      <c r="G77" s="141">
        <f>IF(Basic3456789101112131415[[#This Row],[نوع الخدمة]]="مخالفات", 50,
IF(Basic3456789101112131415[[#This Row],[نوع الخدمة]]="كاش ان",
    IF(F77&lt;=100, 18, IF(F77&lt;=250, 23, IF(F77&lt;=500, 35, IF(F77&lt;=1000, 40, F77*0.04)))),
IF(Basic3456789101112131415[[#This Row],[نوع الخدمة]]="كاش اوت",
    IF(F77&lt;=100, 15, IF(F77&lt;=250, 20, IF(F77&lt;=500, 30, IF(F77&lt;=1000, 35, F77*0.035)))),
0)))</f>
        <v>0</v>
      </c>
      <c r="H77" s="159">
        <f>IF(I77="مخالفات",50,Basic3456789101112131415[[#This Row],[قيمة الرسوم / العموله]]+Basic3456789101112131415[[#This Row],[قيمة الشحنه]])</f>
        <v>0</v>
      </c>
      <c r="I77" s="90"/>
      <c r="J77" s="142" t="str">
        <f t="shared" si="1"/>
        <v>18.5.2026</v>
      </c>
      <c r="L77" s="153">
        <v>66</v>
      </c>
      <c r="M77" s="92"/>
    </row>
    <row r="78" spans="1:13" ht="21.6" x14ac:dyDescent="0.65">
      <c r="A78" s="195"/>
      <c r="B78" s="140">
        <v>75</v>
      </c>
      <c r="C78" s="2"/>
      <c r="D78" s="1"/>
      <c r="E78" s="3"/>
      <c r="F78" s="1"/>
      <c r="G78" s="141">
        <f>IF(Basic3456789101112131415[[#This Row],[نوع الخدمة]]="مخالفات", 50,
IF(Basic3456789101112131415[[#This Row],[نوع الخدمة]]="كاش ان",
    IF(F78&lt;=100, 18, IF(F78&lt;=250, 23, IF(F78&lt;=500, 35, IF(F78&lt;=1000, 40, F78*0.04)))),
IF(Basic3456789101112131415[[#This Row],[نوع الخدمة]]="كاش اوت",
    IF(F78&lt;=100, 15, IF(F78&lt;=250, 20, IF(F78&lt;=500, 30, IF(F78&lt;=1000, 35, F78*0.035)))),
0)))</f>
        <v>0</v>
      </c>
      <c r="H78" s="159">
        <f>IF(I78="مخالفات",50,Basic3456789101112131415[[#This Row],[قيمة الرسوم / العموله]]+Basic3456789101112131415[[#This Row],[قيمة الشحنه]])</f>
        <v>0</v>
      </c>
      <c r="I78" s="90"/>
      <c r="J78" s="142" t="str">
        <f t="shared" si="1"/>
        <v>18.5.2026</v>
      </c>
      <c r="L78" s="153">
        <v>67</v>
      </c>
      <c r="M78" s="92"/>
    </row>
    <row r="79" spans="1:13" ht="21.6" x14ac:dyDescent="0.65">
      <c r="A79" s="195"/>
      <c r="B79" s="140">
        <v>76</v>
      </c>
      <c r="C79" s="2"/>
      <c r="D79" s="1"/>
      <c r="E79" s="3"/>
      <c r="F79" s="1"/>
      <c r="G79" s="141">
        <f>IF(Basic3456789101112131415[[#This Row],[نوع الخدمة]]="مخالفات", 50,
IF(Basic3456789101112131415[[#This Row],[نوع الخدمة]]="كاش ان",
    IF(F79&lt;=100, 18, IF(F79&lt;=250, 23, IF(F79&lt;=500, 35, IF(F79&lt;=1000, 40, F79*0.04)))),
IF(Basic3456789101112131415[[#This Row],[نوع الخدمة]]="كاش اوت",
    IF(F79&lt;=100, 15, IF(F79&lt;=250, 20, IF(F79&lt;=500, 30, IF(F79&lt;=1000, 35, F79*0.035)))),
0)))</f>
        <v>0</v>
      </c>
      <c r="H79" s="159">
        <f>IF(I79="مخالفات",50,Basic3456789101112131415[[#This Row],[قيمة الرسوم / العموله]]+Basic3456789101112131415[[#This Row],[قيمة الشحنه]])</f>
        <v>0</v>
      </c>
      <c r="I79" s="90"/>
      <c r="J79" s="142" t="str">
        <f t="shared" si="1"/>
        <v>18.5.2026</v>
      </c>
      <c r="L79" s="153">
        <v>68</v>
      </c>
      <c r="M79" s="92"/>
    </row>
    <row r="80" spans="1:13" ht="21.6" x14ac:dyDescent="0.65">
      <c r="A80" s="195"/>
      <c r="B80" s="140">
        <v>77</v>
      </c>
      <c r="C80" s="2"/>
      <c r="D80" s="1"/>
      <c r="E80" s="3"/>
      <c r="F80" s="1"/>
      <c r="G80" s="141">
        <f>IF(Basic3456789101112131415[[#This Row],[نوع الخدمة]]="مخالفات", 50,
IF(Basic3456789101112131415[[#This Row],[نوع الخدمة]]="كاش ان",
    IF(F80&lt;=100, 18, IF(F80&lt;=250, 23, IF(F80&lt;=500, 35, IF(F80&lt;=1000, 40, F80*0.04)))),
IF(Basic3456789101112131415[[#This Row],[نوع الخدمة]]="كاش اوت",
    IF(F80&lt;=100, 15, IF(F80&lt;=250, 20, IF(F80&lt;=500, 30, IF(F80&lt;=1000, 35, F80*0.035)))),
0)))</f>
        <v>0</v>
      </c>
      <c r="H80" s="159">
        <f>IF(I80="مخالفات",50,Basic3456789101112131415[[#This Row],[قيمة الرسوم / العموله]]+Basic3456789101112131415[[#This Row],[قيمة الشحنه]])</f>
        <v>0</v>
      </c>
      <c r="I80" s="90"/>
      <c r="J80" s="142" t="str">
        <f t="shared" si="1"/>
        <v>18.5.2026</v>
      </c>
      <c r="L80" s="153">
        <v>69</v>
      </c>
      <c r="M80" s="92"/>
    </row>
    <row r="81" spans="1:13" ht="21.6" x14ac:dyDescent="0.65">
      <c r="A81" s="195"/>
      <c r="B81" s="144">
        <v>78</v>
      </c>
      <c r="C81" s="2"/>
      <c r="D81" s="1"/>
      <c r="E81" s="3"/>
      <c r="F81" s="1"/>
      <c r="G81" s="141">
        <f>IF(Basic3456789101112131415[[#This Row],[نوع الخدمة]]="مخالفات", 50,
IF(Basic3456789101112131415[[#This Row],[نوع الخدمة]]="كاش ان",
    IF(F81&lt;=100, 18, IF(F81&lt;=250, 23, IF(F81&lt;=500, 35, IF(F81&lt;=1000, 40, F81*0.04)))),
IF(Basic3456789101112131415[[#This Row],[نوع الخدمة]]="كاش اوت",
    IF(F81&lt;=100, 15, IF(F81&lt;=250, 20, IF(F81&lt;=500, 30, IF(F81&lt;=1000, 35, F81*0.035)))),
0)))</f>
        <v>0</v>
      </c>
      <c r="H81" s="159">
        <f>IF(I81="مخالفات",50,Basic3456789101112131415[[#This Row],[قيمة الرسوم / العموله]]+Basic3456789101112131415[[#This Row],[قيمة الشحنه]])</f>
        <v>0</v>
      </c>
      <c r="I81" s="90"/>
      <c r="J81" s="142" t="str">
        <f t="shared" si="1"/>
        <v>18.5.2026</v>
      </c>
      <c r="L81" s="153">
        <v>70</v>
      </c>
      <c r="M81" s="92"/>
    </row>
    <row r="82" spans="1:13" ht="21.6" x14ac:dyDescent="0.65">
      <c r="A82" s="195"/>
      <c r="B82" s="140">
        <v>79</v>
      </c>
      <c r="C82" s="2"/>
      <c r="D82" s="1"/>
      <c r="E82" s="3"/>
      <c r="F82" s="1"/>
      <c r="G82" s="141">
        <f>IF(Basic3456789101112131415[[#This Row],[نوع الخدمة]]="مخالفات", 50,
IF(Basic3456789101112131415[[#This Row],[نوع الخدمة]]="كاش ان",
    IF(F82&lt;=100, 18, IF(F82&lt;=250, 23, IF(F82&lt;=500, 35, IF(F82&lt;=1000, 40, F82*0.04)))),
IF(Basic3456789101112131415[[#This Row],[نوع الخدمة]]="كاش اوت",
    IF(F82&lt;=100, 15, IF(F82&lt;=250, 20, IF(F82&lt;=500, 30, IF(F82&lt;=1000, 35, F82*0.035)))),
0)))</f>
        <v>0</v>
      </c>
      <c r="H82" s="159">
        <f>IF(I82="مخالفات",50,Basic3456789101112131415[[#This Row],[قيمة الرسوم / العموله]]+Basic3456789101112131415[[#This Row],[قيمة الشحنه]])</f>
        <v>0</v>
      </c>
      <c r="I82" s="90"/>
      <c r="J82" s="142" t="str">
        <f t="shared" si="1"/>
        <v>18.5.2026</v>
      </c>
      <c r="L82" s="153">
        <v>71</v>
      </c>
      <c r="M82" s="92"/>
    </row>
    <row r="83" spans="1:13" ht="21.6" x14ac:dyDescent="0.65">
      <c r="A83" s="195"/>
      <c r="B83" s="140">
        <v>80</v>
      </c>
      <c r="C83" s="2"/>
      <c r="D83" s="1"/>
      <c r="E83" s="3"/>
      <c r="F83" s="1"/>
      <c r="G83" s="141">
        <f>IF(Basic3456789101112131415[[#This Row],[نوع الخدمة]]="مخالفات", 50,
IF(Basic3456789101112131415[[#This Row],[نوع الخدمة]]="كاش ان",
    IF(F83&lt;=100, 18, IF(F83&lt;=250, 23, IF(F83&lt;=500, 35, IF(F83&lt;=1000, 40, F83*0.04)))),
IF(Basic3456789101112131415[[#This Row],[نوع الخدمة]]="كاش اوت",
    IF(F83&lt;=100, 15, IF(F83&lt;=250, 20, IF(F83&lt;=500, 30, IF(F83&lt;=1000, 35, F83*0.035)))),
0)))</f>
        <v>0</v>
      </c>
      <c r="H83" s="159">
        <f>IF(I83="مخالفات",50,Basic3456789101112131415[[#This Row],[قيمة الرسوم / العموله]]+Basic3456789101112131415[[#This Row],[قيمة الشحنه]])</f>
        <v>0</v>
      </c>
      <c r="I83" s="90"/>
      <c r="J83" s="142" t="str">
        <f t="shared" si="1"/>
        <v>18.5.2026</v>
      </c>
      <c r="L83" s="153">
        <v>72</v>
      </c>
      <c r="M83" s="92"/>
    </row>
    <row r="84" spans="1:13" ht="21.6" x14ac:dyDescent="0.65">
      <c r="A84" s="195"/>
      <c r="B84" s="140">
        <v>81</v>
      </c>
      <c r="C84" s="2"/>
      <c r="D84" s="1"/>
      <c r="E84" s="3"/>
      <c r="F84" s="1"/>
      <c r="G84" s="141">
        <f>IF(Basic3456789101112131415[[#This Row],[نوع الخدمة]]="مخالفات", 50,
IF(Basic3456789101112131415[[#This Row],[نوع الخدمة]]="كاش ان",
    IF(F84&lt;=100, 18, IF(F84&lt;=250, 23, IF(F84&lt;=500, 35, IF(F84&lt;=1000, 40, F84*0.04)))),
IF(Basic3456789101112131415[[#This Row],[نوع الخدمة]]="كاش اوت",
    IF(F84&lt;=100, 15, IF(F84&lt;=250, 20, IF(F84&lt;=500, 30, IF(F84&lt;=1000, 35, F84*0.035)))),
0)))</f>
        <v>0</v>
      </c>
      <c r="H84" s="159">
        <f>IF(I84="مخالفات",50,Basic3456789101112131415[[#This Row],[قيمة الرسوم / العموله]]+Basic3456789101112131415[[#This Row],[قيمة الشحنه]])</f>
        <v>0</v>
      </c>
      <c r="I84" s="90"/>
      <c r="J84" s="142" t="str">
        <f t="shared" si="1"/>
        <v>18.5.2026</v>
      </c>
      <c r="L84" s="153">
        <v>73</v>
      </c>
      <c r="M84" s="92"/>
    </row>
    <row r="85" spans="1:13" ht="21.6" x14ac:dyDescent="0.65">
      <c r="A85" s="195"/>
      <c r="B85" s="144">
        <v>82</v>
      </c>
      <c r="C85" s="2"/>
      <c r="D85" s="1"/>
      <c r="E85" s="3"/>
      <c r="F85" s="1"/>
      <c r="G85" s="141">
        <f>IF(Basic3456789101112131415[[#This Row],[نوع الخدمة]]="مخالفات", 50,
IF(Basic3456789101112131415[[#This Row],[نوع الخدمة]]="كاش ان",
    IF(F85&lt;=100, 18, IF(F85&lt;=250, 23, IF(F85&lt;=500, 35, IF(F85&lt;=1000, 40, F85*0.04)))),
IF(Basic3456789101112131415[[#This Row],[نوع الخدمة]]="كاش اوت",
    IF(F85&lt;=100, 15, IF(F85&lt;=250, 20, IF(F85&lt;=500, 30, IF(F85&lt;=1000, 35, F85*0.035)))),
0)))</f>
        <v>0</v>
      </c>
      <c r="H85" s="159">
        <f>IF(I85="مخالفات",50,Basic3456789101112131415[[#This Row],[قيمة الرسوم / العموله]]+Basic3456789101112131415[[#This Row],[قيمة الشحنه]])</f>
        <v>0</v>
      </c>
      <c r="I85" s="90"/>
      <c r="J85" s="142" t="str">
        <f t="shared" si="1"/>
        <v>18.5.2026</v>
      </c>
      <c r="L85" s="153">
        <v>74</v>
      </c>
      <c r="M85" s="92"/>
    </row>
    <row r="86" spans="1:13" ht="21.6" x14ac:dyDescent="0.65">
      <c r="A86" s="195"/>
      <c r="B86" s="140">
        <v>83</v>
      </c>
      <c r="C86" s="2"/>
      <c r="D86" s="1"/>
      <c r="E86" s="3"/>
      <c r="F86" s="1"/>
      <c r="G86" s="141">
        <f>IF(Basic3456789101112131415[[#This Row],[نوع الخدمة]]="مخالفات", 50,
IF(Basic3456789101112131415[[#This Row],[نوع الخدمة]]="كاش ان",
    IF(F86&lt;=100, 18, IF(F86&lt;=250, 23, IF(F86&lt;=500, 35, IF(F86&lt;=1000, 40, F86*0.04)))),
IF(Basic3456789101112131415[[#This Row],[نوع الخدمة]]="كاش اوت",
    IF(F86&lt;=100, 15, IF(F86&lt;=250, 20, IF(F86&lt;=500, 30, IF(F86&lt;=1000, 35, F86*0.035)))),
0)))</f>
        <v>0</v>
      </c>
      <c r="H86" s="159">
        <f>IF(I86="مخالفات",50,Basic3456789101112131415[[#This Row],[قيمة الرسوم / العموله]]+Basic3456789101112131415[[#This Row],[قيمة الشحنه]])</f>
        <v>0</v>
      </c>
      <c r="I86" s="90"/>
      <c r="J86" s="142" t="str">
        <f t="shared" si="1"/>
        <v>18.5.2026</v>
      </c>
      <c r="L86" s="153">
        <v>75</v>
      </c>
      <c r="M86" s="92"/>
    </row>
    <row r="87" spans="1:13" ht="21.6" x14ac:dyDescent="0.65">
      <c r="A87" s="195"/>
      <c r="B87" s="140">
        <v>84</v>
      </c>
      <c r="C87" s="2"/>
      <c r="D87" s="1"/>
      <c r="E87" s="3"/>
      <c r="F87" s="1"/>
      <c r="G87" s="141">
        <f>IF(Basic3456789101112131415[[#This Row],[نوع الخدمة]]="مخالفات", 50,
IF(Basic3456789101112131415[[#This Row],[نوع الخدمة]]="كاش ان",
    IF(F87&lt;=100, 18, IF(F87&lt;=250, 23, IF(F87&lt;=500, 35, IF(F87&lt;=1000, 40, F87*0.04)))),
IF(Basic3456789101112131415[[#This Row],[نوع الخدمة]]="كاش اوت",
    IF(F87&lt;=100, 15, IF(F87&lt;=250, 20, IF(F87&lt;=500, 30, IF(F87&lt;=1000, 35, F87*0.035)))),
0)))</f>
        <v>0</v>
      </c>
      <c r="H87" s="159">
        <f>IF(I87="مخالفات",50,Basic3456789101112131415[[#This Row],[قيمة الرسوم / العموله]]+Basic3456789101112131415[[#This Row],[قيمة الشحنه]])</f>
        <v>0</v>
      </c>
      <c r="I87" s="90"/>
      <c r="J87" s="142" t="str">
        <f t="shared" si="1"/>
        <v>18.5.2026</v>
      </c>
      <c r="L87" s="153">
        <v>76</v>
      </c>
      <c r="M87" s="92"/>
    </row>
    <row r="88" spans="1:13" ht="21.6" x14ac:dyDescent="0.65">
      <c r="A88" s="195"/>
      <c r="B88" s="140">
        <v>85</v>
      </c>
      <c r="C88" s="2"/>
      <c r="D88" s="1"/>
      <c r="E88" s="3"/>
      <c r="F88" s="1"/>
      <c r="G88" s="141">
        <f>IF(Basic3456789101112131415[[#This Row],[نوع الخدمة]]="مخالفات", 50,
IF(Basic3456789101112131415[[#This Row],[نوع الخدمة]]="كاش ان",
    IF(F88&lt;=100, 18, IF(F88&lt;=250, 23, IF(F88&lt;=500, 35, IF(F88&lt;=1000, 40, F88*0.04)))),
IF(Basic3456789101112131415[[#This Row],[نوع الخدمة]]="كاش اوت",
    IF(F88&lt;=100, 15, IF(F88&lt;=250, 20, IF(F88&lt;=500, 30, IF(F88&lt;=1000, 35, F88*0.035)))),
0)))</f>
        <v>0</v>
      </c>
      <c r="H88" s="159">
        <f>IF(I88="مخالفات",50,Basic3456789101112131415[[#This Row],[قيمة الرسوم / العموله]]+Basic3456789101112131415[[#This Row],[قيمة الشحنه]])</f>
        <v>0</v>
      </c>
      <c r="I88" s="90"/>
      <c r="J88" s="142" t="str">
        <f t="shared" si="1"/>
        <v>18.5.2026</v>
      </c>
      <c r="L88" s="153">
        <v>77</v>
      </c>
      <c r="M88" s="92"/>
    </row>
    <row r="89" spans="1:13" ht="21.6" x14ac:dyDescent="0.65">
      <c r="A89" s="195"/>
      <c r="B89" s="144">
        <v>86</v>
      </c>
      <c r="C89" s="2"/>
      <c r="D89" s="1"/>
      <c r="E89" s="3"/>
      <c r="F89" s="1"/>
      <c r="G89" s="141">
        <f>IF(Basic3456789101112131415[[#This Row],[نوع الخدمة]]="مخالفات", 50,
IF(Basic3456789101112131415[[#This Row],[نوع الخدمة]]="كاش ان",
    IF(F89&lt;=100, 18, IF(F89&lt;=250, 23, IF(F89&lt;=500, 35, IF(F89&lt;=1000, 40, F89*0.04)))),
IF(Basic3456789101112131415[[#This Row],[نوع الخدمة]]="كاش اوت",
    IF(F89&lt;=100, 15, IF(F89&lt;=250, 20, IF(F89&lt;=500, 30, IF(F89&lt;=1000, 35, F89*0.035)))),
0)))</f>
        <v>0</v>
      </c>
      <c r="H89" s="159">
        <f>IF(I89="مخالفات",50,Basic3456789101112131415[[#This Row],[قيمة الرسوم / العموله]]+Basic3456789101112131415[[#This Row],[قيمة الشحنه]])</f>
        <v>0</v>
      </c>
      <c r="I89" s="90"/>
      <c r="J89" s="142" t="str">
        <f t="shared" si="1"/>
        <v>18.5.2026</v>
      </c>
      <c r="L89" s="153">
        <v>78</v>
      </c>
      <c r="M89" s="92"/>
    </row>
    <row r="90" spans="1:13" ht="21.6" x14ac:dyDescent="0.65">
      <c r="A90" s="195"/>
      <c r="B90" s="140">
        <v>87</v>
      </c>
      <c r="C90" s="2"/>
      <c r="D90" s="1"/>
      <c r="E90" s="3"/>
      <c r="F90" s="1"/>
      <c r="G90" s="141">
        <f>IF(Basic3456789101112131415[[#This Row],[نوع الخدمة]]="مخالفات", 50,
IF(Basic3456789101112131415[[#This Row],[نوع الخدمة]]="كاش ان",
    IF(F90&lt;=100, 18, IF(F90&lt;=250, 23, IF(F90&lt;=500, 35, IF(F90&lt;=1000, 40, F90*0.04)))),
IF(Basic3456789101112131415[[#This Row],[نوع الخدمة]]="كاش اوت",
    IF(F90&lt;=100, 15, IF(F90&lt;=250, 20, IF(F90&lt;=500, 30, IF(F90&lt;=1000, 35, F90*0.035)))),
0)))</f>
        <v>0</v>
      </c>
      <c r="H90" s="159">
        <f>IF(I90="مخالفات",50,Basic3456789101112131415[[#This Row],[قيمة الرسوم / العموله]]+Basic3456789101112131415[[#This Row],[قيمة الشحنه]])</f>
        <v>0</v>
      </c>
      <c r="I90" s="90"/>
      <c r="J90" s="142" t="str">
        <f t="shared" si="1"/>
        <v>18.5.2026</v>
      </c>
      <c r="L90" s="153">
        <v>79</v>
      </c>
      <c r="M90" s="92"/>
    </row>
    <row r="91" spans="1:13" ht="21.6" x14ac:dyDescent="0.65">
      <c r="A91" s="195"/>
      <c r="B91" s="140">
        <v>88</v>
      </c>
      <c r="C91" s="2"/>
      <c r="D91" s="1"/>
      <c r="E91" s="3"/>
      <c r="F91" s="1"/>
      <c r="G91" s="141">
        <f>IF(Basic3456789101112131415[[#This Row],[نوع الخدمة]]="مخالفات", 50,
IF(Basic3456789101112131415[[#This Row],[نوع الخدمة]]="كاش ان",
    IF(F91&lt;=100, 18, IF(F91&lt;=250, 23, IF(F91&lt;=500, 35, IF(F91&lt;=1000, 40, F91*0.04)))),
IF(Basic3456789101112131415[[#This Row],[نوع الخدمة]]="كاش اوت",
    IF(F91&lt;=100, 15, IF(F91&lt;=250, 20, IF(F91&lt;=500, 30, IF(F91&lt;=1000, 35, F91*0.035)))),
0)))</f>
        <v>0</v>
      </c>
      <c r="H91" s="159">
        <f>IF(I91="مخالفات",50,Basic3456789101112131415[[#This Row],[قيمة الرسوم / العموله]]+Basic3456789101112131415[[#This Row],[قيمة الشحنه]])</f>
        <v>0</v>
      </c>
      <c r="I91" s="90"/>
      <c r="J91" s="142" t="str">
        <f t="shared" si="1"/>
        <v>18.5.2026</v>
      </c>
      <c r="L91" s="153">
        <v>80</v>
      </c>
      <c r="M91" s="92"/>
    </row>
    <row r="92" spans="1:13" ht="21.6" x14ac:dyDescent="0.65">
      <c r="A92" s="195"/>
      <c r="B92" s="140">
        <v>89</v>
      </c>
      <c r="C92" s="2"/>
      <c r="D92" s="1"/>
      <c r="E92" s="3"/>
      <c r="F92" s="1"/>
      <c r="G92" s="141">
        <f>IF(Basic3456789101112131415[[#This Row],[نوع الخدمة]]="مخالفات", 50,
IF(Basic3456789101112131415[[#This Row],[نوع الخدمة]]="كاش ان",
    IF(F92&lt;=100, 18, IF(F92&lt;=250, 23, IF(F92&lt;=500, 35, IF(F92&lt;=1000, 40, F92*0.04)))),
IF(Basic3456789101112131415[[#This Row],[نوع الخدمة]]="كاش اوت",
    IF(F92&lt;=100, 15, IF(F92&lt;=250, 20, IF(F92&lt;=500, 30, IF(F92&lt;=1000, 35, F92*0.035)))),
0)))</f>
        <v>0</v>
      </c>
      <c r="H92" s="159">
        <f>IF(I92="مخالفات",50,Basic3456789101112131415[[#This Row],[قيمة الرسوم / العموله]]+Basic3456789101112131415[[#This Row],[قيمة الشحنه]])</f>
        <v>0</v>
      </c>
      <c r="I92" s="90"/>
      <c r="J92" s="142" t="str">
        <f t="shared" si="1"/>
        <v>18.5.2026</v>
      </c>
      <c r="L92" s="153">
        <v>81</v>
      </c>
      <c r="M92" s="92"/>
    </row>
    <row r="93" spans="1:13" ht="21.6" x14ac:dyDescent="0.65">
      <c r="A93" s="195"/>
      <c r="B93" s="144">
        <v>90</v>
      </c>
      <c r="C93" s="2"/>
      <c r="D93" s="1"/>
      <c r="E93" s="3"/>
      <c r="F93" s="1"/>
      <c r="G93" s="141">
        <f>IF(Basic3456789101112131415[[#This Row],[نوع الخدمة]]="مخالفات", 50,
IF(Basic3456789101112131415[[#This Row],[نوع الخدمة]]="كاش ان",
    IF(F93&lt;=100, 18, IF(F93&lt;=250, 23, IF(F93&lt;=500, 35, IF(F93&lt;=1000, 40, F93*0.04)))),
IF(Basic3456789101112131415[[#This Row],[نوع الخدمة]]="كاش اوت",
    IF(F93&lt;=100, 15, IF(F93&lt;=250, 20, IF(F93&lt;=500, 30, IF(F93&lt;=1000, 35, F93*0.035)))),
0)))</f>
        <v>0</v>
      </c>
      <c r="H93" s="159">
        <f>IF(I93="مخالفات",50,Basic3456789101112131415[[#This Row],[قيمة الرسوم / العموله]]+Basic3456789101112131415[[#This Row],[قيمة الشحنه]])</f>
        <v>0</v>
      </c>
      <c r="I93" s="90"/>
      <c r="J93" s="142" t="str">
        <f t="shared" si="1"/>
        <v>18.5.2026</v>
      </c>
      <c r="L93" s="153">
        <v>82</v>
      </c>
      <c r="M93" s="92"/>
    </row>
    <row r="94" spans="1:13" ht="21.6" x14ac:dyDescent="0.65">
      <c r="A94" s="195"/>
      <c r="B94" s="140">
        <v>91</v>
      </c>
      <c r="C94" s="2"/>
      <c r="D94" s="1"/>
      <c r="E94" s="3"/>
      <c r="F94" s="1"/>
      <c r="G94" s="141">
        <f>IF(Basic3456789101112131415[[#This Row],[نوع الخدمة]]="مخالفات", 50,
IF(Basic3456789101112131415[[#This Row],[نوع الخدمة]]="كاش ان",
    IF(F94&lt;=100, 18, IF(F94&lt;=250, 23, IF(F94&lt;=500, 35, IF(F94&lt;=1000, 40, F94*0.04)))),
IF(Basic3456789101112131415[[#This Row],[نوع الخدمة]]="كاش اوت",
    IF(F94&lt;=100, 15, IF(F94&lt;=250, 20, IF(F94&lt;=500, 30, IF(F94&lt;=1000, 35, F94*0.035)))),
0)))</f>
        <v>0</v>
      </c>
      <c r="H94" s="159">
        <f>IF(I94="مخالفات",50,Basic3456789101112131415[[#This Row],[قيمة الرسوم / العموله]]+Basic3456789101112131415[[#This Row],[قيمة الشحنه]])</f>
        <v>0</v>
      </c>
      <c r="I94" s="90"/>
      <c r="J94" s="142" t="str">
        <f t="shared" si="1"/>
        <v>18.5.2026</v>
      </c>
      <c r="L94" s="153">
        <v>83</v>
      </c>
      <c r="M94" s="92"/>
    </row>
    <row r="95" spans="1:13" ht="21.6" x14ac:dyDescent="0.65">
      <c r="A95" s="195"/>
      <c r="B95" s="140">
        <v>92</v>
      </c>
      <c r="C95" s="2"/>
      <c r="D95" s="1"/>
      <c r="E95" s="3"/>
      <c r="F95" s="1"/>
      <c r="G95" s="141">
        <f>IF(Basic3456789101112131415[[#This Row],[نوع الخدمة]]="مخالفات", 50,
IF(Basic3456789101112131415[[#This Row],[نوع الخدمة]]="كاش ان",
    IF(F95&lt;=100, 18, IF(F95&lt;=250, 23, IF(F95&lt;=500, 35, IF(F95&lt;=1000, 40, F95*0.04)))),
IF(Basic3456789101112131415[[#This Row],[نوع الخدمة]]="كاش اوت",
    IF(F95&lt;=100, 15, IF(F95&lt;=250, 20, IF(F95&lt;=500, 30, IF(F95&lt;=1000, 35, F95*0.035)))),
0)))</f>
        <v>0</v>
      </c>
      <c r="H95" s="159">
        <f>IF(I95="مخالفات",50,Basic3456789101112131415[[#This Row],[قيمة الرسوم / العموله]]+Basic3456789101112131415[[#This Row],[قيمة الشحنه]])</f>
        <v>0</v>
      </c>
      <c r="I95" s="90"/>
      <c r="J95" s="142" t="str">
        <f t="shared" si="1"/>
        <v>18.5.2026</v>
      </c>
      <c r="L95" s="153">
        <v>84</v>
      </c>
      <c r="M95" s="92"/>
    </row>
    <row r="96" spans="1:13" ht="21.6" x14ac:dyDescent="0.65">
      <c r="A96" s="195"/>
      <c r="B96" s="140">
        <v>93</v>
      </c>
      <c r="C96" s="2"/>
      <c r="D96" s="1"/>
      <c r="E96" s="3"/>
      <c r="F96" s="1"/>
      <c r="G96" s="141">
        <f>IF(Basic3456789101112131415[[#This Row],[نوع الخدمة]]="مخالفات", 50,
IF(Basic3456789101112131415[[#This Row],[نوع الخدمة]]="كاش ان",
    IF(F96&lt;=100, 18, IF(F96&lt;=250, 23, IF(F96&lt;=500, 35, IF(F96&lt;=1000, 40, F96*0.04)))),
IF(Basic3456789101112131415[[#This Row],[نوع الخدمة]]="كاش اوت",
    IF(F96&lt;=100, 15, IF(F96&lt;=250, 20, IF(F96&lt;=500, 30, IF(F96&lt;=1000, 35, F96*0.035)))),
0)))</f>
        <v>0</v>
      </c>
      <c r="H96" s="159">
        <f>IF(I96="مخالفات",50,Basic3456789101112131415[[#This Row],[قيمة الرسوم / العموله]]+Basic3456789101112131415[[#This Row],[قيمة الشحنه]])</f>
        <v>0</v>
      </c>
      <c r="I96" s="90"/>
      <c r="J96" s="142" t="str">
        <f t="shared" si="1"/>
        <v>18.5.2026</v>
      </c>
      <c r="L96" s="153">
        <v>85</v>
      </c>
      <c r="M96" s="92"/>
    </row>
    <row r="97" spans="1:13" ht="21.6" x14ac:dyDescent="0.65">
      <c r="A97" s="195"/>
      <c r="B97" s="144">
        <v>94</v>
      </c>
      <c r="C97" s="2"/>
      <c r="D97" s="1"/>
      <c r="E97" s="3"/>
      <c r="F97" s="1"/>
      <c r="G97" s="141">
        <f>IF(Basic3456789101112131415[[#This Row],[نوع الخدمة]]="مخالفات", 50,
IF(Basic3456789101112131415[[#This Row],[نوع الخدمة]]="كاش ان",
    IF(F97&lt;=100, 18, IF(F97&lt;=250, 23, IF(F97&lt;=500, 35, IF(F97&lt;=1000, 40, F97*0.04)))),
IF(Basic3456789101112131415[[#This Row],[نوع الخدمة]]="كاش اوت",
    IF(F97&lt;=100, 15, IF(F97&lt;=250, 20, IF(F97&lt;=500, 30, IF(F97&lt;=1000, 35, F97*0.035)))),
0)))</f>
        <v>0</v>
      </c>
      <c r="H97" s="159">
        <f>IF(I97="مخالفات",50,Basic3456789101112131415[[#This Row],[قيمة الرسوم / العموله]]+Basic3456789101112131415[[#This Row],[قيمة الشحنه]])</f>
        <v>0</v>
      </c>
      <c r="I97" s="90"/>
      <c r="J97" s="142" t="str">
        <f t="shared" si="1"/>
        <v>18.5.2026</v>
      </c>
      <c r="L97" s="153">
        <v>86</v>
      </c>
      <c r="M97" s="92"/>
    </row>
    <row r="98" spans="1:13" ht="21.6" x14ac:dyDescent="0.65">
      <c r="A98" s="195"/>
      <c r="B98" s="140">
        <v>95</v>
      </c>
      <c r="C98" s="2"/>
      <c r="D98" s="1"/>
      <c r="E98" s="3"/>
      <c r="F98" s="1"/>
      <c r="G98" s="141">
        <f>IF(Basic3456789101112131415[[#This Row],[نوع الخدمة]]="مخالفات", 50,
IF(Basic3456789101112131415[[#This Row],[نوع الخدمة]]="كاش ان",
    IF(F98&lt;=100, 18, IF(F98&lt;=250, 23, IF(F98&lt;=500, 35, IF(F98&lt;=1000, 40, F98*0.04)))),
IF(Basic3456789101112131415[[#This Row],[نوع الخدمة]]="كاش اوت",
    IF(F98&lt;=100, 15, IF(F98&lt;=250, 20, IF(F98&lt;=500, 30, IF(F98&lt;=1000, 35, F98*0.035)))),
0)))</f>
        <v>0</v>
      </c>
      <c r="H98" s="159">
        <f>IF(I98="مخالفات",50,Basic3456789101112131415[[#This Row],[قيمة الرسوم / العموله]]+Basic3456789101112131415[[#This Row],[قيمة الشحنه]])</f>
        <v>0</v>
      </c>
      <c r="I98" s="90"/>
      <c r="J98" s="142" t="str">
        <f t="shared" si="1"/>
        <v>18.5.2026</v>
      </c>
      <c r="L98" s="153">
        <v>87</v>
      </c>
      <c r="M98" s="92"/>
    </row>
    <row r="99" spans="1:13" ht="21.6" x14ac:dyDescent="0.65">
      <c r="A99" s="195"/>
      <c r="B99" s="140">
        <v>96</v>
      </c>
      <c r="C99" s="2"/>
      <c r="D99" s="1"/>
      <c r="E99" s="3"/>
      <c r="F99" s="1"/>
      <c r="G99" s="141">
        <f>IF(Basic3456789101112131415[[#This Row],[نوع الخدمة]]="مخالفات", 50,
IF(Basic3456789101112131415[[#This Row],[نوع الخدمة]]="كاش ان",
    IF(F99&lt;=100, 18, IF(F99&lt;=250, 23, IF(F99&lt;=500, 35, IF(F99&lt;=1000, 40, F99*0.04)))),
IF(Basic3456789101112131415[[#This Row],[نوع الخدمة]]="كاش اوت",
    IF(F99&lt;=100, 15, IF(F99&lt;=250, 20, IF(F99&lt;=500, 30, IF(F99&lt;=1000, 35, F99*0.035)))),
0)))</f>
        <v>0</v>
      </c>
      <c r="H99" s="159">
        <f>IF(I99="مخالفات",50,Basic3456789101112131415[[#This Row],[قيمة الرسوم / العموله]]+Basic3456789101112131415[[#This Row],[قيمة الشحنه]])</f>
        <v>0</v>
      </c>
      <c r="I99" s="90"/>
      <c r="J99" s="142" t="str">
        <f t="shared" si="1"/>
        <v>18.5.2026</v>
      </c>
      <c r="L99" s="153">
        <v>88</v>
      </c>
      <c r="M99" s="92"/>
    </row>
    <row r="100" spans="1:13" ht="21.6" x14ac:dyDescent="0.65">
      <c r="A100" s="195"/>
      <c r="B100" s="140">
        <v>97</v>
      </c>
      <c r="C100" s="2"/>
      <c r="D100" s="1"/>
      <c r="E100" s="3"/>
      <c r="F100" s="1"/>
      <c r="G100" s="141">
        <f>IF(Basic3456789101112131415[[#This Row],[نوع الخدمة]]="مخالفات", 50,
IF(Basic3456789101112131415[[#This Row],[نوع الخدمة]]="كاش ان",
    IF(F100&lt;=100, 18, IF(F100&lt;=250, 23, IF(F100&lt;=500, 35, IF(F100&lt;=1000, 40, F100*0.04)))),
IF(Basic3456789101112131415[[#This Row],[نوع الخدمة]]="كاش اوت",
    IF(F100&lt;=100, 15, IF(F100&lt;=250, 20, IF(F100&lt;=500, 30, IF(F100&lt;=1000, 35, F100*0.035)))),
0)))</f>
        <v>0</v>
      </c>
      <c r="H100" s="159">
        <f>IF(I100="مخالفات",50,Basic3456789101112131415[[#This Row],[قيمة الرسوم / العموله]]+Basic3456789101112131415[[#This Row],[قيمة الشحنه]])</f>
        <v>0</v>
      </c>
      <c r="I100" s="90"/>
      <c r="J100" s="142" t="str">
        <f t="shared" si="1"/>
        <v>18.5.2026</v>
      </c>
      <c r="L100" s="153">
        <v>89</v>
      </c>
      <c r="M100" s="92"/>
    </row>
    <row r="101" spans="1:13" ht="21.6" x14ac:dyDescent="0.65">
      <c r="A101" s="195"/>
      <c r="B101" s="144">
        <v>98</v>
      </c>
      <c r="C101" s="2"/>
      <c r="D101" s="1"/>
      <c r="E101" s="3"/>
      <c r="F101" s="1"/>
      <c r="G101" s="141">
        <f>IF(Basic3456789101112131415[[#This Row],[نوع الخدمة]]="مخالفات", 50,
IF(Basic3456789101112131415[[#This Row],[نوع الخدمة]]="كاش ان",
    IF(F101&lt;=100, 18, IF(F101&lt;=250, 23, IF(F101&lt;=500, 35, IF(F101&lt;=1000, 40, F101*0.04)))),
IF(Basic3456789101112131415[[#This Row],[نوع الخدمة]]="كاش اوت",
    IF(F101&lt;=100, 15, IF(F101&lt;=250, 20, IF(F101&lt;=500, 30, IF(F101&lt;=1000, 35, F101*0.035)))),
0)))</f>
        <v>0</v>
      </c>
      <c r="H101" s="159">
        <f>IF(I101="مخالفات",50,Basic3456789101112131415[[#This Row],[قيمة الرسوم / العموله]]+Basic3456789101112131415[[#This Row],[قيمة الشحنه]])</f>
        <v>0</v>
      </c>
      <c r="I101" s="90"/>
      <c r="J101" s="142" t="str">
        <f t="shared" si="1"/>
        <v>18.5.2026</v>
      </c>
      <c r="L101" s="153">
        <v>90</v>
      </c>
      <c r="M101" s="92"/>
    </row>
    <row r="102" spans="1:13" ht="21.6" x14ac:dyDescent="0.65">
      <c r="A102" s="195"/>
      <c r="B102" s="140">
        <v>99</v>
      </c>
      <c r="C102" s="2"/>
      <c r="D102" s="1"/>
      <c r="E102" s="3"/>
      <c r="F102" s="1"/>
      <c r="G102" s="141">
        <f>IF(Basic3456789101112131415[[#This Row],[نوع الخدمة]]="مخالفات", 50,
IF(Basic3456789101112131415[[#This Row],[نوع الخدمة]]="كاش ان",
    IF(F102&lt;=100, 18, IF(F102&lt;=250, 23, IF(F102&lt;=500, 35, IF(F102&lt;=1000, 40, F102*0.04)))),
IF(Basic3456789101112131415[[#This Row],[نوع الخدمة]]="كاش اوت",
    IF(F102&lt;=100, 15, IF(F102&lt;=250, 20, IF(F102&lt;=500, 30, IF(F102&lt;=1000, 35, F102*0.035)))),
0)))</f>
        <v>0</v>
      </c>
      <c r="H102" s="159">
        <f>IF(I102="مخالفات",50,Basic3456789101112131415[[#This Row],[قيمة الرسوم / العموله]]+Basic3456789101112131415[[#This Row],[قيمة الشحنه]])</f>
        <v>0</v>
      </c>
      <c r="I102" s="90"/>
      <c r="J102" s="142" t="str">
        <f t="shared" si="1"/>
        <v>18.5.2026</v>
      </c>
      <c r="L102" s="153">
        <v>91</v>
      </c>
      <c r="M102" s="92"/>
    </row>
    <row r="103" spans="1:13" ht="21.6" x14ac:dyDescent="0.65">
      <c r="A103" s="195"/>
      <c r="B103" s="140">
        <v>100</v>
      </c>
      <c r="C103" s="2"/>
      <c r="D103" s="1"/>
      <c r="E103" s="3"/>
      <c r="F103" s="1"/>
      <c r="G103" s="141">
        <f>IF(Basic3456789101112131415[[#This Row],[نوع الخدمة]]="مخالفات", 50,
IF(Basic3456789101112131415[[#This Row],[نوع الخدمة]]="كاش ان",
    IF(F103&lt;=100, 18, IF(F103&lt;=250, 23, IF(F103&lt;=500, 35, IF(F103&lt;=1000, 40, F103*0.04)))),
IF(Basic3456789101112131415[[#This Row],[نوع الخدمة]]="كاش اوت",
    IF(F103&lt;=100, 15, IF(F103&lt;=250, 20, IF(F103&lt;=500, 30, IF(F103&lt;=1000, 35, F103*0.035)))),
0)))</f>
        <v>0</v>
      </c>
      <c r="H103" s="159">
        <f>IF(I103="مخالفات",50,Basic3456789101112131415[[#This Row],[قيمة الرسوم / العموله]]+Basic3456789101112131415[[#This Row],[قيمة الشحنه]])</f>
        <v>0</v>
      </c>
      <c r="I103" s="90"/>
      <c r="J103" s="142" t="str">
        <f t="shared" si="1"/>
        <v>18.5.2026</v>
      </c>
      <c r="L103" s="153">
        <v>92</v>
      </c>
      <c r="M103" s="92"/>
    </row>
    <row r="104" spans="1:13" ht="21.6" x14ac:dyDescent="0.65">
      <c r="A104" s="195"/>
      <c r="B104" s="140">
        <v>101</v>
      </c>
      <c r="C104" s="2"/>
      <c r="D104" s="1"/>
      <c r="E104" s="3"/>
      <c r="F104" s="1"/>
      <c r="G104" s="141">
        <f>IF(Basic3456789101112131415[[#This Row],[نوع الخدمة]]="مخالفات", 50,
IF(Basic3456789101112131415[[#This Row],[نوع الخدمة]]="كاش ان",
    IF(F104&lt;=100, 18, IF(F104&lt;=250, 23, IF(F104&lt;=500, 35, IF(F104&lt;=1000, 40, F104*0.04)))),
IF(Basic3456789101112131415[[#This Row],[نوع الخدمة]]="كاش اوت",
    IF(F104&lt;=100, 15, IF(F104&lt;=250, 20, IF(F104&lt;=500, 30, IF(F104&lt;=1000, 35, F104*0.035)))),
0)))</f>
        <v>0</v>
      </c>
      <c r="H104" s="159">
        <f>IF(I104="مخالفات",50,Basic3456789101112131415[[#This Row],[قيمة الرسوم / العموله]]+Basic3456789101112131415[[#This Row],[قيمة الشحنه]])</f>
        <v>0</v>
      </c>
      <c r="I104" s="90"/>
      <c r="J104" s="142" t="str">
        <f t="shared" si="1"/>
        <v>18.5.2026</v>
      </c>
      <c r="L104" s="153">
        <v>93</v>
      </c>
      <c r="M104" s="92"/>
    </row>
    <row r="105" spans="1:13" ht="21.6" x14ac:dyDescent="0.65">
      <c r="A105" s="195"/>
      <c r="B105" s="144">
        <v>102</v>
      </c>
      <c r="C105" s="2"/>
      <c r="D105" s="1"/>
      <c r="E105" s="3"/>
      <c r="F105" s="1"/>
      <c r="G105" s="141">
        <f>IF(Basic3456789101112131415[[#This Row],[نوع الخدمة]]="مخالفات", 50,
IF(Basic3456789101112131415[[#This Row],[نوع الخدمة]]="كاش ان",
    IF(F105&lt;=100, 18, IF(F105&lt;=250, 23, IF(F105&lt;=500, 35, IF(F105&lt;=1000, 40, F105*0.04)))),
IF(Basic3456789101112131415[[#This Row],[نوع الخدمة]]="كاش اوت",
    IF(F105&lt;=100, 15, IF(F105&lt;=250, 20, IF(F105&lt;=500, 30, IF(F105&lt;=1000, 35, F105*0.035)))),
0)))</f>
        <v>0</v>
      </c>
      <c r="H105" s="159">
        <f>IF(I105="مخالفات",50,Basic3456789101112131415[[#This Row],[قيمة الرسوم / العموله]]+Basic3456789101112131415[[#This Row],[قيمة الشحنه]])</f>
        <v>0</v>
      </c>
      <c r="I105" s="90"/>
      <c r="J105" s="142" t="str">
        <f t="shared" si="1"/>
        <v>18.5.2026</v>
      </c>
      <c r="L105" s="153">
        <v>94</v>
      </c>
      <c r="M105" s="92"/>
    </row>
    <row r="106" spans="1:13" ht="21.6" x14ac:dyDescent="0.65">
      <c r="A106" s="195"/>
      <c r="B106" s="140">
        <v>103</v>
      </c>
      <c r="C106" s="2"/>
      <c r="D106" s="1"/>
      <c r="E106" s="3"/>
      <c r="F106" s="1"/>
      <c r="G106" s="141">
        <f>IF(Basic3456789101112131415[[#This Row],[نوع الخدمة]]="مخالفات", 50,
IF(Basic3456789101112131415[[#This Row],[نوع الخدمة]]="كاش ان",
    IF(F106&lt;=100, 18, IF(F106&lt;=250, 23, IF(F106&lt;=500, 35, IF(F106&lt;=1000, 40, F106*0.04)))),
IF(Basic3456789101112131415[[#This Row],[نوع الخدمة]]="كاش اوت",
    IF(F106&lt;=100, 15, IF(F106&lt;=250, 20, IF(F106&lt;=500, 30, IF(F106&lt;=1000, 35, F106*0.035)))),
0)))</f>
        <v>0</v>
      </c>
      <c r="H106" s="159">
        <f>IF(I106="مخالفات",50,Basic3456789101112131415[[#This Row],[قيمة الرسوم / العموله]]+Basic3456789101112131415[[#This Row],[قيمة الشحنه]])</f>
        <v>0</v>
      </c>
      <c r="I106" s="90"/>
      <c r="J106" s="142" t="str">
        <f t="shared" si="1"/>
        <v>18.5.2026</v>
      </c>
      <c r="L106" s="153">
        <v>95</v>
      </c>
      <c r="M106" s="92"/>
    </row>
    <row r="107" spans="1:13" ht="21.6" x14ac:dyDescent="0.65">
      <c r="A107" s="195"/>
      <c r="B107" s="140">
        <v>104</v>
      </c>
      <c r="C107" s="2"/>
      <c r="D107" s="1"/>
      <c r="E107" s="3"/>
      <c r="F107" s="1"/>
      <c r="G107" s="141">
        <f>IF(Basic3456789101112131415[[#This Row],[نوع الخدمة]]="مخالفات", 50,
IF(Basic3456789101112131415[[#This Row],[نوع الخدمة]]="كاش ان",
    IF(F107&lt;=100, 18, IF(F107&lt;=250, 23, IF(F107&lt;=500, 35, IF(F107&lt;=1000, 40, F107*0.04)))),
IF(Basic3456789101112131415[[#This Row],[نوع الخدمة]]="كاش اوت",
    IF(F107&lt;=100, 15, IF(F107&lt;=250, 20, IF(F107&lt;=500, 30, IF(F107&lt;=1000, 35, F107*0.035)))),
0)))</f>
        <v>0</v>
      </c>
      <c r="H107" s="159">
        <f>IF(I107="مخالفات",50,Basic3456789101112131415[[#This Row],[قيمة الرسوم / العموله]]+Basic3456789101112131415[[#This Row],[قيمة الشحنه]])</f>
        <v>0</v>
      </c>
      <c r="I107" s="90"/>
      <c r="J107" s="142" t="str">
        <f t="shared" si="1"/>
        <v>18.5.2026</v>
      </c>
      <c r="L107" s="153">
        <v>96</v>
      </c>
      <c r="M107" s="92"/>
    </row>
    <row r="108" spans="1:13" ht="21.6" x14ac:dyDescent="0.65">
      <c r="A108" s="195"/>
      <c r="B108" s="140">
        <v>105</v>
      </c>
      <c r="C108" s="2"/>
      <c r="D108" s="1"/>
      <c r="E108" s="3"/>
      <c r="F108" s="1"/>
      <c r="G108" s="141">
        <f>IF(Basic3456789101112131415[[#This Row],[نوع الخدمة]]="مخالفات", 50,
IF(Basic3456789101112131415[[#This Row],[نوع الخدمة]]="كاش ان",
    IF(F108&lt;=100, 18, IF(F108&lt;=250, 23, IF(F108&lt;=500, 35, IF(F108&lt;=1000, 40, F108*0.04)))),
IF(Basic3456789101112131415[[#This Row],[نوع الخدمة]]="كاش اوت",
    IF(F108&lt;=100, 15, IF(F108&lt;=250, 20, IF(F108&lt;=500, 30, IF(F108&lt;=1000, 35, F108*0.035)))),
0)))</f>
        <v>0</v>
      </c>
      <c r="H108" s="159">
        <f>IF(I108="مخالفات",50,Basic3456789101112131415[[#This Row],[قيمة الرسوم / العموله]]+Basic3456789101112131415[[#This Row],[قيمة الشحنه]])</f>
        <v>0</v>
      </c>
      <c r="I108" s="90"/>
      <c r="J108" s="142" t="str">
        <f t="shared" si="1"/>
        <v>18.5.2026</v>
      </c>
      <c r="L108" s="153">
        <v>97</v>
      </c>
      <c r="M108" s="92"/>
    </row>
    <row r="109" spans="1:13" ht="21.6" x14ac:dyDescent="0.65">
      <c r="A109" s="195"/>
      <c r="B109" s="144">
        <v>106</v>
      </c>
      <c r="C109" s="2"/>
      <c r="D109" s="1"/>
      <c r="E109" s="3"/>
      <c r="F109" s="1"/>
      <c r="G109" s="141">
        <f>IF(Basic3456789101112131415[[#This Row],[نوع الخدمة]]="مخالفات", 50,
IF(Basic3456789101112131415[[#This Row],[نوع الخدمة]]="كاش ان",
    IF(F109&lt;=100, 18, IF(F109&lt;=250, 23, IF(F109&lt;=500, 35, IF(F109&lt;=1000, 40, F109*0.04)))),
IF(Basic3456789101112131415[[#This Row],[نوع الخدمة]]="كاش اوت",
    IF(F109&lt;=100, 15, IF(F109&lt;=250, 20, IF(F109&lt;=500, 30, IF(F109&lt;=1000, 35, F109*0.035)))),
0)))</f>
        <v>0</v>
      </c>
      <c r="H109" s="159">
        <f>IF(I109="مخالفات",50,Basic3456789101112131415[[#This Row],[قيمة الرسوم / العموله]]+Basic3456789101112131415[[#This Row],[قيمة الشحنه]])</f>
        <v>0</v>
      </c>
      <c r="I109" s="90"/>
      <c r="J109" s="142" t="str">
        <f t="shared" si="1"/>
        <v>18.5.2026</v>
      </c>
      <c r="L109" s="153">
        <v>98</v>
      </c>
      <c r="M109" s="92"/>
    </row>
    <row r="110" spans="1:13" ht="21.6" x14ac:dyDescent="0.65">
      <c r="A110" s="195"/>
      <c r="B110" s="140">
        <v>107</v>
      </c>
      <c r="C110" s="2"/>
      <c r="D110" s="1"/>
      <c r="E110" s="3"/>
      <c r="F110" s="1"/>
      <c r="G110" s="141">
        <f>IF(Basic3456789101112131415[[#This Row],[نوع الخدمة]]="مخالفات", 50,
IF(Basic3456789101112131415[[#This Row],[نوع الخدمة]]="كاش ان",
    IF(F110&lt;=100, 18, IF(F110&lt;=250, 23, IF(F110&lt;=500, 35, IF(F110&lt;=1000, 40, F110*0.04)))),
IF(Basic3456789101112131415[[#This Row],[نوع الخدمة]]="كاش اوت",
    IF(F110&lt;=100, 15, IF(F110&lt;=250, 20, IF(F110&lt;=500, 30, IF(F110&lt;=1000, 35, F110*0.035)))),
0)))</f>
        <v>0</v>
      </c>
      <c r="H110" s="159">
        <f>IF(I110="مخالفات",50,Basic3456789101112131415[[#This Row],[قيمة الرسوم / العموله]]+Basic3456789101112131415[[#This Row],[قيمة الشحنه]])</f>
        <v>0</v>
      </c>
      <c r="I110" s="90"/>
      <c r="J110" s="142" t="str">
        <f t="shared" si="1"/>
        <v>18.5.2026</v>
      </c>
      <c r="L110" s="153">
        <v>99</v>
      </c>
      <c r="M110" s="92"/>
    </row>
    <row r="111" spans="1:13" ht="21.6" x14ac:dyDescent="0.65">
      <c r="A111" s="195"/>
      <c r="B111" s="140">
        <v>108</v>
      </c>
      <c r="C111" s="2"/>
      <c r="D111" s="1"/>
      <c r="E111" s="3"/>
      <c r="F111" s="1"/>
      <c r="G111" s="141">
        <f>IF(Basic3456789101112131415[[#This Row],[نوع الخدمة]]="مخالفات", 50,
IF(Basic3456789101112131415[[#This Row],[نوع الخدمة]]="كاش ان",
    IF(F111&lt;=100, 18, IF(F111&lt;=250, 23, IF(F111&lt;=500, 35, IF(F111&lt;=1000, 40, F111*0.04)))),
IF(Basic3456789101112131415[[#This Row],[نوع الخدمة]]="كاش اوت",
    IF(F111&lt;=100, 15, IF(F111&lt;=250, 20, IF(F111&lt;=500, 30, IF(F111&lt;=1000, 35, F111*0.035)))),
0)))</f>
        <v>0</v>
      </c>
      <c r="H111" s="159">
        <f>IF(I111="مخالفات",50,Basic3456789101112131415[[#This Row],[قيمة الرسوم / العموله]]+Basic3456789101112131415[[#This Row],[قيمة الشحنه]])</f>
        <v>0</v>
      </c>
      <c r="I111" s="90"/>
      <c r="J111" s="142" t="str">
        <f t="shared" si="1"/>
        <v>18.5.2026</v>
      </c>
      <c r="L111" s="153">
        <v>100</v>
      </c>
      <c r="M111" s="92"/>
    </row>
    <row r="112" spans="1:13" ht="21.6" x14ac:dyDescent="0.65">
      <c r="A112" s="195"/>
      <c r="B112" s="140">
        <v>109</v>
      </c>
      <c r="C112" s="2"/>
      <c r="D112" s="1"/>
      <c r="E112" s="3"/>
      <c r="F112" s="1"/>
      <c r="G112" s="141">
        <f>IF(Basic3456789101112131415[[#This Row],[نوع الخدمة]]="مخالفات", 50,
IF(Basic3456789101112131415[[#This Row],[نوع الخدمة]]="كاش ان",
    IF(F112&lt;=100, 18, IF(F112&lt;=250, 23, IF(F112&lt;=500, 35, IF(F112&lt;=1000, 40, F112*0.04)))),
IF(Basic3456789101112131415[[#This Row],[نوع الخدمة]]="كاش اوت",
    IF(F112&lt;=100, 15, IF(F112&lt;=250, 20, IF(F112&lt;=500, 30, IF(F112&lt;=1000, 35, F112*0.035)))),
0)))</f>
        <v>0</v>
      </c>
      <c r="H112" s="159">
        <f>IF(I112="مخالفات",50,Basic3456789101112131415[[#This Row],[قيمة الرسوم / العموله]]+Basic3456789101112131415[[#This Row],[قيمة الشحنه]])</f>
        <v>0</v>
      </c>
      <c r="I112" s="90"/>
      <c r="J112" s="142" t="str">
        <f t="shared" si="1"/>
        <v>18.5.2026</v>
      </c>
      <c r="L112" s="153">
        <v>101</v>
      </c>
      <c r="M112" s="92"/>
    </row>
    <row r="113" spans="1:13" ht="21.6" x14ac:dyDescent="0.65">
      <c r="A113" s="195"/>
      <c r="B113" s="144">
        <v>110</v>
      </c>
      <c r="C113" s="2"/>
      <c r="D113" s="1"/>
      <c r="E113" s="3"/>
      <c r="F113" s="1"/>
      <c r="G113" s="141">
        <f>IF(Basic3456789101112131415[[#This Row],[نوع الخدمة]]="مخالفات", 50,
IF(Basic3456789101112131415[[#This Row],[نوع الخدمة]]="كاش ان",
    IF(F113&lt;=100, 18, IF(F113&lt;=250, 23, IF(F113&lt;=500, 35, IF(F113&lt;=1000, 40, F113*0.04)))),
IF(Basic3456789101112131415[[#This Row],[نوع الخدمة]]="كاش اوت",
    IF(F113&lt;=100, 15, IF(F113&lt;=250, 20, IF(F113&lt;=500, 30, IF(F113&lt;=1000, 35, F113*0.035)))),
0)))</f>
        <v>0</v>
      </c>
      <c r="H113" s="159">
        <f>IF(I113="مخالفات",50,Basic3456789101112131415[[#This Row],[قيمة الرسوم / العموله]]+Basic3456789101112131415[[#This Row],[قيمة الشحنه]])</f>
        <v>0</v>
      </c>
      <c r="I113" s="90"/>
      <c r="J113" s="142" t="str">
        <f t="shared" si="1"/>
        <v>18.5.2026</v>
      </c>
      <c r="L113" s="153">
        <v>102</v>
      </c>
      <c r="M113" s="92"/>
    </row>
    <row r="114" spans="1:13" ht="21.6" x14ac:dyDescent="0.65">
      <c r="A114" s="195"/>
      <c r="B114" s="140">
        <v>111</v>
      </c>
      <c r="C114" s="2"/>
      <c r="D114" s="1"/>
      <c r="E114" s="3"/>
      <c r="F114" s="1"/>
      <c r="G114" s="141">
        <f>IF(Basic3456789101112131415[[#This Row],[نوع الخدمة]]="مخالفات", 50,
IF(Basic3456789101112131415[[#This Row],[نوع الخدمة]]="كاش ان",
    IF(F114&lt;=100, 18, IF(F114&lt;=250, 23, IF(F114&lt;=500, 35, IF(F114&lt;=1000, 40, F114*0.04)))),
IF(Basic3456789101112131415[[#This Row],[نوع الخدمة]]="كاش اوت",
    IF(F114&lt;=100, 15, IF(F114&lt;=250, 20, IF(F114&lt;=500, 30, IF(F114&lt;=1000, 35, F114*0.035)))),
0)))</f>
        <v>0</v>
      </c>
      <c r="H114" s="159">
        <f>IF(I114="مخالفات",50,Basic3456789101112131415[[#This Row],[قيمة الرسوم / العموله]]+Basic3456789101112131415[[#This Row],[قيمة الشحنه]])</f>
        <v>0</v>
      </c>
      <c r="I114" s="90"/>
      <c r="J114" s="142" t="str">
        <f t="shared" si="1"/>
        <v>18.5.2026</v>
      </c>
      <c r="L114" s="153">
        <v>103</v>
      </c>
      <c r="M114" s="92"/>
    </row>
    <row r="115" spans="1:13" ht="21.6" x14ac:dyDescent="0.65">
      <c r="A115" s="195"/>
      <c r="B115" s="140">
        <v>112</v>
      </c>
      <c r="C115" s="2"/>
      <c r="D115" s="1"/>
      <c r="E115" s="3"/>
      <c r="F115" s="1"/>
      <c r="G115" s="141">
        <f>IF(Basic3456789101112131415[[#This Row],[نوع الخدمة]]="مخالفات", 50,
IF(Basic3456789101112131415[[#This Row],[نوع الخدمة]]="كاش ان",
    IF(F115&lt;=100, 18, IF(F115&lt;=250, 23, IF(F115&lt;=500, 35, IF(F115&lt;=1000, 40, F115*0.04)))),
IF(Basic3456789101112131415[[#This Row],[نوع الخدمة]]="كاش اوت",
    IF(F115&lt;=100, 15, IF(F115&lt;=250, 20, IF(F115&lt;=500, 30, IF(F115&lt;=1000, 35, F115*0.035)))),
0)))</f>
        <v>0</v>
      </c>
      <c r="H115" s="159">
        <f>IF(I115="مخالفات",50,Basic3456789101112131415[[#This Row],[قيمة الرسوم / العموله]]+Basic3456789101112131415[[#This Row],[قيمة الشحنه]])</f>
        <v>0</v>
      </c>
      <c r="I115" s="90"/>
      <c r="J115" s="142" t="str">
        <f t="shared" si="1"/>
        <v>18.5.2026</v>
      </c>
      <c r="L115" s="153">
        <v>104</v>
      </c>
      <c r="M115" s="92"/>
    </row>
    <row r="116" spans="1:13" ht="21.6" x14ac:dyDescent="0.65">
      <c r="A116" s="195"/>
      <c r="B116" s="140">
        <v>113</v>
      </c>
      <c r="C116" s="2"/>
      <c r="D116" s="1"/>
      <c r="E116" s="3"/>
      <c r="F116" s="1"/>
      <c r="G116" s="141">
        <f>IF(Basic3456789101112131415[[#This Row],[نوع الخدمة]]="مخالفات", 50,
IF(Basic3456789101112131415[[#This Row],[نوع الخدمة]]="كاش ان",
    IF(F116&lt;=100, 18, IF(F116&lt;=250, 23, IF(F116&lt;=500, 35, IF(F116&lt;=1000, 40, F116*0.04)))),
IF(Basic3456789101112131415[[#This Row],[نوع الخدمة]]="كاش اوت",
    IF(F116&lt;=100, 15, IF(F116&lt;=250, 20, IF(F116&lt;=500, 30, IF(F116&lt;=1000, 35, F116*0.035)))),
0)))</f>
        <v>0</v>
      </c>
      <c r="H116" s="159">
        <f>IF(I116="مخالفات",50,Basic3456789101112131415[[#This Row],[قيمة الرسوم / العموله]]+Basic3456789101112131415[[#This Row],[قيمة الشحنه]])</f>
        <v>0</v>
      </c>
      <c r="I116" s="90"/>
      <c r="J116" s="142" t="str">
        <f t="shared" si="1"/>
        <v>18.5.2026</v>
      </c>
      <c r="L116" s="153">
        <v>105</v>
      </c>
      <c r="M116" s="92"/>
    </row>
    <row r="117" spans="1:13" ht="21.6" x14ac:dyDescent="0.65">
      <c r="A117" s="195"/>
      <c r="B117" s="144">
        <v>114</v>
      </c>
      <c r="C117" s="2"/>
      <c r="D117" s="1"/>
      <c r="E117" s="3"/>
      <c r="F117" s="1"/>
      <c r="G117" s="141">
        <f>IF(Basic3456789101112131415[[#This Row],[نوع الخدمة]]="مخالفات", 50,
IF(Basic3456789101112131415[[#This Row],[نوع الخدمة]]="كاش ان",
    IF(F117&lt;=100, 18, IF(F117&lt;=250, 23, IF(F117&lt;=500, 35, IF(F117&lt;=1000, 40, F117*0.04)))),
IF(Basic3456789101112131415[[#This Row],[نوع الخدمة]]="كاش اوت",
    IF(F117&lt;=100, 15, IF(F117&lt;=250, 20, IF(F117&lt;=500, 30, IF(F117&lt;=1000, 35, F117*0.035)))),
0)))</f>
        <v>0</v>
      </c>
      <c r="H117" s="159">
        <f>IF(I117="مخالفات",50,Basic3456789101112131415[[#This Row],[قيمة الرسوم / العموله]]+Basic3456789101112131415[[#This Row],[قيمة الشحنه]])</f>
        <v>0</v>
      </c>
      <c r="I117" s="90"/>
      <c r="J117" s="142" t="str">
        <f t="shared" si="1"/>
        <v>18.5.2026</v>
      </c>
      <c r="L117" s="153">
        <v>106</v>
      </c>
      <c r="M117" s="92"/>
    </row>
    <row r="118" spans="1:13" ht="21.6" x14ac:dyDescent="0.65">
      <c r="A118" s="195"/>
      <c r="B118" s="140">
        <v>115</v>
      </c>
      <c r="C118" s="2"/>
      <c r="D118" s="1"/>
      <c r="E118" s="3"/>
      <c r="F118" s="1"/>
      <c r="G118" s="141">
        <f>IF(Basic3456789101112131415[[#This Row],[نوع الخدمة]]="مخالفات", 50,
IF(Basic3456789101112131415[[#This Row],[نوع الخدمة]]="كاش ان",
    IF(F118&lt;=100, 18, IF(F118&lt;=250, 23, IF(F118&lt;=500, 35, IF(F118&lt;=1000, 40, F118*0.04)))),
IF(Basic3456789101112131415[[#This Row],[نوع الخدمة]]="كاش اوت",
    IF(F118&lt;=100, 15, IF(F118&lt;=250, 20, IF(F118&lt;=500, 30, IF(F118&lt;=1000, 35, F118*0.035)))),
0)))</f>
        <v>0</v>
      </c>
      <c r="H118" s="159">
        <f>IF(I118="مخالفات",50,Basic3456789101112131415[[#This Row],[قيمة الرسوم / العموله]]+Basic3456789101112131415[[#This Row],[قيمة الشحنه]])</f>
        <v>0</v>
      </c>
      <c r="I118" s="90"/>
      <c r="J118" s="142" t="str">
        <f t="shared" si="1"/>
        <v>18.5.2026</v>
      </c>
      <c r="L118" s="153">
        <v>107</v>
      </c>
      <c r="M118" s="92"/>
    </row>
    <row r="119" spans="1:13" ht="21.6" x14ac:dyDescent="0.65">
      <c r="A119" s="195"/>
      <c r="B119" s="140">
        <v>116</v>
      </c>
      <c r="C119" s="2"/>
      <c r="D119" s="1"/>
      <c r="E119" s="3"/>
      <c r="F119" s="1"/>
      <c r="G119" s="141">
        <f>IF(Basic3456789101112131415[[#This Row],[نوع الخدمة]]="مخالفات", 50,
IF(Basic3456789101112131415[[#This Row],[نوع الخدمة]]="كاش ان",
    IF(F119&lt;=100, 18, IF(F119&lt;=250, 23, IF(F119&lt;=500, 35, IF(F119&lt;=1000, 40, F119*0.04)))),
IF(Basic3456789101112131415[[#This Row],[نوع الخدمة]]="كاش اوت",
    IF(F119&lt;=100, 15, IF(F119&lt;=250, 20, IF(F119&lt;=500, 30, IF(F119&lt;=1000, 35, F119*0.035)))),
0)))</f>
        <v>0</v>
      </c>
      <c r="H119" s="159">
        <f>IF(I119="مخالفات",50,Basic3456789101112131415[[#This Row],[قيمة الرسوم / العموله]]+Basic3456789101112131415[[#This Row],[قيمة الشحنه]])</f>
        <v>0</v>
      </c>
      <c r="I119" s="90"/>
      <c r="J119" s="142" t="str">
        <f t="shared" si="1"/>
        <v>18.5.2026</v>
      </c>
      <c r="L119" s="153">
        <v>108</v>
      </c>
      <c r="M119" s="92"/>
    </row>
    <row r="120" spans="1:13" ht="21.6" x14ac:dyDescent="0.65">
      <c r="A120" s="195"/>
      <c r="B120" s="140">
        <v>117</v>
      </c>
      <c r="C120" s="2"/>
      <c r="D120" s="1"/>
      <c r="E120" s="3"/>
      <c r="F120" s="1"/>
      <c r="G120" s="141">
        <f>IF(Basic3456789101112131415[[#This Row],[نوع الخدمة]]="مخالفات", 50,
IF(Basic3456789101112131415[[#This Row],[نوع الخدمة]]="كاش ان",
    IF(F120&lt;=100, 18, IF(F120&lt;=250, 23, IF(F120&lt;=500, 35, IF(F120&lt;=1000, 40, F120*0.04)))),
IF(Basic3456789101112131415[[#This Row],[نوع الخدمة]]="كاش اوت",
    IF(F120&lt;=100, 15, IF(F120&lt;=250, 20, IF(F120&lt;=500, 30, IF(F120&lt;=1000, 35, F120*0.035)))),
0)))</f>
        <v>0</v>
      </c>
      <c r="H120" s="159">
        <f>IF(I120="مخالفات",50,Basic3456789101112131415[[#This Row],[قيمة الرسوم / العموله]]+Basic3456789101112131415[[#This Row],[قيمة الشحنه]])</f>
        <v>0</v>
      </c>
      <c r="I120" s="90"/>
      <c r="J120" s="142" t="str">
        <f t="shared" si="1"/>
        <v>18.5.2026</v>
      </c>
      <c r="L120" s="153">
        <v>109</v>
      </c>
      <c r="M120" s="92"/>
    </row>
    <row r="121" spans="1:13" ht="21.6" x14ac:dyDescent="0.65">
      <c r="A121" s="195"/>
      <c r="B121" s="144">
        <v>118</v>
      </c>
      <c r="C121" s="2"/>
      <c r="D121" s="1"/>
      <c r="E121" s="3"/>
      <c r="F121" s="1"/>
      <c r="G121" s="141">
        <f>IF(Basic3456789101112131415[[#This Row],[نوع الخدمة]]="مخالفات", 50,
IF(Basic3456789101112131415[[#This Row],[نوع الخدمة]]="كاش ان",
    IF(F121&lt;=100, 18, IF(F121&lt;=250, 23, IF(F121&lt;=500, 35, IF(F121&lt;=1000, 40, F121*0.04)))),
IF(Basic3456789101112131415[[#This Row],[نوع الخدمة]]="كاش اوت",
    IF(F121&lt;=100, 15, IF(F121&lt;=250, 20, IF(F121&lt;=500, 30, IF(F121&lt;=1000, 35, F121*0.035)))),
0)))</f>
        <v>0</v>
      </c>
      <c r="H121" s="159">
        <f>IF(I121="مخالفات",50,Basic3456789101112131415[[#This Row],[قيمة الرسوم / العموله]]+Basic3456789101112131415[[#This Row],[قيمة الشحنه]])</f>
        <v>0</v>
      </c>
      <c r="I121" s="90"/>
      <c r="J121" s="142" t="str">
        <f t="shared" si="1"/>
        <v>18.5.2026</v>
      </c>
      <c r="L121" s="153">
        <v>110</v>
      </c>
      <c r="M121" s="92"/>
    </row>
    <row r="122" spans="1:13" ht="21.6" x14ac:dyDescent="0.65">
      <c r="A122" s="195"/>
      <c r="B122" s="140">
        <v>119</v>
      </c>
      <c r="C122" s="2"/>
      <c r="D122" s="1"/>
      <c r="E122" s="3"/>
      <c r="F122" s="1"/>
      <c r="G122" s="141">
        <f>IF(Basic3456789101112131415[[#This Row],[نوع الخدمة]]="مخالفات", 50,
IF(Basic3456789101112131415[[#This Row],[نوع الخدمة]]="كاش ان",
    IF(F122&lt;=100, 18, IF(F122&lt;=250, 23, IF(F122&lt;=500, 35, IF(F122&lt;=1000, 40, F122*0.04)))),
IF(Basic3456789101112131415[[#This Row],[نوع الخدمة]]="كاش اوت",
    IF(F122&lt;=100, 15, IF(F122&lt;=250, 20, IF(F122&lt;=500, 30, IF(F122&lt;=1000, 35, F122*0.035)))),
0)))</f>
        <v>0</v>
      </c>
      <c r="H122" s="159">
        <f>IF(I122="مخالفات",50,Basic3456789101112131415[[#This Row],[قيمة الرسوم / العموله]]+Basic3456789101112131415[[#This Row],[قيمة الشحنه]])</f>
        <v>0</v>
      </c>
      <c r="I122" s="90"/>
      <c r="J122" s="142" t="str">
        <f t="shared" si="1"/>
        <v>18.5.2026</v>
      </c>
      <c r="L122" s="153">
        <v>111</v>
      </c>
      <c r="M122" s="92"/>
    </row>
    <row r="123" spans="1:13" ht="21.6" x14ac:dyDescent="0.65">
      <c r="A123" s="195"/>
      <c r="B123" s="140">
        <v>120</v>
      </c>
      <c r="C123" s="2"/>
      <c r="D123" s="1"/>
      <c r="E123" s="3"/>
      <c r="F123" s="1"/>
      <c r="G123" s="141">
        <f>IF(Basic3456789101112131415[[#This Row],[نوع الخدمة]]="مخالفات", 50,
IF(Basic3456789101112131415[[#This Row],[نوع الخدمة]]="كاش ان",
    IF(F123&lt;=100, 18, IF(F123&lt;=250, 23, IF(F123&lt;=500, 35, IF(F123&lt;=1000, 40, F123*0.04)))),
IF(Basic3456789101112131415[[#This Row],[نوع الخدمة]]="كاش اوت",
    IF(F123&lt;=100, 15, IF(F123&lt;=250, 20, IF(F123&lt;=500, 30, IF(F123&lt;=1000, 35, F123*0.035)))),
0)))</f>
        <v>0</v>
      </c>
      <c r="H123" s="159">
        <f>IF(I123="مخالفات",50,Basic3456789101112131415[[#This Row],[قيمة الرسوم / العموله]]+Basic3456789101112131415[[#This Row],[قيمة الشحنه]])</f>
        <v>0</v>
      </c>
      <c r="I123" s="90"/>
      <c r="J123" s="142" t="str">
        <f t="shared" si="1"/>
        <v>18.5.2026</v>
      </c>
      <c r="L123" s="153">
        <v>112</v>
      </c>
      <c r="M123" s="92"/>
    </row>
    <row r="124" spans="1:13" ht="21.6" x14ac:dyDescent="0.65">
      <c r="A124" s="195"/>
      <c r="B124" s="140">
        <v>121</v>
      </c>
      <c r="C124" s="2"/>
      <c r="D124" s="1"/>
      <c r="E124" s="3"/>
      <c r="F124" s="1"/>
      <c r="G124" s="141">
        <f>IF(Basic3456789101112131415[[#This Row],[نوع الخدمة]]="مخالفات", 50,
IF(Basic3456789101112131415[[#This Row],[نوع الخدمة]]="كاش ان",
    IF(F124&lt;=100, 18, IF(F124&lt;=250, 23, IF(F124&lt;=500, 35, IF(F124&lt;=1000, 40, F124*0.04)))),
IF(Basic3456789101112131415[[#This Row],[نوع الخدمة]]="كاش اوت",
    IF(F124&lt;=100, 15, IF(F124&lt;=250, 20, IF(F124&lt;=500, 30, IF(F124&lt;=1000, 35, F124*0.035)))),
0)))</f>
        <v>0</v>
      </c>
      <c r="H124" s="159">
        <f>IF(I124="مخالفات",50,Basic3456789101112131415[[#This Row],[قيمة الرسوم / العموله]]+Basic3456789101112131415[[#This Row],[قيمة الشحنه]])</f>
        <v>0</v>
      </c>
      <c r="I124" s="90"/>
      <c r="J124" s="142" t="str">
        <f t="shared" si="1"/>
        <v>18.5.2026</v>
      </c>
      <c r="L124" s="153">
        <v>113</v>
      </c>
      <c r="M124" s="92"/>
    </row>
    <row r="125" spans="1:13" ht="21.6" x14ac:dyDescent="0.65">
      <c r="A125" s="195"/>
      <c r="B125" s="144">
        <v>122</v>
      </c>
      <c r="C125" s="2"/>
      <c r="D125" s="1"/>
      <c r="E125" s="3"/>
      <c r="F125" s="1"/>
      <c r="G125" s="141">
        <f>IF(Basic3456789101112131415[[#This Row],[نوع الخدمة]]="مخالفات", 50,
IF(Basic3456789101112131415[[#This Row],[نوع الخدمة]]="كاش ان",
    IF(F125&lt;=100, 18, IF(F125&lt;=250, 23, IF(F125&lt;=500, 35, IF(F125&lt;=1000, 40, F125*0.04)))),
IF(Basic3456789101112131415[[#This Row],[نوع الخدمة]]="كاش اوت",
    IF(F125&lt;=100, 15, IF(F125&lt;=250, 20, IF(F125&lt;=500, 30, IF(F125&lt;=1000, 35, F125*0.035)))),
0)))</f>
        <v>0</v>
      </c>
      <c r="H125" s="159">
        <f>IF(I125="مخالفات",50,Basic3456789101112131415[[#This Row],[قيمة الرسوم / العموله]]+Basic3456789101112131415[[#This Row],[قيمة الشحنه]])</f>
        <v>0</v>
      </c>
      <c r="I125" s="90"/>
      <c r="J125" s="142" t="str">
        <f t="shared" si="1"/>
        <v>18.5.2026</v>
      </c>
      <c r="L125" s="153">
        <v>114</v>
      </c>
      <c r="M125" s="92"/>
    </row>
    <row r="126" spans="1:13" ht="21.6" x14ac:dyDescent="0.65">
      <c r="A126" s="195"/>
      <c r="B126" s="140">
        <v>123</v>
      </c>
      <c r="C126" s="2"/>
      <c r="D126" s="1"/>
      <c r="E126" s="3"/>
      <c r="F126" s="1"/>
      <c r="G126" s="141">
        <f>IF(Basic3456789101112131415[[#This Row],[نوع الخدمة]]="مخالفات", 50,
IF(Basic3456789101112131415[[#This Row],[نوع الخدمة]]="كاش ان",
    IF(F126&lt;=100, 18, IF(F126&lt;=250, 23, IF(F126&lt;=500, 35, IF(F126&lt;=1000, 40, F126*0.04)))),
IF(Basic3456789101112131415[[#This Row],[نوع الخدمة]]="كاش اوت",
    IF(F126&lt;=100, 15, IF(F126&lt;=250, 20, IF(F126&lt;=500, 30, IF(F126&lt;=1000, 35, F126*0.035)))),
0)))</f>
        <v>0</v>
      </c>
      <c r="H126" s="159">
        <f>IF(I126="مخالفات",50,Basic3456789101112131415[[#This Row],[قيمة الرسوم / العموله]]+Basic3456789101112131415[[#This Row],[قيمة الشحنه]])</f>
        <v>0</v>
      </c>
      <c r="I126" s="90"/>
      <c r="J126" s="142" t="str">
        <f t="shared" si="1"/>
        <v>18.5.2026</v>
      </c>
      <c r="L126" s="153">
        <v>115</v>
      </c>
      <c r="M126" s="92"/>
    </row>
    <row r="127" spans="1:13" ht="21.6" x14ac:dyDescent="0.65">
      <c r="A127" s="195"/>
      <c r="B127" s="140">
        <v>124</v>
      </c>
      <c r="C127" s="2"/>
      <c r="D127" s="1"/>
      <c r="E127" s="3"/>
      <c r="F127" s="1"/>
      <c r="G127" s="141">
        <f>IF(Basic3456789101112131415[[#This Row],[نوع الخدمة]]="مخالفات", 50,
IF(Basic3456789101112131415[[#This Row],[نوع الخدمة]]="كاش ان",
    IF(F127&lt;=100, 18, IF(F127&lt;=250, 23, IF(F127&lt;=500, 35, IF(F127&lt;=1000, 40, F127*0.04)))),
IF(Basic3456789101112131415[[#This Row],[نوع الخدمة]]="كاش اوت",
    IF(F127&lt;=100, 15, IF(F127&lt;=250, 20, IF(F127&lt;=500, 30, IF(F127&lt;=1000, 35, F127*0.035)))),
0)))</f>
        <v>0</v>
      </c>
      <c r="H127" s="159">
        <f>IF(I127="مخالفات",50,Basic3456789101112131415[[#This Row],[قيمة الرسوم / العموله]]+Basic3456789101112131415[[#This Row],[قيمة الشحنه]])</f>
        <v>0</v>
      </c>
      <c r="I127" s="90"/>
      <c r="J127" s="142" t="str">
        <f t="shared" si="1"/>
        <v>18.5.2026</v>
      </c>
      <c r="L127" s="153">
        <v>116</v>
      </c>
      <c r="M127" s="92"/>
    </row>
    <row r="128" spans="1:13" ht="21.6" x14ac:dyDescent="0.65">
      <c r="A128" s="195"/>
      <c r="B128" s="140">
        <v>125</v>
      </c>
      <c r="C128" s="2"/>
      <c r="D128" s="1"/>
      <c r="E128" s="3"/>
      <c r="F128" s="1"/>
      <c r="G128" s="141">
        <f>IF(Basic3456789101112131415[[#This Row],[نوع الخدمة]]="مخالفات", 50,
IF(Basic3456789101112131415[[#This Row],[نوع الخدمة]]="كاش ان",
    IF(F128&lt;=100, 18, IF(F128&lt;=250, 23, IF(F128&lt;=500, 35, IF(F128&lt;=1000, 40, F128*0.04)))),
IF(Basic3456789101112131415[[#This Row],[نوع الخدمة]]="كاش اوت",
    IF(F128&lt;=100, 15, IF(F128&lt;=250, 20, IF(F128&lt;=500, 30, IF(F128&lt;=1000, 35, F128*0.035)))),
0)))</f>
        <v>0</v>
      </c>
      <c r="H128" s="159">
        <f>IF(I128="مخالفات",50,Basic3456789101112131415[[#This Row],[قيمة الرسوم / العموله]]+Basic3456789101112131415[[#This Row],[قيمة الشحنه]])</f>
        <v>0</v>
      </c>
      <c r="I128" s="90"/>
      <c r="J128" s="142" t="str">
        <f t="shared" si="1"/>
        <v>18.5.2026</v>
      </c>
      <c r="L128" s="153">
        <v>117</v>
      </c>
      <c r="M128" s="92"/>
    </row>
    <row r="129" spans="1:13" ht="21.6" x14ac:dyDescent="0.65">
      <c r="A129" s="195"/>
      <c r="B129" s="144">
        <v>126</v>
      </c>
      <c r="C129" s="2"/>
      <c r="D129" s="1"/>
      <c r="E129" s="3"/>
      <c r="F129" s="1"/>
      <c r="G129" s="141">
        <f>IF(Basic3456789101112131415[[#This Row],[نوع الخدمة]]="مخالفات", 50,
IF(Basic3456789101112131415[[#This Row],[نوع الخدمة]]="كاش ان",
    IF(F129&lt;=100, 18, IF(F129&lt;=250, 23, IF(F129&lt;=500, 35, IF(F129&lt;=1000, 40, F129*0.04)))),
IF(Basic3456789101112131415[[#This Row],[نوع الخدمة]]="كاش اوت",
    IF(F129&lt;=100, 15, IF(F129&lt;=250, 20, IF(F129&lt;=500, 30, IF(F129&lt;=1000, 35, F129*0.035)))),
0)))</f>
        <v>0</v>
      </c>
      <c r="H129" s="159">
        <f>IF(I129="مخالفات",50,Basic3456789101112131415[[#This Row],[قيمة الرسوم / العموله]]+Basic3456789101112131415[[#This Row],[قيمة الشحنه]])</f>
        <v>0</v>
      </c>
      <c r="I129" s="90"/>
      <c r="J129" s="142" t="str">
        <f t="shared" si="1"/>
        <v>18.5.2026</v>
      </c>
      <c r="L129" s="153">
        <v>118</v>
      </c>
      <c r="M129" s="92"/>
    </row>
    <row r="130" spans="1:13" ht="21.6" x14ac:dyDescent="0.65">
      <c r="A130" s="195"/>
      <c r="B130" s="140">
        <v>127</v>
      </c>
      <c r="C130" s="2"/>
      <c r="D130" s="1"/>
      <c r="E130" s="3"/>
      <c r="F130" s="1"/>
      <c r="G130" s="141">
        <f>IF(Basic3456789101112131415[[#This Row],[نوع الخدمة]]="مخالفات", 50,
IF(Basic3456789101112131415[[#This Row],[نوع الخدمة]]="كاش ان",
    IF(F130&lt;=100, 18, IF(F130&lt;=250, 23, IF(F130&lt;=500, 35, IF(F130&lt;=1000, 40, F130*0.04)))),
IF(Basic3456789101112131415[[#This Row],[نوع الخدمة]]="كاش اوت",
    IF(F130&lt;=100, 15, IF(F130&lt;=250, 20, IF(F130&lt;=500, 30, IF(F130&lt;=1000, 35, F130*0.035)))),
0)))</f>
        <v>0</v>
      </c>
      <c r="H130" s="159">
        <f>IF(I130="مخالفات",50,Basic3456789101112131415[[#This Row],[قيمة الرسوم / العموله]]+Basic3456789101112131415[[#This Row],[قيمة الشحنه]])</f>
        <v>0</v>
      </c>
      <c r="I130" s="90"/>
      <c r="J130" s="142" t="str">
        <f t="shared" si="1"/>
        <v>18.5.2026</v>
      </c>
      <c r="L130" s="153">
        <v>119</v>
      </c>
      <c r="M130" s="92"/>
    </row>
    <row r="131" spans="1:13" ht="21.6" x14ac:dyDescent="0.65">
      <c r="A131" s="195"/>
      <c r="B131" s="140">
        <v>128</v>
      </c>
      <c r="C131" s="2"/>
      <c r="D131" s="1"/>
      <c r="E131" s="3"/>
      <c r="F131" s="1"/>
      <c r="G131" s="141">
        <f>IF(Basic3456789101112131415[[#This Row],[نوع الخدمة]]="مخالفات", 50,
IF(Basic3456789101112131415[[#This Row],[نوع الخدمة]]="كاش ان",
    IF(F131&lt;=100, 18, IF(F131&lt;=250, 23, IF(F131&lt;=500, 35, IF(F131&lt;=1000, 40, F131*0.04)))),
IF(Basic3456789101112131415[[#This Row],[نوع الخدمة]]="كاش اوت",
    IF(F131&lt;=100, 15, IF(F131&lt;=250, 20, IF(F131&lt;=500, 30, IF(F131&lt;=1000, 35, F131*0.035)))),
0)))</f>
        <v>0</v>
      </c>
      <c r="H131" s="159">
        <f>IF(I131="مخالفات",50,Basic3456789101112131415[[#This Row],[قيمة الرسوم / العموله]]+Basic3456789101112131415[[#This Row],[قيمة الشحنه]])</f>
        <v>0</v>
      </c>
      <c r="I131" s="90"/>
      <c r="J131" s="142" t="str">
        <f t="shared" si="1"/>
        <v>18.5.2026</v>
      </c>
      <c r="L131" s="153">
        <v>120</v>
      </c>
      <c r="M131" s="92"/>
    </row>
    <row r="132" spans="1:13" ht="21.6" x14ac:dyDescent="0.65">
      <c r="A132" s="195"/>
      <c r="B132" s="140">
        <v>129</v>
      </c>
      <c r="C132" s="2"/>
      <c r="D132" s="1"/>
      <c r="E132" s="3"/>
      <c r="F132" s="1"/>
      <c r="G132" s="141">
        <f>IF(Basic3456789101112131415[[#This Row],[نوع الخدمة]]="مخالفات", 50,
IF(Basic3456789101112131415[[#This Row],[نوع الخدمة]]="كاش ان",
    IF(F132&lt;=100, 18, IF(F132&lt;=250, 23, IF(F132&lt;=500, 35, IF(F132&lt;=1000, 40, F132*0.04)))),
IF(Basic3456789101112131415[[#This Row],[نوع الخدمة]]="كاش اوت",
    IF(F132&lt;=100, 15, IF(F132&lt;=250, 20, IF(F132&lt;=500, 30, IF(F132&lt;=1000, 35, F132*0.035)))),
0)))</f>
        <v>0</v>
      </c>
      <c r="H132" s="159">
        <f>IF(I132="مخالفات",50,Basic3456789101112131415[[#This Row],[قيمة الرسوم / العموله]]+Basic3456789101112131415[[#This Row],[قيمة الشحنه]])</f>
        <v>0</v>
      </c>
      <c r="I132" s="90"/>
      <c r="J132" s="142" t="str">
        <f t="shared" ref="J132:J195" si="2">M$3</f>
        <v>18.5.2026</v>
      </c>
      <c r="L132" s="153">
        <v>121</v>
      </c>
      <c r="M132" s="92"/>
    </row>
    <row r="133" spans="1:13" ht="21.6" x14ac:dyDescent="0.65">
      <c r="A133" s="195"/>
      <c r="B133" s="144">
        <v>130</v>
      </c>
      <c r="C133" s="2"/>
      <c r="D133" s="1"/>
      <c r="E133" s="3"/>
      <c r="F133" s="1"/>
      <c r="G133" s="141">
        <f>IF(Basic3456789101112131415[[#This Row],[نوع الخدمة]]="مخالفات", 50,
IF(Basic3456789101112131415[[#This Row],[نوع الخدمة]]="كاش ان",
    IF(F133&lt;=100, 18, IF(F133&lt;=250, 23, IF(F133&lt;=500, 35, IF(F133&lt;=1000, 40, F133*0.04)))),
IF(Basic3456789101112131415[[#This Row],[نوع الخدمة]]="كاش اوت",
    IF(F133&lt;=100, 15, IF(F133&lt;=250, 20, IF(F133&lt;=500, 30, IF(F133&lt;=1000, 35, F133*0.035)))),
0)))</f>
        <v>0</v>
      </c>
      <c r="H133" s="159">
        <f>IF(I133="مخالفات",50,Basic3456789101112131415[[#This Row],[قيمة الرسوم / العموله]]+Basic3456789101112131415[[#This Row],[قيمة الشحنه]])</f>
        <v>0</v>
      </c>
      <c r="I133" s="90"/>
      <c r="J133" s="142" t="str">
        <f t="shared" si="2"/>
        <v>18.5.2026</v>
      </c>
      <c r="L133" s="153">
        <v>122</v>
      </c>
      <c r="M133" s="92"/>
    </row>
    <row r="134" spans="1:13" ht="21.6" x14ac:dyDescent="0.65">
      <c r="A134" s="195"/>
      <c r="B134" s="140">
        <v>131</v>
      </c>
      <c r="C134" s="2"/>
      <c r="D134" s="1"/>
      <c r="E134" s="3"/>
      <c r="F134" s="1"/>
      <c r="G134" s="141">
        <f>IF(Basic3456789101112131415[[#This Row],[نوع الخدمة]]="مخالفات", 50,
IF(Basic3456789101112131415[[#This Row],[نوع الخدمة]]="كاش ان",
    IF(F134&lt;=100, 18, IF(F134&lt;=250, 23, IF(F134&lt;=500, 35, IF(F134&lt;=1000, 40, F134*0.04)))),
IF(Basic3456789101112131415[[#This Row],[نوع الخدمة]]="كاش اوت",
    IF(F134&lt;=100, 15, IF(F134&lt;=250, 20, IF(F134&lt;=500, 30, IF(F134&lt;=1000, 35, F134*0.035)))),
0)))</f>
        <v>0</v>
      </c>
      <c r="H134" s="159">
        <f>IF(I134="مخالفات",50,Basic3456789101112131415[[#This Row],[قيمة الرسوم / العموله]]+Basic3456789101112131415[[#This Row],[قيمة الشحنه]])</f>
        <v>0</v>
      </c>
      <c r="I134" s="90"/>
      <c r="J134" s="142" t="str">
        <f t="shared" si="2"/>
        <v>18.5.2026</v>
      </c>
      <c r="L134" s="153">
        <v>123</v>
      </c>
      <c r="M134" s="92"/>
    </row>
    <row r="135" spans="1:13" ht="21.6" x14ac:dyDescent="0.65">
      <c r="A135" s="195"/>
      <c r="B135" s="140">
        <v>132</v>
      </c>
      <c r="C135" s="2"/>
      <c r="D135" s="1"/>
      <c r="E135" s="3"/>
      <c r="F135" s="1"/>
      <c r="G135" s="141">
        <f>IF(Basic3456789101112131415[[#This Row],[نوع الخدمة]]="مخالفات", 50,
IF(Basic3456789101112131415[[#This Row],[نوع الخدمة]]="كاش ان",
    IF(F135&lt;=100, 18, IF(F135&lt;=250, 23, IF(F135&lt;=500, 35, IF(F135&lt;=1000, 40, F135*0.04)))),
IF(Basic3456789101112131415[[#This Row],[نوع الخدمة]]="كاش اوت",
    IF(F135&lt;=100, 15, IF(F135&lt;=250, 20, IF(F135&lt;=500, 30, IF(F135&lt;=1000, 35, F135*0.035)))),
0)))</f>
        <v>0</v>
      </c>
      <c r="H135" s="159">
        <f>IF(I135="مخالفات",50,Basic3456789101112131415[[#This Row],[قيمة الرسوم / العموله]]+Basic3456789101112131415[[#This Row],[قيمة الشحنه]])</f>
        <v>0</v>
      </c>
      <c r="I135" s="90"/>
      <c r="J135" s="142" t="str">
        <f t="shared" si="2"/>
        <v>18.5.2026</v>
      </c>
      <c r="L135" s="153">
        <v>124</v>
      </c>
      <c r="M135" s="92"/>
    </row>
    <row r="136" spans="1:13" ht="21.6" x14ac:dyDescent="0.65">
      <c r="A136" s="195"/>
      <c r="B136" s="140">
        <v>133</v>
      </c>
      <c r="C136" s="2"/>
      <c r="D136" s="1"/>
      <c r="E136" s="3"/>
      <c r="F136" s="1"/>
      <c r="G136" s="141">
        <f>IF(Basic3456789101112131415[[#This Row],[نوع الخدمة]]="مخالفات", 50,
IF(Basic3456789101112131415[[#This Row],[نوع الخدمة]]="كاش ان",
    IF(F136&lt;=100, 18, IF(F136&lt;=250, 23, IF(F136&lt;=500, 35, IF(F136&lt;=1000, 40, F136*0.04)))),
IF(Basic3456789101112131415[[#This Row],[نوع الخدمة]]="كاش اوت",
    IF(F136&lt;=100, 15, IF(F136&lt;=250, 20, IF(F136&lt;=500, 30, IF(F136&lt;=1000, 35, F136*0.035)))),
0)))</f>
        <v>0</v>
      </c>
      <c r="H136" s="159">
        <f>IF(I136="مخالفات",50,Basic3456789101112131415[[#This Row],[قيمة الرسوم / العموله]]+Basic3456789101112131415[[#This Row],[قيمة الشحنه]])</f>
        <v>0</v>
      </c>
      <c r="I136" s="90"/>
      <c r="J136" s="142" t="str">
        <f t="shared" si="2"/>
        <v>18.5.2026</v>
      </c>
      <c r="L136" s="153">
        <v>125</v>
      </c>
      <c r="M136" s="92"/>
    </row>
    <row r="137" spans="1:13" ht="21.6" x14ac:dyDescent="0.65">
      <c r="A137" s="195"/>
      <c r="B137" s="144">
        <v>134</v>
      </c>
      <c r="C137" s="2"/>
      <c r="D137" s="1"/>
      <c r="E137" s="3"/>
      <c r="F137" s="1"/>
      <c r="G137" s="141">
        <f>IF(Basic3456789101112131415[[#This Row],[نوع الخدمة]]="مخالفات", 50,
IF(Basic3456789101112131415[[#This Row],[نوع الخدمة]]="كاش ان",
    IF(F137&lt;=100, 18, IF(F137&lt;=250, 23, IF(F137&lt;=500, 35, IF(F137&lt;=1000, 40, F137*0.04)))),
IF(Basic3456789101112131415[[#This Row],[نوع الخدمة]]="كاش اوت",
    IF(F137&lt;=100, 15, IF(F137&lt;=250, 20, IF(F137&lt;=500, 30, IF(F137&lt;=1000, 35, F137*0.035)))),
0)))</f>
        <v>0</v>
      </c>
      <c r="H137" s="159">
        <f>IF(I137="مخالفات",50,Basic3456789101112131415[[#This Row],[قيمة الرسوم / العموله]]+Basic3456789101112131415[[#This Row],[قيمة الشحنه]])</f>
        <v>0</v>
      </c>
      <c r="I137" s="90"/>
      <c r="J137" s="142" t="str">
        <f t="shared" si="2"/>
        <v>18.5.2026</v>
      </c>
      <c r="L137" s="153">
        <v>126</v>
      </c>
      <c r="M137" s="92"/>
    </row>
    <row r="138" spans="1:13" ht="21.6" x14ac:dyDescent="0.65">
      <c r="A138" s="195"/>
      <c r="B138" s="140">
        <v>135</v>
      </c>
      <c r="C138" s="2"/>
      <c r="D138" s="1"/>
      <c r="E138" s="3"/>
      <c r="F138" s="1"/>
      <c r="G138" s="141">
        <f>IF(Basic3456789101112131415[[#This Row],[نوع الخدمة]]="مخالفات", 50,
IF(Basic3456789101112131415[[#This Row],[نوع الخدمة]]="كاش ان",
    IF(F138&lt;=100, 18, IF(F138&lt;=250, 23, IF(F138&lt;=500, 35, IF(F138&lt;=1000, 40, F138*0.04)))),
IF(Basic3456789101112131415[[#This Row],[نوع الخدمة]]="كاش اوت",
    IF(F138&lt;=100, 15, IF(F138&lt;=250, 20, IF(F138&lt;=500, 30, IF(F138&lt;=1000, 35, F138*0.035)))),
0)))</f>
        <v>0</v>
      </c>
      <c r="H138" s="159">
        <f>IF(I138="مخالفات",50,Basic3456789101112131415[[#This Row],[قيمة الرسوم / العموله]]+Basic3456789101112131415[[#This Row],[قيمة الشحنه]])</f>
        <v>0</v>
      </c>
      <c r="I138" s="90"/>
      <c r="J138" s="142" t="str">
        <f t="shared" si="2"/>
        <v>18.5.2026</v>
      </c>
      <c r="L138" s="153">
        <v>127</v>
      </c>
      <c r="M138" s="92"/>
    </row>
    <row r="139" spans="1:13" ht="21.6" x14ac:dyDescent="0.65">
      <c r="A139" s="195"/>
      <c r="B139" s="140">
        <v>136</v>
      </c>
      <c r="C139" s="2"/>
      <c r="D139" s="1"/>
      <c r="E139" s="3"/>
      <c r="F139" s="1"/>
      <c r="G139" s="141">
        <f>IF(Basic3456789101112131415[[#This Row],[نوع الخدمة]]="مخالفات", 50,
IF(Basic3456789101112131415[[#This Row],[نوع الخدمة]]="كاش ان",
    IF(F139&lt;=100, 18, IF(F139&lt;=250, 23, IF(F139&lt;=500, 35, IF(F139&lt;=1000, 40, F139*0.04)))),
IF(Basic3456789101112131415[[#This Row],[نوع الخدمة]]="كاش اوت",
    IF(F139&lt;=100, 15, IF(F139&lt;=250, 20, IF(F139&lt;=500, 30, IF(F139&lt;=1000, 35, F139*0.035)))),
0)))</f>
        <v>0</v>
      </c>
      <c r="H139" s="159">
        <f>IF(I139="مخالفات",50,Basic3456789101112131415[[#This Row],[قيمة الرسوم / العموله]]+Basic3456789101112131415[[#This Row],[قيمة الشحنه]])</f>
        <v>0</v>
      </c>
      <c r="I139" s="90"/>
      <c r="J139" s="142" t="str">
        <f t="shared" si="2"/>
        <v>18.5.2026</v>
      </c>
      <c r="L139" s="153">
        <v>128</v>
      </c>
      <c r="M139" s="92"/>
    </row>
    <row r="140" spans="1:13" ht="21.6" x14ac:dyDescent="0.65">
      <c r="A140" s="195"/>
      <c r="B140" s="140">
        <v>137</v>
      </c>
      <c r="C140" s="2"/>
      <c r="D140" s="1"/>
      <c r="E140" s="3"/>
      <c r="F140" s="1"/>
      <c r="G140" s="141">
        <f>IF(Basic3456789101112131415[[#This Row],[نوع الخدمة]]="مخالفات", 50,
IF(Basic3456789101112131415[[#This Row],[نوع الخدمة]]="كاش ان",
    IF(F140&lt;=100, 18, IF(F140&lt;=250, 23, IF(F140&lt;=500, 35, IF(F140&lt;=1000, 40, F140*0.04)))),
IF(Basic3456789101112131415[[#This Row],[نوع الخدمة]]="كاش اوت",
    IF(F140&lt;=100, 15, IF(F140&lt;=250, 20, IF(F140&lt;=500, 30, IF(F140&lt;=1000, 35, F140*0.035)))),
0)))</f>
        <v>0</v>
      </c>
      <c r="H140" s="159">
        <f>IF(I140="مخالفات",50,Basic3456789101112131415[[#This Row],[قيمة الرسوم / العموله]]+Basic3456789101112131415[[#This Row],[قيمة الشحنه]])</f>
        <v>0</v>
      </c>
      <c r="I140" s="90"/>
      <c r="J140" s="142" t="str">
        <f t="shared" si="2"/>
        <v>18.5.2026</v>
      </c>
      <c r="L140" s="153">
        <v>129</v>
      </c>
      <c r="M140" s="92"/>
    </row>
    <row r="141" spans="1:13" ht="21.6" x14ac:dyDescent="0.65">
      <c r="A141" s="195"/>
      <c r="B141" s="144">
        <v>138</v>
      </c>
      <c r="C141" s="2"/>
      <c r="D141" s="1"/>
      <c r="E141" s="3"/>
      <c r="F141" s="1"/>
      <c r="G141" s="141">
        <f>IF(Basic3456789101112131415[[#This Row],[نوع الخدمة]]="مخالفات", 50,
IF(Basic3456789101112131415[[#This Row],[نوع الخدمة]]="كاش ان",
    IF(F141&lt;=100, 18, IF(F141&lt;=250, 23, IF(F141&lt;=500, 35, IF(F141&lt;=1000, 40, F141*0.04)))),
IF(Basic3456789101112131415[[#This Row],[نوع الخدمة]]="كاش اوت",
    IF(F141&lt;=100, 15, IF(F141&lt;=250, 20, IF(F141&lt;=500, 30, IF(F141&lt;=1000, 35, F141*0.035)))),
0)))</f>
        <v>0</v>
      </c>
      <c r="H141" s="159">
        <f>IF(I141="مخالفات",50,Basic3456789101112131415[[#This Row],[قيمة الرسوم / العموله]]+Basic3456789101112131415[[#This Row],[قيمة الشحنه]])</f>
        <v>0</v>
      </c>
      <c r="I141" s="90"/>
      <c r="J141" s="142" t="str">
        <f t="shared" si="2"/>
        <v>18.5.2026</v>
      </c>
      <c r="L141" s="153">
        <v>130</v>
      </c>
      <c r="M141" s="92"/>
    </row>
    <row r="142" spans="1:13" ht="21.6" x14ac:dyDescent="0.65">
      <c r="A142" s="195"/>
      <c r="B142" s="140">
        <v>139</v>
      </c>
      <c r="C142" s="2"/>
      <c r="D142" s="1"/>
      <c r="E142" s="3"/>
      <c r="F142" s="1"/>
      <c r="G142" s="141">
        <f>IF(Basic3456789101112131415[[#This Row],[نوع الخدمة]]="مخالفات", 50,
IF(Basic3456789101112131415[[#This Row],[نوع الخدمة]]="كاش ان",
    IF(F142&lt;=100, 18, IF(F142&lt;=250, 23, IF(F142&lt;=500, 35, IF(F142&lt;=1000, 40, F142*0.04)))),
IF(Basic3456789101112131415[[#This Row],[نوع الخدمة]]="كاش اوت",
    IF(F142&lt;=100, 15, IF(F142&lt;=250, 20, IF(F142&lt;=500, 30, IF(F142&lt;=1000, 35, F142*0.035)))),
0)))</f>
        <v>0</v>
      </c>
      <c r="H142" s="159">
        <f>IF(I142="مخالفات",50,Basic3456789101112131415[[#This Row],[قيمة الرسوم / العموله]]+Basic3456789101112131415[[#This Row],[قيمة الشحنه]])</f>
        <v>0</v>
      </c>
      <c r="I142" s="90"/>
      <c r="J142" s="142" t="str">
        <f t="shared" si="2"/>
        <v>18.5.2026</v>
      </c>
      <c r="L142" s="153">
        <v>131</v>
      </c>
      <c r="M142" s="92"/>
    </row>
    <row r="143" spans="1:13" ht="21.6" x14ac:dyDescent="0.65">
      <c r="A143" s="195"/>
      <c r="B143" s="140">
        <v>140</v>
      </c>
      <c r="C143" s="2"/>
      <c r="D143" s="1"/>
      <c r="E143" s="3"/>
      <c r="F143" s="1"/>
      <c r="G143" s="141">
        <f>IF(Basic3456789101112131415[[#This Row],[نوع الخدمة]]="مخالفات", 50,
IF(Basic3456789101112131415[[#This Row],[نوع الخدمة]]="كاش ان",
    IF(F143&lt;=100, 18, IF(F143&lt;=250, 23, IF(F143&lt;=500, 35, IF(F143&lt;=1000, 40, F143*0.04)))),
IF(Basic3456789101112131415[[#This Row],[نوع الخدمة]]="كاش اوت",
    IF(F143&lt;=100, 15, IF(F143&lt;=250, 20, IF(F143&lt;=500, 30, IF(F143&lt;=1000, 35, F143*0.035)))),
0)))</f>
        <v>0</v>
      </c>
      <c r="H143" s="159">
        <f>IF(I143="مخالفات",50,Basic3456789101112131415[[#This Row],[قيمة الرسوم / العموله]]+Basic3456789101112131415[[#This Row],[قيمة الشحنه]])</f>
        <v>0</v>
      </c>
      <c r="I143" s="90"/>
      <c r="J143" s="142" t="str">
        <f t="shared" si="2"/>
        <v>18.5.2026</v>
      </c>
      <c r="L143" s="153">
        <v>132</v>
      </c>
      <c r="M143" s="92"/>
    </row>
    <row r="144" spans="1:13" ht="21.6" x14ac:dyDescent="0.65">
      <c r="A144" s="195"/>
      <c r="B144" s="140">
        <v>141</v>
      </c>
      <c r="C144" s="2"/>
      <c r="D144" s="1"/>
      <c r="E144" s="3"/>
      <c r="F144" s="1"/>
      <c r="G144" s="141">
        <f>IF(Basic3456789101112131415[[#This Row],[نوع الخدمة]]="مخالفات", 50,
IF(Basic3456789101112131415[[#This Row],[نوع الخدمة]]="كاش ان",
    IF(F144&lt;=100, 18, IF(F144&lt;=250, 23, IF(F144&lt;=500, 35, IF(F144&lt;=1000, 40, F144*0.04)))),
IF(Basic3456789101112131415[[#This Row],[نوع الخدمة]]="كاش اوت",
    IF(F144&lt;=100, 15, IF(F144&lt;=250, 20, IF(F144&lt;=500, 30, IF(F144&lt;=1000, 35, F144*0.035)))),
0)))</f>
        <v>0</v>
      </c>
      <c r="H144" s="159">
        <f>IF(I144="مخالفات",50,Basic3456789101112131415[[#This Row],[قيمة الرسوم / العموله]]+Basic3456789101112131415[[#This Row],[قيمة الشحنه]])</f>
        <v>0</v>
      </c>
      <c r="I144" s="90"/>
      <c r="J144" s="142" t="str">
        <f t="shared" si="2"/>
        <v>18.5.2026</v>
      </c>
      <c r="L144" s="153">
        <v>133</v>
      </c>
      <c r="M144" s="92"/>
    </row>
    <row r="145" spans="1:13" ht="21.6" x14ac:dyDescent="0.65">
      <c r="A145" s="195"/>
      <c r="B145" s="144">
        <v>142</v>
      </c>
      <c r="C145" s="2"/>
      <c r="D145" s="1"/>
      <c r="E145" s="3"/>
      <c r="F145" s="1"/>
      <c r="G145" s="141">
        <f>IF(Basic3456789101112131415[[#This Row],[نوع الخدمة]]="مخالفات", 50,
IF(Basic3456789101112131415[[#This Row],[نوع الخدمة]]="كاش ان",
    IF(F145&lt;=100, 18, IF(F145&lt;=250, 23, IF(F145&lt;=500, 35, IF(F145&lt;=1000, 40, F145*0.04)))),
IF(Basic3456789101112131415[[#This Row],[نوع الخدمة]]="كاش اوت",
    IF(F145&lt;=100, 15, IF(F145&lt;=250, 20, IF(F145&lt;=500, 30, IF(F145&lt;=1000, 35, F145*0.035)))),
0)))</f>
        <v>0</v>
      </c>
      <c r="H145" s="159">
        <f>IF(I145="مخالفات",50,Basic3456789101112131415[[#This Row],[قيمة الرسوم / العموله]]+Basic3456789101112131415[[#This Row],[قيمة الشحنه]])</f>
        <v>0</v>
      </c>
      <c r="I145" s="90"/>
      <c r="J145" s="142" t="str">
        <f t="shared" si="2"/>
        <v>18.5.2026</v>
      </c>
      <c r="L145" s="153">
        <v>134</v>
      </c>
      <c r="M145" s="92"/>
    </row>
    <row r="146" spans="1:13" ht="21.6" x14ac:dyDescent="0.65">
      <c r="A146" s="195"/>
      <c r="B146" s="140">
        <v>143</v>
      </c>
      <c r="C146" s="2"/>
      <c r="D146" s="1"/>
      <c r="E146" s="3"/>
      <c r="F146" s="1"/>
      <c r="G146" s="141">
        <f>IF(Basic3456789101112131415[[#This Row],[نوع الخدمة]]="مخالفات", 50,
IF(Basic3456789101112131415[[#This Row],[نوع الخدمة]]="كاش ان",
    IF(F146&lt;=100, 18, IF(F146&lt;=250, 23, IF(F146&lt;=500, 35, IF(F146&lt;=1000, 40, F146*0.04)))),
IF(Basic3456789101112131415[[#This Row],[نوع الخدمة]]="كاش اوت",
    IF(F146&lt;=100, 15, IF(F146&lt;=250, 20, IF(F146&lt;=500, 30, IF(F146&lt;=1000, 35, F146*0.035)))),
0)))</f>
        <v>0</v>
      </c>
      <c r="H146" s="159">
        <f>IF(I146="مخالفات",50,Basic3456789101112131415[[#This Row],[قيمة الرسوم / العموله]]+Basic3456789101112131415[[#This Row],[قيمة الشحنه]])</f>
        <v>0</v>
      </c>
      <c r="I146" s="90"/>
      <c r="J146" s="142" t="str">
        <f t="shared" si="2"/>
        <v>18.5.2026</v>
      </c>
      <c r="L146" s="153">
        <v>135</v>
      </c>
      <c r="M146" s="92"/>
    </row>
    <row r="147" spans="1:13" ht="21.6" x14ac:dyDescent="0.65">
      <c r="A147" s="195"/>
      <c r="B147" s="140">
        <v>144</v>
      </c>
      <c r="C147" s="2"/>
      <c r="D147" s="1"/>
      <c r="E147" s="3"/>
      <c r="F147" s="1"/>
      <c r="G147" s="141">
        <f>IF(Basic3456789101112131415[[#This Row],[نوع الخدمة]]="مخالفات", 50,
IF(Basic3456789101112131415[[#This Row],[نوع الخدمة]]="كاش ان",
    IF(F147&lt;=100, 18, IF(F147&lt;=250, 23, IF(F147&lt;=500, 35, IF(F147&lt;=1000, 40, F147*0.04)))),
IF(Basic3456789101112131415[[#This Row],[نوع الخدمة]]="كاش اوت",
    IF(F147&lt;=100, 15, IF(F147&lt;=250, 20, IF(F147&lt;=500, 30, IF(F147&lt;=1000, 35, F147*0.035)))),
0)))</f>
        <v>0</v>
      </c>
      <c r="H147" s="159">
        <f>IF(I147="مخالفات",50,Basic3456789101112131415[[#This Row],[قيمة الرسوم / العموله]]+Basic3456789101112131415[[#This Row],[قيمة الشحنه]])</f>
        <v>0</v>
      </c>
      <c r="I147" s="90"/>
      <c r="J147" s="142" t="str">
        <f t="shared" si="2"/>
        <v>18.5.2026</v>
      </c>
      <c r="L147" s="153">
        <v>136</v>
      </c>
      <c r="M147" s="92"/>
    </row>
    <row r="148" spans="1:13" ht="21.6" x14ac:dyDescent="0.65">
      <c r="A148" s="195"/>
      <c r="B148" s="140">
        <v>145</v>
      </c>
      <c r="C148" s="2"/>
      <c r="D148" s="1"/>
      <c r="E148" s="3"/>
      <c r="F148" s="1"/>
      <c r="G148" s="141">
        <f>IF(Basic3456789101112131415[[#This Row],[نوع الخدمة]]="مخالفات", 50,
IF(Basic3456789101112131415[[#This Row],[نوع الخدمة]]="كاش ان",
    IF(F148&lt;=100, 18, IF(F148&lt;=250, 23, IF(F148&lt;=500, 35, IF(F148&lt;=1000, 40, F148*0.04)))),
IF(Basic3456789101112131415[[#This Row],[نوع الخدمة]]="كاش اوت",
    IF(F148&lt;=100, 15, IF(F148&lt;=250, 20, IF(F148&lt;=500, 30, IF(F148&lt;=1000, 35, F148*0.035)))),
0)))</f>
        <v>0</v>
      </c>
      <c r="H148" s="159">
        <f>IF(I148="مخالفات",50,Basic3456789101112131415[[#This Row],[قيمة الرسوم / العموله]]+Basic3456789101112131415[[#This Row],[قيمة الشحنه]])</f>
        <v>0</v>
      </c>
      <c r="I148" s="90"/>
      <c r="J148" s="142" t="str">
        <f t="shared" si="2"/>
        <v>18.5.2026</v>
      </c>
      <c r="L148" s="153">
        <v>137</v>
      </c>
      <c r="M148" s="92"/>
    </row>
    <row r="149" spans="1:13" ht="21.6" x14ac:dyDescent="0.65">
      <c r="A149" s="195"/>
      <c r="B149" s="144">
        <v>146</v>
      </c>
      <c r="C149" s="2"/>
      <c r="D149" s="1"/>
      <c r="E149" s="3"/>
      <c r="F149" s="1"/>
      <c r="G149" s="141">
        <f>IF(Basic3456789101112131415[[#This Row],[نوع الخدمة]]="مخالفات", 50,
IF(Basic3456789101112131415[[#This Row],[نوع الخدمة]]="كاش ان",
    IF(F149&lt;=100, 18, IF(F149&lt;=250, 23, IF(F149&lt;=500, 35, IF(F149&lt;=1000, 40, F149*0.04)))),
IF(Basic3456789101112131415[[#This Row],[نوع الخدمة]]="كاش اوت",
    IF(F149&lt;=100, 15, IF(F149&lt;=250, 20, IF(F149&lt;=500, 30, IF(F149&lt;=1000, 35, F149*0.035)))),
0)))</f>
        <v>0</v>
      </c>
      <c r="H149" s="159">
        <f>IF(I149="مخالفات",50,Basic3456789101112131415[[#This Row],[قيمة الرسوم / العموله]]+Basic3456789101112131415[[#This Row],[قيمة الشحنه]])</f>
        <v>0</v>
      </c>
      <c r="I149" s="90"/>
      <c r="J149" s="142" t="str">
        <f t="shared" si="2"/>
        <v>18.5.2026</v>
      </c>
      <c r="L149" s="153">
        <v>138</v>
      </c>
      <c r="M149" s="92"/>
    </row>
    <row r="150" spans="1:13" ht="21.6" x14ac:dyDescent="0.65">
      <c r="A150" s="195"/>
      <c r="B150" s="140">
        <v>147</v>
      </c>
      <c r="C150" s="2"/>
      <c r="D150" s="1"/>
      <c r="E150" s="3"/>
      <c r="F150" s="1"/>
      <c r="G150" s="141">
        <f>IF(Basic3456789101112131415[[#This Row],[نوع الخدمة]]="مخالفات", 50,
IF(Basic3456789101112131415[[#This Row],[نوع الخدمة]]="كاش ان",
    IF(F150&lt;=100, 18, IF(F150&lt;=250, 23, IF(F150&lt;=500, 35, IF(F150&lt;=1000, 40, F150*0.04)))),
IF(Basic3456789101112131415[[#This Row],[نوع الخدمة]]="كاش اوت",
    IF(F150&lt;=100, 15, IF(F150&lt;=250, 20, IF(F150&lt;=500, 30, IF(F150&lt;=1000, 35, F150*0.035)))),
0)))</f>
        <v>0</v>
      </c>
      <c r="H150" s="159">
        <f>IF(I150="مخالفات",50,Basic3456789101112131415[[#This Row],[قيمة الرسوم / العموله]]+Basic3456789101112131415[[#This Row],[قيمة الشحنه]])</f>
        <v>0</v>
      </c>
      <c r="I150" s="90"/>
      <c r="J150" s="142" t="str">
        <f t="shared" si="2"/>
        <v>18.5.2026</v>
      </c>
      <c r="L150" s="153">
        <v>139</v>
      </c>
      <c r="M150" s="92"/>
    </row>
    <row r="151" spans="1:13" ht="21.6" x14ac:dyDescent="0.65">
      <c r="A151" s="195"/>
      <c r="B151" s="140">
        <v>148</v>
      </c>
      <c r="C151" s="2"/>
      <c r="D151" s="1"/>
      <c r="E151" s="3"/>
      <c r="F151" s="1"/>
      <c r="G151" s="141">
        <f>IF(Basic3456789101112131415[[#This Row],[نوع الخدمة]]="مخالفات", 50,
IF(Basic3456789101112131415[[#This Row],[نوع الخدمة]]="كاش ان",
    IF(F151&lt;=100, 18, IF(F151&lt;=250, 23, IF(F151&lt;=500, 35, IF(F151&lt;=1000, 40, F151*0.04)))),
IF(Basic3456789101112131415[[#This Row],[نوع الخدمة]]="كاش اوت",
    IF(F151&lt;=100, 15, IF(F151&lt;=250, 20, IF(F151&lt;=500, 30, IF(F151&lt;=1000, 35, F151*0.035)))),
0)))</f>
        <v>0</v>
      </c>
      <c r="H151" s="159">
        <f>IF(I151="مخالفات",50,Basic3456789101112131415[[#This Row],[قيمة الرسوم / العموله]]+Basic3456789101112131415[[#This Row],[قيمة الشحنه]])</f>
        <v>0</v>
      </c>
      <c r="I151" s="90"/>
      <c r="J151" s="142" t="str">
        <f t="shared" si="2"/>
        <v>18.5.2026</v>
      </c>
      <c r="L151" s="153">
        <v>140</v>
      </c>
      <c r="M151" s="92"/>
    </row>
    <row r="152" spans="1:13" ht="21.6" x14ac:dyDescent="0.65">
      <c r="A152" s="195"/>
      <c r="B152" s="140">
        <v>149</v>
      </c>
      <c r="C152" s="2"/>
      <c r="D152" s="1"/>
      <c r="E152" s="3"/>
      <c r="F152" s="1"/>
      <c r="G152" s="141">
        <f>IF(Basic3456789101112131415[[#This Row],[نوع الخدمة]]="مخالفات", 50,
IF(Basic3456789101112131415[[#This Row],[نوع الخدمة]]="كاش ان",
    IF(F152&lt;=100, 18, IF(F152&lt;=250, 23, IF(F152&lt;=500, 35, IF(F152&lt;=1000, 40, F152*0.04)))),
IF(Basic3456789101112131415[[#This Row],[نوع الخدمة]]="كاش اوت",
    IF(F152&lt;=100, 15, IF(F152&lt;=250, 20, IF(F152&lt;=500, 30, IF(F152&lt;=1000, 35, F152*0.035)))),
0)))</f>
        <v>0</v>
      </c>
      <c r="H152" s="159">
        <f>IF(I152="مخالفات",50,Basic3456789101112131415[[#This Row],[قيمة الرسوم / العموله]]+Basic3456789101112131415[[#This Row],[قيمة الشحنه]])</f>
        <v>0</v>
      </c>
      <c r="I152" s="90"/>
      <c r="J152" s="142" t="str">
        <f t="shared" si="2"/>
        <v>18.5.2026</v>
      </c>
      <c r="L152" s="153">
        <v>141</v>
      </c>
      <c r="M152" s="92"/>
    </row>
    <row r="153" spans="1:13" ht="21.6" x14ac:dyDescent="0.65">
      <c r="A153" s="195"/>
      <c r="B153" s="144">
        <v>150</v>
      </c>
      <c r="C153" s="2"/>
      <c r="D153" s="1"/>
      <c r="E153" s="3"/>
      <c r="F153" s="1"/>
      <c r="G153" s="141">
        <f>IF(Basic3456789101112131415[[#This Row],[نوع الخدمة]]="مخالفات", 50,
IF(Basic3456789101112131415[[#This Row],[نوع الخدمة]]="كاش ان",
    IF(F153&lt;=100, 18, IF(F153&lt;=250, 23, IF(F153&lt;=500, 35, IF(F153&lt;=1000, 40, F153*0.04)))),
IF(Basic3456789101112131415[[#This Row],[نوع الخدمة]]="كاش اوت",
    IF(F153&lt;=100, 15, IF(F153&lt;=250, 20, IF(F153&lt;=500, 30, IF(F153&lt;=1000, 35, F153*0.035)))),
0)))</f>
        <v>0</v>
      </c>
      <c r="H153" s="159">
        <f>IF(I153="مخالفات",50,Basic3456789101112131415[[#This Row],[قيمة الرسوم / العموله]]+Basic3456789101112131415[[#This Row],[قيمة الشحنه]])</f>
        <v>0</v>
      </c>
      <c r="I153" s="90"/>
      <c r="J153" s="142" t="str">
        <f t="shared" si="2"/>
        <v>18.5.2026</v>
      </c>
      <c r="L153" s="153">
        <v>142</v>
      </c>
      <c r="M153" s="92"/>
    </row>
    <row r="154" spans="1:13" ht="21.6" x14ac:dyDescent="0.65">
      <c r="A154" s="195"/>
      <c r="B154" s="140">
        <v>151</v>
      </c>
      <c r="C154" s="2"/>
      <c r="D154" s="1"/>
      <c r="E154" s="3"/>
      <c r="F154" s="1"/>
      <c r="G154" s="141">
        <f>IF(Basic3456789101112131415[[#This Row],[نوع الخدمة]]="مخالفات", 50,
IF(Basic3456789101112131415[[#This Row],[نوع الخدمة]]="كاش ان",
    IF(F154&lt;=100, 18, IF(F154&lt;=250, 23, IF(F154&lt;=500, 35, IF(F154&lt;=1000, 40, F154*0.04)))),
IF(Basic3456789101112131415[[#This Row],[نوع الخدمة]]="كاش اوت",
    IF(F154&lt;=100, 15, IF(F154&lt;=250, 20, IF(F154&lt;=500, 30, IF(F154&lt;=1000, 35, F154*0.035)))),
0)))</f>
        <v>0</v>
      </c>
      <c r="H154" s="159">
        <f>IF(I154="مخالفات",50,Basic3456789101112131415[[#This Row],[قيمة الرسوم / العموله]]+Basic3456789101112131415[[#This Row],[قيمة الشحنه]])</f>
        <v>0</v>
      </c>
      <c r="I154" s="90"/>
      <c r="J154" s="142" t="str">
        <f t="shared" si="2"/>
        <v>18.5.2026</v>
      </c>
      <c r="L154" s="153">
        <v>143</v>
      </c>
      <c r="M154" s="92"/>
    </row>
    <row r="155" spans="1:13" ht="21.6" x14ac:dyDescent="0.65">
      <c r="A155" s="195"/>
      <c r="B155" s="140">
        <v>152</v>
      </c>
      <c r="C155" s="2"/>
      <c r="D155" s="1"/>
      <c r="E155" s="3"/>
      <c r="F155" s="1"/>
      <c r="G155" s="141">
        <f>IF(Basic3456789101112131415[[#This Row],[نوع الخدمة]]="مخالفات", 50,
IF(Basic3456789101112131415[[#This Row],[نوع الخدمة]]="كاش ان",
    IF(F155&lt;=100, 18, IF(F155&lt;=250, 23, IF(F155&lt;=500, 35, IF(F155&lt;=1000, 40, F155*0.04)))),
IF(Basic3456789101112131415[[#This Row],[نوع الخدمة]]="كاش اوت",
    IF(F155&lt;=100, 15, IF(F155&lt;=250, 20, IF(F155&lt;=500, 30, IF(F155&lt;=1000, 35, F155*0.035)))),
0)))</f>
        <v>0</v>
      </c>
      <c r="H155" s="159">
        <f>IF(I155="مخالفات",50,Basic3456789101112131415[[#This Row],[قيمة الرسوم / العموله]]+Basic3456789101112131415[[#This Row],[قيمة الشحنه]])</f>
        <v>0</v>
      </c>
      <c r="I155" s="90"/>
      <c r="J155" s="142" t="str">
        <f t="shared" si="2"/>
        <v>18.5.2026</v>
      </c>
      <c r="L155" s="153">
        <v>144</v>
      </c>
      <c r="M155" s="92"/>
    </row>
    <row r="156" spans="1:13" ht="21.6" x14ac:dyDescent="0.65">
      <c r="A156" s="195"/>
      <c r="B156" s="140">
        <v>153</v>
      </c>
      <c r="C156" s="2"/>
      <c r="D156" s="1"/>
      <c r="E156" s="3"/>
      <c r="F156" s="1"/>
      <c r="G156" s="141">
        <f>IF(Basic3456789101112131415[[#This Row],[نوع الخدمة]]="مخالفات", 50,
IF(Basic3456789101112131415[[#This Row],[نوع الخدمة]]="كاش ان",
    IF(F156&lt;=100, 18, IF(F156&lt;=250, 23, IF(F156&lt;=500, 35, IF(F156&lt;=1000, 40, F156*0.04)))),
IF(Basic3456789101112131415[[#This Row],[نوع الخدمة]]="كاش اوت",
    IF(F156&lt;=100, 15, IF(F156&lt;=250, 20, IF(F156&lt;=500, 30, IF(F156&lt;=1000, 35, F156*0.035)))),
0)))</f>
        <v>0</v>
      </c>
      <c r="H156" s="159">
        <f>IF(I156="مخالفات",50,Basic3456789101112131415[[#This Row],[قيمة الرسوم / العموله]]+Basic3456789101112131415[[#This Row],[قيمة الشحنه]])</f>
        <v>0</v>
      </c>
      <c r="I156" s="90"/>
      <c r="J156" s="142" t="str">
        <f t="shared" si="2"/>
        <v>18.5.2026</v>
      </c>
      <c r="L156" s="153">
        <v>145</v>
      </c>
      <c r="M156" s="92"/>
    </row>
    <row r="157" spans="1:13" ht="21.6" x14ac:dyDescent="0.65">
      <c r="A157" s="195"/>
      <c r="B157" s="144">
        <v>154</v>
      </c>
      <c r="C157" s="2"/>
      <c r="D157" s="1"/>
      <c r="E157" s="3"/>
      <c r="F157" s="1"/>
      <c r="G157" s="141">
        <f>IF(Basic3456789101112131415[[#This Row],[نوع الخدمة]]="مخالفات", 50,
IF(Basic3456789101112131415[[#This Row],[نوع الخدمة]]="كاش ان",
    IF(F157&lt;=100, 18, IF(F157&lt;=250, 23, IF(F157&lt;=500, 35, IF(F157&lt;=1000, 40, F157*0.04)))),
IF(Basic3456789101112131415[[#This Row],[نوع الخدمة]]="كاش اوت",
    IF(F157&lt;=100, 15, IF(F157&lt;=250, 20, IF(F157&lt;=500, 30, IF(F157&lt;=1000, 35, F157*0.035)))),
0)))</f>
        <v>0</v>
      </c>
      <c r="H157" s="159">
        <f>IF(I157="مخالفات",50,Basic3456789101112131415[[#This Row],[قيمة الرسوم / العموله]]+Basic3456789101112131415[[#This Row],[قيمة الشحنه]])</f>
        <v>0</v>
      </c>
      <c r="I157" s="90"/>
      <c r="J157" s="142" t="str">
        <f t="shared" si="2"/>
        <v>18.5.2026</v>
      </c>
      <c r="L157" s="153">
        <v>146</v>
      </c>
      <c r="M157" s="92"/>
    </row>
    <row r="158" spans="1:13" ht="21.6" x14ac:dyDescent="0.65">
      <c r="A158" s="195"/>
      <c r="B158" s="140">
        <v>155</v>
      </c>
      <c r="C158" s="2"/>
      <c r="D158" s="1"/>
      <c r="E158" s="3"/>
      <c r="F158" s="1"/>
      <c r="G158" s="141">
        <f>IF(Basic3456789101112131415[[#This Row],[نوع الخدمة]]="مخالفات", 50,
IF(Basic3456789101112131415[[#This Row],[نوع الخدمة]]="كاش ان",
    IF(F158&lt;=100, 18, IF(F158&lt;=250, 23, IF(F158&lt;=500, 35, IF(F158&lt;=1000, 40, F158*0.04)))),
IF(Basic3456789101112131415[[#This Row],[نوع الخدمة]]="كاش اوت",
    IF(F158&lt;=100, 15, IF(F158&lt;=250, 20, IF(F158&lt;=500, 30, IF(F158&lt;=1000, 35, F158*0.035)))),
0)))</f>
        <v>0</v>
      </c>
      <c r="H158" s="159">
        <f>IF(I158="مخالفات",50,Basic3456789101112131415[[#This Row],[قيمة الرسوم / العموله]]+Basic3456789101112131415[[#This Row],[قيمة الشحنه]])</f>
        <v>0</v>
      </c>
      <c r="I158" s="90"/>
      <c r="J158" s="142" t="str">
        <f t="shared" si="2"/>
        <v>18.5.2026</v>
      </c>
      <c r="L158" s="153">
        <v>147</v>
      </c>
      <c r="M158" s="92"/>
    </row>
    <row r="159" spans="1:13" ht="21.6" x14ac:dyDescent="0.65">
      <c r="A159" s="195"/>
      <c r="B159" s="140">
        <v>156</v>
      </c>
      <c r="C159" s="2"/>
      <c r="D159" s="1"/>
      <c r="E159" s="3"/>
      <c r="F159" s="1"/>
      <c r="G159" s="141">
        <f>IF(Basic3456789101112131415[[#This Row],[نوع الخدمة]]="مخالفات", 50,
IF(Basic3456789101112131415[[#This Row],[نوع الخدمة]]="كاش ان",
    IF(F159&lt;=100, 18, IF(F159&lt;=250, 23, IF(F159&lt;=500, 35, IF(F159&lt;=1000, 40, F159*0.04)))),
IF(Basic3456789101112131415[[#This Row],[نوع الخدمة]]="كاش اوت",
    IF(F159&lt;=100, 15, IF(F159&lt;=250, 20, IF(F159&lt;=500, 30, IF(F159&lt;=1000, 35, F159*0.035)))),
0)))</f>
        <v>0</v>
      </c>
      <c r="H159" s="159">
        <f>IF(I159="مخالفات",50,Basic3456789101112131415[[#This Row],[قيمة الرسوم / العموله]]+Basic3456789101112131415[[#This Row],[قيمة الشحنه]])</f>
        <v>0</v>
      </c>
      <c r="I159" s="90"/>
      <c r="J159" s="142" t="str">
        <f t="shared" si="2"/>
        <v>18.5.2026</v>
      </c>
      <c r="L159" s="153">
        <v>148</v>
      </c>
      <c r="M159" s="92"/>
    </row>
    <row r="160" spans="1:13" ht="21.6" x14ac:dyDescent="0.65">
      <c r="A160" s="195"/>
      <c r="B160" s="140">
        <v>157</v>
      </c>
      <c r="C160" s="2"/>
      <c r="D160" s="1"/>
      <c r="E160" s="3"/>
      <c r="F160" s="1"/>
      <c r="G160" s="141">
        <f>IF(Basic3456789101112131415[[#This Row],[نوع الخدمة]]="مخالفات", 50,
IF(Basic3456789101112131415[[#This Row],[نوع الخدمة]]="كاش ان",
    IF(F160&lt;=100, 18, IF(F160&lt;=250, 23, IF(F160&lt;=500, 35, IF(F160&lt;=1000, 40, F160*0.04)))),
IF(Basic3456789101112131415[[#This Row],[نوع الخدمة]]="كاش اوت",
    IF(F160&lt;=100, 15, IF(F160&lt;=250, 20, IF(F160&lt;=500, 30, IF(F160&lt;=1000, 35, F160*0.035)))),
0)))</f>
        <v>0</v>
      </c>
      <c r="H160" s="159">
        <f>IF(I160="مخالفات",50,Basic3456789101112131415[[#This Row],[قيمة الرسوم / العموله]]+Basic3456789101112131415[[#This Row],[قيمة الشحنه]])</f>
        <v>0</v>
      </c>
      <c r="I160" s="90"/>
      <c r="J160" s="142" t="str">
        <f t="shared" si="2"/>
        <v>18.5.2026</v>
      </c>
      <c r="L160" s="153">
        <v>149</v>
      </c>
      <c r="M160" s="92"/>
    </row>
    <row r="161" spans="1:13" ht="21.6" x14ac:dyDescent="0.65">
      <c r="A161" s="195"/>
      <c r="B161" s="144">
        <v>158</v>
      </c>
      <c r="C161" s="2"/>
      <c r="D161" s="1"/>
      <c r="E161" s="3"/>
      <c r="F161" s="1"/>
      <c r="G161" s="141">
        <f>IF(Basic3456789101112131415[[#This Row],[نوع الخدمة]]="مخالفات", 50,
IF(Basic3456789101112131415[[#This Row],[نوع الخدمة]]="كاش ان",
    IF(F161&lt;=100, 18, IF(F161&lt;=250, 23, IF(F161&lt;=500, 35, IF(F161&lt;=1000, 40, F161*0.04)))),
IF(Basic3456789101112131415[[#This Row],[نوع الخدمة]]="كاش اوت",
    IF(F161&lt;=100, 15, IF(F161&lt;=250, 20, IF(F161&lt;=500, 30, IF(F161&lt;=1000, 35, F161*0.035)))),
0)))</f>
        <v>0</v>
      </c>
      <c r="H161" s="159">
        <f>IF(I161="مخالفات",50,Basic3456789101112131415[[#This Row],[قيمة الرسوم / العموله]]+Basic3456789101112131415[[#This Row],[قيمة الشحنه]])</f>
        <v>0</v>
      </c>
      <c r="I161" s="90"/>
      <c r="J161" s="142" t="str">
        <f t="shared" si="2"/>
        <v>18.5.2026</v>
      </c>
      <c r="L161" s="153">
        <v>150</v>
      </c>
      <c r="M161" s="92"/>
    </row>
    <row r="162" spans="1:13" ht="21.6" x14ac:dyDescent="0.65">
      <c r="A162" s="195"/>
      <c r="B162" s="140">
        <v>159</v>
      </c>
      <c r="C162" s="2"/>
      <c r="D162" s="1"/>
      <c r="E162" s="3"/>
      <c r="F162" s="1"/>
      <c r="G162" s="141">
        <f>IF(Basic3456789101112131415[[#This Row],[نوع الخدمة]]="مخالفات", 50,
IF(Basic3456789101112131415[[#This Row],[نوع الخدمة]]="كاش ان",
    IF(F162&lt;=100, 18, IF(F162&lt;=250, 23, IF(F162&lt;=500, 35, IF(F162&lt;=1000, 40, F162*0.04)))),
IF(Basic3456789101112131415[[#This Row],[نوع الخدمة]]="كاش اوت",
    IF(F162&lt;=100, 15, IF(F162&lt;=250, 20, IF(F162&lt;=500, 30, IF(F162&lt;=1000, 35, F162*0.035)))),
0)))</f>
        <v>0</v>
      </c>
      <c r="H162" s="159">
        <f>IF(I162="مخالفات",50,Basic3456789101112131415[[#This Row],[قيمة الرسوم / العموله]]+Basic3456789101112131415[[#This Row],[قيمة الشحنه]])</f>
        <v>0</v>
      </c>
      <c r="I162" s="90"/>
      <c r="J162" s="142" t="str">
        <f t="shared" si="2"/>
        <v>18.5.2026</v>
      </c>
      <c r="L162" s="153">
        <v>151</v>
      </c>
      <c r="M162" s="92"/>
    </row>
    <row r="163" spans="1:13" ht="21.6" x14ac:dyDescent="0.65">
      <c r="A163" s="195"/>
      <c r="B163" s="140">
        <v>160</v>
      </c>
      <c r="C163" s="2"/>
      <c r="D163" s="1"/>
      <c r="E163" s="3"/>
      <c r="F163" s="1"/>
      <c r="G163" s="141">
        <f>IF(Basic3456789101112131415[[#This Row],[نوع الخدمة]]="مخالفات", 50,
IF(Basic3456789101112131415[[#This Row],[نوع الخدمة]]="كاش ان",
    IF(F163&lt;=100, 18, IF(F163&lt;=250, 23, IF(F163&lt;=500, 35, IF(F163&lt;=1000, 40, F163*0.04)))),
IF(Basic3456789101112131415[[#This Row],[نوع الخدمة]]="كاش اوت",
    IF(F163&lt;=100, 15, IF(F163&lt;=250, 20, IF(F163&lt;=500, 30, IF(F163&lt;=1000, 35, F163*0.035)))),
0)))</f>
        <v>0</v>
      </c>
      <c r="H163" s="159">
        <f>IF(I163="مخالفات",50,Basic3456789101112131415[[#This Row],[قيمة الرسوم / العموله]]+Basic3456789101112131415[[#This Row],[قيمة الشحنه]])</f>
        <v>0</v>
      </c>
      <c r="I163" s="90"/>
      <c r="J163" s="142" t="str">
        <f t="shared" si="2"/>
        <v>18.5.2026</v>
      </c>
      <c r="L163" s="153">
        <v>152</v>
      </c>
      <c r="M163" s="92"/>
    </row>
    <row r="164" spans="1:13" ht="21.6" x14ac:dyDescent="0.65">
      <c r="A164" s="195"/>
      <c r="B164" s="140">
        <v>161</v>
      </c>
      <c r="C164" s="2"/>
      <c r="D164" s="1"/>
      <c r="E164" s="3"/>
      <c r="F164" s="1"/>
      <c r="G164" s="141">
        <f>IF(Basic3456789101112131415[[#This Row],[نوع الخدمة]]="مخالفات", 50,
IF(Basic3456789101112131415[[#This Row],[نوع الخدمة]]="كاش ان",
    IF(F164&lt;=100, 18, IF(F164&lt;=250, 23, IF(F164&lt;=500, 35, IF(F164&lt;=1000, 40, F164*0.04)))),
IF(Basic3456789101112131415[[#This Row],[نوع الخدمة]]="كاش اوت",
    IF(F164&lt;=100, 15, IF(F164&lt;=250, 20, IF(F164&lt;=500, 30, IF(F164&lt;=1000, 35, F164*0.035)))),
0)))</f>
        <v>0</v>
      </c>
      <c r="H164" s="159">
        <f>IF(I164="مخالفات",50,Basic3456789101112131415[[#This Row],[قيمة الرسوم / العموله]]+Basic3456789101112131415[[#This Row],[قيمة الشحنه]])</f>
        <v>0</v>
      </c>
      <c r="I164" s="90"/>
      <c r="J164" s="142" t="str">
        <f t="shared" si="2"/>
        <v>18.5.2026</v>
      </c>
      <c r="L164" s="153">
        <v>153</v>
      </c>
      <c r="M164" s="92"/>
    </row>
    <row r="165" spans="1:13" ht="21.6" x14ac:dyDescent="0.65">
      <c r="A165" s="195"/>
      <c r="B165" s="144">
        <v>162</v>
      </c>
      <c r="C165" s="2"/>
      <c r="D165" s="1"/>
      <c r="E165" s="3"/>
      <c r="F165" s="1"/>
      <c r="G165" s="141">
        <f>IF(Basic3456789101112131415[[#This Row],[نوع الخدمة]]="مخالفات", 50,
IF(Basic3456789101112131415[[#This Row],[نوع الخدمة]]="كاش ان",
    IF(F165&lt;=100, 18, IF(F165&lt;=250, 23, IF(F165&lt;=500, 35, IF(F165&lt;=1000, 40, F165*0.04)))),
IF(Basic3456789101112131415[[#This Row],[نوع الخدمة]]="كاش اوت",
    IF(F165&lt;=100, 15, IF(F165&lt;=250, 20, IF(F165&lt;=500, 30, IF(F165&lt;=1000, 35, F165*0.035)))),
0)))</f>
        <v>0</v>
      </c>
      <c r="H165" s="159">
        <f>IF(I165="مخالفات",50,Basic3456789101112131415[[#This Row],[قيمة الرسوم / العموله]]+Basic3456789101112131415[[#This Row],[قيمة الشحنه]])</f>
        <v>0</v>
      </c>
      <c r="I165" s="90"/>
      <c r="J165" s="142" t="str">
        <f t="shared" si="2"/>
        <v>18.5.2026</v>
      </c>
      <c r="L165" s="153">
        <v>154</v>
      </c>
      <c r="M165" s="92"/>
    </row>
    <row r="166" spans="1:13" ht="21.6" x14ac:dyDescent="0.65">
      <c r="A166" s="195"/>
      <c r="B166" s="140">
        <v>163</v>
      </c>
      <c r="C166" s="2"/>
      <c r="D166" s="1"/>
      <c r="E166" s="3"/>
      <c r="F166" s="1"/>
      <c r="G166" s="141">
        <f>IF(Basic3456789101112131415[[#This Row],[نوع الخدمة]]="مخالفات", 50,
IF(Basic3456789101112131415[[#This Row],[نوع الخدمة]]="كاش ان",
    IF(F166&lt;=100, 18, IF(F166&lt;=250, 23, IF(F166&lt;=500, 35, IF(F166&lt;=1000, 40, F166*0.04)))),
IF(Basic3456789101112131415[[#This Row],[نوع الخدمة]]="كاش اوت",
    IF(F166&lt;=100, 15, IF(F166&lt;=250, 20, IF(F166&lt;=500, 30, IF(F166&lt;=1000, 35, F166*0.035)))),
0)))</f>
        <v>0</v>
      </c>
      <c r="H166" s="159">
        <f>IF(I166="مخالفات",50,Basic3456789101112131415[[#This Row],[قيمة الرسوم / العموله]]+Basic3456789101112131415[[#This Row],[قيمة الشحنه]])</f>
        <v>0</v>
      </c>
      <c r="I166" s="90"/>
      <c r="J166" s="142" t="str">
        <f t="shared" si="2"/>
        <v>18.5.2026</v>
      </c>
      <c r="L166" s="153">
        <v>155</v>
      </c>
      <c r="M166" s="92"/>
    </row>
    <row r="167" spans="1:13" ht="21.6" x14ac:dyDescent="0.65">
      <c r="A167" s="195"/>
      <c r="B167" s="140">
        <v>164</v>
      </c>
      <c r="C167" s="2"/>
      <c r="D167" s="1"/>
      <c r="E167" s="3"/>
      <c r="F167" s="1"/>
      <c r="G167" s="141">
        <f>IF(Basic3456789101112131415[[#This Row],[نوع الخدمة]]="مخالفات", 50,
IF(Basic3456789101112131415[[#This Row],[نوع الخدمة]]="كاش ان",
    IF(F167&lt;=100, 18, IF(F167&lt;=250, 23, IF(F167&lt;=500, 35, IF(F167&lt;=1000, 40, F167*0.04)))),
IF(Basic3456789101112131415[[#This Row],[نوع الخدمة]]="كاش اوت",
    IF(F167&lt;=100, 15, IF(F167&lt;=250, 20, IF(F167&lt;=500, 30, IF(F167&lt;=1000, 35, F167*0.035)))),
0)))</f>
        <v>0</v>
      </c>
      <c r="H167" s="159">
        <f>IF(I167="مخالفات",50,Basic3456789101112131415[[#This Row],[قيمة الرسوم / العموله]]+Basic3456789101112131415[[#This Row],[قيمة الشحنه]])</f>
        <v>0</v>
      </c>
      <c r="I167" s="90"/>
      <c r="J167" s="142" t="str">
        <f t="shared" si="2"/>
        <v>18.5.2026</v>
      </c>
      <c r="L167" s="153">
        <v>156</v>
      </c>
      <c r="M167" s="92"/>
    </row>
    <row r="168" spans="1:13" ht="21.6" x14ac:dyDescent="0.65">
      <c r="A168" s="195"/>
      <c r="B168" s="140">
        <v>165</v>
      </c>
      <c r="C168" s="2"/>
      <c r="D168" s="1"/>
      <c r="E168" s="3"/>
      <c r="F168" s="1"/>
      <c r="G168" s="141">
        <f>IF(Basic3456789101112131415[[#This Row],[نوع الخدمة]]="مخالفات", 50,
IF(Basic3456789101112131415[[#This Row],[نوع الخدمة]]="كاش ان",
    IF(F168&lt;=100, 18, IF(F168&lt;=250, 23, IF(F168&lt;=500, 35, IF(F168&lt;=1000, 40, F168*0.04)))),
IF(Basic3456789101112131415[[#This Row],[نوع الخدمة]]="كاش اوت",
    IF(F168&lt;=100, 15, IF(F168&lt;=250, 20, IF(F168&lt;=500, 30, IF(F168&lt;=1000, 35, F168*0.035)))),
0)))</f>
        <v>0</v>
      </c>
      <c r="H168" s="159">
        <f>IF(I168="مخالفات",50,Basic3456789101112131415[[#This Row],[قيمة الرسوم / العموله]]+Basic3456789101112131415[[#This Row],[قيمة الشحنه]])</f>
        <v>0</v>
      </c>
      <c r="I168" s="90"/>
      <c r="J168" s="142" t="str">
        <f t="shared" si="2"/>
        <v>18.5.2026</v>
      </c>
      <c r="L168" s="153">
        <v>157</v>
      </c>
      <c r="M168" s="92"/>
    </row>
    <row r="169" spans="1:13" ht="21.6" x14ac:dyDescent="0.65">
      <c r="A169" s="195"/>
      <c r="B169" s="144">
        <v>166</v>
      </c>
      <c r="C169" s="2"/>
      <c r="D169" s="1"/>
      <c r="E169" s="3"/>
      <c r="F169" s="1"/>
      <c r="G169" s="141">
        <f>IF(Basic3456789101112131415[[#This Row],[نوع الخدمة]]="مخالفات", 50,
IF(Basic3456789101112131415[[#This Row],[نوع الخدمة]]="كاش ان",
    IF(F169&lt;=100, 18, IF(F169&lt;=250, 23, IF(F169&lt;=500, 35, IF(F169&lt;=1000, 40, F169*0.04)))),
IF(Basic3456789101112131415[[#This Row],[نوع الخدمة]]="كاش اوت",
    IF(F169&lt;=100, 15, IF(F169&lt;=250, 20, IF(F169&lt;=500, 30, IF(F169&lt;=1000, 35, F169*0.035)))),
0)))</f>
        <v>0</v>
      </c>
      <c r="H169" s="159">
        <f>IF(I169="مخالفات",50,Basic3456789101112131415[[#This Row],[قيمة الرسوم / العموله]]+Basic3456789101112131415[[#This Row],[قيمة الشحنه]])</f>
        <v>0</v>
      </c>
      <c r="I169" s="90"/>
      <c r="J169" s="142" t="str">
        <f t="shared" si="2"/>
        <v>18.5.2026</v>
      </c>
      <c r="L169" s="153">
        <v>158</v>
      </c>
      <c r="M169" s="92"/>
    </row>
    <row r="170" spans="1:13" ht="21.6" x14ac:dyDescent="0.65">
      <c r="A170" s="195"/>
      <c r="B170" s="140">
        <v>167</v>
      </c>
      <c r="C170" s="2"/>
      <c r="D170" s="1"/>
      <c r="E170" s="3"/>
      <c r="F170" s="1"/>
      <c r="G170" s="141">
        <f>IF(Basic3456789101112131415[[#This Row],[نوع الخدمة]]="مخالفات", 50,
IF(Basic3456789101112131415[[#This Row],[نوع الخدمة]]="كاش ان",
    IF(F170&lt;=100, 18, IF(F170&lt;=250, 23, IF(F170&lt;=500, 35, IF(F170&lt;=1000, 40, F170*0.04)))),
IF(Basic3456789101112131415[[#This Row],[نوع الخدمة]]="كاش اوت",
    IF(F170&lt;=100, 15, IF(F170&lt;=250, 20, IF(F170&lt;=500, 30, IF(F170&lt;=1000, 35, F170*0.035)))),
0)))</f>
        <v>0</v>
      </c>
      <c r="H170" s="159">
        <f>IF(I170="مخالفات",50,Basic3456789101112131415[[#This Row],[قيمة الرسوم / العموله]]+Basic3456789101112131415[[#This Row],[قيمة الشحنه]])</f>
        <v>0</v>
      </c>
      <c r="I170" s="90"/>
      <c r="J170" s="142" t="str">
        <f t="shared" si="2"/>
        <v>18.5.2026</v>
      </c>
      <c r="L170" s="153">
        <v>159</v>
      </c>
      <c r="M170" s="92"/>
    </row>
    <row r="171" spans="1:13" ht="21.6" x14ac:dyDescent="0.65">
      <c r="A171" s="195"/>
      <c r="B171" s="140">
        <v>168</v>
      </c>
      <c r="C171" s="2"/>
      <c r="D171" s="1"/>
      <c r="E171" s="3"/>
      <c r="F171" s="1"/>
      <c r="G171" s="141">
        <f>IF(Basic3456789101112131415[[#This Row],[نوع الخدمة]]="مخالفات", 50,
IF(Basic3456789101112131415[[#This Row],[نوع الخدمة]]="كاش ان",
    IF(F171&lt;=100, 18, IF(F171&lt;=250, 23, IF(F171&lt;=500, 35, IF(F171&lt;=1000, 40, F171*0.04)))),
IF(Basic3456789101112131415[[#This Row],[نوع الخدمة]]="كاش اوت",
    IF(F171&lt;=100, 15, IF(F171&lt;=250, 20, IF(F171&lt;=500, 30, IF(F171&lt;=1000, 35, F171*0.035)))),
0)))</f>
        <v>0</v>
      </c>
      <c r="H171" s="159">
        <f>IF(I171="مخالفات",50,Basic3456789101112131415[[#This Row],[قيمة الرسوم / العموله]]+Basic3456789101112131415[[#This Row],[قيمة الشحنه]])</f>
        <v>0</v>
      </c>
      <c r="I171" s="90"/>
      <c r="J171" s="142" t="str">
        <f t="shared" si="2"/>
        <v>18.5.2026</v>
      </c>
      <c r="L171" s="153">
        <v>160</v>
      </c>
      <c r="M171" s="92"/>
    </row>
    <row r="172" spans="1:13" ht="21.6" x14ac:dyDescent="0.65">
      <c r="A172" s="195"/>
      <c r="B172" s="140">
        <v>169</v>
      </c>
      <c r="C172" s="2"/>
      <c r="D172" s="1"/>
      <c r="E172" s="3"/>
      <c r="F172" s="1"/>
      <c r="G172" s="141">
        <f>IF(Basic3456789101112131415[[#This Row],[نوع الخدمة]]="مخالفات", 50,
IF(Basic3456789101112131415[[#This Row],[نوع الخدمة]]="كاش ان",
    IF(F172&lt;=100, 18, IF(F172&lt;=250, 23, IF(F172&lt;=500, 35, IF(F172&lt;=1000, 40, F172*0.04)))),
IF(Basic3456789101112131415[[#This Row],[نوع الخدمة]]="كاش اوت",
    IF(F172&lt;=100, 15, IF(F172&lt;=250, 20, IF(F172&lt;=500, 30, IF(F172&lt;=1000, 35, F172*0.035)))),
0)))</f>
        <v>0</v>
      </c>
      <c r="H172" s="159">
        <f>IF(I172="مخالفات",50,Basic3456789101112131415[[#This Row],[قيمة الرسوم / العموله]]+Basic3456789101112131415[[#This Row],[قيمة الشحنه]])</f>
        <v>0</v>
      </c>
      <c r="I172" s="90"/>
      <c r="J172" s="142" t="str">
        <f t="shared" si="2"/>
        <v>18.5.2026</v>
      </c>
      <c r="L172" s="153">
        <v>161</v>
      </c>
      <c r="M172" s="92"/>
    </row>
    <row r="173" spans="1:13" ht="21.6" x14ac:dyDescent="0.65">
      <c r="A173" s="195"/>
      <c r="B173" s="144">
        <v>170</v>
      </c>
      <c r="C173" s="2"/>
      <c r="D173" s="1"/>
      <c r="E173" s="3"/>
      <c r="F173" s="1"/>
      <c r="G173" s="141">
        <f>IF(Basic3456789101112131415[[#This Row],[نوع الخدمة]]="مخالفات", 50,
IF(Basic3456789101112131415[[#This Row],[نوع الخدمة]]="كاش ان",
    IF(F173&lt;=100, 18, IF(F173&lt;=250, 23, IF(F173&lt;=500, 35, IF(F173&lt;=1000, 40, F173*0.04)))),
IF(Basic3456789101112131415[[#This Row],[نوع الخدمة]]="كاش اوت",
    IF(F173&lt;=100, 15, IF(F173&lt;=250, 20, IF(F173&lt;=500, 30, IF(F173&lt;=1000, 35, F173*0.035)))),
0)))</f>
        <v>0</v>
      </c>
      <c r="H173" s="159">
        <f>IF(I173="مخالفات",50,Basic3456789101112131415[[#This Row],[قيمة الرسوم / العموله]]+Basic3456789101112131415[[#This Row],[قيمة الشحنه]])</f>
        <v>0</v>
      </c>
      <c r="I173" s="90"/>
      <c r="J173" s="142" t="str">
        <f t="shared" si="2"/>
        <v>18.5.2026</v>
      </c>
      <c r="L173" s="153">
        <v>162</v>
      </c>
      <c r="M173" s="92"/>
    </row>
    <row r="174" spans="1:13" ht="21.6" x14ac:dyDescent="0.65">
      <c r="A174" s="195"/>
      <c r="B174" s="140">
        <v>171</v>
      </c>
      <c r="C174" s="2"/>
      <c r="D174" s="1"/>
      <c r="E174" s="3"/>
      <c r="F174" s="1"/>
      <c r="G174" s="141">
        <f>IF(Basic3456789101112131415[[#This Row],[نوع الخدمة]]="مخالفات", 50,
IF(Basic3456789101112131415[[#This Row],[نوع الخدمة]]="كاش ان",
    IF(F174&lt;=100, 18, IF(F174&lt;=250, 23, IF(F174&lt;=500, 35, IF(F174&lt;=1000, 40, F174*0.04)))),
IF(Basic3456789101112131415[[#This Row],[نوع الخدمة]]="كاش اوت",
    IF(F174&lt;=100, 15, IF(F174&lt;=250, 20, IF(F174&lt;=500, 30, IF(F174&lt;=1000, 35, F174*0.035)))),
0)))</f>
        <v>0</v>
      </c>
      <c r="H174" s="159">
        <f>IF(I174="مخالفات",50,Basic3456789101112131415[[#This Row],[قيمة الرسوم / العموله]]+Basic3456789101112131415[[#This Row],[قيمة الشحنه]])</f>
        <v>0</v>
      </c>
      <c r="I174" s="90"/>
      <c r="J174" s="142" t="str">
        <f t="shared" si="2"/>
        <v>18.5.2026</v>
      </c>
      <c r="L174" s="153">
        <v>163</v>
      </c>
      <c r="M174" s="92"/>
    </row>
    <row r="175" spans="1:13" ht="21.6" x14ac:dyDescent="0.65">
      <c r="A175" s="195"/>
      <c r="B175" s="140">
        <v>172</v>
      </c>
      <c r="C175" s="2"/>
      <c r="D175" s="1"/>
      <c r="E175" s="3"/>
      <c r="F175" s="1"/>
      <c r="G175" s="141">
        <f>IF(Basic3456789101112131415[[#This Row],[نوع الخدمة]]="مخالفات", 50,
IF(Basic3456789101112131415[[#This Row],[نوع الخدمة]]="كاش ان",
    IF(F175&lt;=100, 18, IF(F175&lt;=250, 23, IF(F175&lt;=500, 35, IF(F175&lt;=1000, 40, F175*0.04)))),
IF(Basic3456789101112131415[[#This Row],[نوع الخدمة]]="كاش اوت",
    IF(F175&lt;=100, 15, IF(F175&lt;=250, 20, IF(F175&lt;=500, 30, IF(F175&lt;=1000, 35, F175*0.035)))),
0)))</f>
        <v>0</v>
      </c>
      <c r="H175" s="159">
        <f>IF(I175="مخالفات",50,Basic3456789101112131415[[#This Row],[قيمة الرسوم / العموله]]+Basic3456789101112131415[[#This Row],[قيمة الشحنه]])</f>
        <v>0</v>
      </c>
      <c r="I175" s="90"/>
      <c r="J175" s="142" t="str">
        <f t="shared" si="2"/>
        <v>18.5.2026</v>
      </c>
      <c r="L175" s="153">
        <v>164</v>
      </c>
      <c r="M175" s="92"/>
    </row>
    <row r="176" spans="1:13" ht="21.6" x14ac:dyDescent="0.65">
      <c r="A176" s="195"/>
      <c r="B176" s="140">
        <v>173</v>
      </c>
      <c r="C176" s="2"/>
      <c r="D176" s="1"/>
      <c r="E176" s="3"/>
      <c r="F176" s="1"/>
      <c r="G176" s="141">
        <f>IF(Basic3456789101112131415[[#This Row],[نوع الخدمة]]="مخالفات", 50,
IF(Basic3456789101112131415[[#This Row],[نوع الخدمة]]="كاش ان",
    IF(F176&lt;=100, 18, IF(F176&lt;=250, 23, IF(F176&lt;=500, 35, IF(F176&lt;=1000, 40, F176*0.04)))),
IF(Basic3456789101112131415[[#This Row],[نوع الخدمة]]="كاش اوت",
    IF(F176&lt;=100, 15, IF(F176&lt;=250, 20, IF(F176&lt;=500, 30, IF(F176&lt;=1000, 35, F176*0.035)))),
0)))</f>
        <v>0</v>
      </c>
      <c r="H176" s="159">
        <f>IF(I176="مخالفات",50,Basic3456789101112131415[[#This Row],[قيمة الرسوم / العموله]]+Basic3456789101112131415[[#This Row],[قيمة الشحنه]])</f>
        <v>0</v>
      </c>
      <c r="I176" s="90"/>
      <c r="J176" s="142" t="str">
        <f t="shared" si="2"/>
        <v>18.5.2026</v>
      </c>
      <c r="L176" s="153">
        <v>165</v>
      </c>
      <c r="M176" s="92"/>
    </row>
    <row r="177" spans="1:13" ht="21.6" x14ac:dyDescent="0.65">
      <c r="A177" s="195"/>
      <c r="B177" s="144">
        <v>174</v>
      </c>
      <c r="C177" s="2"/>
      <c r="D177" s="1"/>
      <c r="E177" s="3"/>
      <c r="F177" s="1"/>
      <c r="G177" s="141">
        <f>IF(Basic3456789101112131415[[#This Row],[نوع الخدمة]]="مخالفات", 50,
IF(Basic3456789101112131415[[#This Row],[نوع الخدمة]]="كاش ان",
    IF(F177&lt;=100, 18, IF(F177&lt;=250, 23, IF(F177&lt;=500, 35, IF(F177&lt;=1000, 40, F177*0.04)))),
IF(Basic3456789101112131415[[#This Row],[نوع الخدمة]]="كاش اوت",
    IF(F177&lt;=100, 15, IF(F177&lt;=250, 20, IF(F177&lt;=500, 30, IF(F177&lt;=1000, 35, F177*0.035)))),
0)))</f>
        <v>0</v>
      </c>
      <c r="H177" s="159">
        <f>IF(I177="مخالفات",50,Basic3456789101112131415[[#This Row],[قيمة الرسوم / العموله]]+Basic3456789101112131415[[#This Row],[قيمة الشحنه]])</f>
        <v>0</v>
      </c>
      <c r="I177" s="90"/>
      <c r="J177" s="142" t="str">
        <f t="shared" si="2"/>
        <v>18.5.2026</v>
      </c>
      <c r="L177" s="153">
        <v>166</v>
      </c>
      <c r="M177" s="92"/>
    </row>
    <row r="178" spans="1:13" ht="21.6" x14ac:dyDescent="0.65">
      <c r="A178" s="195"/>
      <c r="B178" s="140">
        <v>175</v>
      </c>
      <c r="C178" s="2"/>
      <c r="D178" s="1"/>
      <c r="E178" s="3"/>
      <c r="F178" s="1"/>
      <c r="G178" s="141">
        <f>IF(Basic3456789101112131415[[#This Row],[نوع الخدمة]]="مخالفات", 50,
IF(Basic3456789101112131415[[#This Row],[نوع الخدمة]]="كاش ان",
    IF(F178&lt;=100, 18, IF(F178&lt;=250, 23, IF(F178&lt;=500, 35, IF(F178&lt;=1000, 40, F178*0.04)))),
IF(Basic3456789101112131415[[#This Row],[نوع الخدمة]]="كاش اوت",
    IF(F178&lt;=100, 15, IF(F178&lt;=250, 20, IF(F178&lt;=500, 30, IF(F178&lt;=1000, 35, F178*0.035)))),
0)))</f>
        <v>0</v>
      </c>
      <c r="H178" s="159">
        <f>IF(I178="مخالفات",50,Basic3456789101112131415[[#This Row],[قيمة الرسوم / العموله]]+Basic3456789101112131415[[#This Row],[قيمة الشحنه]])</f>
        <v>0</v>
      </c>
      <c r="I178" s="90"/>
      <c r="J178" s="142" t="str">
        <f t="shared" si="2"/>
        <v>18.5.2026</v>
      </c>
      <c r="L178" s="153">
        <v>167</v>
      </c>
      <c r="M178" s="92"/>
    </row>
    <row r="179" spans="1:13" ht="21.6" x14ac:dyDescent="0.65">
      <c r="A179" s="195"/>
      <c r="B179" s="140">
        <v>176</v>
      </c>
      <c r="C179" s="2"/>
      <c r="D179" s="1"/>
      <c r="E179" s="3"/>
      <c r="F179" s="1"/>
      <c r="G179" s="141">
        <f>IF(Basic3456789101112131415[[#This Row],[نوع الخدمة]]="مخالفات", 50,
IF(Basic3456789101112131415[[#This Row],[نوع الخدمة]]="كاش ان",
    IF(F179&lt;=100, 18, IF(F179&lt;=250, 23, IF(F179&lt;=500, 35, IF(F179&lt;=1000, 40, F179*0.04)))),
IF(Basic3456789101112131415[[#This Row],[نوع الخدمة]]="كاش اوت",
    IF(F179&lt;=100, 15, IF(F179&lt;=250, 20, IF(F179&lt;=500, 30, IF(F179&lt;=1000, 35, F179*0.035)))),
0)))</f>
        <v>0</v>
      </c>
      <c r="H179" s="159">
        <f>IF(I179="مخالفات",50,Basic3456789101112131415[[#This Row],[قيمة الرسوم / العموله]]+Basic3456789101112131415[[#This Row],[قيمة الشحنه]])</f>
        <v>0</v>
      </c>
      <c r="I179" s="90"/>
      <c r="J179" s="142" t="str">
        <f t="shared" si="2"/>
        <v>18.5.2026</v>
      </c>
      <c r="L179" s="153">
        <v>168</v>
      </c>
      <c r="M179" s="92"/>
    </row>
    <row r="180" spans="1:13" ht="21.6" x14ac:dyDescent="0.65">
      <c r="A180" s="195"/>
      <c r="B180" s="140">
        <v>177</v>
      </c>
      <c r="C180" s="2"/>
      <c r="D180" s="1"/>
      <c r="E180" s="3"/>
      <c r="F180" s="1"/>
      <c r="G180" s="141">
        <f>IF(Basic3456789101112131415[[#This Row],[نوع الخدمة]]="مخالفات", 50,
IF(Basic3456789101112131415[[#This Row],[نوع الخدمة]]="كاش ان",
    IF(F180&lt;=100, 18, IF(F180&lt;=250, 23, IF(F180&lt;=500, 35, IF(F180&lt;=1000, 40, F180*0.04)))),
IF(Basic3456789101112131415[[#This Row],[نوع الخدمة]]="كاش اوت",
    IF(F180&lt;=100, 15, IF(F180&lt;=250, 20, IF(F180&lt;=500, 30, IF(F180&lt;=1000, 35, F180*0.035)))),
0)))</f>
        <v>0</v>
      </c>
      <c r="H180" s="159">
        <f>IF(I180="مخالفات",50,Basic3456789101112131415[[#This Row],[قيمة الرسوم / العموله]]+Basic3456789101112131415[[#This Row],[قيمة الشحنه]])</f>
        <v>0</v>
      </c>
      <c r="I180" s="90"/>
      <c r="J180" s="142" t="str">
        <f t="shared" si="2"/>
        <v>18.5.2026</v>
      </c>
      <c r="L180" s="153">
        <v>169</v>
      </c>
      <c r="M180" s="92"/>
    </row>
    <row r="181" spans="1:13" ht="21.6" x14ac:dyDescent="0.65">
      <c r="A181" s="195"/>
      <c r="B181" s="144">
        <v>178</v>
      </c>
      <c r="C181" s="2"/>
      <c r="D181" s="1"/>
      <c r="E181" s="3"/>
      <c r="F181" s="1"/>
      <c r="G181" s="141">
        <f>IF(Basic3456789101112131415[[#This Row],[نوع الخدمة]]="مخالفات", 50,
IF(Basic3456789101112131415[[#This Row],[نوع الخدمة]]="كاش ان",
    IF(F181&lt;=100, 18, IF(F181&lt;=250, 23, IF(F181&lt;=500, 35, IF(F181&lt;=1000, 40, F181*0.04)))),
IF(Basic3456789101112131415[[#This Row],[نوع الخدمة]]="كاش اوت",
    IF(F181&lt;=100, 15, IF(F181&lt;=250, 20, IF(F181&lt;=500, 30, IF(F181&lt;=1000, 35, F181*0.035)))),
0)))</f>
        <v>0</v>
      </c>
      <c r="H181" s="159">
        <f>IF(I181="مخالفات",50,Basic3456789101112131415[[#This Row],[قيمة الرسوم / العموله]]+Basic3456789101112131415[[#This Row],[قيمة الشحنه]])</f>
        <v>0</v>
      </c>
      <c r="I181" s="90"/>
      <c r="J181" s="142" t="str">
        <f t="shared" si="2"/>
        <v>18.5.2026</v>
      </c>
      <c r="L181" s="153">
        <v>170</v>
      </c>
      <c r="M181" s="92"/>
    </row>
    <row r="182" spans="1:13" ht="21.6" x14ac:dyDescent="0.65">
      <c r="A182" s="195"/>
      <c r="B182" s="140">
        <v>179</v>
      </c>
      <c r="C182" s="2"/>
      <c r="D182" s="1"/>
      <c r="E182" s="3"/>
      <c r="F182" s="1"/>
      <c r="G182" s="141">
        <f>IF(Basic3456789101112131415[[#This Row],[نوع الخدمة]]="مخالفات", 50,
IF(Basic3456789101112131415[[#This Row],[نوع الخدمة]]="كاش ان",
    IF(F182&lt;=100, 18, IF(F182&lt;=250, 23, IF(F182&lt;=500, 35, IF(F182&lt;=1000, 40, F182*0.04)))),
IF(Basic3456789101112131415[[#This Row],[نوع الخدمة]]="كاش اوت",
    IF(F182&lt;=100, 15, IF(F182&lt;=250, 20, IF(F182&lt;=500, 30, IF(F182&lt;=1000, 35, F182*0.035)))),
0)))</f>
        <v>0</v>
      </c>
      <c r="H182" s="159">
        <f>IF(I182="مخالفات",50,Basic3456789101112131415[[#This Row],[قيمة الرسوم / العموله]]+Basic3456789101112131415[[#This Row],[قيمة الشحنه]])</f>
        <v>0</v>
      </c>
      <c r="I182" s="90"/>
      <c r="J182" s="142" t="str">
        <f t="shared" si="2"/>
        <v>18.5.2026</v>
      </c>
      <c r="L182" s="153">
        <v>171</v>
      </c>
      <c r="M182" s="92"/>
    </row>
    <row r="183" spans="1:13" ht="21.6" x14ac:dyDescent="0.65">
      <c r="A183" s="195"/>
      <c r="B183" s="140">
        <v>180</v>
      </c>
      <c r="C183" s="2"/>
      <c r="D183" s="1"/>
      <c r="E183" s="3"/>
      <c r="F183" s="1"/>
      <c r="G183" s="141">
        <f>IF(Basic3456789101112131415[[#This Row],[نوع الخدمة]]="مخالفات", 50,
IF(Basic3456789101112131415[[#This Row],[نوع الخدمة]]="كاش ان",
    IF(F183&lt;=100, 18, IF(F183&lt;=250, 23, IF(F183&lt;=500, 35, IF(F183&lt;=1000, 40, F183*0.04)))),
IF(Basic3456789101112131415[[#This Row],[نوع الخدمة]]="كاش اوت",
    IF(F183&lt;=100, 15, IF(F183&lt;=250, 20, IF(F183&lt;=500, 30, IF(F183&lt;=1000, 35, F183*0.035)))),
0)))</f>
        <v>0</v>
      </c>
      <c r="H183" s="159">
        <f>IF(I183="مخالفات",50,Basic3456789101112131415[[#This Row],[قيمة الرسوم / العموله]]+Basic3456789101112131415[[#This Row],[قيمة الشحنه]])</f>
        <v>0</v>
      </c>
      <c r="I183" s="90"/>
      <c r="J183" s="142" t="str">
        <f t="shared" si="2"/>
        <v>18.5.2026</v>
      </c>
      <c r="L183" s="153">
        <v>172</v>
      </c>
      <c r="M183" s="92"/>
    </row>
    <row r="184" spans="1:13" ht="21.6" x14ac:dyDescent="0.65">
      <c r="A184" s="195"/>
      <c r="B184" s="140">
        <v>181</v>
      </c>
      <c r="C184" s="2"/>
      <c r="D184" s="1"/>
      <c r="E184" s="3"/>
      <c r="F184" s="1"/>
      <c r="G184" s="141">
        <f>IF(Basic3456789101112131415[[#This Row],[نوع الخدمة]]="مخالفات", 50,
IF(Basic3456789101112131415[[#This Row],[نوع الخدمة]]="كاش ان",
    IF(F184&lt;=100, 18, IF(F184&lt;=250, 23, IF(F184&lt;=500, 35, IF(F184&lt;=1000, 40, F184*0.04)))),
IF(Basic3456789101112131415[[#This Row],[نوع الخدمة]]="كاش اوت",
    IF(F184&lt;=100, 15, IF(F184&lt;=250, 20, IF(F184&lt;=500, 30, IF(F184&lt;=1000, 35, F184*0.035)))),
0)))</f>
        <v>0</v>
      </c>
      <c r="H184" s="159">
        <f>IF(I184="مخالفات",50,Basic3456789101112131415[[#This Row],[قيمة الرسوم / العموله]]+Basic3456789101112131415[[#This Row],[قيمة الشحنه]])</f>
        <v>0</v>
      </c>
      <c r="I184" s="90"/>
      <c r="J184" s="142" t="str">
        <f t="shared" si="2"/>
        <v>18.5.2026</v>
      </c>
      <c r="L184" s="153">
        <v>173</v>
      </c>
      <c r="M184" s="92"/>
    </row>
    <row r="185" spans="1:13" ht="21.6" x14ac:dyDescent="0.65">
      <c r="A185" s="195"/>
      <c r="B185" s="144">
        <v>182</v>
      </c>
      <c r="C185" s="2"/>
      <c r="D185" s="1"/>
      <c r="E185" s="3"/>
      <c r="F185" s="1"/>
      <c r="G185" s="141">
        <f>IF(Basic3456789101112131415[[#This Row],[نوع الخدمة]]="مخالفات", 50,
IF(Basic3456789101112131415[[#This Row],[نوع الخدمة]]="كاش ان",
    IF(F185&lt;=100, 18, IF(F185&lt;=250, 23, IF(F185&lt;=500, 35, IF(F185&lt;=1000, 40, F185*0.04)))),
IF(Basic3456789101112131415[[#This Row],[نوع الخدمة]]="كاش اوت",
    IF(F185&lt;=100, 15, IF(F185&lt;=250, 20, IF(F185&lt;=500, 30, IF(F185&lt;=1000, 35, F185*0.035)))),
0)))</f>
        <v>0</v>
      </c>
      <c r="H185" s="159">
        <f>IF(I185="مخالفات",50,Basic3456789101112131415[[#This Row],[قيمة الرسوم / العموله]]+Basic3456789101112131415[[#This Row],[قيمة الشحنه]])</f>
        <v>0</v>
      </c>
      <c r="I185" s="90"/>
      <c r="J185" s="142" t="str">
        <f t="shared" si="2"/>
        <v>18.5.2026</v>
      </c>
      <c r="L185" s="153">
        <v>174</v>
      </c>
      <c r="M185" s="92"/>
    </row>
    <row r="186" spans="1:13" ht="21.6" x14ac:dyDescent="0.65">
      <c r="A186" s="195"/>
      <c r="B186" s="140">
        <v>183</v>
      </c>
      <c r="C186" s="2"/>
      <c r="D186" s="1"/>
      <c r="E186" s="3"/>
      <c r="F186" s="1"/>
      <c r="G186" s="141">
        <f>IF(Basic3456789101112131415[[#This Row],[نوع الخدمة]]="مخالفات", 50,
IF(Basic3456789101112131415[[#This Row],[نوع الخدمة]]="كاش ان",
    IF(F186&lt;=100, 18, IF(F186&lt;=250, 23, IF(F186&lt;=500, 35, IF(F186&lt;=1000, 40, F186*0.04)))),
IF(Basic3456789101112131415[[#This Row],[نوع الخدمة]]="كاش اوت",
    IF(F186&lt;=100, 15, IF(F186&lt;=250, 20, IF(F186&lt;=500, 30, IF(F186&lt;=1000, 35, F186*0.035)))),
0)))</f>
        <v>0</v>
      </c>
      <c r="H186" s="159">
        <f>IF(I186="مخالفات",50,Basic3456789101112131415[[#This Row],[قيمة الرسوم / العموله]]+Basic3456789101112131415[[#This Row],[قيمة الشحنه]])</f>
        <v>0</v>
      </c>
      <c r="I186" s="90"/>
      <c r="J186" s="142" t="str">
        <f t="shared" si="2"/>
        <v>18.5.2026</v>
      </c>
      <c r="L186" s="153">
        <v>175</v>
      </c>
      <c r="M186" s="92"/>
    </row>
    <row r="187" spans="1:13" ht="21.6" x14ac:dyDescent="0.65">
      <c r="A187" s="195"/>
      <c r="B187" s="140">
        <v>184</v>
      </c>
      <c r="C187" s="2"/>
      <c r="D187" s="1"/>
      <c r="E187" s="3"/>
      <c r="F187" s="1"/>
      <c r="G187" s="141">
        <f>IF(Basic3456789101112131415[[#This Row],[نوع الخدمة]]="مخالفات", 50,
IF(Basic3456789101112131415[[#This Row],[نوع الخدمة]]="كاش ان",
    IF(F187&lt;=100, 18, IF(F187&lt;=250, 23, IF(F187&lt;=500, 35, IF(F187&lt;=1000, 40, F187*0.04)))),
IF(Basic3456789101112131415[[#This Row],[نوع الخدمة]]="كاش اوت",
    IF(F187&lt;=100, 15, IF(F187&lt;=250, 20, IF(F187&lt;=500, 30, IF(F187&lt;=1000, 35, F187*0.035)))),
0)))</f>
        <v>0</v>
      </c>
      <c r="H187" s="159">
        <f>IF(I187="مخالفات",50,Basic3456789101112131415[[#This Row],[قيمة الرسوم / العموله]]+Basic3456789101112131415[[#This Row],[قيمة الشحنه]])</f>
        <v>0</v>
      </c>
      <c r="I187" s="90"/>
      <c r="J187" s="142" t="str">
        <f t="shared" si="2"/>
        <v>18.5.2026</v>
      </c>
      <c r="L187" s="153">
        <v>176</v>
      </c>
      <c r="M187" s="92"/>
    </row>
    <row r="188" spans="1:13" ht="21.6" x14ac:dyDescent="0.65">
      <c r="A188" s="195"/>
      <c r="B188" s="140">
        <v>185</v>
      </c>
      <c r="C188" s="2"/>
      <c r="D188" s="1"/>
      <c r="E188" s="3"/>
      <c r="F188" s="1"/>
      <c r="G188" s="141">
        <f>IF(Basic3456789101112131415[[#This Row],[نوع الخدمة]]="مخالفات", 50,
IF(Basic3456789101112131415[[#This Row],[نوع الخدمة]]="كاش ان",
    IF(F188&lt;=100, 18, IF(F188&lt;=250, 23, IF(F188&lt;=500, 35, IF(F188&lt;=1000, 40, F188*0.04)))),
IF(Basic3456789101112131415[[#This Row],[نوع الخدمة]]="كاش اوت",
    IF(F188&lt;=100, 15, IF(F188&lt;=250, 20, IF(F188&lt;=500, 30, IF(F188&lt;=1000, 35, F188*0.035)))),
0)))</f>
        <v>0</v>
      </c>
      <c r="H188" s="159">
        <f>IF(I188="مخالفات",50,Basic3456789101112131415[[#This Row],[قيمة الرسوم / العموله]]+Basic3456789101112131415[[#This Row],[قيمة الشحنه]])</f>
        <v>0</v>
      </c>
      <c r="I188" s="90"/>
      <c r="J188" s="142" t="str">
        <f t="shared" si="2"/>
        <v>18.5.2026</v>
      </c>
      <c r="L188" s="153">
        <v>177</v>
      </c>
      <c r="M188" s="92"/>
    </row>
    <row r="189" spans="1:13" ht="21.6" x14ac:dyDescent="0.65">
      <c r="A189" s="195"/>
      <c r="B189" s="144">
        <v>186</v>
      </c>
      <c r="C189" s="2"/>
      <c r="D189" s="1"/>
      <c r="E189" s="3"/>
      <c r="F189" s="1"/>
      <c r="G189" s="141">
        <f>IF(Basic3456789101112131415[[#This Row],[نوع الخدمة]]="مخالفات", 50,
IF(Basic3456789101112131415[[#This Row],[نوع الخدمة]]="كاش ان",
    IF(F189&lt;=100, 18, IF(F189&lt;=250, 23, IF(F189&lt;=500, 35, IF(F189&lt;=1000, 40, F189*0.04)))),
IF(Basic3456789101112131415[[#This Row],[نوع الخدمة]]="كاش اوت",
    IF(F189&lt;=100, 15, IF(F189&lt;=250, 20, IF(F189&lt;=500, 30, IF(F189&lt;=1000, 35, F189*0.035)))),
0)))</f>
        <v>0</v>
      </c>
      <c r="H189" s="159">
        <f>IF(I189="مخالفات",50,Basic3456789101112131415[[#This Row],[قيمة الرسوم / العموله]]+Basic3456789101112131415[[#This Row],[قيمة الشحنه]])</f>
        <v>0</v>
      </c>
      <c r="I189" s="90"/>
      <c r="J189" s="142" t="str">
        <f t="shared" si="2"/>
        <v>18.5.2026</v>
      </c>
      <c r="L189" s="153">
        <v>178</v>
      </c>
      <c r="M189" s="92"/>
    </row>
    <row r="190" spans="1:13" ht="21.6" x14ac:dyDescent="0.65">
      <c r="A190" s="195"/>
      <c r="B190" s="140">
        <v>187</v>
      </c>
      <c r="C190" s="2"/>
      <c r="D190" s="1"/>
      <c r="E190" s="3"/>
      <c r="F190" s="1"/>
      <c r="G190" s="141">
        <f>IF(Basic3456789101112131415[[#This Row],[نوع الخدمة]]="مخالفات", 50,
IF(Basic3456789101112131415[[#This Row],[نوع الخدمة]]="كاش ان",
    IF(F190&lt;=100, 18, IF(F190&lt;=250, 23, IF(F190&lt;=500, 35, IF(F190&lt;=1000, 40, F190*0.04)))),
IF(Basic3456789101112131415[[#This Row],[نوع الخدمة]]="كاش اوت",
    IF(F190&lt;=100, 15, IF(F190&lt;=250, 20, IF(F190&lt;=500, 30, IF(F190&lt;=1000, 35, F190*0.035)))),
0)))</f>
        <v>0</v>
      </c>
      <c r="H190" s="159">
        <f>IF(I190="مخالفات",50,Basic3456789101112131415[[#This Row],[قيمة الرسوم / العموله]]+Basic3456789101112131415[[#This Row],[قيمة الشحنه]])</f>
        <v>0</v>
      </c>
      <c r="I190" s="90"/>
      <c r="J190" s="142" t="str">
        <f t="shared" si="2"/>
        <v>18.5.2026</v>
      </c>
      <c r="L190" s="153">
        <v>179</v>
      </c>
      <c r="M190" s="92"/>
    </row>
    <row r="191" spans="1:13" ht="21.6" x14ac:dyDescent="0.65">
      <c r="A191" s="195"/>
      <c r="B191" s="140">
        <v>188</v>
      </c>
      <c r="C191" s="2"/>
      <c r="D191" s="1"/>
      <c r="E191" s="3"/>
      <c r="F191" s="1"/>
      <c r="G191" s="141">
        <f>IF(Basic3456789101112131415[[#This Row],[نوع الخدمة]]="مخالفات", 50,
IF(Basic3456789101112131415[[#This Row],[نوع الخدمة]]="كاش ان",
    IF(F191&lt;=100, 18, IF(F191&lt;=250, 23, IF(F191&lt;=500, 35, IF(F191&lt;=1000, 40, F191*0.04)))),
IF(Basic3456789101112131415[[#This Row],[نوع الخدمة]]="كاش اوت",
    IF(F191&lt;=100, 15, IF(F191&lt;=250, 20, IF(F191&lt;=500, 30, IF(F191&lt;=1000, 35, F191*0.035)))),
0)))</f>
        <v>0</v>
      </c>
      <c r="H191" s="159">
        <f>IF(I191="مخالفات",50,Basic3456789101112131415[[#This Row],[قيمة الرسوم / العموله]]+Basic3456789101112131415[[#This Row],[قيمة الشحنه]])</f>
        <v>0</v>
      </c>
      <c r="I191" s="90"/>
      <c r="J191" s="142" t="str">
        <f t="shared" si="2"/>
        <v>18.5.2026</v>
      </c>
      <c r="L191" s="153">
        <v>180</v>
      </c>
      <c r="M191" s="92"/>
    </row>
    <row r="192" spans="1:13" ht="21.6" x14ac:dyDescent="0.65">
      <c r="A192" s="195"/>
      <c r="B192" s="140">
        <v>189</v>
      </c>
      <c r="C192" s="2"/>
      <c r="D192" s="1"/>
      <c r="E192" s="3"/>
      <c r="F192" s="1"/>
      <c r="G192" s="141">
        <f>IF(Basic3456789101112131415[[#This Row],[نوع الخدمة]]="مخالفات", 50,
IF(Basic3456789101112131415[[#This Row],[نوع الخدمة]]="كاش ان",
    IF(F192&lt;=100, 18, IF(F192&lt;=250, 23, IF(F192&lt;=500, 35, IF(F192&lt;=1000, 40, F192*0.04)))),
IF(Basic3456789101112131415[[#This Row],[نوع الخدمة]]="كاش اوت",
    IF(F192&lt;=100, 15, IF(F192&lt;=250, 20, IF(F192&lt;=500, 30, IF(F192&lt;=1000, 35, F192*0.035)))),
0)))</f>
        <v>0</v>
      </c>
      <c r="H192" s="159">
        <f>IF(I192="مخالفات",50,Basic3456789101112131415[[#This Row],[قيمة الرسوم / العموله]]+Basic3456789101112131415[[#This Row],[قيمة الشحنه]])</f>
        <v>0</v>
      </c>
      <c r="I192" s="90"/>
      <c r="J192" s="142" t="str">
        <f t="shared" si="2"/>
        <v>18.5.2026</v>
      </c>
      <c r="L192" s="153">
        <v>181</v>
      </c>
      <c r="M192" s="92"/>
    </row>
    <row r="193" spans="1:13" ht="21.6" x14ac:dyDescent="0.65">
      <c r="A193" s="195"/>
      <c r="B193" s="144">
        <v>190</v>
      </c>
      <c r="C193" s="2"/>
      <c r="D193" s="1"/>
      <c r="E193" s="3"/>
      <c r="F193" s="1"/>
      <c r="G193" s="141">
        <f>IF(Basic3456789101112131415[[#This Row],[نوع الخدمة]]="مخالفات", 50,
IF(Basic3456789101112131415[[#This Row],[نوع الخدمة]]="كاش ان",
    IF(F193&lt;=100, 18, IF(F193&lt;=250, 23, IF(F193&lt;=500, 35, IF(F193&lt;=1000, 40, F193*0.04)))),
IF(Basic3456789101112131415[[#This Row],[نوع الخدمة]]="كاش اوت",
    IF(F193&lt;=100, 15, IF(F193&lt;=250, 20, IF(F193&lt;=500, 30, IF(F193&lt;=1000, 35, F193*0.035)))),
0)))</f>
        <v>0</v>
      </c>
      <c r="H193" s="159">
        <f>IF(I193="مخالفات",50,Basic3456789101112131415[[#This Row],[قيمة الرسوم / العموله]]+Basic3456789101112131415[[#This Row],[قيمة الشحنه]])</f>
        <v>0</v>
      </c>
      <c r="I193" s="90"/>
      <c r="J193" s="142" t="str">
        <f t="shared" si="2"/>
        <v>18.5.2026</v>
      </c>
      <c r="L193" s="153">
        <v>182</v>
      </c>
      <c r="M193" s="92"/>
    </row>
    <row r="194" spans="1:13" ht="21.6" x14ac:dyDescent="0.65">
      <c r="A194" s="195"/>
      <c r="B194" s="140">
        <v>191</v>
      </c>
      <c r="C194" s="2"/>
      <c r="D194" s="1"/>
      <c r="E194" s="3"/>
      <c r="F194" s="1"/>
      <c r="G194" s="141">
        <f>IF(Basic3456789101112131415[[#This Row],[نوع الخدمة]]="مخالفات", 50,
IF(Basic3456789101112131415[[#This Row],[نوع الخدمة]]="كاش ان",
    IF(F194&lt;=100, 18, IF(F194&lt;=250, 23, IF(F194&lt;=500, 35, IF(F194&lt;=1000, 40, F194*0.04)))),
IF(Basic3456789101112131415[[#This Row],[نوع الخدمة]]="كاش اوت",
    IF(F194&lt;=100, 15, IF(F194&lt;=250, 20, IF(F194&lt;=500, 30, IF(F194&lt;=1000, 35, F194*0.035)))),
0)))</f>
        <v>0</v>
      </c>
      <c r="H194" s="159">
        <f>IF(I194="مخالفات",50,Basic3456789101112131415[[#This Row],[قيمة الرسوم / العموله]]+Basic3456789101112131415[[#This Row],[قيمة الشحنه]])</f>
        <v>0</v>
      </c>
      <c r="I194" s="90"/>
      <c r="J194" s="142" t="str">
        <f t="shared" si="2"/>
        <v>18.5.2026</v>
      </c>
      <c r="L194" s="153">
        <v>183</v>
      </c>
      <c r="M194" s="92"/>
    </row>
    <row r="195" spans="1:13" ht="21.6" x14ac:dyDescent="0.65">
      <c r="A195" s="195"/>
      <c r="B195" s="140">
        <v>192</v>
      </c>
      <c r="C195" s="2"/>
      <c r="D195" s="1"/>
      <c r="E195" s="3"/>
      <c r="F195" s="1"/>
      <c r="G195" s="141">
        <f>IF(Basic3456789101112131415[[#This Row],[نوع الخدمة]]="مخالفات", 50,
IF(Basic3456789101112131415[[#This Row],[نوع الخدمة]]="كاش ان",
    IF(F195&lt;=100, 18, IF(F195&lt;=250, 23, IF(F195&lt;=500, 35, IF(F195&lt;=1000, 40, F195*0.04)))),
IF(Basic3456789101112131415[[#This Row],[نوع الخدمة]]="كاش اوت",
    IF(F195&lt;=100, 15, IF(F195&lt;=250, 20, IF(F195&lt;=500, 30, IF(F195&lt;=1000, 35, F195*0.035)))),
0)))</f>
        <v>0</v>
      </c>
      <c r="H195" s="159">
        <f>IF(I195="مخالفات",50,Basic3456789101112131415[[#This Row],[قيمة الرسوم / العموله]]+Basic3456789101112131415[[#This Row],[قيمة الشحنه]])</f>
        <v>0</v>
      </c>
      <c r="I195" s="90"/>
      <c r="J195" s="142" t="str">
        <f t="shared" si="2"/>
        <v>18.5.2026</v>
      </c>
      <c r="L195" s="153">
        <v>184</v>
      </c>
      <c r="M195" s="92"/>
    </row>
    <row r="196" spans="1:13" ht="21.6" x14ac:dyDescent="0.65">
      <c r="A196" s="195"/>
      <c r="B196" s="140">
        <v>193</v>
      </c>
      <c r="C196" s="2"/>
      <c r="D196" s="1"/>
      <c r="E196" s="3"/>
      <c r="F196" s="1"/>
      <c r="G196" s="141">
        <f>IF(Basic3456789101112131415[[#This Row],[نوع الخدمة]]="مخالفات", 50,
IF(Basic3456789101112131415[[#This Row],[نوع الخدمة]]="كاش ان",
    IF(F196&lt;=100, 18, IF(F196&lt;=250, 23, IF(F196&lt;=500, 35, IF(F196&lt;=1000, 40, F196*0.04)))),
IF(Basic3456789101112131415[[#This Row],[نوع الخدمة]]="كاش اوت",
    IF(F196&lt;=100, 15, IF(F196&lt;=250, 20, IF(F196&lt;=500, 30, IF(F196&lt;=1000, 35, F196*0.035)))),
0)))</f>
        <v>0</v>
      </c>
      <c r="H196" s="159">
        <f>IF(I196="مخالفات",50,Basic3456789101112131415[[#This Row],[قيمة الرسوم / العموله]]+Basic3456789101112131415[[#This Row],[قيمة الشحنه]])</f>
        <v>0</v>
      </c>
      <c r="I196" s="90"/>
      <c r="J196" s="142" t="str">
        <f t="shared" ref="J196:J226" si="3">M$3</f>
        <v>18.5.2026</v>
      </c>
      <c r="L196" s="153">
        <v>185</v>
      </c>
      <c r="M196" s="92"/>
    </row>
    <row r="197" spans="1:13" ht="21.6" x14ac:dyDescent="0.65">
      <c r="A197" s="195"/>
      <c r="B197" s="144">
        <v>194</v>
      </c>
      <c r="C197" s="2"/>
      <c r="D197" s="1"/>
      <c r="E197" s="3"/>
      <c r="F197" s="1"/>
      <c r="G197" s="141">
        <f>IF(Basic3456789101112131415[[#This Row],[نوع الخدمة]]="مخالفات", 50,
IF(Basic3456789101112131415[[#This Row],[نوع الخدمة]]="كاش ان",
    IF(F197&lt;=100, 18, IF(F197&lt;=250, 23, IF(F197&lt;=500, 35, IF(F197&lt;=1000, 40, F197*0.04)))),
IF(Basic3456789101112131415[[#This Row],[نوع الخدمة]]="كاش اوت",
    IF(F197&lt;=100, 15, IF(F197&lt;=250, 20, IF(F197&lt;=500, 30, IF(F197&lt;=1000, 35, F197*0.035)))),
0)))</f>
        <v>0</v>
      </c>
      <c r="H197" s="159">
        <f>IF(I197="مخالفات",50,Basic3456789101112131415[[#This Row],[قيمة الرسوم / العموله]]+Basic3456789101112131415[[#This Row],[قيمة الشحنه]])</f>
        <v>0</v>
      </c>
      <c r="I197" s="90"/>
      <c r="J197" s="142" t="str">
        <f t="shared" si="3"/>
        <v>18.5.2026</v>
      </c>
      <c r="L197" s="153">
        <v>186</v>
      </c>
      <c r="M197" s="92"/>
    </row>
    <row r="198" spans="1:13" ht="21.6" x14ac:dyDescent="0.65">
      <c r="A198" s="195"/>
      <c r="B198" s="140">
        <v>195</v>
      </c>
      <c r="C198" s="2"/>
      <c r="D198" s="1"/>
      <c r="E198" s="3"/>
      <c r="F198" s="1"/>
      <c r="G198" s="141">
        <f>IF(Basic3456789101112131415[[#This Row],[نوع الخدمة]]="مخالفات", 50,
IF(Basic3456789101112131415[[#This Row],[نوع الخدمة]]="كاش ان",
    IF(F198&lt;=100, 18, IF(F198&lt;=250, 23, IF(F198&lt;=500, 35, IF(F198&lt;=1000, 40, F198*0.04)))),
IF(Basic3456789101112131415[[#This Row],[نوع الخدمة]]="كاش اوت",
    IF(F198&lt;=100, 15, IF(F198&lt;=250, 20, IF(F198&lt;=500, 30, IF(F198&lt;=1000, 35, F198*0.035)))),
0)))</f>
        <v>0</v>
      </c>
      <c r="H198" s="159">
        <f>IF(I198="مخالفات",50,Basic3456789101112131415[[#This Row],[قيمة الرسوم / العموله]]+Basic3456789101112131415[[#This Row],[قيمة الشحنه]])</f>
        <v>0</v>
      </c>
      <c r="I198" s="90"/>
      <c r="J198" s="142" t="str">
        <f t="shared" si="3"/>
        <v>18.5.2026</v>
      </c>
      <c r="L198" s="153">
        <v>187</v>
      </c>
      <c r="M198" s="92"/>
    </row>
    <row r="199" spans="1:13" ht="21.6" x14ac:dyDescent="0.65">
      <c r="A199" s="195"/>
      <c r="B199" s="140">
        <v>196</v>
      </c>
      <c r="C199" s="2"/>
      <c r="D199" s="1"/>
      <c r="E199" s="3"/>
      <c r="F199" s="1"/>
      <c r="G199" s="141">
        <f>IF(Basic3456789101112131415[[#This Row],[نوع الخدمة]]="مخالفات", 50,
IF(Basic3456789101112131415[[#This Row],[نوع الخدمة]]="كاش ان",
    IF(F199&lt;=100, 18, IF(F199&lt;=250, 23, IF(F199&lt;=500, 35, IF(F199&lt;=1000, 40, F199*0.04)))),
IF(Basic3456789101112131415[[#This Row],[نوع الخدمة]]="كاش اوت",
    IF(F199&lt;=100, 15, IF(F199&lt;=250, 20, IF(F199&lt;=500, 30, IF(F199&lt;=1000, 35, F199*0.035)))),
0)))</f>
        <v>0</v>
      </c>
      <c r="H199" s="159">
        <f>IF(I199="مخالفات",50,Basic3456789101112131415[[#This Row],[قيمة الرسوم / العموله]]+Basic3456789101112131415[[#This Row],[قيمة الشحنه]])</f>
        <v>0</v>
      </c>
      <c r="I199" s="90"/>
      <c r="J199" s="142" t="str">
        <f t="shared" si="3"/>
        <v>18.5.2026</v>
      </c>
      <c r="L199" s="153">
        <v>188</v>
      </c>
      <c r="M199" s="92"/>
    </row>
    <row r="200" spans="1:13" ht="21.6" x14ac:dyDescent="0.65">
      <c r="A200" s="195"/>
      <c r="B200" s="140">
        <v>197</v>
      </c>
      <c r="C200" s="2"/>
      <c r="D200" s="1"/>
      <c r="E200" s="3"/>
      <c r="F200" s="1"/>
      <c r="G200" s="141">
        <f>IF(Basic3456789101112131415[[#This Row],[نوع الخدمة]]="مخالفات", 50,
IF(Basic3456789101112131415[[#This Row],[نوع الخدمة]]="كاش ان",
    IF(F200&lt;=100, 18, IF(F200&lt;=250, 23, IF(F200&lt;=500, 35, IF(F200&lt;=1000, 40, F200*0.04)))),
IF(Basic3456789101112131415[[#This Row],[نوع الخدمة]]="كاش اوت",
    IF(F200&lt;=100, 15, IF(F200&lt;=250, 20, IF(F200&lt;=500, 30, IF(F200&lt;=1000, 35, F200*0.035)))),
0)))</f>
        <v>0</v>
      </c>
      <c r="H200" s="159">
        <f>IF(I200="مخالفات",50,Basic3456789101112131415[[#This Row],[قيمة الرسوم / العموله]]+Basic3456789101112131415[[#This Row],[قيمة الشحنه]])</f>
        <v>0</v>
      </c>
      <c r="I200" s="90"/>
      <c r="J200" s="142" t="str">
        <f t="shared" si="3"/>
        <v>18.5.2026</v>
      </c>
      <c r="L200" s="153">
        <v>189</v>
      </c>
      <c r="M200" s="92"/>
    </row>
    <row r="201" spans="1:13" ht="21.6" x14ac:dyDescent="0.65">
      <c r="A201" s="195"/>
      <c r="B201" s="144">
        <v>198</v>
      </c>
      <c r="C201" s="2"/>
      <c r="D201" s="1"/>
      <c r="E201" s="3"/>
      <c r="F201" s="1"/>
      <c r="G201" s="141">
        <f>IF(Basic3456789101112131415[[#This Row],[نوع الخدمة]]="مخالفات", 50,
IF(Basic3456789101112131415[[#This Row],[نوع الخدمة]]="كاش ان",
    IF(F201&lt;=100, 18, IF(F201&lt;=250, 23, IF(F201&lt;=500, 35, IF(F201&lt;=1000, 40, F201*0.04)))),
IF(Basic3456789101112131415[[#This Row],[نوع الخدمة]]="كاش اوت",
    IF(F201&lt;=100, 15, IF(F201&lt;=250, 20, IF(F201&lt;=500, 30, IF(F201&lt;=1000, 35, F201*0.035)))),
0)))</f>
        <v>0</v>
      </c>
      <c r="H201" s="159">
        <f>IF(I201="مخالفات",50,Basic3456789101112131415[[#This Row],[قيمة الرسوم / العموله]]+Basic3456789101112131415[[#This Row],[قيمة الشحنه]])</f>
        <v>0</v>
      </c>
      <c r="I201" s="90"/>
      <c r="J201" s="142" t="str">
        <f t="shared" si="3"/>
        <v>18.5.2026</v>
      </c>
      <c r="L201" s="153">
        <v>190</v>
      </c>
      <c r="M201" s="92"/>
    </row>
    <row r="202" spans="1:13" ht="21.6" x14ac:dyDescent="0.65">
      <c r="A202" s="195"/>
      <c r="B202" s="140">
        <v>199</v>
      </c>
      <c r="C202" s="2"/>
      <c r="D202" s="1"/>
      <c r="E202" s="3"/>
      <c r="F202" s="1"/>
      <c r="G202" s="141">
        <f>IF(Basic3456789101112131415[[#This Row],[نوع الخدمة]]="مخالفات", 50,
IF(Basic3456789101112131415[[#This Row],[نوع الخدمة]]="كاش ان",
    IF(F202&lt;=100, 18, IF(F202&lt;=250, 23, IF(F202&lt;=500, 35, IF(F202&lt;=1000, 40, F202*0.04)))),
IF(Basic3456789101112131415[[#This Row],[نوع الخدمة]]="كاش اوت",
    IF(F202&lt;=100, 15, IF(F202&lt;=250, 20, IF(F202&lt;=500, 30, IF(F202&lt;=1000, 35, F202*0.035)))),
0)))</f>
        <v>0</v>
      </c>
      <c r="H202" s="159">
        <f>IF(I202="مخالفات",50,Basic3456789101112131415[[#This Row],[قيمة الرسوم / العموله]]+Basic3456789101112131415[[#This Row],[قيمة الشحنه]])</f>
        <v>0</v>
      </c>
      <c r="I202" s="90"/>
      <c r="J202" s="142" t="str">
        <f t="shared" si="3"/>
        <v>18.5.2026</v>
      </c>
      <c r="L202" s="153">
        <v>191</v>
      </c>
      <c r="M202" s="92"/>
    </row>
    <row r="203" spans="1:13" ht="21.6" x14ac:dyDescent="0.65">
      <c r="A203" s="195"/>
      <c r="B203" s="140">
        <v>200</v>
      </c>
      <c r="C203" s="2"/>
      <c r="D203" s="1"/>
      <c r="E203" s="3"/>
      <c r="F203" s="1"/>
      <c r="G203" s="141">
        <f>IF(Basic3456789101112131415[[#This Row],[نوع الخدمة]]="مخالفات", 50,
IF(Basic3456789101112131415[[#This Row],[نوع الخدمة]]="كاش ان",
    IF(F203&lt;=100, 18, IF(F203&lt;=250, 23, IF(F203&lt;=500, 35, IF(F203&lt;=1000, 40, F203*0.04)))),
IF(Basic3456789101112131415[[#This Row],[نوع الخدمة]]="كاش اوت",
    IF(F203&lt;=100, 15, IF(F203&lt;=250, 20, IF(F203&lt;=500, 30, IF(F203&lt;=1000, 35, F203*0.035)))),
0)))</f>
        <v>0</v>
      </c>
      <c r="H203" s="159">
        <f>IF(I203="مخالفات",50,Basic3456789101112131415[[#This Row],[قيمة الرسوم / العموله]]+Basic3456789101112131415[[#This Row],[قيمة الشحنه]])</f>
        <v>0</v>
      </c>
      <c r="I203" s="90"/>
      <c r="J203" s="142" t="str">
        <f t="shared" si="3"/>
        <v>18.5.2026</v>
      </c>
      <c r="L203" s="153">
        <v>192</v>
      </c>
      <c r="M203" s="92"/>
    </row>
    <row r="204" spans="1:13" ht="21.6" x14ac:dyDescent="0.65">
      <c r="A204" s="195"/>
      <c r="B204" s="140">
        <v>201</v>
      </c>
      <c r="C204" s="2"/>
      <c r="D204" s="1"/>
      <c r="E204" s="3"/>
      <c r="F204" s="1"/>
      <c r="G204" s="141">
        <f>IF(Basic3456789101112131415[[#This Row],[نوع الخدمة]]="مخالفات", 50,
IF(Basic3456789101112131415[[#This Row],[نوع الخدمة]]="كاش ان",
    IF(F204&lt;=100, 18, IF(F204&lt;=250, 23, IF(F204&lt;=500, 35, IF(F204&lt;=1000, 40, F204*0.04)))),
IF(Basic3456789101112131415[[#This Row],[نوع الخدمة]]="كاش اوت",
    IF(F204&lt;=100, 15, IF(F204&lt;=250, 20, IF(F204&lt;=500, 30, IF(F204&lt;=1000, 35, F204*0.035)))),
0)))</f>
        <v>0</v>
      </c>
      <c r="H204" s="159">
        <f>IF(I204="مخالفات",50,Basic3456789101112131415[[#This Row],[قيمة الرسوم / العموله]]+Basic3456789101112131415[[#This Row],[قيمة الشحنه]])</f>
        <v>0</v>
      </c>
      <c r="I204" s="90"/>
      <c r="J204" s="142" t="str">
        <f t="shared" si="3"/>
        <v>18.5.2026</v>
      </c>
      <c r="L204" s="153">
        <v>193</v>
      </c>
      <c r="M204" s="92"/>
    </row>
    <row r="205" spans="1:13" ht="21.6" x14ac:dyDescent="0.65">
      <c r="A205" s="195"/>
      <c r="B205" s="144">
        <v>202</v>
      </c>
      <c r="C205" s="2"/>
      <c r="D205" s="1"/>
      <c r="E205" s="3"/>
      <c r="F205" s="1"/>
      <c r="G205" s="141">
        <f>IF(Basic3456789101112131415[[#This Row],[نوع الخدمة]]="مخالفات", 50,
IF(Basic3456789101112131415[[#This Row],[نوع الخدمة]]="كاش ان",
    IF(F205&lt;=100, 18, IF(F205&lt;=250, 23, IF(F205&lt;=500, 35, IF(F205&lt;=1000, 40, F205*0.04)))),
IF(Basic3456789101112131415[[#This Row],[نوع الخدمة]]="كاش اوت",
    IF(F205&lt;=100, 15, IF(F205&lt;=250, 20, IF(F205&lt;=500, 30, IF(F205&lt;=1000, 35, F205*0.035)))),
0)))</f>
        <v>0</v>
      </c>
      <c r="H205" s="159">
        <f>IF(I205="مخالفات",50,Basic3456789101112131415[[#This Row],[قيمة الرسوم / العموله]]+Basic3456789101112131415[[#This Row],[قيمة الشحنه]])</f>
        <v>0</v>
      </c>
      <c r="I205" s="90"/>
      <c r="J205" s="142" t="str">
        <f t="shared" si="3"/>
        <v>18.5.2026</v>
      </c>
      <c r="L205" s="153">
        <v>194</v>
      </c>
      <c r="M205" s="92"/>
    </row>
    <row r="206" spans="1:13" ht="21.6" x14ac:dyDescent="0.65">
      <c r="A206" s="195"/>
      <c r="B206" s="140">
        <v>203</v>
      </c>
      <c r="C206" s="2"/>
      <c r="D206" s="1"/>
      <c r="E206" s="3"/>
      <c r="F206" s="1"/>
      <c r="G206" s="141">
        <f>IF(Basic3456789101112131415[[#This Row],[نوع الخدمة]]="مخالفات", 50,
IF(Basic3456789101112131415[[#This Row],[نوع الخدمة]]="كاش ان",
    IF(F206&lt;=100, 18, IF(F206&lt;=250, 23, IF(F206&lt;=500, 35, IF(F206&lt;=1000, 40, F206*0.04)))),
IF(Basic3456789101112131415[[#This Row],[نوع الخدمة]]="كاش اوت",
    IF(F206&lt;=100, 15, IF(F206&lt;=250, 20, IF(F206&lt;=500, 30, IF(F206&lt;=1000, 35, F206*0.035)))),
0)))</f>
        <v>0</v>
      </c>
      <c r="H206" s="159">
        <f>IF(I206="مخالفات",50,Basic3456789101112131415[[#This Row],[قيمة الرسوم / العموله]]+Basic3456789101112131415[[#This Row],[قيمة الشحنه]])</f>
        <v>0</v>
      </c>
      <c r="I206" s="90"/>
      <c r="J206" s="142" t="str">
        <f t="shared" si="3"/>
        <v>18.5.2026</v>
      </c>
      <c r="L206" s="153">
        <v>195</v>
      </c>
      <c r="M206" s="92"/>
    </row>
    <row r="207" spans="1:13" ht="21.6" x14ac:dyDescent="0.65">
      <c r="A207" s="195"/>
      <c r="B207" s="140">
        <v>204</v>
      </c>
      <c r="C207" s="2"/>
      <c r="D207" s="1"/>
      <c r="E207" s="3"/>
      <c r="F207" s="1"/>
      <c r="G207" s="141">
        <f>IF(Basic3456789101112131415[[#This Row],[نوع الخدمة]]="مخالفات", 50,
IF(Basic3456789101112131415[[#This Row],[نوع الخدمة]]="كاش ان",
    IF(F207&lt;=100, 18, IF(F207&lt;=250, 23, IF(F207&lt;=500, 35, IF(F207&lt;=1000, 40, F207*0.04)))),
IF(Basic3456789101112131415[[#This Row],[نوع الخدمة]]="كاش اوت",
    IF(F207&lt;=100, 15, IF(F207&lt;=250, 20, IF(F207&lt;=500, 30, IF(F207&lt;=1000, 35, F207*0.035)))),
0)))</f>
        <v>0</v>
      </c>
      <c r="H207" s="159">
        <f>IF(I207="مخالفات",50,Basic3456789101112131415[[#This Row],[قيمة الرسوم / العموله]]+Basic3456789101112131415[[#This Row],[قيمة الشحنه]])</f>
        <v>0</v>
      </c>
      <c r="I207" s="90"/>
      <c r="J207" s="142" t="str">
        <f t="shared" si="3"/>
        <v>18.5.2026</v>
      </c>
      <c r="L207" s="153">
        <v>196</v>
      </c>
      <c r="M207" s="92"/>
    </row>
    <row r="208" spans="1:13" ht="21.6" x14ac:dyDescent="0.65">
      <c r="A208" s="195"/>
      <c r="B208" s="140">
        <v>205</v>
      </c>
      <c r="C208" s="2"/>
      <c r="D208" s="1"/>
      <c r="E208" s="3"/>
      <c r="F208" s="1"/>
      <c r="G208" s="141">
        <f>IF(Basic3456789101112131415[[#This Row],[نوع الخدمة]]="مخالفات", 50,
IF(Basic3456789101112131415[[#This Row],[نوع الخدمة]]="كاش ان",
    IF(F208&lt;=100, 18, IF(F208&lt;=250, 23, IF(F208&lt;=500, 35, IF(F208&lt;=1000, 40, F208*0.04)))),
IF(Basic3456789101112131415[[#This Row],[نوع الخدمة]]="كاش اوت",
    IF(F208&lt;=100, 15, IF(F208&lt;=250, 20, IF(F208&lt;=500, 30, IF(F208&lt;=1000, 35, F208*0.035)))),
0)))</f>
        <v>0</v>
      </c>
      <c r="H208" s="159">
        <f>IF(I208="مخالفات",50,Basic3456789101112131415[[#This Row],[قيمة الرسوم / العموله]]+Basic3456789101112131415[[#This Row],[قيمة الشحنه]])</f>
        <v>0</v>
      </c>
      <c r="I208" s="90"/>
      <c r="J208" s="142" t="str">
        <f t="shared" si="3"/>
        <v>18.5.2026</v>
      </c>
      <c r="L208" s="153">
        <v>197</v>
      </c>
      <c r="M208" s="92"/>
    </row>
    <row r="209" spans="1:13" ht="21.6" x14ac:dyDescent="0.65">
      <c r="A209" s="195"/>
      <c r="B209" s="144">
        <v>206</v>
      </c>
      <c r="C209" s="2"/>
      <c r="D209" s="1"/>
      <c r="E209" s="3"/>
      <c r="F209" s="1"/>
      <c r="G209" s="141">
        <f>IF(Basic3456789101112131415[[#This Row],[نوع الخدمة]]="مخالفات", 50,
IF(Basic3456789101112131415[[#This Row],[نوع الخدمة]]="كاش ان",
    IF(F209&lt;=100, 18, IF(F209&lt;=250, 23, IF(F209&lt;=500, 35, IF(F209&lt;=1000, 40, F209*0.04)))),
IF(Basic3456789101112131415[[#This Row],[نوع الخدمة]]="كاش اوت",
    IF(F209&lt;=100, 15, IF(F209&lt;=250, 20, IF(F209&lt;=500, 30, IF(F209&lt;=1000, 35, F209*0.035)))),
0)))</f>
        <v>0</v>
      </c>
      <c r="H209" s="159">
        <f>IF(I209="مخالفات",50,Basic3456789101112131415[[#This Row],[قيمة الرسوم / العموله]]+Basic3456789101112131415[[#This Row],[قيمة الشحنه]])</f>
        <v>0</v>
      </c>
      <c r="I209" s="90"/>
      <c r="J209" s="142" t="str">
        <f t="shared" si="3"/>
        <v>18.5.2026</v>
      </c>
      <c r="L209" s="153">
        <v>198</v>
      </c>
      <c r="M209" s="92"/>
    </row>
    <row r="210" spans="1:13" ht="21.6" x14ac:dyDescent="0.65">
      <c r="A210" s="195"/>
      <c r="B210" s="140">
        <v>207</v>
      </c>
      <c r="C210" s="2"/>
      <c r="D210" s="1"/>
      <c r="E210" s="3"/>
      <c r="F210" s="1"/>
      <c r="G210" s="141">
        <f>IF(Basic3456789101112131415[[#This Row],[نوع الخدمة]]="مخالفات", 50,
IF(Basic3456789101112131415[[#This Row],[نوع الخدمة]]="كاش ان",
    IF(F210&lt;=100, 18, IF(F210&lt;=250, 23, IF(F210&lt;=500, 35, IF(F210&lt;=1000, 40, F210*0.04)))),
IF(Basic3456789101112131415[[#This Row],[نوع الخدمة]]="كاش اوت",
    IF(F210&lt;=100, 15, IF(F210&lt;=250, 20, IF(F210&lt;=500, 30, IF(F210&lt;=1000, 35, F210*0.035)))),
0)))</f>
        <v>0</v>
      </c>
      <c r="H210" s="159">
        <f>IF(I210="مخالفات",50,Basic3456789101112131415[[#This Row],[قيمة الرسوم / العموله]]+Basic3456789101112131415[[#This Row],[قيمة الشحنه]])</f>
        <v>0</v>
      </c>
      <c r="I210" s="90"/>
      <c r="J210" s="142" t="str">
        <f t="shared" si="3"/>
        <v>18.5.2026</v>
      </c>
      <c r="L210" s="153">
        <v>199</v>
      </c>
      <c r="M210" s="92"/>
    </row>
    <row r="211" spans="1:13" ht="21.6" x14ac:dyDescent="0.65">
      <c r="A211" s="195"/>
      <c r="B211" s="140">
        <v>208</v>
      </c>
      <c r="C211" s="2"/>
      <c r="D211" s="1"/>
      <c r="E211" s="3"/>
      <c r="F211" s="1"/>
      <c r="G211" s="141">
        <f>IF(Basic3456789101112131415[[#This Row],[نوع الخدمة]]="مخالفات", 50,
IF(Basic3456789101112131415[[#This Row],[نوع الخدمة]]="كاش ان",
    IF(F211&lt;=100, 18, IF(F211&lt;=250, 23, IF(F211&lt;=500, 35, IF(F211&lt;=1000, 40, F211*0.04)))),
IF(Basic3456789101112131415[[#This Row],[نوع الخدمة]]="كاش اوت",
    IF(F211&lt;=100, 15, IF(F211&lt;=250, 20, IF(F211&lt;=500, 30, IF(F211&lt;=1000, 35, F211*0.035)))),
0)))</f>
        <v>0</v>
      </c>
      <c r="H211" s="159">
        <f>IF(I211="مخالفات",50,Basic3456789101112131415[[#This Row],[قيمة الرسوم / العموله]]+Basic3456789101112131415[[#This Row],[قيمة الشحنه]])</f>
        <v>0</v>
      </c>
      <c r="I211" s="90"/>
      <c r="J211" s="142" t="str">
        <f t="shared" si="3"/>
        <v>18.5.2026</v>
      </c>
      <c r="L211" s="153">
        <v>200</v>
      </c>
      <c r="M211" s="92"/>
    </row>
    <row r="212" spans="1:13" ht="21.6" x14ac:dyDescent="0.65">
      <c r="A212" s="195"/>
      <c r="B212" s="140">
        <v>209</v>
      </c>
      <c r="C212" s="2"/>
      <c r="D212" s="1"/>
      <c r="E212" s="3"/>
      <c r="F212" s="1"/>
      <c r="G212" s="141">
        <f>IF(Basic3456789101112131415[[#This Row],[نوع الخدمة]]="مخالفات", 50,
IF(Basic3456789101112131415[[#This Row],[نوع الخدمة]]="كاش ان",
    IF(F212&lt;=100, 18, IF(F212&lt;=250, 23, IF(F212&lt;=500, 35, IF(F212&lt;=1000, 40, F212*0.04)))),
IF(Basic3456789101112131415[[#This Row],[نوع الخدمة]]="كاش اوت",
    IF(F212&lt;=100, 15, IF(F212&lt;=250, 20, IF(F212&lt;=500, 30, IF(F212&lt;=1000, 35, F212*0.035)))),
0)))</f>
        <v>0</v>
      </c>
      <c r="H212" s="159">
        <f>IF(I212="مخالفات",50,Basic3456789101112131415[[#This Row],[قيمة الرسوم / العموله]]+Basic3456789101112131415[[#This Row],[قيمة الشحنه]])</f>
        <v>0</v>
      </c>
      <c r="I212" s="90"/>
      <c r="J212" s="142" t="str">
        <f t="shared" si="3"/>
        <v>18.5.2026</v>
      </c>
      <c r="L212" s="153">
        <v>201</v>
      </c>
      <c r="M212" s="92"/>
    </row>
    <row r="213" spans="1:13" ht="21.6" x14ac:dyDescent="0.65">
      <c r="A213" s="195"/>
      <c r="B213" s="144">
        <v>210</v>
      </c>
      <c r="C213" s="2"/>
      <c r="D213" s="1"/>
      <c r="E213" s="3"/>
      <c r="F213" s="1"/>
      <c r="G213" s="141">
        <f>IF(Basic3456789101112131415[[#This Row],[نوع الخدمة]]="مخالفات", 50,
IF(Basic3456789101112131415[[#This Row],[نوع الخدمة]]="كاش ان",
    IF(F213&lt;=100, 18, IF(F213&lt;=250, 23, IF(F213&lt;=500, 35, IF(F213&lt;=1000, 40, F213*0.04)))),
IF(Basic3456789101112131415[[#This Row],[نوع الخدمة]]="كاش اوت",
    IF(F213&lt;=100, 15, IF(F213&lt;=250, 20, IF(F213&lt;=500, 30, IF(F213&lt;=1000, 35, F213*0.035)))),
0)))</f>
        <v>0</v>
      </c>
      <c r="H213" s="159">
        <f>IF(I213="مخالفات",50,Basic3456789101112131415[[#This Row],[قيمة الرسوم / العموله]]+Basic3456789101112131415[[#This Row],[قيمة الشحنه]])</f>
        <v>0</v>
      </c>
      <c r="I213" s="90"/>
      <c r="J213" s="142" t="str">
        <f t="shared" si="3"/>
        <v>18.5.2026</v>
      </c>
      <c r="L213" s="153">
        <v>202</v>
      </c>
      <c r="M213" s="92"/>
    </row>
    <row r="214" spans="1:13" ht="21.6" x14ac:dyDescent="0.65">
      <c r="A214" s="195"/>
      <c r="B214" s="140">
        <v>211</v>
      </c>
      <c r="C214" s="2"/>
      <c r="D214" s="1"/>
      <c r="E214" s="3"/>
      <c r="F214" s="1"/>
      <c r="G214" s="141">
        <f>IF(Basic3456789101112131415[[#This Row],[نوع الخدمة]]="مخالفات", 50,
IF(Basic3456789101112131415[[#This Row],[نوع الخدمة]]="كاش ان",
    IF(F214&lt;=100, 18, IF(F214&lt;=250, 23, IF(F214&lt;=500, 35, IF(F214&lt;=1000, 40, F214*0.04)))),
IF(Basic3456789101112131415[[#This Row],[نوع الخدمة]]="كاش اوت",
    IF(F214&lt;=100, 15, IF(F214&lt;=250, 20, IF(F214&lt;=500, 30, IF(F214&lt;=1000, 35, F214*0.035)))),
0)))</f>
        <v>0</v>
      </c>
      <c r="H214" s="159">
        <f>IF(I214="مخالفات",50,Basic3456789101112131415[[#This Row],[قيمة الرسوم / العموله]]+Basic3456789101112131415[[#This Row],[قيمة الشحنه]])</f>
        <v>0</v>
      </c>
      <c r="I214" s="90"/>
      <c r="J214" s="142" t="str">
        <f t="shared" si="3"/>
        <v>18.5.2026</v>
      </c>
      <c r="L214" s="153">
        <v>203</v>
      </c>
      <c r="M214" s="92"/>
    </row>
    <row r="215" spans="1:13" ht="21.6" x14ac:dyDescent="0.65">
      <c r="A215" s="195"/>
      <c r="B215" s="140">
        <v>212</v>
      </c>
      <c r="C215" s="2"/>
      <c r="D215" s="1"/>
      <c r="E215" s="3"/>
      <c r="F215" s="1"/>
      <c r="G215" s="141">
        <f>IF(Basic3456789101112131415[[#This Row],[نوع الخدمة]]="مخالفات", 50,
IF(Basic3456789101112131415[[#This Row],[نوع الخدمة]]="كاش ان",
    IF(F215&lt;=100, 18, IF(F215&lt;=250, 23, IF(F215&lt;=500, 35, IF(F215&lt;=1000, 40, F215*0.04)))),
IF(Basic3456789101112131415[[#This Row],[نوع الخدمة]]="كاش اوت",
    IF(F215&lt;=100, 15, IF(F215&lt;=250, 20, IF(F215&lt;=500, 30, IF(F215&lt;=1000, 35, F215*0.035)))),
0)))</f>
        <v>0</v>
      </c>
      <c r="H215" s="159">
        <f>IF(I215="مخالفات",50,Basic3456789101112131415[[#This Row],[قيمة الرسوم / العموله]]+Basic3456789101112131415[[#This Row],[قيمة الشحنه]])</f>
        <v>0</v>
      </c>
      <c r="I215" s="90"/>
      <c r="J215" s="142" t="str">
        <f t="shared" si="3"/>
        <v>18.5.2026</v>
      </c>
      <c r="L215" s="153">
        <v>204</v>
      </c>
      <c r="M215" s="92"/>
    </row>
    <row r="216" spans="1:13" ht="21.6" x14ac:dyDescent="0.65">
      <c r="A216" s="195"/>
      <c r="B216" s="140">
        <v>213</v>
      </c>
      <c r="C216" s="2"/>
      <c r="D216" s="1"/>
      <c r="E216" s="3"/>
      <c r="F216" s="1"/>
      <c r="G216" s="141">
        <f>IF(Basic3456789101112131415[[#This Row],[نوع الخدمة]]="مخالفات", 50,
IF(Basic3456789101112131415[[#This Row],[نوع الخدمة]]="كاش ان",
    IF(F216&lt;=100, 18, IF(F216&lt;=250, 23, IF(F216&lt;=500, 35, IF(F216&lt;=1000, 40, F216*0.04)))),
IF(Basic3456789101112131415[[#This Row],[نوع الخدمة]]="كاش اوت",
    IF(F216&lt;=100, 15, IF(F216&lt;=250, 20, IF(F216&lt;=500, 30, IF(F216&lt;=1000, 35, F216*0.035)))),
0)))</f>
        <v>0</v>
      </c>
      <c r="H216" s="159">
        <f>IF(I216="مخالفات",50,Basic3456789101112131415[[#This Row],[قيمة الرسوم / العموله]]+Basic3456789101112131415[[#This Row],[قيمة الشحنه]])</f>
        <v>0</v>
      </c>
      <c r="I216" s="90"/>
      <c r="J216" s="142" t="str">
        <f t="shared" si="3"/>
        <v>18.5.2026</v>
      </c>
      <c r="L216" s="153">
        <v>205</v>
      </c>
      <c r="M216" s="92"/>
    </row>
    <row r="217" spans="1:13" ht="21.6" x14ac:dyDescent="0.65">
      <c r="A217" s="195"/>
      <c r="B217" s="144">
        <v>214</v>
      </c>
      <c r="C217" s="2"/>
      <c r="D217" s="1"/>
      <c r="E217" s="3"/>
      <c r="F217" s="1"/>
      <c r="G217" s="141">
        <f>IF(Basic3456789101112131415[[#This Row],[نوع الخدمة]]="مخالفات", 50,
IF(Basic3456789101112131415[[#This Row],[نوع الخدمة]]="كاش ان",
    IF(F217&lt;=100, 18, IF(F217&lt;=250, 23, IF(F217&lt;=500, 35, IF(F217&lt;=1000, 40, F217*0.04)))),
IF(Basic3456789101112131415[[#This Row],[نوع الخدمة]]="كاش اوت",
    IF(F217&lt;=100, 15, IF(F217&lt;=250, 20, IF(F217&lt;=500, 30, IF(F217&lt;=1000, 35, F217*0.035)))),
0)))</f>
        <v>0</v>
      </c>
      <c r="H217" s="159">
        <f>IF(I217="مخالفات",50,Basic3456789101112131415[[#This Row],[قيمة الرسوم / العموله]]+Basic3456789101112131415[[#This Row],[قيمة الشحنه]])</f>
        <v>0</v>
      </c>
      <c r="I217" s="90"/>
      <c r="J217" s="142" t="str">
        <f t="shared" si="3"/>
        <v>18.5.2026</v>
      </c>
      <c r="L217" s="153">
        <v>206</v>
      </c>
      <c r="M217" s="92"/>
    </row>
    <row r="218" spans="1:13" ht="21.6" x14ac:dyDescent="0.65">
      <c r="A218" s="195"/>
      <c r="B218" s="140">
        <v>215</v>
      </c>
      <c r="C218" s="2"/>
      <c r="D218" s="1"/>
      <c r="E218" s="3"/>
      <c r="F218" s="1"/>
      <c r="G218" s="141">
        <f>IF(Basic3456789101112131415[[#This Row],[نوع الخدمة]]="مخالفات", 50,
IF(Basic3456789101112131415[[#This Row],[نوع الخدمة]]="كاش ان",
    IF(F218&lt;=100, 18, IF(F218&lt;=250, 23, IF(F218&lt;=500, 35, IF(F218&lt;=1000, 40, F218*0.04)))),
IF(Basic3456789101112131415[[#This Row],[نوع الخدمة]]="كاش اوت",
    IF(F218&lt;=100, 15, IF(F218&lt;=250, 20, IF(F218&lt;=500, 30, IF(F218&lt;=1000, 35, F218*0.035)))),
0)))</f>
        <v>0</v>
      </c>
      <c r="H218" s="159">
        <f>IF(I218="مخالفات",50,Basic3456789101112131415[[#This Row],[قيمة الرسوم / العموله]]+Basic3456789101112131415[[#This Row],[قيمة الشحنه]])</f>
        <v>0</v>
      </c>
      <c r="I218" s="90"/>
      <c r="J218" s="142" t="str">
        <f t="shared" si="3"/>
        <v>18.5.2026</v>
      </c>
      <c r="L218" s="153">
        <v>207</v>
      </c>
      <c r="M218" s="92"/>
    </row>
    <row r="219" spans="1:13" ht="21.6" x14ac:dyDescent="0.65">
      <c r="A219" s="195"/>
      <c r="B219" s="140">
        <v>216</v>
      </c>
      <c r="C219" s="2"/>
      <c r="D219" s="1"/>
      <c r="E219" s="3"/>
      <c r="F219" s="1"/>
      <c r="G219" s="141">
        <f>IF(Basic3456789101112131415[[#This Row],[نوع الخدمة]]="مخالفات", 50,
IF(Basic3456789101112131415[[#This Row],[نوع الخدمة]]="كاش ان",
    IF(F219&lt;=100, 18, IF(F219&lt;=250, 23, IF(F219&lt;=500, 35, IF(F219&lt;=1000, 40, F219*0.04)))),
IF(Basic3456789101112131415[[#This Row],[نوع الخدمة]]="كاش اوت",
    IF(F219&lt;=100, 15, IF(F219&lt;=250, 20, IF(F219&lt;=500, 30, IF(F219&lt;=1000, 35, F219*0.035)))),
0)))</f>
        <v>0</v>
      </c>
      <c r="H219" s="159">
        <f>IF(I219="مخالفات",50,Basic3456789101112131415[[#This Row],[قيمة الرسوم / العموله]]+Basic3456789101112131415[[#This Row],[قيمة الشحنه]])</f>
        <v>0</v>
      </c>
      <c r="I219" s="90"/>
      <c r="J219" s="142" t="str">
        <f t="shared" si="3"/>
        <v>18.5.2026</v>
      </c>
      <c r="L219" s="153">
        <v>208</v>
      </c>
      <c r="M219" s="92"/>
    </row>
    <row r="220" spans="1:13" ht="21.6" x14ac:dyDescent="0.65">
      <c r="A220" s="195"/>
      <c r="B220" s="140">
        <v>217</v>
      </c>
      <c r="C220" s="2"/>
      <c r="D220" s="1"/>
      <c r="E220" s="3"/>
      <c r="F220" s="1"/>
      <c r="G220" s="141">
        <f>IF(Basic3456789101112131415[[#This Row],[نوع الخدمة]]="مخالفات", 50,
IF(Basic3456789101112131415[[#This Row],[نوع الخدمة]]="كاش ان",
    IF(F220&lt;=100, 18, IF(F220&lt;=250, 23, IF(F220&lt;=500, 35, IF(F220&lt;=1000, 40, F220*0.04)))),
IF(Basic3456789101112131415[[#This Row],[نوع الخدمة]]="كاش اوت",
    IF(F220&lt;=100, 15, IF(F220&lt;=250, 20, IF(F220&lt;=500, 30, IF(F220&lt;=1000, 35, F220*0.035)))),
0)))</f>
        <v>0</v>
      </c>
      <c r="H220" s="159">
        <f>IF(I220="مخالفات",50,Basic3456789101112131415[[#This Row],[قيمة الرسوم / العموله]]+Basic3456789101112131415[[#This Row],[قيمة الشحنه]])</f>
        <v>0</v>
      </c>
      <c r="I220" s="90"/>
      <c r="J220" s="142" t="str">
        <f t="shared" si="3"/>
        <v>18.5.2026</v>
      </c>
      <c r="L220" s="153">
        <v>209</v>
      </c>
      <c r="M220" s="92"/>
    </row>
    <row r="221" spans="1:13" ht="21.6" x14ac:dyDescent="0.65">
      <c r="A221" s="195"/>
      <c r="B221" s="144">
        <v>218</v>
      </c>
      <c r="C221" s="2"/>
      <c r="D221" s="1"/>
      <c r="E221" s="3"/>
      <c r="F221" s="1"/>
      <c r="G221" s="141">
        <f>IF(Basic3456789101112131415[[#This Row],[نوع الخدمة]]="مخالفات", 50,
IF(Basic3456789101112131415[[#This Row],[نوع الخدمة]]="كاش ان",
    IF(F221&lt;=100, 18, IF(F221&lt;=250, 23, IF(F221&lt;=500, 35, IF(F221&lt;=1000, 40, F221*0.04)))),
IF(Basic3456789101112131415[[#This Row],[نوع الخدمة]]="كاش اوت",
    IF(F221&lt;=100, 15, IF(F221&lt;=250, 20, IF(F221&lt;=500, 30, IF(F221&lt;=1000, 35, F221*0.035)))),
0)))</f>
        <v>0</v>
      </c>
      <c r="H221" s="159">
        <f>IF(I221="مخالفات",50,Basic3456789101112131415[[#This Row],[قيمة الرسوم / العموله]]+Basic3456789101112131415[[#This Row],[قيمة الشحنه]])</f>
        <v>0</v>
      </c>
      <c r="I221" s="90"/>
      <c r="J221" s="142" t="str">
        <f t="shared" si="3"/>
        <v>18.5.2026</v>
      </c>
      <c r="L221" s="153">
        <v>210</v>
      </c>
      <c r="M221" s="92"/>
    </row>
    <row r="222" spans="1:13" ht="21.6" x14ac:dyDescent="0.65">
      <c r="A222" s="195"/>
      <c r="B222" s="140">
        <v>219</v>
      </c>
      <c r="C222" s="2"/>
      <c r="D222" s="1"/>
      <c r="E222" s="3"/>
      <c r="F222" s="1"/>
      <c r="G222" s="141">
        <f>IF(Basic3456789101112131415[[#This Row],[نوع الخدمة]]="مخالفات", 50,
IF(Basic3456789101112131415[[#This Row],[نوع الخدمة]]="كاش ان",
    IF(F222&lt;=100, 18, IF(F222&lt;=250, 23, IF(F222&lt;=500, 35, IF(F222&lt;=1000, 40, F222*0.04)))),
IF(Basic3456789101112131415[[#This Row],[نوع الخدمة]]="كاش اوت",
    IF(F222&lt;=100, 15, IF(F222&lt;=250, 20, IF(F222&lt;=500, 30, IF(F222&lt;=1000, 35, F222*0.035)))),
0)))</f>
        <v>0</v>
      </c>
      <c r="H222" s="159">
        <f>IF(I222="مخالفات",50,Basic3456789101112131415[[#This Row],[قيمة الرسوم / العموله]]+Basic3456789101112131415[[#This Row],[قيمة الشحنه]])</f>
        <v>0</v>
      </c>
      <c r="I222" s="90"/>
      <c r="J222" s="142" t="str">
        <f t="shared" si="3"/>
        <v>18.5.2026</v>
      </c>
      <c r="L222" s="153">
        <v>211</v>
      </c>
      <c r="M222" s="92"/>
    </row>
    <row r="223" spans="1:13" ht="21.6" x14ac:dyDescent="0.65">
      <c r="A223" s="195"/>
      <c r="B223" s="140">
        <v>220</v>
      </c>
      <c r="C223" s="2"/>
      <c r="D223" s="1"/>
      <c r="E223" s="3"/>
      <c r="F223" s="1"/>
      <c r="G223" s="141">
        <f>IF(Basic3456789101112131415[[#This Row],[نوع الخدمة]]="مخالفات", 50,
IF(Basic3456789101112131415[[#This Row],[نوع الخدمة]]="كاش ان",
    IF(F223&lt;=100, 18, IF(F223&lt;=250, 23, IF(F223&lt;=500, 35, IF(F223&lt;=1000, 40, F223*0.04)))),
IF(Basic3456789101112131415[[#This Row],[نوع الخدمة]]="كاش اوت",
    IF(F223&lt;=100, 15, IF(F223&lt;=250, 20, IF(F223&lt;=500, 30, IF(F223&lt;=1000, 35, F223*0.035)))),
0)))</f>
        <v>0</v>
      </c>
      <c r="H223" s="159">
        <f>IF(I223="مخالفات",50,Basic3456789101112131415[[#This Row],[قيمة الرسوم / العموله]]+Basic3456789101112131415[[#This Row],[قيمة الشحنه]])</f>
        <v>0</v>
      </c>
      <c r="I223" s="90"/>
      <c r="J223" s="142" t="str">
        <f t="shared" si="3"/>
        <v>18.5.2026</v>
      </c>
      <c r="L223" s="153">
        <v>212</v>
      </c>
      <c r="M223" s="92"/>
    </row>
    <row r="224" spans="1:13" ht="21.6" x14ac:dyDescent="0.65">
      <c r="A224" s="195"/>
      <c r="B224" s="140">
        <v>221</v>
      </c>
      <c r="C224" s="2"/>
      <c r="D224" s="1"/>
      <c r="E224" s="3"/>
      <c r="F224" s="1"/>
      <c r="G224" s="141">
        <f>IF(Basic3456789101112131415[[#This Row],[نوع الخدمة]]="مخالفات", 50,
IF(Basic3456789101112131415[[#This Row],[نوع الخدمة]]="كاش ان",
    IF(F224&lt;=100, 18, IF(F224&lt;=250, 23, IF(F224&lt;=500, 35, IF(F224&lt;=1000, 40, F224*0.04)))),
IF(Basic3456789101112131415[[#This Row],[نوع الخدمة]]="كاش اوت",
    IF(F224&lt;=100, 15, IF(F224&lt;=250, 20, IF(F224&lt;=500, 30, IF(F224&lt;=1000, 35, F224*0.035)))),
0)))</f>
        <v>0</v>
      </c>
      <c r="H224" s="159">
        <f>IF(I224="مخالفات",50,Basic3456789101112131415[[#This Row],[قيمة الرسوم / العموله]]+Basic3456789101112131415[[#This Row],[قيمة الشحنه]])</f>
        <v>0</v>
      </c>
      <c r="I224" s="90"/>
      <c r="J224" s="142" t="str">
        <f t="shared" si="3"/>
        <v>18.5.2026</v>
      </c>
      <c r="L224" s="153">
        <v>213</v>
      </c>
      <c r="M224" s="92"/>
    </row>
    <row r="225" spans="1:13" ht="21.6" x14ac:dyDescent="0.65">
      <c r="A225" s="195"/>
      <c r="B225" s="144">
        <v>222</v>
      </c>
      <c r="C225" s="2"/>
      <c r="D225" s="1"/>
      <c r="E225" s="3"/>
      <c r="F225" s="1"/>
      <c r="G225" s="141">
        <f>IF(Basic3456789101112131415[[#This Row],[نوع الخدمة]]="مخالفات", 50,
IF(Basic3456789101112131415[[#This Row],[نوع الخدمة]]="كاش ان",
    IF(F225&lt;=100, 18, IF(F225&lt;=250, 23, IF(F225&lt;=500, 35, IF(F225&lt;=1000, 40, F225*0.04)))),
IF(Basic3456789101112131415[[#This Row],[نوع الخدمة]]="كاش اوت",
    IF(F225&lt;=100, 15, IF(F225&lt;=250, 20, IF(F225&lt;=500, 30, IF(F225&lt;=1000, 35, F225*0.035)))),
0)))</f>
        <v>0</v>
      </c>
      <c r="H225" s="159">
        <f>IF(I225="مخالفات",50,Basic3456789101112131415[[#This Row],[قيمة الرسوم / العموله]]+Basic3456789101112131415[[#This Row],[قيمة الشحنه]])</f>
        <v>0</v>
      </c>
      <c r="I225" s="90"/>
      <c r="J225" s="142" t="str">
        <f t="shared" si="3"/>
        <v>18.5.2026</v>
      </c>
      <c r="L225" s="153">
        <v>214</v>
      </c>
      <c r="M225" s="92"/>
    </row>
    <row r="226" spans="1:13" ht="21.6" x14ac:dyDescent="0.65">
      <c r="A226" s="195"/>
      <c r="B226" s="140">
        <v>223</v>
      </c>
      <c r="C226" s="4"/>
      <c r="D226" s="5"/>
      <c r="E226" s="6"/>
      <c r="F226" s="5"/>
      <c r="G226" s="141">
        <f>IF(Basic3456789101112131415[[#This Row],[نوع الخدمة]]="مخالفات", 50,
IF(Basic3456789101112131415[[#This Row],[نوع الخدمة]]="كاش ان",
    IF(F226&lt;=100, 18, IF(F226&lt;=250, 23, IF(F226&lt;=500, 35, IF(F226&lt;=1000, 40, F226*0.04)))),
IF(Basic3456789101112131415[[#This Row],[نوع الخدمة]]="كاش اوت",
    IF(F226&lt;=100, 15, IF(F226&lt;=250, 20, IF(F226&lt;=500, 30, IF(F226&lt;=1000, 35, F226*0.035)))),
0)))</f>
        <v>0</v>
      </c>
      <c r="H226" s="160">
        <f>IF(I226="مخالفات",50,Basic3456789101112131415[[#This Row],[قيمة الرسوم / العموله]]+Basic3456789101112131415[[#This Row],[قيمة الشحنه]])</f>
        <v>0</v>
      </c>
      <c r="I226" s="90"/>
      <c r="J226" s="142" t="str">
        <f t="shared" si="3"/>
        <v>18.5.2026</v>
      </c>
      <c r="L226" s="156">
        <v>215</v>
      </c>
      <c r="M226" s="93"/>
    </row>
  </sheetData>
  <sheetProtection algorithmName="SHA-512" hashValue="FgCNBjj3NvbRDqDDnoaaMMT18dE+ChfL1BYjrBWoAhTC8JQhi4Flq87Lajj2rIzpGp6OLZubcATcRA+pLN4qPg==" saltValue="ISKj0kWTSJhjUxEtes+79A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55" priority="12" operator="equal">
      <formula>$BH$10</formula>
    </cfRule>
    <cfRule type="cellIs" dxfId="54" priority="13" operator="equal">
      <formula>$BH$9</formula>
    </cfRule>
    <cfRule type="cellIs" dxfId="53" priority="14" operator="equal">
      <formula>$BH$8</formula>
    </cfRule>
  </conditionalFormatting>
  <conditionalFormatting sqref="P11">
    <cfRule type="cellIs" dxfId="52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{991A0B99-4227-4DC0-848B-2520DB20C5C7}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{85AD9F9C-66C5-4853-8A64-9ABA65F9006A}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{F4927851-D778-4A49-B81E-58AE7D18D71F}</x14:id>
        </ext>
      </extLst>
    </cfRule>
  </conditionalFormatting>
  <dataValidations count="2">
    <dataValidation type="textLength" operator="equal" allowBlank="1" showInputMessage="1" showErrorMessage="1" errorTitle="يجب إخال رقم IPN صحيح 13 رقم" sqref="C1:C1048576" xr:uid="{00000000-0002-0000-1100-000000000000}">
      <formula1>13</formula1>
    </dataValidation>
    <dataValidation type="list" allowBlank="1" showInputMessage="1" showErrorMessage="1" sqref="I4:I226" xr:uid="{00000000-0002-0000-1100-000001000000}">
      <formula1>$BH$8:$BH$10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91A0B99-4227-4DC0-848B-2520DB20C5C7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85AD9F9C-66C5-4853-8A64-9ABA65F9006A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F4927851-D778-4A49-B81E-58AE7D18D71F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H226"/>
  <sheetViews>
    <sheetView showGridLines="0" showRowColHeaders="0" rightToLeft="1" topLeftCell="D1" zoomScale="80" zoomScaleNormal="80" workbookViewId="0">
      <selection activeCell="R10" sqref="R10:W10"/>
    </sheetView>
  </sheetViews>
  <sheetFormatPr defaultColWidth="9.109375" defaultRowHeight="14.4" x14ac:dyDescent="0.3"/>
  <cols>
    <col min="1" max="1" width="4.109375" style="124" customWidth="1"/>
    <col min="2" max="2" width="6.5546875" style="125" bestFit="1" customWidth="1"/>
    <col min="3" max="3" width="27.6640625" style="126" customWidth="1"/>
    <col min="4" max="4" width="15.6640625" style="124" customWidth="1"/>
    <col min="5" max="5" width="17.5546875" style="157" customWidth="1"/>
    <col min="6" max="6" width="12.88671875" style="124" bestFit="1" customWidth="1"/>
    <col min="7" max="7" width="19" style="124" bestFit="1" customWidth="1"/>
    <col min="8" max="8" width="19" style="124" customWidth="1"/>
    <col min="9" max="9" width="12.44140625" style="128" bestFit="1" customWidth="1"/>
    <col min="10" max="10" width="13.109375" style="129" customWidth="1"/>
    <col min="11" max="11" width="3.5546875" style="124" customWidth="1"/>
    <col min="12" max="12" width="8.5546875" style="124" bestFit="1" customWidth="1"/>
    <col min="13" max="13" width="24.6640625" style="124" customWidth="1"/>
    <col min="14" max="14" width="4.5546875" style="124" customWidth="1"/>
    <col min="15" max="15" width="26.5546875" style="124" bestFit="1" customWidth="1"/>
    <col min="16" max="16" width="13.33203125" style="124" customWidth="1"/>
    <col min="17" max="17" width="3.5546875" style="124" customWidth="1"/>
    <col min="18" max="19" width="18" style="128" customWidth="1"/>
    <col min="20" max="20" width="11.5546875" style="128" bestFit="1" customWidth="1"/>
    <col min="21" max="22" width="11.44140625" style="128" customWidth="1"/>
    <col min="23" max="23" width="8.44140625" style="128" customWidth="1"/>
    <col min="24" max="24" width="12.6640625" style="128" customWidth="1"/>
    <col min="25" max="26" width="9.109375" style="128"/>
    <col min="27" max="16384" width="9.109375" style="124"/>
  </cols>
  <sheetData>
    <row r="1" spans="1:60" x14ac:dyDescent="0.3">
      <c r="E1" s="127">
        <f>Total!F5</f>
        <v>69</v>
      </c>
      <c r="F1" s="192" t="str">
        <f>Total!G5</f>
        <v>العبور</v>
      </c>
      <c r="G1" s="192"/>
      <c r="H1" s="192"/>
    </row>
    <row r="3" spans="1:60" ht="15.6" x14ac:dyDescent="0.3">
      <c r="B3" s="130" t="s">
        <v>0</v>
      </c>
      <c r="C3" s="131" t="s">
        <v>1</v>
      </c>
      <c r="D3" s="132" t="s">
        <v>2</v>
      </c>
      <c r="E3" s="133" t="s">
        <v>3</v>
      </c>
      <c r="F3" s="132" t="s">
        <v>4</v>
      </c>
      <c r="G3" s="132" t="s">
        <v>5</v>
      </c>
      <c r="H3" s="132" t="s">
        <v>76</v>
      </c>
      <c r="I3" s="132" t="s">
        <v>6</v>
      </c>
      <c r="J3" s="134" t="s">
        <v>7</v>
      </c>
      <c r="L3" s="135" t="s">
        <v>7</v>
      </c>
      <c r="M3" s="7" t="s">
        <v>102</v>
      </c>
      <c r="O3" s="137" t="s">
        <v>17</v>
      </c>
      <c r="P3" s="138">
        <f>M5+M6</f>
        <v>0</v>
      </c>
      <c r="T3" s="173"/>
      <c r="U3" s="173"/>
      <c r="V3" s="173"/>
      <c r="W3" s="173"/>
      <c r="X3" s="173"/>
    </row>
    <row r="4" spans="1:60" ht="21.6" x14ac:dyDescent="0.65">
      <c r="A4" s="195"/>
      <c r="B4" s="140">
        <v>1</v>
      </c>
      <c r="C4" s="8"/>
      <c r="D4" s="9"/>
      <c r="E4" s="10"/>
      <c r="F4" s="9"/>
      <c r="G4" s="141">
        <f>IF(Basic34567891011121314[[#This Row],[نوع الخدمة]]="مخالفات", 50,
IF(Basic34567891011121314[[#This Row],[نوع الخدمة]]="كاش ان",
    IF(F4&lt;=100, 18, IF(F4&lt;=250, 23, IF(F4&lt;=500, 35, IF(F4&lt;=1000, 40, F4*0.04)))),
IF(Basic34567891011121314[[#This Row],[نوع الخدمة]]="كاش اوت",
    IF(F4&lt;=100, 15, IF(F4&lt;=250, 20, IF(F4&lt;=500, 30, IF(F4&lt;=1000, 35, F4*0.035)))),
0)))</f>
        <v>0</v>
      </c>
      <c r="H4" s="162">
        <f>IF(I4="مخالفات",50,Basic34567891011121314[[#This Row],[قيمة الرسوم / العموله]]+Basic34567891011121314[[#This Row],[قيمة الشحنه]])</f>
        <v>0</v>
      </c>
      <c r="I4" s="90"/>
      <c r="J4" s="142" t="str">
        <f t="shared" ref="J4:J67" si="0">M$3</f>
        <v>19.5.2026</v>
      </c>
      <c r="L4" s="135" t="s">
        <v>26</v>
      </c>
      <c r="M4" s="90">
        <v>0</v>
      </c>
      <c r="O4" s="137" t="s">
        <v>18</v>
      </c>
      <c r="P4" s="138">
        <f>M4</f>
        <v>0</v>
      </c>
      <c r="S4" s="143" t="s">
        <v>22</v>
      </c>
      <c r="T4" s="143" t="s">
        <v>23</v>
      </c>
      <c r="U4" s="173"/>
      <c r="V4" s="173"/>
      <c r="W4" s="173"/>
      <c r="X4" s="173"/>
    </row>
    <row r="5" spans="1:60" ht="21.6" x14ac:dyDescent="0.65">
      <c r="A5" s="195"/>
      <c r="B5" s="144">
        <v>2</v>
      </c>
      <c r="C5" s="8"/>
      <c r="D5" s="9"/>
      <c r="E5" s="10"/>
      <c r="F5" s="9"/>
      <c r="G5" s="141">
        <f>IF(Basic34567891011121314[[#This Row],[نوع الخدمة]]="مخالفات", 50,
IF(Basic34567891011121314[[#This Row],[نوع الخدمة]]="كاش ان",
    IF(F5&lt;=100, 18, IF(F5&lt;=250, 23, IF(F5&lt;=500, 35, IF(F5&lt;=1000, 40, F5*0.04)))),
IF(Basic34567891011121314[[#This Row],[نوع الخدمة]]="كاش اوت",
    IF(F5&lt;=100, 15, IF(F5&lt;=250, 20, IF(F5&lt;=500, 30, IF(F5&lt;=1000, 35, F5*0.035)))),
0)))</f>
        <v>0</v>
      </c>
      <c r="H5" s="162">
        <f>IF(I5="مخالفات",50,Basic34567891011121314[[#This Row],[قيمة الرسوم / العموله]]+Basic34567891011121314[[#This Row],[قيمة الشحنه]])</f>
        <v>0</v>
      </c>
      <c r="I5" s="90"/>
      <c r="J5" s="142" t="str">
        <f t="shared" si="0"/>
        <v>19.5.2026</v>
      </c>
      <c r="L5" s="135" t="s">
        <v>27</v>
      </c>
      <c r="M5" s="90"/>
      <c r="O5" s="137" t="s">
        <v>19</v>
      </c>
      <c r="P5" s="138">
        <f>SUMIF(Basic34567891011121314[نوع الخدمة],"كاش ان",Basic34567891011121314[قيمة الشحنه])</f>
        <v>0</v>
      </c>
      <c r="S5" s="145">
        <f>P5+P9+P12+P7</f>
        <v>0</v>
      </c>
      <c r="T5" s="145">
        <f>P3</f>
        <v>0</v>
      </c>
    </row>
    <row r="6" spans="1:60" ht="21.6" x14ac:dyDescent="0.65">
      <c r="A6" s="195"/>
      <c r="B6" s="140">
        <v>3</v>
      </c>
      <c r="C6" s="8"/>
      <c r="D6" s="9"/>
      <c r="E6" s="10"/>
      <c r="F6" s="9"/>
      <c r="G6" s="141">
        <f>IF(Basic34567891011121314[[#This Row],[نوع الخدمة]]="مخالفات", 50,
IF(Basic34567891011121314[[#This Row],[نوع الخدمة]]="كاش ان",
    IF(F6&lt;=100, 18, IF(F6&lt;=250, 23, IF(F6&lt;=500, 35, IF(F6&lt;=1000, 40, F6*0.04)))),
IF(Basic34567891011121314[[#This Row],[نوع الخدمة]]="كاش اوت",
    IF(F6&lt;=100, 15, IF(F6&lt;=250, 20, IF(F6&lt;=500, 30, IF(F6&lt;=1000, 35, F6*0.035)))),
0)))</f>
        <v>0</v>
      </c>
      <c r="H6" s="162">
        <f>IF(I6="مخالفات",50,Basic34567891011121314[[#This Row],[قيمة الرسوم / العموله]]+Basic34567891011121314[[#This Row],[قيمة الشحنه]])</f>
        <v>0</v>
      </c>
      <c r="I6" s="90"/>
      <c r="J6" s="142" t="str">
        <f t="shared" si="0"/>
        <v>19.5.2026</v>
      </c>
      <c r="L6" s="135" t="s">
        <v>28</v>
      </c>
      <c r="M6" s="90"/>
      <c r="O6" s="146" t="s">
        <v>12</v>
      </c>
      <c r="P6" s="138">
        <f>P3*150</f>
        <v>0</v>
      </c>
    </row>
    <row r="7" spans="1:60" ht="21.6" x14ac:dyDescent="0.65">
      <c r="A7" s="195"/>
      <c r="B7" s="140">
        <v>4</v>
      </c>
      <c r="C7" s="8"/>
      <c r="D7" s="9"/>
      <c r="E7" s="10"/>
      <c r="F7" s="9"/>
      <c r="G7" s="141">
        <f>IF(Basic34567891011121314[[#This Row],[نوع الخدمة]]="مخالفات", 50,
IF(Basic34567891011121314[[#This Row],[نوع الخدمة]]="كاش ان",
    IF(F7&lt;=100, 18, IF(F7&lt;=250, 23, IF(F7&lt;=500, 35, IF(F7&lt;=1000, 40, F7*0.04)))),
IF(Basic34567891011121314[[#This Row],[نوع الخدمة]]="كاش اوت",
    IF(F7&lt;=100, 15, IF(F7&lt;=250, 20, IF(F7&lt;=500, 30, IF(F7&lt;=1000, 35, F7*0.035)))),
0)))</f>
        <v>0</v>
      </c>
      <c r="H7" s="162">
        <f>IF(I7="مخالفات",50,Basic34567891011121314[[#This Row],[قيمة الرسوم / العموله]]+Basic34567891011121314[[#This Row],[قيمة الشحنه]])</f>
        <v>0</v>
      </c>
      <c r="I7" s="90"/>
      <c r="J7" s="142" t="str">
        <f t="shared" si="0"/>
        <v>19.5.2026</v>
      </c>
      <c r="L7" s="137" t="s">
        <v>11</v>
      </c>
      <c r="M7" s="165"/>
      <c r="O7" s="146" t="s">
        <v>75</v>
      </c>
      <c r="P7" s="138">
        <f>SUMIF(Basic34567891011121314[نوع الخدمة],"مخالفات",Basic34567891011121314[الاجمــــــــــالي])</f>
        <v>0</v>
      </c>
      <c r="R7" s="173"/>
      <c r="S7" s="173"/>
    </row>
    <row r="8" spans="1:60" ht="21.6" x14ac:dyDescent="0.65">
      <c r="A8" s="195"/>
      <c r="B8" s="140">
        <v>5</v>
      </c>
      <c r="C8" s="8"/>
      <c r="D8" s="9"/>
      <c r="E8" s="10"/>
      <c r="F8" s="9"/>
      <c r="G8" s="141">
        <f>IF(Basic34567891011121314[[#This Row],[نوع الخدمة]]="مخالفات", 50,
IF(Basic34567891011121314[[#This Row],[نوع الخدمة]]="كاش ان",
    IF(F8&lt;=100, 18, IF(F8&lt;=250, 23, IF(F8&lt;=500, 35, IF(F8&lt;=1000, 40, F8*0.04)))),
IF(Basic34567891011121314[[#This Row],[نوع الخدمة]]="كاش اوت",
    IF(F8&lt;=100, 15, IF(F8&lt;=250, 20, IF(F8&lt;=500, 30, IF(F8&lt;=1000, 35, F8*0.035)))),
0)))</f>
        <v>0</v>
      </c>
      <c r="H8" s="162">
        <f>IF(I8="مخالفات",50,Basic34567891011121314[[#This Row],[قيمة الرسوم / العموله]]+Basic34567891011121314[[#This Row],[قيمة الشحنه]])</f>
        <v>0</v>
      </c>
      <c r="I8" s="90"/>
      <c r="J8" s="142" t="str">
        <f t="shared" si="0"/>
        <v>19.5.2026</v>
      </c>
      <c r="L8" s="166" t="s">
        <v>79</v>
      </c>
      <c r="M8" s="167">
        <v>0</v>
      </c>
      <c r="O8" s="137" t="s">
        <v>11</v>
      </c>
      <c r="P8" s="138">
        <f>M7</f>
        <v>0</v>
      </c>
      <c r="R8" s="143" t="s">
        <v>72</v>
      </c>
      <c r="S8" s="143" t="s">
        <v>25</v>
      </c>
      <c r="T8" s="143" t="s">
        <v>24</v>
      </c>
      <c r="U8" s="143" t="s">
        <v>73</v>
      </c>
      <c r="V8" s="143" t="s">
        <v>25</v>
      </c>
      <c r="W8" s="143" t="s">
        <v>24</v>
      </c>
      <c r="BH8" s="148" t="s">
        <v>8</v>
      </c>
    </row>
    <row r="9" spans="1:60" ht="18" customHeight="1" x14ac:dyDescent="0.65">
      <c r="A9" s="195"/>
      <c r="B9" s="144">
        <v>6</v>
      </c>
      <c r="C9" s="8"/>
      <c r="D9" s="9"/>
      <c r="E9" s="10"/>
      <c r="F9" s="9"/>
      <c r="G9" s="141">
        <f>IF(Basic34567891011121314[[#This Row],[نوع الخدمة]]="مخالفات", 50,
IF(Basic34567891011121314[[#This Row],[نوع الخدمة]]="كاش ان",
    IF(F9&lt;=100, 18, IF(F9&lt;=250, 23, IF(F9&lt;=500, 35, IF(F9&lt;=1000, 40, F9*0.04)))),
IF(Basic34567891011121314[[#This Row],[نوع الخدمة]]="كاش اوت",
    IF(F9&lt;=100, 15, IF(F9&lt;=250, 20, IF(F9&lt;=500, 30, IF(F9&lt;=1000, 35, F9*0.035)))),
0)))</f>
        <v>0</v>
      </c>
      <c r="H9" s="162">
        <f>IF(I9="مخالفات",50,Basic34567891011121314[[#This Row],[قيمة الرسوم / العموله]]+Basic34567891011121314[[#This Row],[قيمة الشحنه]])</f>
        <v>0</v>
      </c>
      <c r="I9" s="90"/>
      <c r="J9" s="142" t="str">
        <f t="shared" si="0"/>
        <v>19.5.2026</v>
      </c>
      <c r="L9" s="166" t="s">
        <v>80</v>
      </c>
      <c r="M9" s="167">
        <v>0</v>
      </c>
      <c r="O9" s="137" t="s">
        <v>20</v>
      </c>
      <c r="P9" s="138">
        <f>SUMIF(Basic34567891011121314[نوع الخدمة],"كاش ان",Basic34567891011121314[قيمة الرسوم / العموله])</f>
        <v>0</v>
      </c>
      <c r="R9" s="149">
        <f>Total!H5/24</f>
        <v>29166.666666666668</v>
      </c>
      <c r="S9" s="149">
        <f>S5</f>
        <v>0</v>
      </c>
      <c r="T9" s="150">
        <f>S9/R9</f>
        <v>0</v>
      </c>
      <c r="U9" s="149">
        <f>Total!K5/24</f>
        <v>2.9166666666666665</v>
      </c>
      <c r="V9" s="149">
        <f>T5</f>
        <v>0</v>
      </c>
      <c r="W9" s="150">
        <f>V9/U9</f>
        <v>0</v>
      </c>
      <c r="BH9" s="148" t="s">
        <v>9</v>
      </c>
    </row>
    <row r="10" spans="1:60" ht="21.6" x14ac:dyDescent="0.65">
      <c r="A10" s="195"/>
      <c r="B10" s="140">
        <v>7</v>
      </c>
      <c r="C10" s="8"/>
      <c r="D10" s="9"/>
      <c r="E10" s="10"/>
      <c r="F10" s="9"/>
      <c r="G10" s="141">
        <f>IF(Basic34567891011121314[[#This Row],[نوع الخدمة]]="مخالفات", 50,
IF(Basic34567891011121314[[#This Row],[نوع الخدمة]]="كاش ان",
    IF(F10&lt;=100, 18, IF(F10&lt;=250, 23, IF(F10&lt;=500, 35, IF(F10&lt;=1000, 40, F10*0.04)))),
IF(Basic34567891011121314[[#This Row],[نوع الخدمة]]="كاش اوت",
    IF(F10&lt;=100, 15, IF(F10&lt;=250, 20, IF(F10&lt;=500, 30, IF(F10&lt;=1000, 35, F10*0.035)))),
0)))</f>
        <v>0</v>
      </c>
      <c r="H10" s="162">
        <f>IF(I10="مخالفات",50,Basic34567891011121314[[#This Row],[قيمة الرسوم / العموله]]+Basic34567891011121314[[#This Row],[قيمة الشحنه]])</f>
        <v>0</v>
      </c>
      <c r="I10" s="90"/>
      <c r="J10" s="142" t="str">
        <f t="shared" si="0"/>
        <v>19.5.2026</v>
      </c>
      <c r="O10" s="137" t="s">
        <v>16</v>
      </c>
      <c r="P10" s="138">
        <f>SUMIF(Basic34567891011121314[نوع الخدمة],"كاش اوت",Basic34567891011121314[قيمة الشحنه])</f>
        <v>0</v>
      </c>
      <c r="R10" s="191">
        <f>(W9+T9)/2</f>
        <v>0</v>
      </c>
      <c r="S10" s="191"/>
      <c r="T10" s="191"/>
      <c r="U10" s="191"/>
      <c r="V10" s="191"/>
      <c r="W10" s="191"/>
      <c r="BH10" s="148" t="s">
        <v>10</v>
      </c>
    </row>
    <row r="11" spans="1:60" ht="21.6" x14ac:dyDescent="0.65">
      <c r="A11" s="195"/>
      <c r="B11" s="140">
        <v>8</v>
      </c>
      <c r="C11" s="8"/>
      <c r="D11" s="9"/>
      <c r="E11" s="10"/>
      <c r="F11" s="9"/>
      <c r="G11" s="141">
        <f>IF(Basic34567891011121314[[#This Row],[نوع الخدمة]]="مخالفات", 50,
IF(Basic34567891011121314[[#This Row],[نوع الخدمة]]="كاش ان",
    IF(F11&lt;=100, 18, IF(F11&lt;=250, 23, IF(F11&lt;=500, 35, IF(F11&lt;=1000, 40, F11*0.04)))),
IF(Basic34567891011121314[[#This Row],[نوع الخدمة]]="كاش اوت",
    IF(F11&lt;=100, 15, IF(F11&lt;=250, 20, IF(F11&lt;=500, 30, IF(F11&lt;=1000, 35, F11*0.035)))),
0)))</f>
        <v>0</v>
      </c>
      <c r="H11" s="162">
        <f>IF(I11="مخالفات",50,Basic34567891011121314[[#This Row],[قيمة الرسوم / العموله]]+Basic34567891011121314[[#This Row],[قيمة الشحنه]])</f>
        <v>0</v>
      </c>
      <c r="I11" s="90"/>
      <c r="J11" s="142" t="str">
        <f t="shared" si="0"/>
        <v>19.5.2026</v>
      </c>
      <c r="L11" s="169" t="s">
        <v>77</v>
      </c>
      <c r="M11" s="168" t="s">
        <v>78</v>
      </c>
      <c r="O11" s="151" t="s">
        <v>21</v>
      </c>
      <c r="P11" s="152">
        <f>(P5+P6+P9+P7+P4)-P10-P8</f>
        <v>0</v>
      </c>
      <c r="T11" s="173"/>
    </row>
    <row r="12" spans="1:60" ht="21.6" x14ac:dyDescent="0.65">
      <c r="A12" s="195"/>
      <c r="B12" s="140">
        <v>9</v>
      </c>
      <c r="C12" s="8"/>
      <c r="D12" s="9"/>
      <c r="E12" s="10"/>
      <c r="F12" s="9"/>
      <c r="G12" s="141">
        <f>IF(Basic34567891011121314[[#This Row],[نوع الخدمة]]="مخالفات", 50,
IF(Basic34567891011121314[[#This Row],[نوع الخدمة]]="كاش ان",
    IF(F12&lt;=100, 18, IF(F12&lt;=250, 23, IF(F12&lt;=500, 35, IF(F12&lt;=1000, 40, F12*0.04)))),
IF(Basic34567891011121314[[#This Row],[نوع الخدمة]]="كاش اوت",
    IF(F12&lt;=100, 15, IF(F12&lt;=250, 20, IF(F12&lt;=500, 30, IF(F12&lt;=1000, 35, F12*0.035)))),
0)))</f>
        <v>0</v>
      </c>
      <c r="H12" s="162">
        <f>IF(I12="مخالفات",50,Basic34567891011121314[[#This Row],[قيمة الرسوم / العموله]]+Basic34567891011121314[[#This Row],[قيمة الشحنه]])</f>
        <v>0</v>
      </c>
      <c r="I12" s="90"/>
      <c r="J12" s="142" t="str">
        <f t="shared" si="0"/>
        <v>19.5.2026</v>
      </c>
      <c r="L12" s="153">
        <v>1</v>
      </c>
      <c r="M12" s="91"/>
      <c r="O12" s="137" t="s">
        <v>29</v>
      </c>
      <c r="P12" s="138">
        <f>SUMIF(Basic34567891011121314[نوع الخدمة],"كاش اوت",Basic34567891011121314[الاجمــــــــــالي])</f>
        <v>0</v>
      </c>
    </row>
    <row r="13" spans="1:60" ht="21.6" x14ac:dyDescent="0.65">
      <c r="A13" s="195"/>
      <c r="B13" s="144">
        <v>10</v>
      </c>
      <c r="C13" s="8"/>
      <c r="D13" s="9"/>
      <c r="E13" s="10"/>
      <c r="F13" s="9"/>
      <c r="G13" s="141">
        <f>IF(Basic34567891011121314[[#This Row],[نوع الخدمة]]="مخالفات", 50,
IF(Basic34567891011121314[[#This Row],[نوع الخدمة]]="كاش ان",
    IF(F13&lt;=100, 18, IF(F13&lt;=250, 23, IF(F13&lt;=500, 35, IF(F13&lt;=1000, 40, F13*0.04)))),
IF(Basic34567891011121314[[#This Row],[نوع الخدمة]]="كاش اوت",
    IF(F13&lt;=100, 15, IF(F13&lt;=250, 20, IF(F13&lt;=500, 30, IF(F13&lt;=1000, 35, F13*0.035)))),
0)))</f>
        <v>0</v>
      </c>
      <c r="H13" s="162">
        <f>IF(I13="مخالفات",50,Basic34567891011121314[[#This Row],[قيمة الرسوم / العموله]]+Basic34567891011121314[[#This Row],[قيمة الشحنه]])</f>
        <v>0</v>
      </c>
      <c r="I13" s="90"/>
      <c r="J13" s="142" t="str">
        <f t="shared" si="0"/>
        <v>19.5.2026</v>
      </c>
      <c r="L13" s="153">
        <v>2</v>
      </c>
      <c r="M13" s="92"/>
    </row>
    <row r="14" spans="1:60" ht="21.6" x14ac:dyDescent="0.65">
      <c r="A14" s="195"/>
      <c r="B14" s="140">
        <v>11</v>
      </c>
      <c r="C14" s="2"/>
      <c r="D14" s="1"/>
      <c r="E14" s="3"/>
      <c r="F14" s="1"/>
      <c r="G14" s="141">
        <f>IF(Basic34567891011121314[[#This Row],[نوع الخدمة]]="مخالفات", 50,
IF(Basic34567891011121314[[#This Row],[نوع الخدمة]]="كاش ان",
    IF(F14&lt;=100, 18, IF(F14&lt;=250, 23, IF(F14&lt;=500, 35, IF(F14&lt;=1000, 40, F14*0.04)))),
IF(Basic34567891011121314[[#This Row],[نوع الخدمة]]="كاش اوت",
    IF(F14&lt;=100, 15, IF(F14&lt;=250, 20, IF(F14&lt;=500, 30, IF(F14&lt;=1000, 35, F14*0.035)))),
0)))</f>
        <v>0</v>
      </c>
      <c r="H14" s="163">
        <f>IF(I14="مخالفات",50,Basic34567891011121314[[#This Row],[قيمة الرسوم / العموله]]+Basic34567891011121314[[#This Row],[قيمة الشحنه]])</f>
        <v>0</v>
      </c>
      <c r="I14" s="90"/>
      <c r="J14" s="142" t="str">
        <f t="shared" si="0"/>
        <v>19.5.2026</v>
      </c>
      <c r="L14" s="153">
        <v>3</v>
      </c>
      <c r="M14" s="92"/>
    </row>
    <row r="15" spans="1:60" ht="21.6" x14ac:dyDescent="0.65">
      <c r="A15" s="195"/>
      <c r="B15" s="140">
        <v>12</v>
      </c>
      <c r="C15" s="2"/>
      <c r="D15" s="1"/>
      <c r="E15" s="3"/>
      <c r="F15" s="1"/>
      <c r="G15" s="141">
        <f>IF(Basic34567891011121314[[#This Row],[نوع الخدمة]]="مخالفات", 50,
IF(Basic34567891011121314[[#This Row],[نوع الخدمة]]="كاش ان",
    IF(F15&lt;=100, 18, IF(F15&lt;=250, 23, IF(F15&lt;=500, 35, IF(F15&lt;=1000, 40, F15*0.04)))),
IF(Basic34567891011121314[[#This Row],[نوع الخدمة]]="كاش اوت",
    IF(F15&lt;=100, 15, IF(F15&lt;=250, 20, IF(F15&lt;=500, 30, IF(F15&lt;=1000, 35, F15*0.035)))),
0)))</f>
        <v>0</v>
      </c>
      <c r="H15" s="163">
        <f>IF(I15="مخالفات",50,Basic34567891011121314[[#This Row],[قيمة الرسوم / العموله]]+Basic34567891011121314[[#This Row],[قيمة الشحنه]])</f>
        <v>0</v>
      </c>
      <c r="I15" s="90"/>
      <c r="J15" s="142" t="str">
        <f t="shared" si="0"/>
        <v>19.5.2026</v>
      </c>
      <c r="L15" s="153">
        <v>4</v>
      </c>
      <c r="M15" s="92"/>
      <c r="O15" s="154" t="s">
        <v>10</v>
      </c>
      <c r="P15" s="155">
        <f>COUNTIF(Basic34567891011121314[نوع الخدمة],"مخالفات")</f>
        <v>0</v>
      </c>
    </row>
    <row r="16" spans="1:60" ht="21.6" x14ac:dyDescent="0.65">
      <c r="A16" s="195"/>
      <c r="B16" s="140">
        <v>13</v>
      </c>
      <c r="C16" s="2"/>
      <c r="D16" s="1"/>
      <c r="E16" s="3"/>
      <c r="F16" s="1"/>
      <c r="G16" s="141">
        <f>IF(Basic34567891011121314[[#This Row],[نوع الخدمة]]="مخالفات", 50,
IF(Basic34567891011121314[[#This Row],[نوع الخدمة]]="كاش ان",
    IF(F16&lt;=100, 18, IF(F16&lt;=250, 23, IF(F16&lt;=500, 35, IF(F16&lt;=1000, 40, F16*0.04)))),
IF(Basic34567891011121314[[#This Row],[نوع الخدمة]]="كاش اوت",
    IF(F16&lt;=100, 15, IF(F16&lt;=250, 20, IF(F16&lt;=500, 30, IF(F16&lt;=1000, 35, F16*0.035)))),
0)))</f>
        <v>0</v>
      </c>
      <c r="H16" s="163">
        <f>IF(I16="مخالفات",50,Basic34567891011121314[[#This Row],[قيمة الرسوم / العموله]]+Basic34567891011121314[[#This Row],[قيمة الشحنه]])</f>
        <v>0</v>
      </c>
      <c r="I16" s="90"/>
      <c r="J16" s="142" t="str">
        <f t="shared" si="0"/>
        <v>19.5.2026</v>
      </c>
      <c r="L16" s="153">
        <v>5</v>
      </c>
      <c r="M16" s="92"/>
      <c r="O16" s="154" t="s">
        <v>13</v>
      </c>
      <c r="P16" s="155">
        <f>COUNTIF(Basic34567891011121314[نوع الخدمة],"كاش ان")</f>
        <v>0</v>
      </c>
    </row>
    <row r="17" spans="1:21" ht="21.6" x14ac:dyDescent="0.65">
      <c r="A17" s="195"/>
      <c r="B17" s="144">
        <v>14</v>
      </c>
      <c r="C17" s="2"/>
      <c r="D17" s="1"/>
      <c r="E17" s="3"/>
      <c r="F17" s="1"/>
      <c r="G17" s="141">
        <f>IF(Basic34567891011121314[[#This Row],[نوع الخدمة]]="مخالفات", 50,
IF(Basic34567891011121314[[#This Row],[نوع الخدمة]]="كاش ان",
    IF(F17&lt;=100, 18, IF(F17&lt;=250, 23, IF(F17&lt;=500, 35, IF(F17&lt;=1000, 40, F17*0.04)))),
IF(Basic34567891011121314[[#This Row],[نوع الخدمة]]="كاش اوت",
    IF(F17&lt;=100, 15, IF(F17&lt;=250, 20, IF(F17&lt;=500, 30, IF(F17&lt;=1000, 35, F17*0.035)))),
0)))</f>
        <v>0</v>
      </c>
      <c r="H17" s="163">
        <f>IF(I17="مخالفات",50,Basic34567891011121314[[#This Row],[قيمة الرسوم / العموله]]+Basic34567891011121314[[#This Row],[قيمة الشحنه]])</f>
        <v>0</v>
      </c>
      <c r="I17" s="90"/>
      <c r="J17" s="142" t="str">
        <f t="shared" si="0"/>
        <v>19.5.2026</v>
      </c>
      <c r="L17" s="153">
        <v>6</v>
      </c>
      <c r="M17" s="92"/>
      <c r="O17" s="154" t="s">
        <v>14</v>
      </c>
      <c r="P17" s="155">
        <f>COUNTIF(Basic34567891011121314[نوع الخدمة],"كاش اوت")</f>
        <v>0</v>
      </c>
    </row>
    <row r="18" spans="1:21" ht="21.6" x14ac:dyDescent="0.65">
      <c r="A18" s="195"/>
      <c r="B18" s="140">
        <v>15</v>
      </c>
      <c r="C18" s="2"/>
      <c r="D18" s="1"/>
      <c r="E18" s="3"/>
      <c r="F18" s="1"/>
      <c r="G18" s="141">
        <f>IF(Basic34567891011121314[[#This Row],[نوع الخدمة]]="مخالفات", 50,
IF(Basic34567891011121314[[#This Row],[نوع الخدمة]]="كاش ان",
    IF(F18&lt;=100, 18, IF(F18&lt;=250, 23, IF(F18&lt;=500, 35, IF(F18&lt;=1000, 40, F18*0.04)))),
IF(Basic34567891011121314[[#This Row],[نوع الخدمة]]="كاش اوت",
    IF(F18&lt;=100, 15, IF(F18&lt;=250, 20, IF(F18&lt;=500, 30, IF(F18&lt;=1000, 35, F18*0.035)))),
0)))</f>
        <v>0</v>
      </c>
      <c r="H18" s="163">
        <f>IF(I18="مخالفات",50,Basic34567891011121314[[#This Row],[قيمة الرسوم / العموله]]+Basic34567891011121314[[#This Row],[قيمة الشحنه]])</f>
        <v>0</v>
      </c>
      <c r="I18" s="90"/>
      <c r="J18" s="142" t="str">
        <f t="shared" si="0"/>
        <v>19.5.2026</v>
      </c>
      <c r="L18" s="153">
        <v>7</v>
      </c>
      <c r="M18" s="92"/>
      <c r="O18" s="154" t="s">
        <v>15</v>
      </c>
      <c r="P18" s="155">
        <f>P16+P17</f>
        <v>0</v>
      </c>
    </row>
    <row r="19" spans="1:21" ht="21.6" x14ac:dyDescent="0.65">
      <c r="A19" s="195"/>
      <c r="B19" s="140">
        <v>16</v>
      </c>
      <c r="C19" s="2"/>
      <c r="D19" s="1"/>
      <c r="E19" s="3"/>
      <c r="F19" s="1"/>
      <c r="G19" s="141">
        <f>IF(Basic34567891011121314[[#This Row],[نوع الخدمة]]="مخالفات", 50,
IF(Basic34567891011121314[[#This Row],[نوع الخدمة]]="كاش ان",
    IF(F19&lt;=100, 18, IF(F19&lt;=250, 23, IF(F19&lt;=500, 35, IF(F19&lt;=1000, 40, F19*0.04)))),
IF(Basic34567891011121314[[#This Row],[نوع الخدمة]]="كاش اوت",
    IF(F19&lt;=100, 15, IF(F19&lt;=250, 20, IF(F19&lt;=500, 30, IF(F19&lt;=1000, 35, F19*0.035)))),
0)))</f>
        <v>0</v>
      </c>
      <c r="H19" s="163">
        <f>IF(I19="مخالفات",50,Basic34567891011121314[[#This Row],[قيمة الرسوم / العموله]]+Basic34567891011121314[[#This Row],[قيمة الشحنه]])</f>
        <v>0</v>
      </c>
      <c r="I19" s="90"/>
      <c r="J19" s="142" t="str">
        <f t="shared" si="0"/>
        <v>19.5.2026</v>
      </c>
      <c r="L19" s="153">
        <v>8</v>
      </c>
      <c r="M19" s="92"/>
    </row>
    <row r="20" spans="1:21" ht="21.6" x14ac:dyDescent="0.65">
      <c r="A20" s="195"/>
      <c r="B20" s="140">
        <v>17</v>
      </c>
      <c r="C20" s="2"/>
      <c r="D20" s="1"/>
      <c r="E20" s="3"/>
      <c r="F20" s="1"/>
      <c r="G20" s="141">
        <f>IF(Basic34567891011121314[[#This Row],[نوع الخدمة]]="مخالفات", 50,
IF(Basic34567891011121314[[#This Row],[نوع الخدمة]]="كاش ان",
    IF(F20&lt;=100, 18, IF(F20&lt;=250, 23, IF(F20&lt;=500, 35, IF(F20&lt;=1000, 40, F20*0.04)))),
IF(Basic34567891011121314[[#This Row],[نوع الخدمة]]="كاش اوت",
    IF(F20&lt;=100, 15, IF(F20&lt;=250, 20, IF(F20&lt;=500, 30, IF(F20&lt;=1000, 35, F20*0.035)))),
0)))</f>
        <v>0</v>
      </c>
      <c r="H20" s="163">
        <f>IF(I20="مخالفات",50,Basic34567891011121314[[#This Row],[قيمة الرسوم / العموله]]+Basic34567891011121314[[#This Row],[قيمة الشحنه]])</f>
        <v>0</v>
      </c>
      <c r="I20" s="90"/>
      <c r="J20" s="142" t="str">
        <f t="shared" si="0"/>
        <v>19.5.2026</v>
      </c>
      <c r="L20" s="153">
        <v>9</v>
      </c>
      <c r="M20" s="92"/>
      <c r="O20" s="193" t="s">
        <v>30</v>
      </c>
      <c r="P20" s="194"/>
    </row>
    <row r="21" spans="1:21" ht="21.6" x14ac:dyDescent="0.65">
      <c r="A21" s="195"/>
      <c r="B21" s="144">
        <v>18</v>
      </c>
      <c r="C21" s="2"/>
      <c r="D21" s="1"/>
      <c r="E21" s="3"/>
      <c r="F21" s="1"/>
      <c r="G21" s="141">
        <f>IF(Basic34567891011121314[[#This Row],[نوع الخدمة]]="مخالفات", 50,
IF(Basic34567891011121314[[#This Row],[نوع الخدمة]]="كاش ان",
    IF(F21&lt;=100, 18, IF(F21&lt;=250, 23, IF(F21&lt;=500, 35, IF(F21&lt;=1000, 40, F21*0.04)))),
IF(Basic34567891011121314[[#This Row],[نوع الخدمة]]="كاش اوت",
    IF(F21&lt;=100, 15, IF(F21&lt;=250, 20, IF(F21&lt;=500, 30, IF(F21&lt;=1000, 35, F21*0.035)))),
0)))</f>
        <v>0</v>
      </c>
      <c r="H21" s="163">
        <f>IF(I21="مخالفات",50,Basic34567891011121314[[#This Row],[قيمة الرسوم / العموله]]+Basic34567891011121314[[#This Row],[قيمة الشحنه]])</f>
        <v>0</v>
      </c>
      <c r="I21" s="90"/>
      <c r="J21" s="142" t="str">
        <f t="shared" si="0"/>
        <v>19.5.2026</v>
      </c>
      <c r="L21" s="153">
        <v>10</v>
      </c>
      <c r="M21" s="92"/>
      <c r="O21" s="196" t="s">
        <v>31</v>
      </c>
      <c r="P21" s="197"/>
    </row>
    <row r="22" spans="1:21" ht="21.6" x14ac:dyDescent="0.65">
      <c r="A22" s="195"/>
      <c r="B22" s="140">
        <v>19</v>
      </c>
      <c r="C22" s="2"/>
      <c r="D22" s="1"/>
      <c r="E22" s="3"/>
      <c r="F22" s="1"/>
      <c r="G22" s="141">
        <f>IF(Basic34567891011121314[[#This Row],[نوع الخدمة]]="مخالفات", 50,
IF(Basic34567891011121314[[#This Row],[نوع الخدمة]]="كاش ان",
    IF(F22&lt;=100, 18, IF(F22&lt;=250, 23, IF(F22&lt;=500, 35, IF(F22&lt;=1000, 40, F22*0.04)))),
IF(Basic34567891011121314[[#This Row],[نوع الخدمة]]="كاش اوت",
    IF(F22&lt;=100, 15, IF(F22&lt;=250, 20, IF(F22&lt;=500, 30, IF(F22&lt;=1000, 35, F22*0.035)))),
0)))</f>
        <v>0</v>
      </c>
      <c r="H22" s="163">
        <f>IF(I22="مخالفات",50,Basic34567891011121314[[#This Row],[قيمة الرسوم / العموله]]+Basic34567891011121314[[#This Row],[قيمة الشحنه]])</f>
        <v>0</v>
      </c>
      <c r="I22" s="90"/>
      <c r="J22" s="142" t="str">
        <f t="shared" si="0"/>
        <v>19.5.2026</v>
      </c>
      <c r="L22" s="153">
        <v>11</v>
      </c>
      <c r="M22" s="92"/>
      <c r="O22" s="147" t="s">
        <v>27</v>
      </c>
      <c r="P22" s="135">
        <f>M8+'18'!P28</f>
        <v>-4</v>
      </c>
    </row>
    <row r="23" spans="1:21" ht="21.6" x14ac:dyDescent="0.65">
      <c r="A23" s="195"/>
      <c r="B23" s="140">
        <v>20</v>
      </c>
      <c r="C23" s="2"/>
      <c r="D23" s="1"/>
      <c r="E23" s="3"/>
      <c r="F23" s="1"/>
      <c r="G23" s="141">
        <f>IF(Basic34567891011121314[[#This Row],[نوع الخدمة]]="مخالفات", 50,
IF(Basic34567891011121314[[#This Row],[نوع الخدمة]]="كاش ان",
    IF(F23&lt;=100, 18, IF(F23&lt;=250, 23, IF(F23&lt;=500, 35, IF(F23&lt;=1000, 40, F23*0.04)))),
IF(Basic34567891011121314[[#This Row],[نوع الخدمة]]="كاش اوت",
    IF(F23&lt;=100, 15, IF(F23&lt;=250, 20, IF(F23&lt;=500, 30, IF(F23&lt;=1000, 35, F23*0.035)))),
0)))</f>
        <v>0</v>
      </c>
      <c r="H23" s="163">
        <f>IF(I23="مخالفات",50,Basic34567891011121314[[#This Row],[قيمة الرسوم / العموله]]+Basic34567891011121314[[#This Row],[قيمة الشحنه]])</f>
        <v>0</v>
      </c>
      <c r="I23" s="90"/>
      <c r="J23" s="142" t="str">
        <f t="shared" si="0"/>
        <v>19.5.2026</v>
      </c>
      <c r="L23" s="153">
        <v>12</v>
      </c>
      <c r="M23" s="92"/>
      <c r="O23" s="147" t="s">
        <v>28</v>
      </c>
      <c r="P23" s="135">
        <f>M9+'18'!P29</f>
        <v>0</v>
      </c>
      <c r="T23" s="173"/>
      <c r="U23" s="173"/>
    </row>
    <row r="24" spans="1:21" ht="21.6" x14ac:dyDescent="0.65">
      <c r="A24" s="195"/>
      <c r="B24" s="140">
        <v>21</v>
      </c>
      <c r="C24" s="2"/>
      <c r="D24" s="1"/>
      <c r="E24" s="3"/>
      <c r="F24" s="1"/>
      <c r="G24" s="141">
        <f>IF(Basic34567891011121314[[#This Row],[نوع الخدمة]]="مخالفات", 50,
IF(Basic34567891011121314[[#This Row],[نوع الخدمة]]="كاش ان",
    IF(F24&lt;=100, 18, IF(F24&lt;=250, 23, IF(F24&lt;=500, 35, IF(F24&lt;=1000, 40, F24*0.04)))),
IF(Basic34567891011121314[[#This Row],[نوع الخدمة]]="كاش اوت",
    IF(F24&lt;=100, 15, IF(F24&lt;=250, 20, IF(F24&lt;=500, 30, IF(F24&lt;=1000, 35, F24*0.035)))),
0)))</f>
        <v>0</v>
      </c>
      <c r="H24" s="163">
        <f>IF(I24="مخالفات",50,Basic34567891011121314[[#This Row],[قيمة الرسوم / العموله]]+Basic34567891011121314[[#This Row],[قيمة الشحنه]])</f>
        <v>0</v>
      </c>
      <c r="I24" s="90"/>
      <c r="J24" s="142" t="str">
        <f t="shared" si="0"/>
        <v>19.5.2026</v>
      </c>
      <c r="L24" s="153">
        <v>13</v>
      </c>
      <c r="M24" s="92"/>
      <c r="O24" s="196" t="s">
        <v>32</v>
      </c>
      <c r="P24" s="197"/>
    </row>
    <row r="25" spans="1:21" ht="21.6" x14ac:dyDescent="0.65">
      <c r="A25" s="195"/>
      <c r="B25" s="144">
        <v>22</v>
      </c>
      <c r="C25" s="2"/>
      <c r="D25" s="1"/>
      <c r="E25" s="3"/>
      <c r="F25" s="1"/>
      <c r="G25" s="141">
        <f>IF(Basic34567891011121314[[#This Row],[نوع الخدمة]]="مخالفات", 50,
IF(Basic34567891011121314[[#This Row],[نوع الخدمة]]="كاش ان",
    IF(F25&lt;=100, 18, IF(F25&lt;=250, 23, IF(F25&lt;=500, 35, IF(F25&lt;=1000, 40, F25*0.04)))),
IF(Basic34567891011121314[[#This Row],[نوع الخدمة]]="كاش اوت",
    IF(F25&lt;=100, 15, IF(F25&lt;=250, 20, IF(F25&lt;=500, 30, IF(F25&lt;=1000, 35, F25*0.035)))),
0)))</f>
        <v>0</v>
      </c>
      <c r="H25" s="163">
        <f>IF(I25="مخالفات",50,Basic34567891011121314[[#This Row],[قيمة الرسوم / العموله]]+Basic34567891011121314[[#This Row],[قيمة الشحنه]])</f>
        <v>0</v>
      </c>
      <c r="I25" s="90"/>
      <c r="J25" s="142" t="str">
        <f t="shared" si="0"/>
        <v>19.5.2026</v>
      </c>
      <c r="L25" s="153">
        <v>14</v>
      </c>
      <c r="M25" s="92"/>
      <c r="O25" s="147" t="s">
        <v>27</v>
      </c>
      <c r="P25" s="135">
        <f>M5</f>
        <v>0</v>
      </c>
    </row>
    <row r="26" spans="1:21" ht="21.6" x14ac:dyDescent="0.65">
      <c r="A26" s="195"/>
      <c r="B26" s="140">
        <v>23</v>
      </c>
      <c r="C26" s="2"/>
      <c r="D26" s="1"/>
      <c r="E26" s="3"/>
      <c r="F26" s="1"/>
      <c r="G26" s="141">
        <f>IF(Basic34567891011121314[[#This Row],[نوع الخدمة]]="مخالفات", 50,
IF(Basic34567891011121314[[#This Row],[نوع الخدمة]]="كاش ان",
    IF(F26&lt;=100, 18, IF(F26&lt;=250, 23, IF(F26&lt;=500, 35, IF(F26&lt;=1000, 40, F26*0.04)))),
IF(Basic34567891011121314[[#This Row],[نوع الخدمة]]="كاش اوت",
    IF(F26&lt;=100, 15, IF(F26&lt;=250, 20, IF(F26&lt;=500, 30, IF(F26&lt;=1000, 35, F26*0.035)))),
0)))</f>
        <v>0</v>
      </c>
      <c r="H26" s="163">
        <f>IF(I26="مخالفات",50,Basic34567891011121314[[#This Row],[قيمة الرسوم / العموله]]+Basic34567891011121314[[#This Row],[قيمة الشحنه]])</f>
        <v>0</v>
      </c>
      <c r="I26" s="90"/>
      <c r="J26" s="142" t="str">
        <f t="shared" si="0"/>
        <v>19.5.2026</v>
      </c>
      <c r="L26" s="153">
        <v>15</v>
      </c>
      <c r="M26" s="92"/>
      <c r="O26" s="147" t="s">
        <v>28</v>
      </c>
      <c r="P26" s="135">
        <f>M6</f>
        <v>0</v>
      </c>
    </row>
    <row r="27" spans="1:21" ht="21.6" x14ac:dyDescent="0.65">
      <c r="A27" s="195"/>
      <c r="B27" s="140">
        <v>24</v>
      </c>
      <c r="C27" s="2"/>
      <c r="D27" s="1"/>
      <c r="E27" s="3"/>
      <c r="F27" s="1"/>
      <c r="G27" s="141">
        <f>IF(Basic34567891011121314[[#This Row],[نوع الخدمة]]="مخالفات", 50,
IF(Basic34567891011121314[[#This Row],[نوع الخدمة]]="كاش ان",
    IF(F27&lt;=100, 18, IF(F27&lt;=250, 23, IF(F27&lt;=500, 35, IF(F27&lt;=1000, 40, F27*0.04)))),
IF(Basic34567891011121314[[#This Row],[نوع الخدمة]]="كاش اوت",
    IF(F27&lt;=100, 15, IF(F27&lt;=250, 20, IF(F27&lt;=500, 30, IF(F27&lt;=1000, 35, F27*0.035)))),
0)))</f>
        <v>0</v>
      </c>
      <c r="H27" s="163">
        <f>IF(I27="مخالفات",50,Basic34567891011121314[[#This Row],[قيمة الرسوم / العموله]]+Basic34567891011121314[[#This Row],[قيمة الشحنه]])</f>
        <v>0</v>
      </c>
      <c r="I27" s="90"/>
      <c r="J27" s="142" t="str">
        <f t="shared" si="0"/>
        <v>19.5.2026</v>
      </c>
      <c r="L27" s="153">
        <v>16</v>
      </c>
      <c r="M27" s="92"/>
      <c r="O27" s="196" t="s">
        <v>33</v>
      </c>
      <c r="P27" s="197"/>
    </row>
    <row r="28" spans="1:21" ht="21.6" x14ac:dyDescent="0.65">
      <c r="A28" s="195"/>
      <c r="B28" s="140">
        <v>25</v>
      </c>
      <c r="C28" s="2"/>
      <c r="D28" s="1"/>
      <c r="E28" s="3"/>
      <c r="F28" s="1"/>
      <c r="G28" s="141">
        <f>IF(Basic34567891011121314[[#This Row],[نوع الخدمة]]="مخالفات", 50,
IF(Basic34567891011121314[[#This Row],[نوع الخدمة]]="كاش ان",
    IF(F28&lt;=100, 18, IF(F28&lt;=250, 23, IF(F28&lt;=500, 35, IF(F28&lt;=1000, 40, F28*0.04)))),
IF(Basic34567891011121314[[#This Row],[نوع الخدمة]]="كاش اوت",
    IF(F28&lt;=100, 15, IF(F28&lt;=250, 20, IF(F28&lt;=500, 30, IF(F28&lt;=1000, 35, F28*0.035)))),
0)))</f>
        <v>0</v>
      </c>
      <c r="H28" s="163">
        <f>IF(I28="مخالفات",50,Basic34567891011121314[[#This Row],[قيمة الرسوم / العموله]]+Basic34567891011121314[[#This Row],[قيمة الشحنه]])</f>
        <v>0</v>
      </c>
      <c r="I28" s="90"/>
      <c r="J28" s="142" t="str">
        <f t="shared" si="0"/>
        <v>19.5.2026</v>
      </c>
      <c r="L28" s="153">
        <v>17</v>
      </c>
      <c r="M28" s="92"/>
      <c r="O28" s="147" t="s">
        <v>27</v>
      </c>
      <c r="P28" s="135">
        <f>P22-P25</f>
        <v>-4</v>
      </c>
    </row>
    <row r="29" spans="1:21" ht="21.6" x14ac:dyDescent="0.65">
      <c r="A29" s="195"/>
      <c r="B29" s="144">
        <v>26</v>
      </c>
      <c r="C29" s="2"/>
      <c r="D29" s="1"/>
      <c r="E29" s="3"/>
      <c r="F29" s="1"/>
      <c r="G29" s="141">
        <f>IF(Basic34567891011121314[[#This Row],[نوع الخدمة]]="مخالفات", 50,
IF(Basic34567891011121314[[#This Row],[نوع الخدمة]]="كاش ان",
    IF(F29&lt;=100, 18, IF(F29&lt;=250, 23, IF(F29&lt;=500, 35, IF(F29&lt;=1000, 40, F29*0.04)))),
IF(Basic34567891011121314[[#This Row],[نوع الخدمة]]="كاش اوت",
    IF(F29&lt;=100, 15, IF(F29&lt;=250, 20, IF(F29&lt;=500, 30, IF(F29&lt;=1000, 35, F29*0.035)))),
0)))</f>
        <v>0</v>
      </c>
      <c r="H29" s="163">
        <f>IF(I29="مخالفات",50,Basic34567891011121314[[#This Row],[قيمة الرسوم / العموله]]+Basic34567891011121314[[#This Row],[قيمة الشحنه]])</f>
        <v>0</v>
      </c>
      <c r="I29" s="90"/>
      <c r="J29" s="142" t="str">
        <f t="shared" si="0"/>
        <v>19.5.2026</v>
      </c>
      <c r="L29" s="153">
        <v>18</v>
      </c>
      <c r="M29" s="92"/>
      <c r="O29" s="147" t="s">
        <v>28</v>
      </c>
      <c r="P29" s="135">
        <f>P23-P26</f>
        <v>0</v>
      </c>
    </row>
    <row r="30" spans="1:21" ht="21.6" x14ac:dyDescent="0.65">
      <c r="A30" s="195"/>
      <c r="B30" s="140">
        <v>27</v>
      </c>
      <c r="C30" s="2"/>
      <c r="D30" s="1"/>
      <c r="E30" s="3"/>
      <c r="F30" s="1"/>
      <c r="G30" s="141">
        <f>IF(Basic34567891011121314[[#This Row],[نوع الخدمة]]="مخالفات", 50,
IF(Basic34567891011121314[[#This Row],[نوع الخدمة]]="كاش ان",
    IF(F30&lt;=100, 18, IF(F30&lt;=250, 23, IF(F30&lt;=500, 35, IF(F30&lt;=1000, 40, F30*0.04)))),
IF(Basic34567891011121314[[#This Row],[نوع الخدمة]]="كاش اوت",
    IF(F30&lt;=100, 15, IF(F30&lt;=250, 20, IF(F30&lt;=500, 30, IF(F30&lt;=1000, 35, F30*0.035)))),
0)))</f>
        <v>0</v>
      </c>
      <c r="H30" s="163">
        <f>IF(I30="مخالفات",50,Basic34567891011121314[[#This Row],[قيمة الرسوم / العموله]]+Basic34567891011121314[[#This Row],[قيمة الشحنه]])</f>
        <v>0</v>
      </c>
      <c r="I30" s="90"/>
      <c r="J30" s="142" t="str">
        <f t="shared" si="0"/>
        <v>19.5.2026</v>
      </c>
      <c r="L30" s="153">
        <v>19</v>
      </c>
      <c r="M30" s="92"/>
    </row>
    <row r="31" spans="1:21" ht="21.6" x14ac:dyDescent="0.65">
      <c r="A31" s="195"/>
      <c r="B31" s="140">
        <v>28</v>
      </c>
      <c r="C31" s="2"/>
      <c r="D31" s="1"/>
      <c r="E31" s="3"/>
      <c r="F31" s="1"/>
      <c r="G31" s="141">
        <f>IF(Basic34567891011121314[[#This Row],[نوع الخدمة]]="مخالفات", 50,
IF(Basic34567891011121314[[#This Row],[نوع الخدمة]]="كاش ان",
    IF(F31&lt;=100, 18, IF(F31&lt;=250, 23, IF(F31&lt;=500, 35, IF(F31&lt;=1000, 40, F31*0.04)))),
IF(Basic34567891011121314[[#This Row],[نوع الخدمة]]="كاش اوت",
    IF(F31&lt;=100, 15, IF(F31&lt;=250, 20, IF(F31&lt;=500, 30, IF(F31&lt;=1000, 35, F31*0.035)))),
0)))</f>
        <v>0</v>
      </c>
      <c r="H31" s="163">
        <f>IF(I31="مخالفات",50,Basic34567891011121314[[#This Row],[قيمة الرسوم / العموله]]+Basic34567891011121314[[#This Row],[قيمة الشحنه]])</f>
        <v>0</v>
      </c>
      <c r="I31" s="90"/>
      <c r="J31" s="142" t="str">
        <f t="shared" si="0"/>
        <v>19.5.2026</v>
      </c>
      <c r="L31" s="153">
        <v>20</v>
      </c>
      <c r="M31" s="92"/>
    </row>
    <row r="32" spans="1:21" ht="21.6" x14ac:dyDescent="0.65">
      <c r="A32" s="195"/>
      <c r="B32" s="140">
        <v>29</v>
      </c>
      <c r="C32" s="2"/>
      <c r="D32" s="1"/>
      <c r="E32" s="3"/>
      <c r="F32" s="1"/>
      <c r="G32" s="141">
        <f>IF(Basic34567891011121314[[#This Row],[نوع الخدمة]]="مخالفات", 50,
IF(Basic34567891011121314[[#This Row],[نوع الخدمة]]="كاش ان",
    IF(F32&lt;=100, 18, IF(F32&lt;=250, 23, IF(F32&lt;=500, 35, IF(F32&lt;=1000, 40, F32*0.04)))),
IF(Basic34567891011121314[[#This Row],[نوع الخدمة]]="كاش اوت",
    IF(F32&lt;=100, 15, IF(F32&lt;=250, 20, IF(F32&lt;=500, 30, IF(F32&lt;=1000, 35, F32*0.035)))),
0)))</f>
        <v>0</v>
      </c>
      <c r="H32" s="163">
        <f>IF(I32="مخالفات",50,Basic34567891011121314[[#This Row],[قيمة الرسوم / العموله]]+Basic34567891011121314[[#This Row],[قيمة الشحنه]])</f>
        <v>0</v>
      </c>
      <c r="I32" s="90"/>
      <c r="J32" s="142" t="str">
        <f t="shared" si="0"/>
        <v>19.5.2026</v>
      </c>
      <c r="L32" s="153">
        <v>21</v>
      </c>
      <c r="M32" s="92"/>
    </row>
    <row r="33" spans="1:13" ht="21.6" x14ac:dyDescent="0.65">
      <c r="A33" s="195"/>
      <c r="B33" s="144">
        <v>30</v>
      </c>
      <c r="C33" s="2"/>
      <c r="D33" s="1"/>
      <c r="E33" s="3"/>
      <c r="F33" s="1"/>
      <c r="G33" s="141">
        <f>IF(Basic34567891011121314[[#This Row],[نوع الخدمة]]="مخالفات", 50,
IF(Basic34567891011121314[[#This Row],[نوع الخدمة]]="كاش ان",
    IF(F33&lt;=100, 18, IF(F33&lt;=250, 23, IF(F33&lt;=500, 35, IF(F33&lt;=1000, 40, F33*0.04)))),
IF(Basic34567891011121314[[#This Row],[نوع الخدمة]]="كاش اوت",
    IF(F33&lt;=100, 15, IF(F33&lt;=250, 20, IF(F33&lt;=500, 30, IF(F33&lt;=1000, 35, F33*0.035)))),
0)))</f>
        <v>0</v>
      </c>
      <c r="H33" s="163">
        <f>IF(I33="مخالفات",50,Basic34567891011121314[[#This Row],[قيمة الرسوم / العموله]]+Basic34567891011121314[[#This Row],[قيمة الشحنه]])</f>
        <v>0</v>
      </c>
      <c r="I33" s="90"/>
      <c r="J33" s="142" t="str">
        <f t="shared" si="0"/>
        <v>19.5.2026</v>
      </c>
      <c r="L33" s="153">
        <v>22</v>
      </c>
      <c r="M33" s="92"/>
    </row>
    <row r="34" spans="1:13" ht="21.6" x14ac:dyDescent="0.65">
      <c r="A34" s="195"/>
      <c r="B34" s="140">
        <v>31</v>
      </c>
      <c r="C34" s="2"/>
      <c r="D34" s="1"/>
      <c r="E34" s="3"/>
      <c r="F34" s="1"/>
      <c r="G34" s="141">
        <f>IF(Basic34567891011121314[[#This Row],[نوع الخدمة]]="مخالفات", 50,
IF(Basic34567891011121314[[#This Row],[نوع الخدمة]]="كاش ان",
    IF(F34&lt;=100, 18, IF(F34&lt;=250, 23, IF(F34&lt;=500, 35, IF(F34&lt;=1000, 40, F34*0.04)))),
IF(Basic34567891011121314[[#This Row],[نوع الخدمة]]="كاش اوت",
    IF(F34&lt;=100, 15, IF(F34&lt;=250, 20, IF(F34&lt;=500, 30, IF(F34&lt;=1000, 35, F34*0.035)))),
0)))</f>
        <v>0</v>
      </c>
      <c r="H34" s="163">
        <f>IF(I34="مخالفات",50,Basic34567891011121314[[#This Row],[قيمة الرسوم / العموله]]+Basic34567891011121314[[#This Row],[قيمة الشحنه]])</f>
        <v>0</v>
      </c>
      <c r="I34" s="90"/>
      <c r="J34" s="142" t="str">
        <f t="shared" si="0"/>
        <v>19.5.2026</v>
      </c>
      <c r="L34" s="153">
        <v>23</v>
      </c>
      <c r="M34" s="92"/>
    </row>
    <row r="35" spans="1:13" ht="21.6" x14ac:dyDescent="0.65">
      <c r="A35" s="195"/>
      <c r="B35" s="140">
        <v>32</v>
      </c>
      <c r="C35" s="2"/>
      <c r="D35" s="1"/>
      <c r="E35" s="3"/>
      <c r="F35" s="1"/>
      <c r="G35" s="141">
        <f>IF(Basic34567891011121314[[#This Row],[نوع الخدمة]]="مخالفات", 50,
IF(Basic34567891011121314[[#This Row],[نوع الخدمة]]="كاش ان",
    IF(F35&lt;=100, 18, IF(F35&lt;=250, 23, IF(F35&lt;=500, 35, IF(F35&lt;=1000, 40, F35*0.04)))),
IF(Basic34567891011121314[[#This Row],[نوع الخدمة]]="كاش اوت",
    IF(F35&lt;=100, 15, IF(F35&lt;=250, 20, IF(F35&lt;=500, 30, IF(F35&lt;=1000, 35, F35*0.035)))),
0)))</f>
        <v>0</v>
      </c>
      <c r="H35" s="163">
        <f>IF(I35="مخالفات",50,Basic34567891011121314[[#This Row],[قيمة الرسوم / العموله]]+Basic34567891011121314[[#This Row],[قيمة الشحنه]])</f>
        <v>0</v>
      </c>
      <c r="I35" s="90"/>
      <c r="J35" s="142" t="str">
        <f t="shared" si="0"/>
        <v>19.5.2026</v>
      </c>
      <c r="L35" s="153">
        <v>24</v>
      </c>
      <c r="M35" s="92"/>
    </row>
    <row r="36" spans="1:13" ht="21.6" x14ac:dyDescent="0.65">
      <c r="A36" s="195"/>
      <c r="B36" s="140">
        <v>33</v>
      </c>
      <c r="C36" s="2"/>
      <c r="D36" s="1"/>
      <c r="E36" s="3"/>
      <c r="F36" s="1"/>
      <c r="G36" s="141">
        <f>IF(Basic34567891011121314[[#This Row],[نوع الخدمة]]="مخالفات", 50,
IF(Basic34567891011121314[[#This Row],[نوع الخدمة]]="كاش ان",
    IF(F36&lt;=100, 18, IF(F36&lt;=250, 23, IF(F36&lt;=500, 35, IF(F36&lt;=1000, 40, F36*0.04)))),
IF(Basic34567891011121314[[#This Row],[نوع الخدمة]]="كاش اوت",
    IF(F36&lt;=100, 15, IF(F36&lt;=250, 20, IF(F36&lt;=500, 30, IF(F36&lt;=1000, 35, F36*0.035)))),
0)))</f>
        <v>0</v>
      </c>
      <c r="H36" s="163">
        <f>IF(I36="مخالفات",50,Basic34567891011121314[[#This Row],[قيمة الرسوم / العموله]]+Basic34567891011121314[[#This Row],[قيمة الشحنه]])</f>
        <v>0</v>
      </c>
      <c r="I36" s="90"/>
      <c r="J36" s="142" t="str">
        <f t="shared" si="0"/>
        <v>19.5.2026</v>
      </c>
      <c r="L36" s="153">
        <v>25</v>
      </c>
      <c r="M36" s="92"/>
    </row>
    <row r="37" spans="1:13" ht="21.6" x14ac:dyDescent="0.65">
      <c r="A37" s="195"/>
      <c r="B37" s="144">
        <v>34</v>
      </c>
      <c r="C37" s="2"/>
      <c r="D37" s="1"/>
      <c r="E37" s="3"/>
      <c r="F37" s="1"/>
      <c r="G37" s="141">
        <f>IF(Basic34567891011121314[[#This Row],[نوع الخدمة]]="مخالفات", 50,
IF(Basic34567891011121314[[#This Row],[نوع الخدمة]]="كاش ان",
    IF(F37&lt;=100, 18, IF(F37&lt;=250, 23, IF(F37&lt;=500, 35, IF(F37&lt;=1000, 40, F37*0.04)))),
IF(Basic34567891011121314[[#This Row],[نوع الخدمة]]="كاش اوت",
    IF(F37&lt;=100, 15, IF(F37&lt;=250, 20, IF(F37&lt;=500, 30, IF(F37&lt;=1000, 35, F37*0.035)))),
0)))</f>
        <v>0</v>
      </c>
      <c r="H37" s="163">
        <f>IF(I37="مخالفات",50,Basic34567891011121314[[#This Row],[قيمة الرسوم / العموله]]+Basic34567891011121314[[#This Row],[قيمة الشحنه]])</f>
        <v>0</v>
      </c>
      <c r="I37" s="90"/>
      <c r="J37" s="142" t="str">
        <f t="shared" si="0"/>
        <v>19.5.2026</v>
      </c>
      <c r="L37" s="153">
        <v>26</v>
      </c>
      <c r="M37" s="92"/>
    </row>
    <row r="38" spans="1:13" ht="21.6" x14ac:dyDescent="0.65">
      <c r="A38" s="195"/>
      <c r="B38" s="140">
        <v>35</v>
      </c>
      <c r="C38" s="2"/>
      <c r="D38" s="1"/>
      <c r="E38" s="3"/>
      <c r="F38" s="1"/>
      <c r="G38" s="141">
        <f>IF(Basic34567891011121314[[#This Row],[نوع الخدمة]]="مخالفات", 50,
IF(Basic34567891011121314[[#This Row],[نوع الخدمة]]="كاش ان",
    IF(F38&lt;=100, 18, IF(F38&lt;=250, 23, IF(F38&lt;=500, 35, IF(F38&lt;=1000, 40, F38*0.04)))),
IF(Basic34567891011121314[[#This Row],[نوع الخدمة]]="كاش اوت",
    IF(F38&lt;=100, 15, IF(F38&lt;=250, 20, IF(F38&lt;=500, 30, IF(F38&lt;=1000, 35, F38*0.035)))),
0)))</f>
        <v>0</v>
      </c>
      <c r="H38" s="163">
        <f>IF(I38="مخالفات",50,Basic34567891011121314[[#This Row],[قيمة الرسوم / العموله]]+Basic34567891011121314[[#This Row],[قيمة الشحنه]])</f>
        <v>0</v>
      </c>
      <c r="I38" s="90"/>
      <c r="J38" s="142" t="str">
        <f t="shared" si="0"/>
        <v>19.5.2026</v>
      </c>
      <c r="L38" s="153">
        <v>27</v>
      </c>
      <c r="M38" s="92"/>
    </row>
    <row r="39" spans="1:13" ht="21.6" x14ac:dyDescent="0.65">
      <c r="A39" s="195"/>
      <c r="B39" s="140">
        <v>36</v>
      </c>
      <c r="C39" s="2"/>
      <c r="D39" s="1"/>
      <c r="E39" s="3"/>
      <c r="F39" s="1"/>
      <c r="G39" s="141">
        <f>IF(Basic34567891011121314[[#This Row],[نوع الخدمة]]="مخالفات", 50,
IF(Basic34567891011121314[[#This Row],[نوع الخدمة]]="كاش ان",
    IF(F39&lt;=100, 18, IF(F39&lt;=250, 23, IF(F39&lt;=500, 35, IF(F39&lt;=1000, 40, F39*0.04)))),
IF(Basic34567891011121314[[#This Row],[نوع الخدمة]]="كاش اوت",
    IF(F39&lt;=100, 15, IF(F39&lt;=250, 20, IF(F39&lt;=500, 30, IF(F39&lt;=1000, 35, F39*0.035)))),
0)))</f>
        <v>0</v>
      </c>
      <c r="H39" s="163">
        <f>IF(I39="مخالفات",50,Basic34567891011121314[[#This Row],[قيمة الرسوم / العموله]]+Basic34567891011121314[[#This Row],[قيمة الشحنه]])</f>
        <v>0</v>
      </c>
      <c r="I39" s="90"/>
      <c r="J39" s="142" t="str">
        <f t="shared" si="0"/>
        <v>19.5.2026</v>
      </c>
      <c r="L39" s="153">
        <v>28</v>
      </c>
      <c r="M39" s="92"/>
    </row>
    <row r="40" spans="1:13" ht="21.6" x14ac:dyDescent="0.65">
      <c r="A40" s="195"/>
      <c r="B40" s="140">
        <v>37</v>
      </c>
      <c r="C40" s="2"/>
      <c r="D40" s="1"/>
      <c r="E40" s="3"/>
      <c r="F40" s="1"/>
      <c r="G40" s="141">
        <f>IF(Basic34567891011121314[[#This Row],[نوع الخدمة]]="مخالفات", 50,
IF(Basic34567891011121314[[#This Row],[نوع الخدمة]]="كاش ان",
    IF(F40&lt;=100, 18, IF(F40&lt;=250, 23, IF(F40&lt;=500, 35, IF(F40&lt;=1000, 40, F40*0.04)))),
IF(Basic34567891011121314[[#This Row],[نوع الخدمة]]="كاش اوت",
    IF(F40&lt;=100, 15, IF(F40&lt;=250, 20, IF(F40&lt;=500, 30, IF(F40&lt;=1000, 35, F40*0.035)))),
0)))</f>
        <v>0</v>
      </c>
      <c r="H40" s="163">
        <f>IF(I40="مخالفات",50,Basic34567891011121314[[#This Row],[قيمة الرسوم / العموله]]+Basic34567891011121314[[#This Row],[قيمة الشحنه]])</f>
        <v>0</v>
      </c>
      <c r="I40" s="90"/>
      <c r="J40" s="142" t="str">
        <f t="shared" si="0"/>
        <v>19.5.2026</v>
      </c>
      <c r="L40" s="153">
        <v>29</v>
      </c>
      <c r="M40" s="92"/>
    </row>
    <row r="41" spans="1:13" ht="21.6" x14ac:dyDescent="0.65">
      <c r="A41" s="195"/>
      <c r="B41" s="144">
        <v>38</v>
      </c>
      <c r="C41" s="2"/>
      <c r="D41" s="1"/>
      <c r="E41" s="3"/>
      <c r="F41" s="1"/>
      <c r="G41" s="141">
        <f>IF(Basic34567891011121314[[#This Row],[نوع الخدمة]]="مخالفات", 50,
IF(Basic34567891011121314[[#This Row],[نوع الخدمة]]="كاش ان",
    IF(F41&lt;=100, 18, IF(F41&lt;=250, 23, IF(F41&lt;=500, 35, IF(F41&lt;=1000, 40, F41*0.04)))),
IF(Basic34567891011121314[[#This Row],[نوع الخدمة]]="كاش اوت",
    IF(F41&lt;=100, 15, IF(F41&lt;=250, 20, IF(F41&lt;=500, 30, IF(F41&lt;=1000, 35, F41*0.035)))),
0)))</f>
        <v>0</v>
      </c>
      <c r="H41" s="163">
        <f>IF(I41="مخالفات",50,Basic34567891011121314[[#This Row],[قيمة الرسوم / العموله]]+Basic34567891011121314[[#This Row],[قيمة الشحنه]])</f>
        <v>0</v>
      </c>
      <c r="I41" s="90"/>
      <c r="J41" s="142" t="str">
        <f t="shared" si="0"/>
        <v>19.5.2026</v>
      </c>
      <c r="L41" s="153">
        <v>30</v>
      </c>
      <c r="M41" s="92"/>
    </row>
    <row r="42" spans="1:13" ht="21.6" x14ac:dyDescent="0.65">
      <c r="A42" s="195"/>
      <c r="B42" s="140">
        <v>39</v>
      </c>
      <c r="C42" s="2"/>
      <c r="D42" s="1"/>
      <c r="E42" s="3"/>
      <c r="F42" s="1"/>
      <c r="G42" s="141">
        <f>IF(Basic34567891011121314[[#This Row],[نوع الخدمة]]="مخالفات", 50,
IF(Basic34567891011121314[[#This Row],[نوع الخدمة]]="كاش ان",
    IF(F42&lt;=100, 18, IF(F42&lt;=250, 23, IF(F42&lt;=500, 35, IF(F42&lt;=1000, 40, F42*0.04)))),
IF(Basic34567891011121314[[#This Row],[نوع الخدمة]]="كاش اوت",
    IF(F42&lt;=100, 15, IF(F42&lt;=250, 20, IF(F42&lt;=500, 30, IF(F42&lt;=1000, 35, F42*0.035)))),
0)))</f>
        <v>0</v>
      </c>
      <c r="H42" s="163">
        <f>IF(I42="مخالفات",50,Basic34567891011121314[[#This Row],[قيمة الرسوم / العموله]]+Basic34567891011121314[[#This Row],[قيمة الشحنه]])</f>
        <v>0</v>
      </c>
      <c r="I42" s="90"/>
      <c r="J42" s="142" t="str">
        <f t="shared" si="0"/>
        <v>19.5.2026</v>
      </c>
      <c r="L42" s="153">
        <v>31</v>
      </c>
      <c r="M42" s="92"/>
    </row>
    <row r="43" spans="1:13" ht="21.6" x14ac:dyDescent="0.65">
      <c r="A43" s="195"/>
      <c r="B43" s="140">
        <v>40</v>
      </c>
      <c r="C43" s="2"/>
      <c r="D43" s="1"/>
      <c r="E43" s="3"/>
      <c r="F43" s="1"/>
      <c r="G43" s="141">
        <f>IF(Basic34567891011121314[[#This Row],[نوع الخدمة]]="مخالفات", 50,
IF(Basic34567891011121314[[#This Row],[نوع الخدمة]]="كاش ان",
    IF(F43&lt;=100, 18, IF(F43&lt;=250, 23, IF(F43&lt;=500, 35, IF(F43&lt;=1000, 40, F43*0.04)))),
IF(Basic34567891011121314[[#This Row],[نوع الخدمة]]="كاش اوت",
    IF(F43&lt;=100, 15, IF(F43&lt;=250, 20, IF(F43&lt;=500, 30, IF(F43&lt;=1000, 35, F43*0.035)))),
0)))</f>
        <v>0</v>
      </c>
      <c r="H43" s="163">
        <f>IF(I43="مخالفات",50,Basic34567891011121314[[#This Row],[قيمة الرسوم / العموله]]+Basic34567891011121314[[#This Row],[قيمة الشحنه]])</f>
        <v>0</v>
      </c>
      <c r="I43" s="90"/>
      <c r="J43" s="142" t="str">
        <f t="shared" si="0"/>
        <v>19.5.2026</v>
      </c>
      <c r="L43" s="153">
        <v>32</v>
      </c>
      <c r="M43" s="92"/>
    </row>
    <row r="44" spans="1:13" ht="21.6" x14ac:dyDescent="0.65">
      <c r="A44" s="195"/>
      <c r="B44" s="140">
        <v>41</v>
      </c>
      <c r="C44" s="2"/>
      <c r="D44" s="1"/>
      <c r="E44" s="3"/>
      <c r="F44" s="1"/>
      <c r="G44" s="141">
        <f>IF(Basic34567891011121314[[#This Row],[نوع الخدمة]]="مخالفات", 50,
IF(Basic34567891011121314[[#This Row],[نوع الخدمة]]="كاش ان",
    IF(F44&lt;=100, 18, IF(F44&lt;=250, 23, IF(F44&lt;=500, 35, IF(F44&lt;=1000, 40, F44*0.04)))),
IF(Basic34567891011121314[[#This Row],[نوع الخدمة]]="كاش اوت",
    IF(F44&lt;=100, 15, IF(F44&lt;=250, 20, IF(F44&lt;=500, 30, IF(F44&lt;=1000, 35, F44*0.035)))),
0)))</f>
        <v>0</v>
      </c>
      <c r="H44" s="163">
        <f>IF(I44="مخالفات",50,Basic34567891011121314[[#This Row],[قيمة الرسوم / العموله]]+Basic34567891011121314[[#This Row],[قيمة الشحنه]])</f>
        <v>0</v>
      </c>
      <c r="I44" s="90"/>
      <c r="J44" s="142" t="str">
        <f t="shared" si="0"/>
        <v>19.5.2026</v>
      </c>
      <c r="L44" s="153">
        <v>33</v>
      </c>
      <c r="M44" s="92"/>
    </row>
    <row r="45" spans="1:13" ht="21.6" x14ac:dyDescent="0.65">
      <c r="A45" s="195"/>
      <c r="B45" s="144">
        <v>42</v>
      </c>
      <c r="C45" s="2"/>
      <c r="D45" s="1"/>
      <c r="E45" s="3"/>
      <c r="F45" s="1"/>
      <c r="G45" s="141">
        <f>IF(Basic34567891011121314[[#This Row],[نوع الخدمة]]="مخالفات", 50,
IF(Basic34567891011121314[[#This Row],[نوع الخدمة]]="كاش ان",
    IF(F45&lt;=100, 18, IF(F45&lt;=250, 23, IF(F45&lt;=500, 35, IF(F45&lt;=1000, 40, F45*0.04)))),
IF(Basic34567891011121314[[#This Row],[نوع الخدمة]]="كاش اوت",
    IF(F45&lt;=100, 15, IF(F45&lt;=250, 20, IF(F45&lt;=500, 30, IF(F45&lt;=1000, 35, F45*0.035)))),
0)))</f>
        <v>0</v>
      </c>
      <c r="H45" s="163">
        <f>IF(I45="مخالفات",50,Basic34567891011121314[[#This Row],[قيمة الرسوم / العموله]]+Basic34567891011121314[[#This Row],[قيمة الشحنه]])</f>
        <v>0</v>
      </c>
      <c r="I45" s="90"/>
      <c r="J45" s="142" t="str">
        <f t="shared" si="0"/>
        <v>19.5.2026</v>
      </c>
      <c r="L45" s="153">
        <v>34</v>
      </c>
      <c r="M45" s="92"/>
    </row>
    <row r="46" spans="1:13" ht="21.6" x14ac:dyDescent="0.65">
      <c r="A46" s="195"/>
      <c r="B46" s="140">
        <v>43</v>
      </c>
      <c r="C46" s="2"/>
      <c r="D46" s="1"/>
      <c r="E46" s="3"/>
      <c r="F46" s="1"/>
      <c r="G46" s="141">
        <f>IF(Basic34567891011121314[[#This Row],[نوع الخدمة]]="مخالفات", 50,
IF(Basic34567891011121314[[#This Row],[نوع الخدمة]]="كاش ان",
    IF(F46&lt;=100, 18, IF(F46&lt;=250, 23, IF(F46&lt;=500, 35, IF(F46&lt;=1000, 40, F46*0.04)))),
IF(Basic34567891011121314[[#This Row],[نوع الخدمة]]="كاش اوت",
    IF(F46&lt;=100, 15, IF(F46&lt;=250, 20, IF(F46&lt;=500, 30, IF(F46&lt;=1000, 35, F46*0.035)))),
0)))</f>
        <v>0</v>
      </c>
      <c r="H46" s="163">
        <f>IF(I46="مخالفات",50,Basic34567891011121314[[#This Row],[قيمة الرسوم / العموله]]+Basic34567891011121314[[#This Row],[قيمة الشحنه]])</f>
        <v>0</v>
      </c>
      <c r="I46" s="90"/>
      <c r="J46" s="142" t="str">
        <f t="shared" si="0"/>
        <v>19.5.2026</v>
      </c>
      <c r="L46" s="153">
        <v>35</v>
      </c>
      <c r="M46" s="92"/>
    </row>
    <row r="47" spans="1:13" ht="21.6" x14ac:dyDescent="0.65">
      <c r="A47" s="195"/>
      <c r="B47" s="140">
        <v>44</v>
      </c>
      <c r="C47" s="2"/>
      <c r="D47" s="1"/>
      <c r="E47" s="3"/>
      <c r="F47" s="1"/>
      <c r="G47" s="141">
        <f>IF(Basic34567891011121314[[#This Row],[نوع الخدمة]]="مخالفات", 50,
IF(Basic34567891011121314[[#This Row],[نوع الخدمة]]="كاش ان",
    IF(F47&lt;=100, 18, IF(F47&lt;=250, 23, IF(F47&lt;=500, 35, IF(F47&lt;=1000, 40, F47*0.04)))),
IF(Basic34567891011121314[[#This Row],[نوع الخدمة]]="كاش اوت",
    IF(F47&lt;=100, 15, IF(F47&lt;=250, 20, IF(F47&lt;=500, 30, IF(F47&lt;=1000, 35, F47*0.035)))),
0)))</f>
        <v>0</v>
      </c>
      <c r="H47" s="163">
        <f>IF(I47="مخالفات",50,Basic34567891011121314[[#This Row],[قيمة الرسوم / العموله]]+Basic34567891011121314[[#This Row],[قيمة الشحنه]])</f>
        <v>0</v>
      </c>
      <c r="I47" s="90"/>
      <c r="J47" s="142" t="str">
        <f t="shared" si="0"/>
        <v>19.5.2026</v>
      </c>
      <c r="L47" s="153">
        <v>36</v>
      </c>
      <c r="M47" s="92"/>
    </row>
    <row r="48" spans="1:13" ht="21.6" x14ac:dyDescent="0.65">
      <c r="A48" s="195"/>
      <c r="B48" s="140">
        <v>45</v>
      </c>
      <c r="C48" s="2"/>
      <c r="D48" s="1"/>
      <c r="E48" s="3"/>
      <c r="F48" s="1"/>
      <c r="G48" s="141">
        <f>IF(Basic34567891011121314[[#This Row],[نوع الخدمة]]="مخالفات", 50,
IF(Basic34567891011121314[[#This Row],[نوع الخدمة]]="كاش ان",
    IF(F48&lt;=100, 18, IF(F48&lt;=250, 23, IF(F48&lt;=500, 35, IF(F48&lt;=1000, 40, F48*0.04)))),
IF(Basic34567891011121314[[#This Row],[نوع الخدمة]]="كاش اوت",
    IF(F48&lt;=100, 15, IF(F48&lt;=250, 20, IF(F48&lt;=500, 30, IF(F48&lt;=1000, 35, F48*0.035)))),
0)))</f>
        <v>0</v>
      </c>
      <c r="H48" s="163">
        <f>IF(I48="مخالفات",50,Basic34567891011121314[[#This Row],[قيمة الرسوم / العموله]]+Basic34567891011121314[[#This Row],[قيمة الشحنه]])</f>
        <v>0</v>
      </c>
      <c r="I48" s="90"/>
      <c r="J48" s="142" t="str">
        <f t="shared" si="0"/>
        <v>19.5.2026</v>
      </c>
      <c r="L48" s="153">
        <v>37</v>
      </c>
      <c r="M48" s="92"/>
    </row>
    <row r="49" spans="1:13" ht="21.6" x14ac:dyDescent="0.65">
      <c r="A49" s="195"/>
      <c r="B49" s="144">
        <v>46</v>
      </c>
      <c r="C49" s="2"/>
      <c r="D49" s="1"/>
      <c r="E49" s="3"/>
      <c r="F49" s="1"/>
      <c r="G49" s="141">
        <f>IF(Basic34567891011121314[[#This Row],[نوع الخدمة]]="مخالفات", 50,
IF(Basic34567891011121314[[#This Row],[نوع الخدمة]]="كاش ان",
    IF(F49&lt;=100, 18, IF(F49&lt;=250, 23, IF(F49&lt;=500, 35, IF(F49&lt;=1000, 40, F49*0.04)))),
IF(Basic34567891011121314[[#This Row],[نوع الخدمة]]="كاش اوت",
    IF(F49&lt;=100, 15, IF(F49&lt;=250, 20, IF(F49&lt;=500, 30, IF(F49&lt;=1000, 35, F49*0.035)))),
0)))</f>
        <v>0</v>
      </c>
      <c r="H49" s="163">
        <f>IF(I49="مخالفات",50,Basic34567891011121314[[#This Row],[قيمة الرسوم / العموله]]+Basic34567891011121314[[#This Row],[قيمة الشحنه]])</f>
        <v>0</v>
      </c>
      <c r="I49" s="90"/>
      <c r="J49" s="142" t="str">
        <f t="shared" si="0"/>
        <v>19.5.2026</v>
      </c>
      <c r="L49" s="153">
        <v>38</v>
      </c>
      <c r="M49" s="92"/>
    </row>
    <row r="50" spans="1:13" ht="21.6" x14ac:dyDescent="0.65">
      <c r="A50" s="195"/>
      <c r="B50" s="140">
        <v>47</v>
      </c>
      <c r="C50" s="2"/>
      <c r="D50" s="1"/>
      <c r="E50" s="3"/>
      <c r="F50" s="1"/>
      <c r="G50" s="141">
        <f>IF(Basic34567891011121314[[#This Row],[نوع الخدمة]]="مخالفات", 50,
IF(Basic34567891011121314[[#This Row],[نوع الخدمة]]="كاش ان",
    IF(F50&lt;=100, 18, IF(F50&lt;=250, 23, IF(F50&lt;=500, 35, IF(F50&lt;=1000, 40, F50*0.04)))),
IF(Basic34567891011121314[[#This Row],[نوع الخدمة]]="كاش اوت",
    IF(F50&lt;=100, 15, IF(F50&lt;=250, 20, IF(F50&lt;=500, 30, IF(F50&lt;=1000, 35, F50*0.035)))),
0)))</f>
        <v>0</v>
      </c>
      <c r="H50" s="163">
        <f>IF(I50="مخالفات",50,Basic34567891011121314[[#This Row],[قيمة الرسوم / العموله]]+Basic34567891011121314[[#This Row],[قيمة الشحنه]])</f>
        <v>0</v>
      </c>
      <c r="I50" s="90"/>
      <c r="J50" s="142" t="str">
        <f t="shared" si="0"/>
        <v>19.5.2026</v>
      </c>
      <c r="L50" s="153">
        <v>39</v>
      </c>
      <c r="M50" s="92"/>
    </row>
    <row r="51" spans="1:13" ht="21.6" x14ac:dyDescent="0.65">
      <c r="A51" s="195"/>
      <c r="B51" s="140">
        <v>48</v>
      </c>
      <c r="C51" s="2"/>
      <c r="D51" s="1"/>
      <c r="E51" s="3"/>
      <c r="F51" s="1"/>
      <c r="G51" s="141">
        <f>IF(Basic34567891011121314[[#This Row],[نوع الخدمة]]="مخالفات", 50,
IF(Basic34567891011121314[[#This Row],[نوع الخدمة]]="كاش ان",
    IF(F51&lt;=100, 18, IF(F51&lt;=250, 23, IF(F51&lt;=500, 35, IF(F51&lt;=1000, 40, F51*0.04)))),
IF(Basic34567891011121314[[#This Row],[نوع الخدمة]]="كاش اوت",
    IF(F51&lt;=100, 15, IF(F51&lt;=250, 20, IF(F51&lt;=500, 30, IF(F51&lt;=1000, 35, F51*0.035)))),
0)))</f>
        <v>0</v>
      </c>
      <c r="H51" s="163">
        <f>IF(I51="مخالفات",50,Basic34567891011121314[[#This Row],[قيمة الرسوم / العموله]]+Basic34567891011121314[[#This Row],[قيمة الشحنه]])</f>
        <v>0</v>
      </c>
      <c r="I51" s="90"/>
      <c r="J51" s="142" t="str">
        <f t="shared" si="0"/>
        <v>19.5.2026</v>
      </c>
      <c r="L51" s="153">
        <v>40</v>
      </c>
      <c r="M51" s="92"/>
    </row>
    <row r="52" spans="1:13" ht="21.6" x14ac:dyDescent="0.65">
      <c r="A52" s="195"/>
      <c r="B52" s="140">
        <v>49</v>
      </c>
      <c r="C52" s="2"/>
      <c r="D52" s="1"/>
      <c r="E52" s="3"/>
      <c r="F52" s="1"/>
      <c r="G52" s="141">
        <f>IF(Basic34567891011121314[[#This Row],[نوع الخدمة]]="مخالفات", 50,
IF(Basic34567891011121314[[#This Row],[نوع الخدمة]]="كاش ان",
    IF(F52&lt;=100, 18, IF(F52&lt;=250, 23, IF(F52&lt;=500, 35, IF(F52&lt;=1000, 40, F52*0.04)))),
IF(Basic34567891011121314[[#This Row],[نوع الخدمة]]="كاش اوت",
    IF(F52&lt;=100, 15, IF(F52&lt;=250, 20, IF(F52&lt;=500, 30, IF(F52&lt;=1000, 35, F52*0.035)))),
0)))</f>
        <v>0</v>
      </c>
      <c r="H52" s="163">
        <f>IF(I52="مخالفات",50,Basic34567891011121314[[#This Row],[قيمة الرسوم / العموله]]+Basic34567891011121314[[#This Row],[قيمة الشحنه]])</f>
        <v>0</v>
      </c>
      <c r="I52" s="90"/>
      <c r="J52" s="142" t="str">
        <f t="shared" si="0"/>
        <v>19.5.2026</v>
      </c>
      <c r="L52" s="153">
        <v>41</v>
      </c>
      <c r="M52" s="92"/>
    </row>
    <row r="53" spans="1:13" ht="21.6" x14ac:dyDescent="0.65">
      <c r="A53" s="195"/>
      <c r="B53" s="144">
        <v>50</v>
      </c>
      <c r="C53" s="2"/>
      <c r="D53" s="1"/>
      <c r="E53" s="3"/>
      <c r="F53" s="1"/>
      <c r="G53" s="141">
        <f>IF(Basic34567891011121314[[#This Row],[نوع الخدمة]]="مخالفات", 50,
IF(Basic34567891011121314[[#This Row],[نوع الخدمة]]="كاش ان",
    IF(F53&lt;=100, 18, IF(F53&lt;=250, 23, IF(F53&lt;=500, 35, IF(F53&lt;=1000, 40, F53*0.04)))),
IF(Basic34567891011121314[[#This Row],[نوع الخدمة]]="كاش اوت",
    IF(F53&lt;=100, 15, IF(F53&lt;=250, 20, IF(F53&lt;=500, 30, IF(F53&lt;=1000, 35, F53*0.035)))),
0)))</f>
        <v>0</v>
      </c>
      <c r="H53" s="163">
        <f>IF(I53="مخالفات",50,Basic34567891011121314[[#This Row],[قيمة الرسوم / العموله]]+Basic34567891011121314[[#This Row],[قيمة الشحنه]])</f>
        <v>0</v>
      </c>
      <c r="I53" s="90"/>
      <c r="J53" s="142" t="str">
        <f t="shared" si="0"/>
        <v>19.5.2026</v>
      </c>
      <c r="L53" s="153">
        <v>42</v>
      </c>
      <c r="M53" s="92"/>
    </row>
    <row r="54" spans="1:13" ht="21.6" x14ac:dyDescent="0.65">
      <c r="A54" s="195"/>
      <c r="B54" s="140">
        <v>51</v>
      </c>
      <c r="C54" s="2"/>
      <c r="D54" s="1"/>
      <c r="E54" s="3"/>
      <c r="F54" s="1"/>
      <c r="G54" s="141">
        <f>IF(Basic34567891011121314[[#This Row],[نوع الخدمة]]="مخالفات", 50,
IF(Basic34567891011121314[[#This Row],[نوع الخدمة]]="كاش ان",
    IF(F54&lt;=100, 18, IF(F54&lt;=250, 23, IF(F54&lt;=500, 35, IF(F54&lt;=1000, 40, F54*0.04)))),
IF(Basic34567891011121314[[#This Row],[نوع الخدمة]]="كاش اوت",
    IF(F54&lt;=100, 15, IF(F54&lt;=250, 20, IF(F54&lt;=500, 30, IF(F54&lt;=1000, 35, F54*0.035)))),
0)))</f>
        <v>0</v>
      </c>
      <c r="H54" s="163">
        <f>IF(I54="مخالفات",50,Basic34567891011121314[[#This Row],[قيمة الرسوم / العموله]]+Basic34567891011121314[[#This Row],[قيمة الشحنه]])</f>
        <v>0</v>
      </c>
      <c r="I54" s="90"/>
      <c r="J54" s="142" t="str">
        <f t="shared" si="0"/>
        <v>19.5.2026</v>
      </c>
      <c r="L54" s="153">
        <v>43</v>
      </c>
      <c r="M54" s="92"/>
    </row>
    <row r="55" spans="1:13" ht="21.6" x14ac:dyDescent="0.65">
      <c r="A55" s="195"/>
      <c r="B55" s="140">
        <v>52</v>
      </c>
      <c r="C55" s="2"/>
      <c r="D55" s="1"/>
      <c r="E55" s="3"/>
      <c r="F55" s="1"/>
      <c r="G55" s="141">
        <f>IF(Basic34567891011121314[[#This Row],[نوع الخدمة]]="مخالفات", 50,
IF(Basic34567891011121314[[#This Row],[نوع الخدمة]]="كاش ان",
    IF(F55&lt;=100, 18, IF(F55&lt;=250, 23, IF(F55&lt;=500, 35, IF(F55&lt;=1000, 40, F55*0.04)))),
IF(Basic34567891011121314[[#This Row],[نوع الخدمة]]="كاش اوت",
    IF(F55&lt;=100, 15, IF(F55&lt;=250, 20, IF(F55&lt;=500, 30, IF(F55&lt;=1000, 35, F55*0.035)))),
0)))</f>
        <v>0</v>
      </c>
      <c r="H55" s="163">
        <f>IF(I55="مخالفات",50,Basic34567891011121314[[#This Row],[قيمة الرسوم / العموله]]+Basic34567891011121314[[#This Row],[قيمة الشحنه]])</f>
        <v>0</v>
      </c>
      <c r="I55" s="90"/>
      <c r="J55" s="142" t="str">
        <f t="shared" si="0"/>
        <v>19.5.2026</v>
      </c>
      <c r="L55" s="153">
        <v>44</v>
      </c>
      <c r="M55" s="92"/>
    </row>
    <row r="56" spans="1:13" ht="21.6" x14ac:dyDescent="0.65">
      <c r="A56" s="195"/>
      <c r="B56" s="140">
        <v>53</v>
      </c>
      <c r="C56" s="2"/>
      <c r="D56" s="1"/>
      <c r="E56" s="3"/>
      <c r="F56" s="1"/>
      <c r="G56" s="141">
        <f>IF(Basic34567891011121314[[#This Row],[نوع الخدمة]]="مخالفات", 50,
IF(Basic34567891011121314[[#This Row],[نوع الخدمة]]="كاش ان",
    IF(F56&lt;=100, 18, IF(F56&lt;=250, 23, IF(F56&lt;=500, 35, IF(F56&lt;=1000, 40, F56*0.04)))),
IF(Basic34567891011121314[[#This Row],[نوع الخدمة]]="كاش اوت",
    IF(F56&lt;=100, 15, IF(F56&lt;=250, 20, IF(F56&lt;=500, 30, IF(F56&lt;=1000, 35, F56*0.035)))),
0)))</f>
        <v>0</v>
      </c>
      <c r="H56" s="163">
        <f>IF(I56="مخالفات",50,Basic34567891011121314[[#This Row],[قيمة الرسوم / العموله]]+Basic34567891011121314[[#This Row],[قيمة الشحنه]])</f>
        <v>0</v>
      </c>
      <c r="I56" s="90"/>
      <c r="J56" s="142" t="str">
        <f t="shared" si="0"/>
        <v>19.5.2026</v>
      </c>
      <c r="L56" s="153">
        <v>45</v>
      </c>
      <c r="M56" s="92"/>
    </row>
    <row r="57" spans="1:13" ht="21.6" x14ac:dyDescent="0.65">
      <c r="A57" s="195"/>
      <c r="B57" s="144">
        <v>54</v>
      </c>
      <c r="C57" s="2"/>
      <c r="D57" s="1"/>
      <c r="E57" s="3"/>
      <c r="F57" s="1"/>
      <c r="G57" s="141">
        <f>IF(Basic34567891011121314[[#This Row],[نوع الخدمة]]="مخالفات", 50,
IF(Basic34567891011121314[[#This Row],[نوع الخدمة]]="كاش ان",
    IF(F57&lt;=100, 18, IF(F57&lt;=250, 23, IF(F57&lt;=500, 35, IF(F57&lt;=1000, 40, F57*0.04)))),
IF(Basic34567891011121314[[#This Row],[نوع الخدمة]]="كاش اوت",
    IF(F57&lt;=100, 15, IF(F57&lt;=250, 20, IF(F57&lt;=500, 30, IF(F57&lt;=1000, 35, F57*0.035)))),
0)))</f>
        <v>0</v>
      </c>
      <c r="H57" s="163">
        <f>IF(I57="مخالفات",50,Basic34567891011121314[[#This Row],[قيمة الرسوم / العموله]]+Basic34567891011121314[[#This Row],[قيمة الشحنه]])</f>
        <v>0</v>
      </c>
      <c r="I57" s="90"/>
      <c r="J57" s="142" t="str">
        <f t="shared" si="0"/>
        <v>19.5.2026</v>
      </c>
      <c r="L57" s="153">
        <v>46</v>
      </c>
      <c r="M57" s="92"/>
    </row>
    <row r="58" spans="1:13" ht="21.6" x14ac:dyDescent="0.65">
      <c r="A58" s="195"/>
      <c r="B58" s="140">
        <v>55</v>
      </c>
      <c r="C58" s="2"/>
      <c r="D58" s="1"/>
      <c r="E58" s="3"/>
      <c r="F58" s="1"/>
      <c r="G58" s="141">
        <f>IF(Basic34567891011121314[[#This Row],[نوع الخدمة]]="مخالفات", 50,
IF(Basic34567891011121314[[#This Row],[نوع الخدمة]]="كاش ان",
    IF(F58&lt;=100, 18, IF(F58&lt;=250, 23, IF(F58&lt;=500, 35, IF(F58&lt;=1000, 40, F58*0.04)))),
IF(Basic34567891011121314[[#This Row],[نوع الخدمة]]="كاش اوت",
    IF(F58&lt;=100, 15, IF(F58&lt;=250, 20, IF(F58&lt;=500, 30, IF(F58&lt;=1000, 35, F58*0.035)))),
0)))</f>
        <v>0</v>
      </c>
      <c r="H58" s="163">
        <f>IF(I58="مخالفات",50,Basic34567891011121314[[#This Row],[قيمة الرسوم / العموله]]+Basic34567891011121314[[#This Row],[قيمة الشحنه]])</f>
        <v>0</v>
      </c>
      <c r="I58" s="90"/>
      <c r="J58" s="142" t="str">
        <f t="shared" si="0"/>
        <v>19.5.2026</v>
      </c>
      <c r="L58" s="153">
        <v>47</v>
      </c>
      <c r="M58" s="92"/>
    </row>
    <row r="59" spans="1:13" ht="21.6" x14ac:dyDescent="0.65">
      <c r="A59" s="195"/>
      <c r="B59" s="140">
        <v>56</v>
      </c>
      <c r="C59" s="2"/>
      <c r="D59" s="1"/>
      <c r="E59" s="3"/>
      <c r="F59" s="1"/>
      <c r="G59" s="141">
        <f>IF(Basic34567891011121314[[#This Row],[نوع الخدمة]]="مخالفات", 50,
IF(Basic34567891011121314[[#This Row],[نوع الخدمة]]="كاش ان",
    IF(F59&lt;=100, 18, IF(F59&lt;=250, 23, IF(F59&lt;=500, 35, IF(F59&lt;=1000, 40, F59*0.04)))),
IF(Basic34567891011121314[[#This Row],[نوع الخدمة]]="كاش اوت",
    IF(F59&lt;=100, 15, IF(F59&lt;=250, 20, IF(F59&lt;=500, 30, IF(F59&lt;=1000, 35, F59*0.035)))),
0)))</f>
        <v>0</v>
      </c>
      <c r="H59" s="163">
        <f>IF(I59="مخالفات",50,Basic34567891011121314[[#This Row],[قيمة الرسوم / العموله]]+Basic34567891011121314[[#This Row],[قيمة الشحنه]])</f>
        <v>0</v>
      </c>
      <c r="I59" s="90"/>
      <c r="J59" s="142" t="str">
        <f t="shared" si="0"/>
        <v>19.5.2026</v>
      </c>
      <c r="L59" s="153">
        <v>48</v>
      </c>
      <c r="M59" s="92"/>
    </row>
    <row r="60" spans="1:13" ht="21.6" x14ac:dyDescent="0.65">
      <c r="A60" s="195"/>
      <c r="B60" s="140">
        <v>57</v>
      </c>
      <c r="C60" s="2"/>
      <c r="D60" s="1"/>
      <c r="E60" s="3"/>
      <c r="F60" s="1"/>
      <c r="G60" s="141">
        <f>IF(Basic34567891011121314[[#This Row],[نوع الخدمة]]="مخالفات", 50,
IF(Basic34567891011121314[[#This Row],[نوع الخدمة]]="كاش ان",
    IF(F60&lt;=100, 18, IF(F60&lt;=250, 23, IF(F60&lt;=500, 35, IF(F60&lt;=1000, 40, F60*0.04)))),
IF(Basic34567891011121314[[#This Row],[نوع الخدمة]]="كاش اوت",
    IF(F60&lt;=100, 15, IF(F60&lt;=250, 20, IF(F60&lt;=500, 30, IF(F60&lt;=1000, 35, F60*0.035)))),
0)))</f>
        <v>0</v>
      </c>
      <c r="H60" s="163">
        <f>IF(I60="مخالفات",50,Basic34567891011121314[[#This Row],[قيمة الرسوم / العموله]]+Basic34567891011121314[[#This Row],[قيمة الشحنه]])</f>
        <v>0</v>
      </c>
      <c r="I60" s="90"/>
      <c r="J60" s="142" t="str">
        <f t="shared" si="0"/>
        <v>19.5.2026</v>
      </c>
      <c r="L60" s="153">
        <v>49</v>
      </c>
      <c r="M60" s="92"/>
    </row>
    <row r="61" spans="1:13" ht="21.6" x14ac:dyDescent="0.65">
      <c r="A61" s="195"/>
      <c r="B61" s="144">
        <v>58</v>
      </c>
      <c r="C61" s="2"/>
      <c r="D61" s="1"/>
      <c r="E61" s="3"/>
      <c r="F61" s="1"/>
      <c r="G61" s="141">
        <f>IF(Basic34567891011121314[[#This Row],[نوع الخدمة]]="مخالفات", 50,
IF(Basic34567891011121314[[#This Row],[نوع الخدمة]]="كاش ان",
    IF(F61&lt;=100, 18, IF(F61&lt;=250, 23, IF(F61&lt;=500, 35, IF(F61&lt;=1000, 40, F61*0.04)))),
IF(Basic34567891011121314[[#This Row],[نوع الخدمة]]="كاش اوت",
    IF(F61&lt;=100, 15, IF(F61&lt;=250, 20, IF(F61&lt;=500, 30, IF(F61&lt;=1000, 35, F61*0.035)))),
0)))</f>
        <v>0</v>
      </c>
      <c r="H61" s="163">
        <f>IF(I61="مخالفات",50,Basic34567891011121314[[#This Row],[قيمة الرسوم / العموله]]+Basic34567891011121314[[#This Row],[قيمة الشحنه]])</f>
        <v>0</v>
      </c>
      <c r="I61" s="90"/>
      <c r="J61" s="142" t="str">
        <f t="shared" si="0"/>
        <v>19.5.2026</v>
      </c>
      <c r="L61" s="153">
        <v>50</v>
      </c>
      <c r="M61" s="92"/>
    </row>
    <row r="62" spans="1:13" ht="21.6" x14ac:dyDescent="0.65">
      <c r="A62" s="195"/>
      <c r="B62" s="140">
        <v>59</v>
      </c>
      <c r="C62" s="2"/>
      <c r="D62" s="1"/>
      <c r="E62" s="3"/>
      <c r="F62" s="1"/>
      <c r="G62" s="141">
        <f>IF(Basic34567891011121314[[#This Row],[نوع الخدمة]]="مخالفات", 50,
IF(Basic34567891011121314[[#This Row],[نوع الخدمة]]="كاش ان",
    IF(F62&lt;=100, 18, IF(F62&lt;=250, 23, IF(F62&lt;=500, 35, IF(F62&lt;=1000, 40, F62*0.04)))),
IF(Basic34567891011121314[[#This Row],[نوع الخدمة]]="كاش اوت",
    IF(F62&lt;=100, 15, IF(F62&lt;=250, 20, IF(F62&lt;=500, 30, IF(F62&lt;=1000, 35, F62*0.035)))),
0)))</f>
        <v>0</v>
      </c>
      <c r="H62" s="163">
        <f>IF(I62="مخالفات",50,Basic34567891011121314[[#This Row],[قيمة الرسوم / العموله]]+Basic34567891011121314[[#This Row],[قيمة الشحنه]])</f>
        <v>0</v>
      </c>
      <c r="I62" s="90"/>
      <c r="J62" s="142" t="str">
        <f t="shared" si="0"/>
        <v>19.5.2026</v>
      </c>
      <c r="L62" s="153">
        <v>51</v>
      </c>
      <c r="M62" s="92"/>
    </row>
    <row r="63" spans="1:13" ht="21.6" x14ac:dyDescent="0.65">
      <c r="A63" s="195"/>
      <c r="B63" s="140">
        <v>60</v>
      </c>
      <c r="C63" s="2"/>
      <c r="D63" s="1"/>
      <c r="E63" s="3"/>
      <c r="F63" s="1"/>
      <c r="G63" s="141">
        <f>IF(Basic34567891011121314[[#This Row],[نوع الخدمة]]="مخالفات", 50,
IF(Basic34567891011121314[[#This Row],[نوع الخدمة]]="كاش ان",
    IF(F63&lt;=100, 18, IF(F63&lt;=250, 23, IF(F63&lt;=500, 35, IF(F63&lt;=1000, 40, F63*0.04)))),
IF(Basic34567891011121314[[#This Row],[نوع الخدمة]]="كاش اوت",
    IF(F63&lt;=100, 15, IF(F63&lt;=250, 20, IF(F63&lt;=500, 30, IF(F63&lt;=1000, 35, F63*0.035)))),
0)))</f>
        <v>0</v>
      </c>
      <c r="H63" s="163">
        <f>IF(I63="مخالفات",50,Basic34567891011121314[[#This Row],[قيمة الرسوم / العموله]]+Basic34567891011121314[[#This Row],[قيمة الشحنه]])</f>
        <v>0</v>
      </c>
      <c r="I63" s="90"/>
      <c r="J63" s="142" t="str">
        <f t="shared" si="0"/>
        <v>19.5.2026</v>
      </c>
      <c r="L63" s="153">
        <v>52</v>
      </c>
      <c r="M63" s="92"/>
    </row>
    <row r="64" spans="1:13" ht="21.6" x14ac:dyDescent="0.65">
      <c r="A64" s="195"/>
      <c r="B64" s="140">
        <v>61</v>
      </c>
      <c r="C64" s="2"/>
      <c r="D64" s="1"/>
      <c r="E64" s="3"/>
      <c r="F64" s="1"/>
      <c r="G64" s="141">
        <f>IF(Basic34567891011121314[[#This Row],[نوع الخدمة]]="مخالفات", 50,
IF(Basic34567891011121314[[#This Row],[نوع الخدمة]]="كاش ان",
    IF(F64&lt;=100, 18, IF(F64&lt;=250, 23, IF(F64&lt;=500, 35, IF(F64&lt;=1000, 40, F64*0.04)))),
IF(Basic34567891011121314[[#This Row],[نوع الخدمة]]="كاش اوت",
    IF(F64&lt;=100, 15, IF(F64&lt;=250, 20, IF(F64&lt;=500, 30, IF(F64&lt;=1000, 35, F64*0.035)))),
0)))</f>
        <v>0</v>
      </c>
      <c r="H64" s="163">
        <f>IF(I64="مخالفات",50,Basic34567891011121314[[#This Row],[قيمة الرسوم / العموله]]+Basic34567891011121314[[#This Row],[قيمة الشحنه]])</f>
        <v>0</v>
      </c>
      <c r="I64" s="90"/>
      <c r="J64" s="142" t="str">
        <f t="shared" si="0"/>
        <v>19.5.2026</v>
      </c>
      <c r="L64" s="153">
        <v>53</v>
      </c>
      <c r="M64" s="92"/>
    </row>
    <row r="65" spans="1:13" ht="21.6" x14ac:dyDescent="0.65">
      <c r="A65" s="195"/>
      <c r="B65" s="144">
        <v>62</v>
      </c>
      <c r="C65" s="2"/>
      <c r="D65" s="1"/>
      <c r="E65" s="3"/>
      <c r="F65" s="1"/>
      <c r="G65" s="141">
        <f>IF(Basic34567891011121314[[#This Row],[نوع الخدمة]]="مخالفات", 50,
IF(Basic34567891011121314[[#This Row],[نوع الخدمة]]="كاش ان",
    IF(F65&lt;=100, 18, IF(F65&lt;=250, 23, IF(F65&lt;=500, 35, IF(F65&lt;=1000, 40, F65*0.04)))),
IF(Basic34567891011121314[[#This Row],[نوع الخدمة]]="كاش اوت",
    IF(F65&lt;=100, 15, IF(F65&lt;=250, 20, IF(F65&lt;=500, 30, IF(F65&lt;=1000, 35, F65*0.035)))),
0)))</f>
        <v>0</v>
      </c>
      <c r="H65" s="163">
        <f>IF(I65="مخالفات",50,Basic34567891011121314[[#This Row],[قيمة الرسوم / العموله]]+Basic34567891011121314[[#This Row],[قيمة الشحنه]])</f>
        <v>0</v>
      </c>
      <c r="I65" s="90"/>
      <c r="J65" s="142" t="str">
        <f t="shared" si="0"/>
        <v>19.5.2026</v>
      </c>
      <c r="L65" s="153">
        <v>54</v>
      </c>
      <c r="M65" s="92"/>
    </row>
    <row r="66" spans="1:13" ht="21.6" x14ac:dyDescent="0.65">
      <c r="A66" s="195"/>
      <c r="B66" s="140">
        <v>63</v>
      </c>
      <c r="C66" s="2"/>
      <c r="D66" s="1"/>
      <c r="E66" s="3"/>
      <c r="F66" s="1"/>
      <c r="G66" s="141">
        <f>IF(Basic34567891011121314[[#This Row],[نوع الخدمة]]="مخالفات", 50,
IF(Basic34567891011121314[[#This Row],[نوع الخدمة]]="كاش ان",
    IF(F66&lt;=100, 18, IF(F66&lt;=250, 23, IF(F66&lt;=500, 35, IF(F66&lt;=1000, 40, F66*0.04)))),
IF(Basic34567891011121314[[#This Row],[نوع الخدمة]]="كاش اوت",
    IF(F66&lt;=100, 15, IF(F66&lt;=250, 20, IF(F66&lt;=500, 30, IF(F66&lt;=1000, 35, F66*0.035)))),
0)))</f>
        <v>0</v>
      </c>
      <c r="H66" s="163">
        <f>IF(I66="مخالفات",50,Basic34567891011121314[[#This Row],[قيمة الرسوم / العموله]]+Basic34567891011121314[[#This Row],[قيمة الشحنه]])</f>
        <v>0</v>
      </c>
      <c r="I66" s="90"/>
      <c r="J66" s="142" t="str">
        <f t="shared" si="0"/>
        <v>19.5.2026</v>
      </c>
      <c r="L66" s="153">
        <v>55</v>
      </c>
      <c r="M66" s="92"/>
    </row>
    <row r="67" spans="1:13" ht="21.6" x14ac:dyDescent="0.65">
      <c r="A67" s="195"/>
      <c r="B67" s="140">
        <v>64</v>
      </c>
      <c r="C67" s="2"/>
      <c r="D67" s="1"/>
      <c r="E67" s="3"/>
      <c r="F67" s="1"/>
      <c r="G67" s="141">
        <f>IF(Basic34567891011121314[[#This Row],[نوع الخدمة]]="مخالفات", 50,
IF(Basic34567891011121314[[#This Row],[نوع الخدمة]]="كاش ان",
    IF(F67&lt;=100, 18, IF(F67&lt;=250, 23, IF(F67&lt;=500, 35, IF(F67&lt;=1000, 40, F67*0.04)))),
IF(Basic34567891011121314[[#This Row],[نوع الخدمة]]="كاش اوت",
    IF(F67&lt;=100, 15, IF(F67&lt;=250, 20, IF(F67&lt;=500, 30, IF(F67&lt;=1000, 35, F67*0.035)))),
0)))</f>
        <v>0</v>
      </c>
      <c r="H67" s="163">
        <f>IF(I67="مخالفات",50,Basic34567891011121314[[#This Row],[قيمة الرسوم / العموله]]+Basic34567891011121314[[#This Row],[قيمة الشحنه]])</f>
        <v>0</v>
      </c>
      <c r="I67" s="90"/>
      <c r="J67" s="142" t="str">
        <f t="shared" si="0"/>
        <v>19.5.2026</v>
      </c>
      <c r="L67" s="153">
        <v>56</v>
      </c>
      <c r="M67" s="92"/>
    </row>
    <row r="68" spans="1:13" ht="21.6" x14ac:dyDescent="0.65">
      <c r="A68" s="195"/>
      <c r="B68" s="140">
        <v>65</v>
      </c>
      <c r="C68" s="2"/>
      <c r="D68" s="1"/>
      <c r="E68" s="3"/>
      <c r="F68" s="1"/>
      <c r="G68" s="141">
        <f>IF(Basic34567891011121314[[#This Row],[نوع الخدمة]]="مخالفات", 50,
IF(Basic34567891011121314[[#This Row],[نوع الخدمة]]="كاش ان",
    IF(F68&lt;=100, 18, IF(F68&lt;=250, 23, IF(F68&lt;=500, 35, IF(F68&lt;=1000, 40, F68*0.04)))),
IF(Basic34567891011121314[[#This Row],[نوع الخدمة]]="كاش اوت",
    IF(F68&lt;=100, 15, IF(F68&lt;=250, 20, IF(F68&lt;=500, 30, IF(F68&lt;=1000, 35, F68*0.035)))),
0)))</f>
        <v>0</v>
      </c>
      <c r="H68" s="163">
        <f>IF(I68="مخالفات",50,Basic34567891011121314[[#This Row],[قيمة الرسوم / العموله]]+Basic34567891011121314[[#This Row],[قيمة الشحنه]])</f>
        <v>0</v>
      </c>
      <c r="I68" s="90"/>
      <c r="J68" s="142" t="str">
        <f t="shared" ref="J68:J131" si="1">M$3</f>
        <v>19.5.2026</v>
      </c>
      <c r="L68" s="153">
        <v>57</v>
      </c>
      <c r="M68" s="92"/>
    </row>
    <row r="69" spans="1:13" ht="21.6" x14ac:dyDescent="0.65">
      <c r="A69" s="195"/>
      <c r="B69" s="144">
        <v>66</v>
      </c>
      <c r="C69" s="2"/>
      <c r="D69" s="1"/>
      <c r="E69" s="3"/>
      <c r="F69" s="1"/>
      <c r="G69" s="141">
        <f>IF(Basic34567891011121314[[#This Row],[نوع الخدمة]]="مخالفات", 50,
IF(Basic34567891011121314[[#This Row],[نوع الخدمة]]="كاش ان",
    IF(F69&lt;=100, 18, IF(F69&lt;=250, 23, IF(F69&lt;=500, 35, IF(F69&lt;=1000, 40, F69*0.04)))),
IF(Basic34567891011121314[[#This Row],[نوع الخدمة]]="كاش اوت",
    IF(F69&lt;=100, 15, IF(F69&lt;=250, 20, IF(F69&lt;=500, 30, IF(F69&lt;=1000, 35, F69*0.035)))),
0)))</f>
        <v>0</v>
      </c>
      <c r="H69" s="163">
        <f>IF(I69="مخالفات",50,Basic34567891011121314[[#This Row],[قيمة الرسوم / العموله]]+Basic34567891011121314[[#This Row],[قيمة الشحنه]])</f>
        <v>0</v>
      </c>
      <c r="I69" s="90"/>
      <c r="J69" s="142" t="str">
        <f t="shared" si="1"/>
        <v>19.5.2026</v>
      </c>
      <c r="L69" s="153">
        <v>58</v>
      </c>
      <c r="M69" s="92"/>
    </row>
    <row r="70" spans="1:13" ht="21.6" x14ac:dyDescent="0.65">
      <c r="A70" s="195"/>
      <c r="B70" s="140">
        <v>67</v>
      </c>
      <c r="C70" s="2"/>
      <c r="D70" s="1"/>
      <c r="E70" s="3"/>
      <c r="F70" s="1"/>
      <c r="G70" s="141">
        <f>IF(Basic34567891011121314[[#This Row],[نوع الخدمة]]="مخالفات", 50,
IF(Basic34567891011121314[[#This Row],[نوع الخدمة]]="كاش ان",
    IF(F70&lt;=100, 18, IF(F70&lt;=250, 23, IF(F70&lt;=500, 35, IF(F70&lt;=1000, 40, F70*0.04)))),
IF(Basic34567891011121314[[#This Row],[نوع الخدمة]]="كاش اوت",
    IF(F70&lt;=100, 15, IF(F70&lt;=250, 20, IF(F70&lt;=500, 30, IF(F70&lt;=1000, 35, F70*0.035)))),
0)))</f>
        <v>0</v>
      </c>
      <c r="H70" s="163">
        <f>IF(I70="مخالفات",50,Basic34567891011121314[[#This Row],[قيمة الرسوم / العموله]]+Basic34567891011121314[[#This Row],[قيمة الشحنه]])</f>
        <v>0</v>
      </c>
      <c r="I70" s="90"/>
      <c r="J70" s="142" t="str">
        <f t="shared" si="1"/>
        <v>19.5.2026</v>
      </c>
      <c r="L70" s="153">
        <v>59</v>
      </c>
      <c r="M70" s="92"/>
    </row>
    <row r="71" spans="1:13" ht="21.6" x14ac:dyDescent="0.65">
      <c r="A71" s="195"/>
      <c r="B71" s="140">
        <v>68</v>
      </c>
      <c r="C71" s="2"/>
      <c r="D71" s="1"/>
      <c r="E71" s="3"/>
      <c r="F71" s="1"/>
      <c r="G71" s="141">
        <f>IF(Basic34567891011121314[[#This Row],[نوع الخدمة]]="مخالفات", 50,
IF(Basic34567891011121314[[#This Row],[نوع الخدمة]]="كاش ان",
    IF(F71&lt;=100, 18, IF(F71&lt;=250, 23, IF(F71&lt;=500, 35, IF(F71&lt;=1000, 40, F71*0.04)))),
IF(Basic34567891011121314[[#This Row],[نوع الخدمة]]="كاش اوت",
    IF(F71&lt;=100, 15, IF(F71&lt;=250, 20, IF(F71&lt;=500, 30, IF(F71&lt;=1000, 35, F71*0.035)))),
0)))</f>
        <v>0</v>
      </c>
      <c r="H71" s="163">
        <f>IF(I71="مخالفات",50,Basic34567891011121314[[#This Row],[قيمة الرسوم / العموله]]+Basic34567891011121314[[#This Row],[قيمة الشحنه]])</f>
        <v>0</v>
      </c>
      <c r="I71" s="90"/>
      <c r="J71" s="142" t="str">
        <f t="shared" si="1"/>
        <v>19.5.2026</v>
      </c>
      <c r="L71" s="153">
        <v>60</v>
      </c>
      <c r="M71" s="92"/>
    </row>
    <row r="72" spans="1:13" ht="21.6" x14ac:dyDescent="0.65">
      <c r="A72" s="195"/>
      <c r="B72" s="140">
        <v>69</v>
      </c>
      <c r="C72" s="2"/>
      <c r="D72" s="1"/>
      <c r="E72" s="3"/>
      <c r="F72" s="1"/>
      <c r="G72" s="141">
        <f>IF(Basic34567891011121314[[#This Row],[نوع الخدمة]]="مخالفات", 50,
IF(Basic34567891011121314[[#This Row],[نوع الخدمة]]="كاش ان",
    IF(F72&lt;=100, 18, IF(F72&lt;=250, 23, IF(F72&lt;=500, 35, IF(F72&lt;=1000, 40, F72*0.04)))),
IF(Basic34567891011121314[[#This Row],[نوع الخدمة]]="كاش اوت",
    IF(F72&lt;=100, 15, IF(F72&lt;=250, 20, IF(F72&lt;=500, 30, IF(F72&lt;=1000, 35, F72*0.035)))),
0)))</f>
        <v>0</v>
      </c>
      <c r="H72" s="163">
        <f>IF(I72="مخالفات",50,Basic34567891011121314[[#This Row],[قيمة الرسوم / العموله]]+Basic34567891011121314[[#This Row],[قيمة الشحنه]])</f>
        <v>0</v>
      </c>
      <c r="I72" s="90"/>
      <c r="J72" s="142" t="str">
        <f t="shared" si="1"/>
        <v>19.5.2026</v>
      </c>
      <c r="L72" s="153">
        <v>61</v>
      </c>
      <c r="M72" s="92"/>
    </row>
    <row r="73" spans="1:13" ht="21.6" x14ac:dyDescent="0.65">
      <c r="A73" s="195"/>
      <c r="B73" s="144">
        <v>70</v>
      </c>
      <c r="C73" s="2"/>
      <c r="D73" s="1"/>
      <c r="E73" s="3"/>
      <c r="F73" s="1"/>
      <c r="G73" s="141">
        <f>IF(Basic34567891011121314[[#This Row],[نوع الخدمة]]="مخالفات", 50,
IF(Basic34567891011121314[[#This Row],[نوع الخدمة]]="كاش ان",
    IF(F73&lt;=100, 18, IF(F73&lt;=250, 23, IF(F73&lt;=500, 35, IF(F73&lt;=1000, 40, F73*0.04)))),
IF(Basic34567891011121314[[#This Row],[نوع الخدمة]]="كاش اوت",
    IF(F73&lt;=100, 15, IF(F73&lt;=250, 20, IF(F73&lt;=500, 30, IF(F73&lt;=1000, 35, F73*0.035)))),
0)))</f>
        <v>0</v>
      </c>
      <c r="H73" s="163">
        <f>IF(I73="مخالفات",50,Basic34567891011121314[[#This Row],[قيمة الرسوم / العموله]]+Basic34567891011121314[[#This Row],[قيمة الشحنه]])</f>
        <v>0</v>
      </c>
      <c r="I73" s="90"/>
      <c r="J73" s="142" t="str">
        <f t="shared" si="1"/>
        <v>19.5.2026</v>
      </c>
      <c r="L73" s="153">
        <v>62</v>
      </c>
      <c r="M73" s="92"/>
    </row>
    <row r="74" spans="1:13" ht="21.6" x14ac:dyDescent="0.65">
      <c r="A74" s="195"/>
      <c r="B74" s="140">
        <v>71</v>
      </c>
      <c r="C74" s="2"/>
      <c r="D74" s="1"/>
      <c r="E74" s="3"/>
      <c r="F74" s="1"/>
      <c r="G74" s="141">
        <f>IF(Basic34567891011121314[[#This Row],[نوع الخدمة]]="مخالفات", 50,
IF(Basic34567891011121314[[#This Row],[نوع الخدمة]]="كاش ان",
    IF(F74&lt;=100, 18, IF(F74&lt;=250, 23, IF(F74&lt;=500, 35, IF(F74&lt;=1000, 40, F74*0.04)))),
IF(Basic34567891011121314[[#This Row],[نوع الخدمة]]="كاش اوت",
    IF(F74&lt;=100, 15, IF(F74&lt;=250, 20, IF(F74&lt;=500, 30, IF(F74&lt;=1000, 35, F74*0.035)))),
0)))</f>
        <v>0</v>
      </c>
      <c r="H74" s="163">
        <f>IF(I74="مخالفات",50,Basic34567891011121314[[#This Row],[قيمة الرسوم / العموله]]+Basic34567891011121314[[#This Row],[قيمة الشحنه]])</f>
        <v>0</v>
      </c>
      <c r="I74" s="90"/>
      <c r="J74" s="142" t="str">
        <f t="shared" si="1"/>
        <v>19.5.2026</v>
      </c>
      <c r="L74" s="153">
        <v>63</v>
      </c>
      <c r="M74" s="92"/>
    </row>
    <row r="75" spans="1:13" ht="21.6" x14ac:dyDescent="0.65">
      <c r="A75" s="195"/>
      <c r="B75" s="140">
        <v>72</v>
      </c>
      <c r="C75" s="2"/>
      <c r="D75" s="1"/>
      <c r="E75" s="3"/>
      <c r="F75" s="1"/>
      <c r="G75" s="141">
        <f>IF(Basic34567891011121314[[#This Row],[نوع الخدمة]]="مخالفات", 50,
IF(Basic34567891011121314[[#This Row],[نوع الخدمة]]="كاش ان",
    IF(F75&lt;=100, 18, IF(F75&lt;=250, 23, IF(F75&lt;=500, 35, IF(F75&lt;=1000, 40, F75*0.04)))),
IF(Basic34567891011121314[[#This Row],[نوع الخدمة]]="كاش اوت",
    IF(F75&lt;=100, 15, IF(F75&lt;=250, 20, IF(F75&lt;=500, 30, IF(F75&lt;=1000, 35, F75*0.035)))),
0)))</f>
        <v>0</v>
      </c>
      <c r="H75" s="163">
        <f>IF(I75="مخالفات",50,Basic34567891011121314[[#This Row],[قيمة الرسوم / العموله]]+Basic34567891011121314[[#This Row],[قيمة الشحنه]])</f>
        <v>0</v>
      </c>
      <c r="I75" s="90"/>
      <c r="J75" s="142" t="str">
        <f t="shared" si="1"/>
        <v>19.5.2026</v>
      </c>
      <c r="L75" s="153">
        <v>64</v>
      </c>
      <c r="M75" s="92"/>
    </row>
    <row r="76" spans="1:13" ht="21.6" x14ac:dyDescent="0.65">
      <c r="A76" s="195"/>
      <c r="B76" s="140">
        <v>73</v>
      </c>
      <c r="C76" s="2"/>
      <c r="D76" s="1"/>
      <c r="E76" s="3"/>
      <c r="F76" s="1"/>
      <c r="G76" s="141">
        <f>IF(Basic34567891011121314[[#This Row],[نوع الخدمة]]="مخالفات", 50,
IF(Basic34567891011121314[[#This Row],[نوع الخدمة]]="كاش ان",
    IF(F76&lt;=100, 18, IF(F76&lt;=250, 23, IF(F76&lt;=500, 35, IF(F76&lt;=1000, 40, F76*0.04)))),
IF(Basic34567891011121314[[#This Row],[نوع الخدمة]]="كاش اوت",
    IF(F76&lt;=100, 15, IF(F76&lt;=250, 20, IF(F76&lt;=500, 30, IF(F76&lt;=1000, 35, F76*0.035)))),
0)))</f>
        <v>0</v>
      </c>
      <c r="H76" s="163">
        <f>IF(I76="مخالفات",50,Basic34567891011121314[[#This Row],[قيمة الرسوم / العموله]]+Basic34567891011121314[[#This Row],[قيمة الشحنه]])</f>
        <v>0</v>
      </c>
      <c r="I76" s="90"/>
      <c r="J76" s="142" t="str">
        <f t="shared" si="1"/>
        <v>19.5.2026</v>
      </c>
      <c r="L76" s="153">
        <v>65</v>
      </c>
      <c r="M76" s="92"/>
    </row>
    <row r="77" spans="1:13" ht="21.6" x14ac:dyDescent="0.65">
      <c r="A77" s="195"/>
      <c r="B77" s="144">
        <v>74</v>
      </c>
      <c r="C77" s="2"/>
      <c r="D77" s="1"/>
      <c r="E77" s="3"/>
      <c r="F77" s="1"/>
      <c r="G77" s="141">
        <f>IF(Basic34567891011121314[[#This Row],[نوع الخدمة]]="مخالفات", 50,
IF(Basic34567891011121314[[#This Row],[نوع الخدمة]]="كاش ان",
    IF(F77&lt;=100, 18, IF(F77&lt;=250, 23, IF(F77&lt;=500, 35, IF(F77&lt;=1000, 40, F77*0.04)))),
IF(Basic34567891011121314[[#This Row],[نوع الخدمة]]="كاش اوت",
    IF(F77&lt;=100, 15, IF(F77&lt;=250, 20, IF(F77&lt;=500, 30, IF(F77&lt;=1000, 35, F77*0.035)))),
0)))</f>
        <v>0</v>
      </c>
      <c r="H77" s="163">
        <f>IF(I77="مخالفات",50,Basic34567891011121314[[#This Row],[قيمة الرسوم / العموله]]+Basic34567891011121314[[#This Row],[قيمة الشحنه]])</f>
        <v>0</v>
      </c>
      <c r="I77" s="90"/>
      <c r="J77" s="142" t="str">
        <f t="shared" si="1"/>
        <v>19.5.2026</v>
      </c>
      <c r="L77" s="153">
        <v>66</v>
      </c>
      <c r="M77" s="92"/>
    </row>
    <row r="78" spans="1:13" ht="21.6" x14ac:dyDescent="0.65">
      <c r="A78" s="195"/>
      <c r="B78" s="140">
        <v>75</v>
      </c>
      <c r="C78" s="2"/>
      <c r="D78" s="1"/>
      <c r="E78" s="3"/>
      <c r="F78" s="1"/>
      <c r="G78" s="141">
        <f>IF(Basic34567891011121314[[#This Row],[نوع الخدمة]]="مخالفات", 50,
IF(Basic34567891011121314[[#This Row],[نوع الخدمة]]="كاش ان",
    IF(F78&lt;=100, 18, IF(F78&lt;=250, 23, IF(F78&lt;=500, 35, IF(F78&lt;=1000, 40, F78*0.04)))),
IF(Basic34567891011121314[[#This Row],[نوع الخدمة]]="كاش اوت",
    IF(F78&lt;=100, 15, IF(F78&lt;=250, 20, IF(F78&lt;=500, 30, IF(F78&lt;=1000, 35, F78*0.035)))),
0)))</f>
        <v>0</v>
      </c>
      <c r="H78" s="163">
        <f>IF(I78="مخالفات",50,Basic34567891011121314[[#This Row],[قيمة الرسوم / العموله]]+Basic34567891011121314[[#This Row],[قيمة الشحنه]])</f>
        <v>0</v>
      </c>
      <c r="I78" s="90"/>
      <c r="J78" s="142" t="str">
        <f t="shared" si="1"/>
        <v>19.5.2026</v>
      </c>
      <c r="L78" s="153">
        <v>67</v>
      </c>
      <c r="M78" s="92"/>
    </row>
    <row r="79" spans="1:13" ht="21.6" x14ac:dyDescent="0.65">
      <c r="A79" s="195"/>
      <c r="B79" s="140">
        <v>76</v>
      </c>
      <c r="C79" s="2"/>
      <c r="D79" s="1"/>
      <c r="E79" s="3"/>
      <c r="F79" s="1"/>
      <c r="G79" s="141">
        <f>IF(Basic34567891011121314[[#This Row],[نوع الخدمة]]="مخالفات", 50,
IF(Basic34567891011121314[[#This Row],[نوع الخدمة]]="كاش ان",
    IF(F79&lt;=100, 18, IF(F79&lt;=250, 23, IF(F79&lt;=500, 35, IF(F79&lt;=1000, 40, F79*0.04)))),
IF(Basic34567891011121314[[#This Row],[نوع الخدمة]]="كاش اوت",
    IF(F79&lt;=100, 15, IF(F79&lt;=250, 20, IF(F79&lt;=500, 30, IF(F79&lt;=1000, 35, F79*0.035)))),
0)))</f>
        <v>0</v>
      </c>
      <c r="H79" s="163">
        <f>IF(I79="مخالفات",50,Basic34567891011121314[[#This Row],[قيمة الرسوم / العموله]]+Basic34567891011121314[[#This Row],[قيمة الشحنه]])</f>
        <v>0</v>
      </c>
      <c r="I79" s="90"/>
      <c r="J79" s="142" t="str">
        <f t="shared" si="1"/>
        <v>19.5.2026</v>
      </c>
      <c r="L79" s="153">
        <v>68</v>
      </c>
      <c r="M79" s="92"/>
    </row>
    <row r="80" spans="1:13" ht="21.6" x14ac:dyDescent="0.65">
      <c r="A80" s="195"/>
      <c r="B80" s="140">
        <v>77</v>
      </c>
      <c r="C80" s="2"/>
      <c r="D80" s="1"/>
      <c r="E80" s="3"/>
      <c r="F80" s="1"/>
      <c r="G80" s="141">
        <f>IF(Basic34567891011121314[[#This Row],[نوع الخدمة]]="مخالفات", 50,
IF(Basic34567891011121314[[#This Row],[نوع الخدمة]]="كاش ان",
    IF(F80&lt;=100, 18, IF(F80&lt;=250, 23, IF(F80&lt;=500, 35, IF(F80&lt;=1000, 40, F80*0.04)))),
IF(Basic34567891011121314[[#This Row],[نوع الخدمة]]="كاش اوت",
    IF(F80&lt;=100, 15, IF(F80&lt;=250, 20, IF(F80&lt;=500, 30, IF(F80&lt;=1000, 35, F80*0.035)))),
0)))</f>
        <v>0</v>
      </c>
      <c r="H80" s="163">
        <f>IF(I80="مخالفات",50,Basic34567891011121314[[#This Row],[قيمة الرسوم / العموله]]+Basic34567891011121314[[#This Row],[قيمة الشحنه]])</f>
        <v>0</v>
      </c>
      <c r="I80" s="90"/>
      <c r="J80" s="142" t="str">
        <f t="shared" si="1"/>
        <v>19.5.2026</v>
      </c>
      <c r="L80" s="153">
        <v>69</v>
      </c>
      <c r="M80" s="92"/>
    </row>
    <row r="81" spans="1:13" ht="21.6" x14ac:dyDescent="0.65">
      <c r="A81" s="195"/>
      <c r="B81" s="144">
        <v>78</v>
      </c>
      <c r="C81" s="2"/>
      <c r="D81" s="1"/>
      <c r="E81" s="3"/>
      <c r="F81" s="1"/>
      <c r="G81" s="141">
        <f>IF(Basic34567891011121314[[#This Row],[نوع الخدمة]]="مخالفات", 50,
IF(Basic34567891011121314[[#This Row],[نوع الخدمة]]="كاش ان",
    IF(F81&lt;=100, 18, IF(F81&lt;=250, 23, IF(F81&lt;=500, 35, IF(F81&lt;=1000, 40, F81*0.04)))),
IF(Basic34567891011121314[[#This Row],[نوع الخدمة]]="كاش اوت",
    IF(F81&lt;=100, 15, IF(F81&lt;=250, 20, IF(F81&lt;=500, 30, IF(F81&lt;=1000, 35, F81*0.035)))),
0)))</f>
        <v>0</v>
      </c>
      <c r="H81" s="163">
        <f>IF(I81="مخالفات",50,Basic34567891011121314[[#This Row],[قيمة الرسوم / العموله]]+Basic34567891011121314[[#This Row],[قيمة الشحنه]])</f>
        <v>0</v>
      </c>
      <c r="I81" s="90"/>
      <c r="J81" s="142" t="str">
        <f t="shared" si="1"/>
        <v>19.5.2026</v>
      </c>
      <c r="L81" s="153">
        <v>70</v>
      </c>
      <c r="M81" s="92"/>
    </row>
    <row r="82" spans="1:13" ht="21.6" x14ac:dyDescent="0.65">
      <c r="A82" s="195"/>
      <c r="B82" s="140">
        <v>79</v>
      </c>
      <c r="C82" s="2"/>
      <c r="D82" s="1"/>
      <c r="E82" s="3"/>
      <c r="F82" s="1"/>
      <c r="G82" s="141">
        <f>IF(Basic34567891011121314[[#This Row],[نوع الخدمة]]="مخالفات", 50,
IF(Basic34567891011121314[[#This Row],[نوع الخدمة]]="كاش ان",
    IF(F82&lt;=100, 18, IF(F82&lt;=250, 23, IF(F82&lt;=500, 35, IF(F82&lt;=1000, 40, F82*0.04)))),
IF(Basic34567891011121314[[#This Row],[نوع الخدمة]]="كاش اوت",
    IF(F82&lt;=100, 15, IF(F82&lt;=250, 20, IF(F82&lt;=500, 30, IF(F82&lt;=1000, 35, F82*0.035)))),
0)))</f>
        <v>0</v>
      </c>
      <c r="H82" s="163">
        <f>IF(I82="مخالفات",50,Basic34567891011121314[[#This Row],[قيمة الرسوم / العموله]]+Basic34567891011121314[[#This Row],[قيمة الشحنه]])</f>
        <v>0</v>
      </c>
      <c r="I82" s="90"/>
      <c r="J82" s="142" t="str">
        <f t="shared" si="1"/>
        <v>19.5.2026</v>
      </c>
      <c r="L82" s="153">
        <v>71</v>
      </c>
      <c r="M82" s="92"/>
    </row>
    <row r="83" spans="1:13" ht="21.6" x14ac:dyDescent="0.65">
      <c r="A83" s="195"/>
      <c r="B83" s="140">
        <v>80</v>
      </c>
      <c r="C83" s="2"/>
      <c r="D83" s="1"/>
      <c r="E83" s="3"/>
      <c r="F83" s="1"/>
      <c r="G83" s="141">
        <f>IF(Basic34567891011121314[[#This Row],[نوع الخدمة]]="مخالفات", 50,
IF(Basic34567891011121314[[#This Row],[نوع الخدمة]]="كاش ان",
    IF(F83&lt;=100, 18, IF(F83&lt;=250, 23, IF(F83&lt;=500, 35, IF(F83&lt;=1000, 40, F83*0.04)))),
IF(Basic34567891011121314[[#This Row],[نوع الخدمة]]="كاش اوت",
    IF(F83&lt;=100, 15, IF(F83&lt;=250, 20, IF(F83&lt;=500, 30, IF(F83&lt;=1000, 35, F83*0.035)))),
0)))</f>
        <v>0</v>
      </c>
      <c r="H83" s="163">
        <f>IF(I83="مخالفات",50,Basic34567891011121314[[#This Row],[قيمة الرسوم / العموله]]+Basic34567891011121314[[#This Row],[قيمة الشحنه]])</f>
        <v>0</v>
      </c>
      <c r="I83" s="90"/>
      <c r="J83" s="142" t="str">
        <f t="shared" si="1"/>
        <v>19.5.2026</v>
      </c>
      <c r="L83" s="153">
        <v>72</v>
      </c>
      <c r="M83" s="92"/>
    </row>
    <row r="84" spans="1:13" ht="21.6" x14ac:dyDescent="0.65">
      <c r="A84" s="195"/>
      <c r="B84" s="140">
        <v>81</v>
      </c>
      <c r="C84" s="2"/>
      <c r="D84" s="1"/>
      <c r="E84" s="3"/>
      <c r="F84" s="1"/>
      <c r="G84" s="141">
        <f>IF(Basic34567891011121314[[#This Row],[نوع الخدمة]]="مخالفات", 50,
IF(Basic34567891011121314[[#This Row],[نوع الخدمة]]="كاش ان",
    IF(F84&lt;=100, 18, IF(F84&lt;=250, 23, IF(F84&lt;=500, 35, IF(F84&lt;=1000, 40, F84*0.04)))),
IF(Basic34567891011121314[[#This Row],[نوع الخدمة]]="كاش اوت",
    IF(F84&lt;=100, 15, IF(F84&lt;=250, 20, IF(F84&lt;=500, 30, IF(F84&lt;=1000, 35, F84*0.035)))),
0)))</f>
        <v>0</v>
      </c>
      <c r="H84" s="163">
        <f>IF(I84="مخالفات",50,Basic34567891011121314[[#This Row],[قيمة الرسوم / العموله]]+Basic34567891011121314[[#This Row],[قيمة الشحنه]])</f>
        <v>0</v>
      </c>
      <c r="I84" s="90"/>
      <c r="J84" s="142" t="str">
        <f t="shared" si="1"/>
        <v>19.5.2026</v>
      </c>
      <c r="L84" s="153">
        <v>73</v>
      </c>
      <c r="M84" s="92"/>
    </row>
    <row r="85" spans="1:13" ht="21.6" x14ac:dyDescent="0.65">
      <c r="A85" s="195"/>
      <c r="B85" s="144">
        <v>82</v>
      </c>
      <c r="C85" s="2"/>
      <c r="D85" s="1"/>
      <c r="E85" s="3"/>
      <c r="F85" s="1"/>
      <c r="G85" s="141">
        <f>IF(Basic34567891011121314[[#This Row],[نوع الخدمة]]="مخالفات", 50,
IF(Basic34567891011121314[[#This Row],[نوع الخدمة]]="كاش ان",
    IF(F85&lt;=100, 18, IF(F85&lt;=250, 23, IF(F85&lt;=500, 35, IF(F85&lt;=1000, 40, F85*0.04)))),
IF(Basic34567891011121314[[#This Row],[نوع الخدمة]]="كاش اوت",
    IF(F85&lt;=100, 15, IF(F85&lt;=250, 20, IF(F85&lt;=500, 30, IF(F85&lt;=1000, 35, F85*0.035)))),
0)))</f>
        <v>0</v>
      </c>
      <c r="H85" s="163">
        <f>IF(I85="مخالفات",50,Basic34567891011121314[[#This Row],[قيمة الرسوم / العموله]]+Basic34567891011121314[[#This Row],[قيمة الشحنه]])</f>
        <v>0</v>
      </c>
      <c r="I85" s="90"/>
      <c r="J85" s="142" t="str">
        <f t="shared" si="1"/>
        <v>19.5.2026</v>
      </c>
      <c r="L85" s="153">
        <v>74</v>
      </c>
      <c r="M85" s="92"/>
    </row>
    <row r="86" spans="1:13" ht="21.6" x14ac:dyDescent="0.65">
      <c r="A86" s="195"/>
      <c r="B86" s="140">
        <v>83</v>
      </c>
      <c r="C86" s="2"/>
      <c r="D86" s="1"/>
      <c r="E86" s="3"/>
      <c r="F86" s="1"/>
      <c r="G86" s="141">
        <f>IF(Basic34567891011121314[[#This Row],[نوع الخدمة]]="مخالفات", 50,
IF(Basic34567891011121314[[#This Row],[نوع الخدمة]]="كاش ان",
    IF(F86&lt;=100, 18, IF(F86&lt;=250, 23, IF(F86&lt;=500, 35, IF(F86&lt;=1000, 40, F86*0.04)))),
IF(Basic34567891011121314[[#This Row],[نوع الخدمة]]="كاش اوت",
    IF(F86&lt;=100, 15, IF(F86&lt;=250, 20, IF(F86&lt;=500, 30, IF(F86&lt;=1000, 35, F86*0.035)))),
0)))</f>
        <v>0</v>
      </c>
      <c r="H86" s="163">
        <f>IF(I86="مخالفات",50,Basic34567891011121314[[#This Row],[قيمة الرسوم / العموله]]+Basic34567891011121314[[#This Row],[قيمة الشحنه]])</f>
        <v>0</v>
      </c>
      <c r="I86" s="90"/>
      <c r="J86" s="142" t="str">
        <f t="shared" si="1"/>
        <v>19.5.2026</v>
      </c>
      <c r="L86" s="153">
        <v>75</v>
      </c>
      <c r="M86" s="92"/>
    </row>
    <row r="87" spans="1:13" ht="21.6" x14ac:dyDescent="0.65">
      <c r="A87" s="195"/>
      <c r="B87" s="140">
        <v>84</v>
      </c>
      <c r="C87" s="2"/>
      <c r="D87" s="1"/>
      <c r="E87" s="3"/>
      <c r="F87" s="1"/>
      <c r="G87" s="141">
        <f>IF(Basic34567891011121314[[#This Row],[نوع الخدمة]]="مخالفات", 50,
IF(Basic34567891011121314[[#This Row],[نوع الخدمة]]="كاش ان",
    IF(F87&lt;=100, 18, IF(F87&lt;=250, 23, IF(F87&lt;=500, 35, IF(F87&lt;=1000, 40, F87*0.04)))),
IF(Basic34567891011121314[[#This Row],[نوع الخدمة]]="كاش اوت",
    IF(F87&lt;=100, 15, IF(F87&lt;=250, 20, IF(F87&lt;=500, 30, IF(F87&lt;=1000, 35, F87*0.035)))),
0)))</f>
        <v>0</v>
      </c>
      <c r="H87" s="163">
        <f>IF(I87="مخالفات",50,Basic34567891011121314[[#This Row],[قيمة الرسوم / العموله]]+Basic34567891011121314[[#This Row],[قيمة الشحنه]])</f>
        <v>0</v>
      </c>
      <c r="I87" s="90"/>
      <c r="J87" s="142" t="str">
        <f t="shared" si="1"/>
        <v>19.5.2026</v>
      </c>
      <c r="L87" s="153">
        <v>76</v>
      </c>
      <c r="M87" s="92"/>
    </row>
    <row r="88" spans="1:13" ht="21.6" x14ac:dyDescent="0.65">
      <c r="A88" s="195"/>
      <c r="B88" s="140">
        <v>85</v>
      </c>
      <c r="C88" s="2"/>
      <c r="D88" s="1"/>
      <c r="E88" s="3"/>
      <c r="F88" s="1"/>
      <c r="G88" s="141">
        <f>IF(Basic34567891011121314[[#This Row],[نوع الخدمة]]="مخالفات", 50,
IF(Basic34567891011121314[[#This Row],[نوع الخدمة]]="كاش ان",
    IF(F88&lt;=100, 18, IF(F88&lt;=250, 23, IF(F88&lt;=500, 35, IF(F88&lt;=1000, 40, F88*0.04)))),
IF(Basic34567891011121314[[#This Row],[نوع الخدمة]]="كاش اوت",
    IF(F88&lt;=100, 15, IF(F88&lt;=250, 20, IF(F88&lt;=500, 30, IF(F88&lt;=1000, 35, F88*0.035)))),
0)))</f>
        <v>0</v>
      </c>
      <c r="H88" s="163">
        <f>IF(I88="مخالفات",50,Basic34567891011121314[[#This Row],[قيمة الرسوم / العموله]]+Basic34567891011121314[[#This Row],[قيمة الشحنه]])</f>
        <v>0</v>
      </c>
      <c r="I88" s="90"/>
      <c r="J88" s="142" t="str">
        <f t="shared" si="1"/>
        <v>19.5.2026</v>
      </c>
      <c r="L88" s="153">
        <v>77</v>
      </c>
      <c r="M88" s="92"/>
    </row>
    <row r="89" spans="1:13" ht="21.6" x14ac:dyDescent="0.65">
      <c r="A89" s="195"/>
      <c r="B89" s="144">
        <v>86</v>
      </c>
      <c r="C89" s="2"/>
      <c r="D89" s="1"/>
      <c r="E89" s="3"/>
      <c r="F89" s="1"/>
      <c r="G89" s="141">
        <f>IF(Basic34567891011121314[[#This Row],[نوع الخدمة]]="مخالفات", 50,
IF(Basic34567891011121314[[#This Row],[نوع الخدمة]]="كاش ان",
    IF(F89&lt;=100, 18, IF(F89&lt;=250, 23, IF(F89&lt;=500, 35, IF(F89&lt;=1000, 40, F89*0.04)))),
IF(Basic34567891011121314[[#This Row],[نوع الخدمة]]="كاش اوت",
    IF(F89&lt;=100, 15, IF(F89&lt;=250, 20, IF(F89&lt;=500, 30, IF(F89&lt;=1000, 35, F89*0.035)))),
0)))</f>
        <v>0</v>
      </c>
      <c r="H89" s="163">
        <f>IF(I89="مخالفات",50,Basic34567891011121314[[#This Row],[قيمة الرسوم / العموله]]+Basic34567891011121314[[#This Row],[قيمة الشحنه]])</f>
        <v>0</v>
      </c>
      <c r="I89" s="90"/>
      <c r="J89" s="142" t="str">
        <f t="shared" si="1"/>
        <v>19.5.2026</v>
      </c>
      <c r="L89" s="153">
        <v>78</v>
      </c>
      <c r="M89" s="92"/>
    </row>
    <row r="90" spans="1:13" ht="21.6" x14ac:dyDescent="0.65">
      <c r="A90" s="195"/>
      <c r="B90" s="140">
        <v>87</v>
      </c>
      <c r="C90" s="2"/>
      <c r="D90" s="1"/>
      <c r="E90" s="3"/>
      <c r="F90" s="1"/>
      <c r="G90" s="141">
        <f>IF(Basic34567891011121314[[#This Row],[نوع الخدمة]]="مخالفات", 50,
IF(Basic34567891011121314[[#This Row],[نوع الخدمة]]="كاش ان",
    IF(F90&lt;=100, 18, IF(F90&lt;=250, 23, IF(F90&lt;=500, 35, IF(F90&lt;=1000, 40, F90*0.04)))),
IF(Basic34567891011121314[[#This Row],[نوع الخدمة]]="كاش اوت",
    IF(F90&lt;=100, 15, IF(F90&lt;=250, 20, IF(F90&lt;=500, 30, IF(F90&lt;=1000, 35, F90*0.035)))),
0)))</f>
        <v>0</v>
      </c>
      <c r="H90" s="163">
        <f>IF(I90="مخالفات",50,Basic34567891011121314[[#This Row],[قيمة الرسوم / العموله]]+Basic34567891011121314[[#This Row],[قيمة الشحنه]])</f>
        <v>0</v>
      </c>
      <c r="I90" s="90"/>
      <c r="J90" s="142" t="str">
        <f t="shared" si="1"/>
        <v>19.5.2026</v>
      </c>
      <c r="L90" s="153">
        <v>79</v>
      </c>
      <c r="M90" s="92"/>
    </row>
    <row r="91" spans="1:13" ht="21.6" x14ac:dyDescent="0.65">
      <c r="A91" s="195"/>
      <c r="B91" s="140">
        <v>88</v>
      </c>
      <c r="C91" s="2"/>
      <c r="D91" s="1"/>
      <c r="E91" s="3"/>
      <c r="F91" s="1"/>
      <c r="G91" s="141">
        <f>IF(Basic34567891011121314[[#This Row],[نوع الخدمة]]="مخالفات", 50,
IF(Basic34567891011121314[[#This Row],[نوع الخدمة]]="كاش ان",
    IF(F91&lt;=100, 18, IF(F91&lt;=250, 23, IF(F91&lt;=500, 35, IF(F91&lt;=1000, 40, F91*0.04)))),
IF(Basic34567891011121314[[#This Row],[نوع الخدمة]]="كاش اوت",
    IF(F91&lt;=100, 15, IF(F91&lt;=250, 20, IF(F91&lt;=500, 30, IF(F91&lt;=1000, 35, F91*0.035)))),
0)))</f>
        <v>0</v>
      </c>
      <c r="H91" s="163">
        <f>IF(I91="مخالفات",50,Basic34567891011121314[[#This Row],[قيمة الرسوم / العموله]]+Basic34567891011121314[[#This Row],[قيمة الشحنه]])</f>
        <v>0</v>
      </c>
      <c r="I91" s="90"/>
      <c r="J91" s="142" t="str">
        <f t="shared" si="1"/>
        <v>19.5.2026</v>
      </c>
      <c r="L91" s="153">
        <v>80</v>
      </c>
      <c r="M91" s="92"/>
    </row>
    <row r="92" spans="1:13" ht="21.6" x14ac:dyDescent="0.65">
      <c r="A92" s="195"/>
      <c r="B92" s="140">
        <v>89</v>
      </c>
      <c r="C92" s="2"/>
      <c r="D92" s="1"/>
      <c r="E92" s="3"/>
      <c r="F92" s="1"/>
      <c r="G92" s="141">
        <f>IF(Basic34567891011121314[[#This Row],[نوع الخدمة]]="مخالفات", 50,
IF(Basic34567891011121314[[#This Row],[نوع الخدمة]]="كاش ان",
    IF(F92&lt;=100, 18, IF(F92&lt;=250, 23, IF(F92&lt;=500, 35, IF(F92&lt;=1000, 40, F92*0.04)))),
IF(Basic34567891011121314[[#This Row],[نوع الخدمة]]="كاش اوت",
    IF(F92&lt;=100, 15, IF(F92&lt;=250, 20, IF(F92&lt;=500, 30, IF(F92&lt;=1000, 35, F92*0.035)))),
0)))</f>
        <v>0</v>
      </c>
      <c r="H92" s="163">
        <f>IF(I92="مخالفات",50,Basic34567891011121314[[#This Row],[قيمة الرسوم / العموله]]+Basic34567891011121314[[#This Row],[قيمة الشحنه]])</f>
        <v>0</v>
      </c>
      <c r="I92" s="90"/>
      <c r="J92" s="142" t="str">
        <f t="shared" si="1"/>
        <v>19.5.2026</v>
      </c>
      <c r="L92" s="153">
        <v>81</v>
      </c>
      <c r="M92" s="92"/>
    </row>
    <row r="93" spans="1:13" ht="21.6" x14ac:dyDescent="0.65">
      <c r="A93" s="195"/>
      <c r="B93" s="144">
        <v>90</v>
      </c>
      <c r="C93" s="2"/>
      <c r="D93" s="1"/>
      <c r="E93" s="3"/>
      <c r="F93" s="1"/>
      <c r="G93" s="141">
        <f>IF(Basic34567891011121314[[#This Row],[نوع الخدمة]]="مخالفات", 50,
IF(Basic34567891011121314[[#This Row],[نوع الخدمة]]="كاش ان",
    IF(F93&lt;=100, 18, IF(F93&lt;=250, 23, IF(F93&lt;=500, 35, IF(F93&lt;=1000, 40, F93*0.04)))),
IF(Basic34567891011121314[[#This Row],[نوع الخدمة]]="كاش اوت",
    IF(F93&lt;=100, 15, IF(F93&lt;=250, 20, IF(F93&lt;=500, 30, IF(F93&lt;=1000, 35, F93*0.035)))),
0)))</f>
        <v>0</v>
      </c>
      <c r="H93" s="163">
        <f>IF(I93="مخالفات",50,Basic34567891011121314[[#This Row],[قيمة الرسوم / العموله]]+Basic34567891011121314[[#This Row],[قيمة الشحنه]])</f>
        <v>0</v>
      </c>
      <c r="I93" s="90"/>
      <c r="J93" s="142" t="str">
        <f t="shared" si="1"/>
        <v>19.5.2026</v>
      </c>
      <c r="L93" s="153">
        <v>82</v>
      </c>
      <c r="M93" s="92"/>
    </row>
    <row r="94" spans="1:13" ht="21.6" x14ac:dyDescent="0.65">
      <c r="A94" s="195"/>
      <c r="B94" s="140">
        <v>91</v>
      </c>
      <c r="C94" s="2"/>
      <c r="D94" s="1"/>
      <c r="E94" s="3"/>
      <c r="F94" s="1"/>
      <c r="G94" s="141">
        <f>IF(Basic34567891011121314[[#This Row],[نوع الخدمة]]="مخالفات", 50,
IF(Basic34567891011121314[[#This Row],[نوع الخدمة]]="كاش ان",
    IF(F94&lt;=100, 18, IF(F94&lt;=250, 23, IF(F94&lt;=500, 35, IF(F94&lt;=1000, 40, F94*0.04)))),
IF(Basic34567891011121314[[#This Row],[نوع الخدمة]]="كاش اوت",
    IF(F94&lt;=100, 15, IF(F94&lt;=250, 20, IF(F94&lt;=500, 30, IF(F94&lt;=1000, 35, F94*0.035)))),
0)))</f>
        <v>0</v>
      </c>
      <c r="H94" s="163">
        <f>IF(I94="مخالفات",50,Basic34567891011121314[[#This Row],[قيمة الرسوم / العموله]]+Basic34567891011121314[[#This Row],[قيمة الشحنه]])</f>
        <v>0</v>
      </c>
      <c r="I94" s="90"/>
      <c r="J94" s="142" t="str">
        <f t="shared" si="1"/>
        <v>19.5.2026</v>
      </c>
      <c r="L94" s="153">
        <v>83</v>
      </c>
      <c r="M94" s="92"/>
    </row>
    <row r="95" spans="1:13" ht="21.6" x14ac:dyDescent="0.65">
      <c r="A95" s="195"/>
      <c r="B95" s="140">
        <v>92</v>
      </c>
      <c r="C95" s="2"/>
      <c r="D95" s="1"/>
      <c r="E95" s="3"/>
      <c r="F95" s="1"/>
      <c r="G95" s="141">
        <f>IF(Basic34567891011121314[[#This Row],[نوع الخدمة]]="مخالفات", 50,
IF(Basic34567891011121314[[#This Row],[نوع الخدمة]]="كاش ان",
    IF(F95&lt;=100, 18, IF(F95&lt;=250, 23, IF(F95&lt;=500, 35, IF(F95&lt;=1000, 40, F95*0.04)))),
IF(Basic34567891011121314[[#This Row],[نوع الخدمة]]="كاش اوت",
    IF(F95&lt;=100, 15, IF(F95&lt;=250, 20, IF(F95&lt;=500, 30, IF(F95&lt;=1000, 35, F95*0.035)))),
0)))</f>
        <v>0</v>
      </c>
      <c r="H95" s="163">
        <f>IF(I95="مخالفات",50,Basic34567891011121314[[#This Row],[قيمة الرسوم / العموله]]+Basic34567891011121314[[#This Row],[قيمة الشحنه]])</f>
        <v>0</v>
      </c>
      <c r="I95" s="90"/>
      <c r="J95" s="142" t="str">
        <f t="shared" si="1"/>
        <v>19.5.2026</v>
      </c>
      <c r="L95" s="153">
        <v>84</v>
      </c>
      <c r="M95" s="92"/>
    </row>
    <row r="96" spans="1:13" ht="21.6" x14ac:dyDescent="0.65">
      <c r="A96" s="195"/>
      <c r="B96" s="140">
        <v>93</v>
      </c>
      <c r="C96" s="2"/>
      <c r="D96" s="1"/>
      <c r="E96" s="3"/>
      <c r="F96" s="1"/>
      <c r="G96" s="141">
        <f>IF(Basic34567891011121314[[#This Row],[نوع الخدمة]]="مخالفات", 50,
IF(Basic34567891011121314[[#This Row],[نوع الخدمة]]="كاش ان",
    IF(F96&lt;=100, 18, IF(F96&lt;=250, 23, IF(F96&lt;=500, 35, IF(F96&lt;=1000, 40, F96*0.04)))),
IF(Basic34567891011121314[[#This Row],[نوع الخدمة]]="كاش اوت",
    IF(F96&lt;=100, 15, IF(F96&lt;=250, 20, IF(F96&lt;=500, 30, IF(F96&lt;=1000, 35, F96*0.035)))),
0)))</f>
        <v>0</v>
      </c>
      <c r="H96" s="163">
        <f>IF(I96="مخالفات",50,Basic34567891011121314[[#This Row],[قيمة الرسوم / العموله]]+Basic34567891011121314[[#This Row],[قيمة الشحنه]])</f>
        <v>0</v>
      </c>
      <c r="I96" s="90"/>
      <c r="J96" s="142" t="str">
        <f t="shared" si="1"/>
        <v>19.5.2026</v>
      </c>
      <c r="L96" s="153">
        <v>85</v>
      </c>
      <c r="M96" s="92"/>
    </row>
    <row r="97" spans="1:13" ht="21.6" x14ac:dyDescent="0.65">
      <c r="A97" s="195"/>
      <c r="B97" s="144">
        <v>94</v>
      </c>
      <c r="C97" s="2"/>
      <c r="D97" s="1"/>
      <c r="E97" s="3"/>
      <c r="F97" s="1"/>
      <c r="G97" s="141">
        <f>IF(Basic34567891011121314[[#This Row],[نوع الخدمة]]="مخالفات", 50,
IF(Basic34567891011121314[[#This Row],[نوع الخدمة]]="كاش ان",
    IF(F97&lt;=100, 18, IF(F97&lt;=250, 23, IF(F97&lt;=500, 35, IF(F97&lt;=1000, 40, F97*0.04)))),
IF(Basic34567891011121314[[#This Row],[نوع الخدمة]]="كاش اوت",
    IF(F97&lt;=100, 15, IF(F97&lt;=250, 20, IF(F97&lt;=500, 30, IF(F97&lt;=1000, 35, F97*0.035)))),
0)))</f>
        <v>0</v>
      </c>
      <c r="H97" s="163">
        <f>IF(I97="مخالفات",50,Basic34567891011121314[[#This Row],[قيمة الرسوم / العموله]]+Basic34567891011121314[[#This Row],[قيمة الشحنه]])</f>
        <v>0</v>
      </c>
      <c r="I97" s="90"/>
      <c r="J97" s="142" t="str">
        <f t="shared" si="1"/>
        <v>19.5.2026</v>
      </c>
      <c r="L97" s="153">
        <v>86</v>
      </c>
      <c r="M97" s="92"/>
    </row>
    <row r="98" spans="1:13" ht="21.6" x14ac:dyDescent="0.65">
      <c r="A98" s="195"/>
      <c r="B98" s="140">
        <v>95</v>
      </c>
      <c r="C98" s="2"/>
      <c r="D98" s="1"/>
      <c r="E98" s="3"/>
      <c r="F98" s="1"/>
      <c r="G98" s="141">
        <f>IF(Basic34567891011121314[[#This Row],[نوع الخدمة]]="مخالفات", 50,
IF(Basic34567891011121314[[#This Row],[نوع الخدمة]]="كاش ان",
    IF(F98&lt;=100, 18, IF(F98&lt;=250, 23, IF(F98&lt;=500, 35, IF(F98&lt;=1000, 40, F98*0.04)))),
IF(Basic34567891011121314[[#This Row],[نوع الخدمة]]="كاش اوت",
    IF(F98&lt;=100, 15, IF(F98&lt;=250, 20, IF(F98&lt;=500, 30, IF(F98&lt;=1000, 35, F98*0.035)))),
0)))</f>
        <v>0</v>
      </c>
      <c r="H98" s="163">
        <f>IF(I98="مخالفات",50,Basic34567891011121314[[#This Row],[قيمة الرسوم / العموله]]+Basic34567891011121314[[#This Row],[قيمة الشحنه]])</f>
        <v>0</v>
      </c>
      <c r="I98" s="90"/>
      <c r="J98" s="142" t="str">
        <f t="shared" si="1"/>
        <v>19.5.2026</v>
      </c>
      <c r="L98" s="153">
        <v>87</v>
      </c>
      <c r="M98" s="92"/>
    </row>
    <row r="99" spans="1:13" ht="21.6" x14ac:dyDescent="0.65">
      <c r="A99" s="195"/>
      <c r="B99" s="140">
        <v>96</v>
      </c>
      <c r="C99" s="2"/>
      <c r="D99" s="1"/>
      <c r="E99" s="3"/>
      <c r="F99" s="1"/>
      <c r="G99" s="141">
        <f>IF(Basic34567891011121314[[#This Row],[نوع الخدمة]]="مخالفات", 50,
IF(Basic34567891011121314[[#This Row],[نوع الخدمة]]="كاش ان",
    IF(F99&lt;=100, 18, IF(F99&lt;=250, 23, IF(F99&lt;=500, 35, IF(F99&lt;=1000, 40, F99*0.04)))),
IF(Basic34567891011121314[[#This Row],[نوع الخدمة]]="كاش اوت",
    IF(F99&lt;=100, 15, IF(F99&lt;=250, 20, IF(F99&lt;=500, 30, IF(F99&lt;=1000, 35, F99*0.035)))),
0)))</f>
        <v>0</v>
      </c>
      <c r="H99" s="163">
        <f>IF(I99="مخالفات",50,Basic34567891011121314[[#This Row],[قيمة الرسوم / العموله]]+Basic34567891011121314[[#This Row],[قيمة الشحنه]])</f>
        <v>0</v>
      </c>
      <c r="I99" s="90"/>
      <c r="J99" s="142" t="str">
        <f t="shared" si="1"/>
        <v>19.5.2026</v>
      </c>
      <c r="L99" s="153">
        <v>88</v>
      </c>
      <c r="M99" s="92"/>
    </row>
    <row r="100" spans="1:13" ht="21.6" x14ac:dyDescent="0.65">
      <c r="A100" s="195"/>
      <c r="B100" s="140">
        <v>97</v>
      </c>
      <c r="C100" s="2"/>
      <c r="D100" s="1"/>
      <c r="E100" s="3"/>
      <c r="F100" s="1"/>
      <c r="G100" s="141">
        <f>IF(Basic34567891011121314[[#This Row],[نوع الخدمة]]="مخالفات", 50,
IF(Basic34567891011121314[[#This Row],[نوع الخدمة]]="كاش ان",
    IF(F100&lt;=100, 18, IF(F100&lt;=250, 23, IF(F100&lt;=500, 35, IF(F100&lt;=1000, 40, F100*0.04)))),
IF(Basic34567891011121314[[#This Row],[نوع الخدمة]]="كاش اوت",
    IF(F100&lt;=100, 15, IF(F100&lt;=250, 20, IF(F100&lt;=500, 30, IF(F100&lt;=1000, 35, F100*0.035)))),
0)))</f>
        <v>0</v>
      </c>
      <c r="H100" s="163">
        <f>IF(I100="مخالفات",50,Basic34567891011121314[[#This Row],[قيمة الرسوم / العموله]]+Basic34567891011121314[[#This Row],[قيمة الشحنه]])</f>
        <v>0</v>
      </c>
      <c r="I100" s="90"/>
      <c r="J100" s="142" t="str">
        <f t="shared" si="1"/>
        <v>19.5.2026</v>
      </c>
      <c r="L100" s="153">
        <v>89</v>
      </c>
      <c r="M100" s="92"/>
    </row>
    <row r="101" spans="1:13" ht="21.6" x14ac:dyDescent="0.65">
      <c r="A101" s="195"/>
      <c r="B101" s="144">
        <v>98</v>
      </c>
      <c r="C101" s="2"/>
      <c r="D101" s="1"/>
      <c r="E101" s="3"/>
      <c r="F101" s="1"/>
      <c r="G101" s="141">
        <f>IF(Basic34567891011121314[[#This Row],[نوع الخدمة]]="مخالفات", 50,
IF(Basic34567891011121314[[#This Row],[نوع الخدمة]]="كاش ان",
    IF(F101&lt;=100, 18, IF(F101&lt;=250, 23, IF(F101&lt;=500, 35, IF(F101&lt;=1000, 40, F101*0.04)))),
IF(Basic34567891011121314[[#This Row],[نوع الخدمة]]="كاش اوت",
    IF(F101&lt;=100, 15, IF(F101&lt;=250, 20, IF(F101&lt;=500, 30, IF(F101&lt;=1000, 35, F101*0.035)))),
0)))</f>
        <v>0</v>
      </c>
      <c r="H101" s="163">
        <f>IF(I101="مخالفات",50,Basic34567891011121314[[#This Row],[قيمة الرسوم / العموله]]+Basic34567891011121314[[#This Row],[قيمة الشحنه]])</f>
        <v>0</v>
      </c>
      <c r="I101" s="90"/>
      <c r="J101" s="142" t="str">
        <f t="shared" si="1"/>
        <v>19.5.2026</v>
      </c>
      <c r="L101" s="153">
        <v>90</v>
      </c>
      <c r="M101" s="92"/>
    </row>
    <row r="102" spans="1:13" ht="21.6" x14ac:dyDescent="0.65">
      <c r="A102" s="195"/>
      <c r="B102" s="140">
        <v>99</v>
      </c>
      <c r="C102" s="2"/>
      <c r="D102" s="1"/>
      <c r="E102" s="3"/>
      <c r="F102" s="1"/>
      <c r="G102" s="141">
        <f>IF(Basic34567891011121314[[#This Row],[نوع الخدمة]]="مخالفات", 50,
IF(Basic34567891011121314[[#This Row],[نوع الخدمة]]="كاش ان",
    IF(F102&lt;=100, 18, IF(F102&lt;=250, 23, IF(F102&lt;=500, 35, IF(F102&lt;=1000, 40, F102*0.04)))),
IF(Basic34567891011121314[[#This Row],[نوع الخدمة]]="كاش اوت",
    IF(F102&lt;=100, 15, IF(F102&lt;=250, 20, IF(F102&lt;=500, 30, IF(F102&lt;=1000, 35, F102*0.035)))),
0)))</f>
        <v>0</v>
      </c>
      <c r="H102" s="163">
        <f>IF(I102="مخالفات",50,Basic34567891011121314[[#This Row],[قيمة الرسوم / العموله]]+Basic34567891011121314[[#This Row],[قيمة الشحنه]])</f>
        <v>0</v>
      </c>
      <c r="I102" s="90"/>
      <c r="J102" s="142" t="str">
        <f t="shared" si="1"/>
        <v>19.5.2026</v>
      </c>
      <c r="L102" s="153">
        <v>91</v>
      </c>
      <c r="M102" s="92"/>
    </row>
    <row r="103" spans="1:13" ht="21.6" x14ac:dyDescent="0.65">
      <c r="A103" s="195"/>
      <c r="B103" s="140">
        <v>100</v>
      </c>
      <c r="C103" s="2"/>
      <c r="D103" s="1"/>
      <c r="E103" s="3"/>
      <c r="F103" s="1"/>
      <c r="G103" s="141">
        <f>IF(Basic34567891011121314[[#This Row],[نوع الخدمة]]="مخالفات", 50,
IF(Basic34567891011121314[[#This Row],[نوع الخدمة]]="كاش ان",
    IF(F103&lt;=100, 18, IF(F103&lt;=250, 23, IF(F103&lt;=500, 35, IF(F103&lt;=1000, 40, F103*0.04)))),
IF(Basic34567891011121314[[#This Row],[نوع الخدمة]]="كاش اوت",
    IF(F103&lt;=100, 15, IF(F103&lt;=250, 20, IF(F103&lt;=500, 30, IF(F103&lt;=1000, 35, F103*0.035)))),
0)))</f>
        <v>0</v>
      </c>
      <c r="H103" s="163">
        <f>IF(I103="مخالفات",50,Basic34567891011121314[[#This Row],[قيمة الرسوم / العموله]]+Basic34567891011121314[[#This Row],[قيمة الشحنه]])</f>
        <v>0</v>
      </c>
      <c r="I103" s="90"/>
      <c r="J103" s="142" t="str">
        <f t="shared" si="1"/>
        <v>19.5.2026</v>
      </c>
      <c r="L103" s="153">
        <v>92</v>
      </c>
      <c r="M103" s="92"/>
    </row>
    <row r="104" spans="1:13" ht="21.6" x14ac:dyDescent="0.65">
      <c r="A104" s="195"/>
      <c r="B104" s="140">
        <v>101</v>
      </c>
      <c r="C104" s="2"/>
      <c r="D104" s="1"/>
      <c r="E104" s="3"/>
      <c r="F104" s="1"/>
      <c r="G104" s="141">
        <f>IF(Basic34567891011121314[[#This Row],[نوع الخدمة]]="مخالفات", 50,
IF(Basic34567891011121314[[#This Row],[نوع الخدمة]]="كاش ان",
    IF(F104&lt;=100, 18, IF(F104&lt;=250, 23, IF(F104&lt;=500, 35, IF(F104&lt;=1000, 40, F104*0.04)))),
IF(Basic34567891011121314[[#This Row],[نوع الخدمة]]="كاش اوت",
    IF(F104&lt;=100, 15, IF(F104&lt;=250, 20, IF(F104&lt;=500, 30, IF(F104&lt;=1000, 35, F104*0.035)))),
0)))</f>
        <v>0</v>
      </c>
      <c r="H104" s="163">
        <f>IF(I104="مخالفات",50,Basic34567891011121314[[#This Row],[قيمة الرسوم / العموله]]+Basic34567891011121314[[#This Row],[قيمة الشحنه]])</f>
        <v>0</v>
      </c>
      <c r="I104" s="90"/>
      <c r="J104" s="142" t="str">
        <f t="shared" si="1"/>
        <v>19.5.2026</v>
      </c>
      <c r="L104" s="153">
        <v>93</v>
      </c>
      <c r="M104" s="92"/>
    </row>
    <row r="105" spans="1:13" ht="21.6" x14ac:dyDescent="0.65">
      <c r="A105" s="195"/>
      <c r="B105" s="144">
        <v>102</v>
      </c>
      <c r="C105" s="2"/>
      <c r="D105" s="1"/>
      <c r="E105" s="3"/>
      <c r="F105" s="1"/>
      <c r="G105" s="141">
        <f>IF(Basic34567891011121314[[#This Row],[نوع الخدمة]]="مخالفات", 50,
IF(Basic34567891011121314[[#This Row],[نوع الخدمة]]="كاش ان",
    IF(F105&lt;=100, 18, IF(F105&lt;=250, 23, IF(F105&lt;=500, 35, IF(F105&lt;=1000, 40, F105*0.04)))),
IF(Basic34567891011121314[[#This Row],[نوع الخدمة]]="كاش اوت",
    IF(F105&lt;=100, 15, IF(F105&lt;=250, 20, IF(F105&lt;=500, 30, IF(F105&lt;=1000, 35, F105*0.035)))),
0)))</f>
        <v>0</v>
      </c>
      <c r="H105" s="163">
        <f>IF(I105="مخالفات",50,Basic34567891011121314[[#This Row],[قيمة الرسوم / العموله]]+Basic34567891011121314[[#This Row],[قيمة الشحنه]])</f>
        <v>0</v>
      </c>
      <c r="I105" s="90"/>
      <c r="J105" s="142" t="str">
        <f t="shared" si="1"/>
        <v>19.5.2026</v>
      </c>
      <c r="L105" s="153">
        <v>94</v>
      </c>
      <c r="M105" s="92"/>
    </row>
    <row r="106" spans="1:13" ht="21.6" x14ac:dyDescent="0.65">
      <c r="A106" s="195"/>
      <c r="B106" s="140">
        <v>103</v>
      </c>
      <c r="C106" s="2"/>
      <c r="D106" s="1"/>
      <c r="E106" s="3"/>
      <c r="F106" s="1"/>
      <c r="G106" s="141">
        <f>IF(Basic34567891011121314[[#This Row],[نوع الخدمة]]="مخالفات", 50,
IF(Basic34567891011121314[[#This Row],[نوع الخدمة]]="كاش ان",
    IF(F106&lt;=100, 18, IF(F106&lt;=250, 23, IF(F106&lt;=500, 35, IF(F106&lt;=1000, 40, F106*0.04)))),
IF(Basic34567891011121314[[#This Row],[نوع الخدمة]]="كاش اوت",
    IF(F106&lt;=100, 15, IF(F106&lt;=250, 20, IF(F106&lt;=500, 30, IF(F106&lt;=1000, 35, F106*0.035)))),
0)))</f>
        <v>0</v>
      </c>
      <c r="H106" s="163">
        <f>IF(I106="مخالفات",50,Basic34567891011121314[[#This Row],[قيمة الرسوم / العموله]]+Basic34567891011121314[[#This Row],[قيمة الشحنه]])</f>
        <v>0</v>
      </c>
      <c r="I106" s="90"/>
      <c r="J106" s="142" t="str">
        <f t="shared" si="1"/>
        <v>19.5.2026</v>
      </c>
      <c r="L106" s="153">
        <v>95</v>
      </c>
      <c r="M106" s="92"/>
    </row>
    <row r="107" spans="1:13" ht="21.6" x14ac:dyDescent="0.65">
      <c r="A107" s="195"/>
      <c r="B107" s="140">
        <v>104</v>
      </c>
      <c r="C107" s="2"/>
      <c r="D107" s="1"/>
      <c r="E107" s="3"/>
      <c r="F107" s="1"/>
      <c r="G107" s="141">
        <f>IF(Basic34567891011121314[[#This Row],[نوع الخدمة]]="مخالفات", 50,
IF(Basic34567891011121314[[#This Row],[نوع الخدمة]]="كاش ان",
    IF(F107&lt;=100, 18, IF(F107&lt;=250, 23, IF(F107&lt;=500, 35, IF(F107&lt;=1000, 40, F107*0.04)))),
IF(Basic34567891011121314[[#This Row],[نوع الخدمة]]="كاش اوت",
    IF(F107&lt;=100, 15, IF(F107&lt;=250, 20, IF(F107&lt;=500, 30, IF(F107&lt;=1000, 35, F107*0.035)))),
0)))</f>
        <v>0</v>
      </c>
      <c r="H107" s="163">
        <f>IF(I107="مخالفات",50,Basic34567891011121314[[#This Row],[قيمة الرسوم / العموله]]+Basic34567891011121314[[#This Row],[قيمة الشحنه]])</f>
        <v>0</v>
      </c>
      <c r="I107" s="90"/>
      <c r="J107" s="142" t="str">
        <f t="shared" si="1"/>
        <v>19.5.2026</v>
      </c>
      <c r="L107" s="153">
        <v>96</v>
      </c>
      <c r="M107" s="92"/>
    </row>
    <row r="108" spans="1:13" ht="21.6" x14ac:dyDescent="0.65">
      <c r="A108" s="195"/>
      <c r="B108" s="140">
        <v>105</v>
      </c>
      <c r="C108" s="2"/>
      <c r="D108" s="1"/>
      <c r="E108" s="3"/>
      <c r="F108" s="1"/>
      <c r="G108" s="141">
        <f>IF(Basic34567891011121314[[#This Row],[نوع الخدمة]]="مخالفات", 50,
IF(Basic34567891011121314[[#This Row],[نوع الخدمة]]="كاش ان",
    IF(F108&lt;=100, 18, IF(F108&lt;=250, 23, IF(F108&lt;=500, 35, IF(F108&lt;=1000, 40, F108*0.04)))),
IF(Basic34567891011121314[[#This Row],[نوع الخدمة]]="كاش اوت",
    IF(F108&lt;=100, 15, IF(F108&lt;=250, 20, IF(F108&lt;=500, 30, IF(F108&lt;=1000, 35, F108*0.035)))),
0)))</f>
        <v>0</v>
      </c>
      <c r="H108" s="163">
        <f>IF(I108="مخالفات",50,Basic34567891011121314[[#This Row],[قيمة الرسوم / العموله]]+Basic34567891011121314[[#This Row],[قيمة الشحنه]])</f>
        <v>0</v>
      </c>
      <c r="I108" s="90"/>
      <c r="J108" s="142" t="str">
        <f t="shared" si="1"/>
        <v>19.5.2026</v>
      </c>
      <c r="L108" s="153">
        <v>97</v>
      </c>
      <c r="M108" s="92"/>
    </row>
    <row r="109" spans="1:13" ht="21.6" x14ac:dyDescent="0.65">
      <c r="A109" s="195"/>
      <c r="B109" s="144">
        <v>106</v>
      </c>
      <c r="C109" s="2"/>
      <c r="D109" s="1"/>
      <c r="E109" s="3"/>
      <c r="F109" s="1"/>
      <c r="G109" s="141">
        <f>IF(Basic34567891011121314[[#This Row],[نوع الخدمة]]="مخالفات", 50,
IF(Basic34567891011121314[[#This Row],[نوع الخدمة]]="كاش ان",
    IF(F109&lt;=100, 18, IF(F109&lt;=250, 23, IF(F109&lt;=500, 35, IF(F109&lt;=1000, 40, F109*0.04)))),
IF(Basic34567891011121314[[#This Row],[نوع الخدمة]]="كاش اوت",
    IF(F109&lt;=100, 15, IF(F109&lt;=250, 20, IF(F109&lt;=500, 30, IF(F109&lt;=1000, 35, F109*0.035)))),
0)))</f>
        <v>0</v>
      </c>
      <c r="H109" s="163">
        <f>IF(I109="مخالفات",50,Basic34567891011121314[[#This Row],[قيمة الرسوم / العموله]]+Basic34567891011121314[[#This Row],[قيمة الشحنه]])</f>
        <v>0</v>
      </c>
      <c r="I109" s="90"/>
      <c r="J109" s="142" t="str">
        <f t="shared" si="1"/>
        <v>19.5.2026</v>
      </c>
      <c r="L109" s="153">
        <v>98</v>
      </c>
      <c r="M109" s="92"/>
    </row>
    <row r="110" spans="1:13" ht="21.6" x14ac:dyDescent="0.65">
      <c r="A110" s="195"/>
      <c r="B110" s="140">
        <v>107</v>
      </c>
      <c r="C110" s="2"/>
      <c r="D110" s="1"/>
      <c r="E110" s="3"/>
      <c r="F110" s="1"/>
      <c r="G110" s="141">
        <f>IF(Basic34567891011121314[[#This Row],[نوع الخدمة]]="مخالفات", 50,
IF(Basic34567891011121314[[#This Row],[نوع الخدمة]]="كاش ان",
    IF(F110&lt;=100, 18, IF(F110&lt;=250, 23, IF(F110&lt;=500, 35, IF(F110&lt;=1000, 40, F110*0.04)))),
IF(Basic34567891011121314[[#This Row],[نوع الخدمة]]="كاش اوت",
    IF(F110&lt;=100, 15, IF(F110&lt;=250, 20, IF(F110&lt;=500, 30, IF(F110&lt;=1000, 35, F110*0.035)))),
0)))</f>
        <v>0</v>
      </c>
      <c r="H110" s="163">
        <f>IF(I110="مخالفات",50,Basic34567891011121314[[#This Row],[قيمة الرسوم / العموله]]+Basic34567891011121314[[#This Row],[قيمة الشحنه]])</f>
        <v>0</v>
      </c>
      <c r="I110" s="90"/>
      <c r="J110" s="142" t="str">
        <f t="shared" si="1"/>
        <v>19.5.2026</v>
      </c>
      <c r="L110" s="153">
        <v>99</v>
      </c>
      <c r="M110" s="92"/>
    </row>
    <row r="111" spans="1:13" ht="21.6" x14ac:dyDescent="0.65">
      <c r="A111" s="195"/>
      <c r="B111" s="140">
        <v>108</v>
      </c>
      <c r="C111" s="2"/>
      <c r="D111" s="1"/>
      <c r="E111" s="3"/>
      <c r="F111" s="1"/>
      <c r="G111" s="141">
        <f>IF(Basic34567891011121314[[#This Row],[نوع الخدمة]]="مخالفات", 50,
IF(Basic34567891011121314[[#This Row],[نوع الخدمة]]="كاش ان",
    IF(F111&lt;=100, 18, IF(F111&lt;=250, 23, IF(F111&lt;=500, 35, IF(F111&lt;=1000, 40, F111*0.04)))),
IF(Basic34567891011121314[[#This Row],[نوع الخدمة]]="كاش اوت",
    IF(F111&lt;=100, 15, IF(F111&lt;=250, 20, IF(F111&lt;=500, 30, IF(F111&lt;=1000, 35, F111*0.035)))),
0)))</f>
        <v>0</v>
      </c>
      <c r="H111" s="163">
        <f>IF(I111="مخالفات",50,Basic34567891011121314[[#This Row],[قيمة الرسوم / العموله]]+Basic34567891011121314[[#This Row],[قيمة الشحنه]])</f>
        <v>0</v>
      </c>
      <c r="I111" s="90"/>
      <c r="J111" s="142" t="str">
        <f t="shared" si="1"/>
        <v>19.5.2026</v>
      </c>
      <c r="L111" s="153">
        <v>100</v>
      </c>
      <c r="M111" s="92"/>
    </row>
    <row r="112" spans="1:13" ht="21.6" x14ac:dyDescent="0.65">
      <c r="A112" s="195"/>
      <c r="B112" s="140">
        <v>109</v>
      </c>
      <c r="C112" s="2"/>
      <c r="D112" s="1"/>
      <c r="E112" s="3"/>
      <c r="F112" s="1"/>
      <c r="G112" s="141">
        <f>IF(Basic34567891011121314[[#This Row],[نوع الخدمة]]="مخالفات", 50,
IF(Basic34567891011121314[[#This Row],[نوع الخدمة]]="كاش ان",
    IF(F112&lt;=100, 18, IF(F112&lt;=250, 23, IF(F112&lt;=500, 35, IF(F112&lt;=1000, 40, F112*0.04)))),
IF(Basic34567891011121314[[#This Row],[نوع الخدمة]]="كاش اوت",
    IF(F112&lt;=100, 15, IF(F112&lt;=250, 20, IF(F112&lt;=500, 30, IF(F112&lt;=1000, 35, F112*0.035)))),
0)))</f>
        <v>0</v>
      </c>
      <c r="H112" s="163">
        <f>IF(I112="مخالفات",50,Basic34567891011121314[[#This Row],[قيمة الرسوم / العموله]]+Basic34567891011121314[[#This Row],[قيمة الشحنه]])</f>
        <v>0</v>
      </c>
      <c r="I112" s="90"/>
      <c r="J112" s="142" t="str">
        <f t="shared" si="1"/>
        <v>19.5.2026</v>
      </c>
      <c r="L112" s="153">
        <v>101</v>
      </c>
      <c r="M112" s="92"/>
    </row>
    <row r="113" spans="1:13" ht="21.6" x14ac:dyDescent="0.65">
      <c r="A113" s="195"/>
      <c r="B113" s="144">
        <v>110</v>
      </c>
      <c r="C113" s="2"/>
      <c r="D113" s="1"/>
      <c r="E113" s="3"/>
      <c r="F113" s="1"/>
      <c r="G113" s="141">
        <f>IF(Basic34567891011121314[[#This Row],[نوع الخدمة]]="مخالفات", 50,
IF(Basic34567891011121314[[#This Row],[نوع الخدمة]]="كاش ان",
    IF(F113&lt;=100, 18, IF(F113&lt;=250, 23, IF(F113&lt;=500, 35, IF(F113&lt;=1000, 40, F113*0.04)))),
IF(Basic34567891011121314[[#This Row],[نوع الخدمة]]="كاش اوت",
    IF(F113&lt;=100, 15, IF(F113&lt;=250, 20, IF(F113&lt;=500, 30, IF(F113&lt;=1000, 35, F113*0.035)))),
0)))</f>
        <v>0</v>
      </c>
      <c r="H113" s="163">
        <f>IF(I113="مخالفات",50,Basic34567891011121314[[#This Row],[قيمة الرسوم / العموله]]+Basic34567891011121314[[#This Row],[قيمة الشحنه]])</f>
        <v>0</v>
      </c>
      <c r="I113" s="90"/>
      <c r="J113" s="142" t="str">
        <f t="shared" si="1"/>
        <v>19.5.2026</v>
      </c>
      <c r="L113" s="153">
        <v>102</v>
      </c>
      <c r="M113" s="92"/>
    </row>
    <row r="114" spans="1:13" ht="21.6" x14ac:dyDescent="0.65">
      <c r="A114" s="195"/>
      <c r="B114" s="140">
        <v>111</v>
      </c>
      <c r="C114" s="2"/>
      <c r="D114" s="1"/>
      <c r="E114" s="3"/>
      <c r="F114" s="1"/>
      <c r="G114" s="141">
        <f>IF(Basic34567891011121314[[#This Row],[نوع الخدمة]]="مخالفات", 50,
IF(Basic34567891011121314[[#This Row],[نوع الخدمة]]="كاش ان",
    IF(F114&lt;=100, 18, IF(F114&lt;=250, 23, IF(F114&lt;=500, 35, IF(F114&lt;=1000, 40, F114*0.04)))),
IF(Basic34567891011121314[[#This Row],[نوع الخدمة]]="كاش اوت",
    IF(F114&lt;=100, 15, IF(F114&lt;=250, 20, IF(F114&lt;=500, 30, IF(F114&lt;=1000, 35, F114*0.035)))),
0)))</f>
        <v>0</v>
      </c>
      <c r="H114" s="163">
        <f>IF(I114="مخالفات",50,Basic34567891011121314[[#This Row],[قيمة الرسوم / العموله]]+Basic34567891011121314[[#This Row],[قيمة الشحنه]])</f>
        <v>0</v>
      </c>
      <c r="I114" s="90"/>
      <c r="J114" s="142" t="str">
        <f t="shared" si="1"/>
        <v>19.5.2026</v>
      </c>
      <c r="L114" s="153">
        <v>103</v>
      </c>
      <c r="M114" s="92"/>
    </row>
    <row r="115" spans="1:13" ht="21.6" x14ac:dyDescent="0.65">
      <c r="A115" s="195"/>
      <c r="B115" s="140">
        <v>112</v>
      </c>
      <c r="C115" s="2"/>
      <c r="D115" s="1"/>
      <c r="E115" s="3"/>
      <c r="F115" s="1"/>
      <c r="G115" s="141">
        <f>IF(Basic34567891011121314[[#This Row],[نوع الخدمة]]="مخالفات", 50,
IF(Basic34567891011121314[[#This Row],[نوع الخدمة]]="كاش ان",
    IF(F115&lt;=100, 18, IF(F115&lt;=250, 23, IF(F115&lt;=500, 35, IF(F115&lt;=1000, 40, F115*0.04)))),
IF(Basic34567891011121314[[#This Row],[نوع الخدمة]]="كاش اوت",
    IF(F115&lt;=100, 15, IF(F115&lt;=250, 20, IF(F115&lt;=500, 30, IF(F115&lt;=1000, 35, F115*0.035)))),
0)))</f>
        <v>0</v>
      </c>
      <c r="H115" s="163">
        <f>IF(I115="مخالفات",50,Basic34567891011121314[[#This Row],[قيمة الرسوم / العموله]]+Basic34567891011121314[[#This Row],[قيمة الشحنه]])</f>
        <v>0</v>
      </c>
      <c r="I115" s="90"/>
      <c r="J115" s="142" t="str">
        <f t="shared" si="1"/>
        <v>19.5.2026</v>
      </c>
      <c r="L115" s="153">
        <v>104</v>
      </c>
      <c r="M115" s="92"/>
    </row>
    <row r="116" spans="1:13" ht="21.6" x14ac:dyDescent="0.65">
      <c r="A116" s="195"/>
      <c r="B116" s="140">
        <v>113</v>
      </c>
      <c r="C116" s="2"/>
      <c r="D116" s="1"/>
      <c r="E116" s="3"/>
      <c r="F116" s="1"/>
      <c r="G116" s="141">
        <f>IF(Basic34567891011121314[[#This Row],[نوع الخدمة]]="مخالفات", 50,
IF(Basic34567891011121314[[#This Row],[نوع الخدمة]]="كاش ان",
    IF(F116&lt;=100, 18, IF(F116&lt;=250, 23, IF(F116&lt;=500, 35, IF(F116&lt;=1000, 40, F116*0.04)))),
IF(Basic34567891011121314[[#This Row],[نوع الخدمة]]="كاش اوت",
    IF(F116&lt;=100, 15, IF(F116&lt;=250, 20, IF(F116&lt;=500, 30, IF(F116&lt;=1000, 35, F116*0.035)))),
0)))</f>
        <v>0</v>
      </c>
      <c r="H116" s="163">
        <f>IF(I116="مخالفات",50,Basic34567891011121314[[#This Row],[قيمة الرسوم / العموله]]+Basic34567891011121314[[#This Row],[قيمة الشحنه]])</f>
        <v>0</v>
      </c>
      <c r="I116" s="90"/>
      <c r="J116" s="142" t="str">
        <f t="shared" si="1"/>
        <v>19.5.2026</v>
      </c>
      <c r="L116" s="153">
        <v>105</v>
      </c>
      <c r="M116" s="92"/>
    </row>
    <row r="117" spans="1:13" ht="21.6" x14ac:dyDescent="0.65">
      <c r="A117" s="195"/>
      <c r="B117" s="144">
        <v>114</v>
      </c>
      <c r="C117" s="2"/>
      <c r="D117" s="1"/>
      <c r="E117" s="3"/>
      <c r="F117" s="1"/>
      <c r="G117" s="141">
        <f>IF(Basic34567891011121314[[#This Row],[نوع الخدمة]]="مخالفات", 50,
IF(Basic34567891011121314[[#This Row],[نوع الخدمة]]="كاش ان",
    IF(F117&lt;=100, 18, IF(F117&lt;=250, 23, IF(F117&lt;=500, 35, IF(F117&lt;=1000, 40, F117*0.04)))),
IF(Basic34567891011121314[[#This Row],[نوع الخدمة]]="كاش اوت",
    IF(F117&lt;=100, 15, IF(F117&lt;=250, 20, IF(F117&lt;=500, 30, IF(F117&lt;=1000, 35, F117*0.035)))),
0)))</f>
        <v>0</v>
      </c>
      <c r="H117" s="163">
        <f>IF(I117="مخالفات",50,Basic34567891011121314[[#This Row],[قيمة الرسوم / العموله]]+Basic34567891011121314[[#This Row],[قيمة الشحنه]])</f>
        <v>0</v>
      </c>
      <c r="I117" s="90"/>
      <c r="J117" s="142" t="str">
        <f t="shared" si="1"/>
        <v>19.5.2026</v>
      </c>
      <c r="L117" s="153">
        <v>106</v>
      </c>
      <c r="M117" s="92"/>
    </row>
    <row r="118" spans="1:13" ht="21.6" x14ac:dyDescent="0.65">
      <c r="A118" s="195"/>
      <c r="B118" s="140">
        <v>115</v>
      </c>
      <c r="C118" s="2"/>
      <c r="D118" s="1"/>
      <c r="E118" s="3"/>
      <c r="F118" s="1"/>
      <c r="G118" s="141">
        <f>IF(Basic34567891011121314[[#This Row],[نوع الخدمة]]="مخالفات", 50,
IF(Basic34567891011121314[[#This Row],[نوع الخدمة]]="كاش ان",
    IF(F118&lt;=100, 18, IF(F118&lt;=250, 23, IF(F118&lt;=500, 35, IF(F118&lt;=1000, 40, F118*0.04)))),
IF(Basic34567891011121314[[#This Row],[نوع الخدمة]]="كاش اوت",
    IF(F118&lt;=100, 15, IF(F118&lt;=250, 20, IF(F118&lt;=500, 30, IF(F118&lt;=1000, 35, F118*0.035)))),
0)))</f>
        <v>0</v>
      </c>
      <c r="H118" s="163">
        <f>IF(I118="مخالفات",50,Basic34567891011121314[[#This Row],[قيمة الرسوم / العموله]]+Basic34567891011121314[[#This Row],[قيمة الشحنه]])</f>
        <v>0</v>
      </c>
      <c r="I118" s="90"/>
      <c r="J118" s="142" t="str">
        <f t="shared" si="1"/>
        <v>19.5.2026</v>
      </c>
      <c r="L118" s="153">
        <v>107</v>
      </c>
      <c r="M118" s="92"/>
    </row>
    <row r="119" spans="1:13" ht="21.6" x14ac:dyDescent="0.65">
      <c r="A119" s="195"/>
      <c r="B119" s="140">
        <v>116</v>
      </c>
      <c r="C119" s="2"/>
      <c r="D119" s="1"/>
      <c r="E119" s="3"/>
      <c r="F119" s="1"/>
      <c r="G119" s="141">
        <f>IF(Basic34567891011121314[[#This Row],[نوع الخدمة]]="مخالفات", 50,
IF(Basic34567891011121314[[#This Row],[نوع الخدمة]]="كاش ان",
    IF(F119&lt;=100, 18, IF(F119&lt;=250, 23, IF(F119&lt;=500, 35, IF(F119&lt;=1000, 40, F119*0.04)))),
IF(Basic34567891011121314[[#This Row],[نوع الخدمة]]="كاش اوت",
    IF(F119&lt;=100, 15, IF(F119&lt;=250, 20, IF(F119&lt;=500, 30, IF(F119&lt;=1000, 35, F119*0.035)))),
0)))</f>
        <v>0</v>
      </c>
      <c r="H119" s="163">
        <f>IF(I119="مخالفات",50,Basic34567891011121314[[#This Row],[قيمة الرسوم / العموله]]+Basic34567891011121314[[#This Row],[قيمة الشحنه]])</f>
        <v>0</v>
      </c>
      <c r="I119" s="90"/>
      <c r="J119" s="142" t="str">
        <f t="shared" si="1"/>
        <v>19.5.2026</v>
      </c>
      <c r="L119" s="153">
        <v>108</v>
      </c>
      <c r="M119" s="92"/>
    </row>
    <row r="120" spans="1:13" ht="21.6" x14ac:dyDescent="0.65">
      <c r="A120" s="195"/>
      <c r="B120" s="140">
        <v>117</v>
      </c>
      <c r="C120" s="2"/>
      <c r="D120" s="1"/>
      <c r="E120" s="3"/>
      <c r="F120" s="1"/>
      <c r="G120" s="141">
        <f>IF(Basic34567891011121314[[#This Row],[نوع الخدمة]]="مخالفات", 50,
IF(Basic34567891011121314[[#This Row],[نوع الخدمة]]="كاش ان",
    IF(F120&lt;=100, 18, IF(F120&lt;=250, 23, IF(F120&lt;=500, 35, IF(F120&lt;=1000, 40, F120*0.04)))),
IF(Basic34567891011121314[[#This Row],[نوع الخدمة]]="كاش اوت",
    IF(F120&lt;=100, 15, IF(F120&lt;=250, 20, IF(F120&lt;=500, 30, IF(F120&lt;=1000, 35, F120*0.035)))),
0)))</f>
        <v>0</v>
      </c>
      <c r="H120" s="163">
        <f>IF(I120="مخالفات",50,Basic34567891011121314[[#This Row],[قيمة الرسوم / العموله]]+Basic34567891011121314[[#This Row],[قيمة الشحنه]])</f>
        <v>0</v>
      </c>
      <c r="I120" s="90"/>
      <c r="J120" s="142" t="str">
        <f t="shared" si="1"/>
        <v>19.5.2026</v>
      </c>
      <c r="L120" s="153">
        <v>109</v>
      </c>
      <c r="M120" s="92"/>
    </row>
    <row r="121" spans="1:13" ht="21.6" x14ac:dyDescent="0.65">
      <c r="A121" s="195"/>
      <c r="B121" s="144">
        <v>118</v>
      </c>
      <c r="C121" s="2"/>
      <c r="D121" s="1"/>
      <c r="E121" s="3"/>
      <c r="F121" s="1"/>
      <c r="G121" s="141">
        <f>IF(Basic34567891011121314[[#This Row],[نوع الخدمة]]="مخالفات", 50,
IF(Basic34567891011121314[[#This Row],[نوع الخدمة]]="كاش ان",
    IF(F121&lt;=100, 18, IF(F121&lt;=250, 23, IF(F121&lt;=500, 35, IF(F121&lt;=1000, 40, F121*0.04)))),
IF(Basic34567891011121314[[#This Row],[نوع الخدمة]]="كاش اوت",
    IF(F121&lt;=100, 15, IF(F121&lt;=250, 20, IF(F121&lt;=500, 30, IF(F121&lt;=1000, 35, F121*0.035)))),
0)))</f>
        <v>0</v>
      </c>
      <c r="H121" s="163">
        <f>IF(I121="مخالفات",50,Basic34567891011121314[[#This Row],[قيمة الرسوم / العموله]]+Basic34567891011121314[[#This Row],[قيمة الشحنه]])</f>
        <v>0</v>
      </c>
      <c r="I121" s="90"/>
      <c r="J121" s="142" t="str">
        <f t="shared" si="1"/>
        <v>19.5.2026</v>
      </c>
      <c r="L121" s="153">
        <v>110</v>
      </c>
      <c r="M121" s="92"/>
    </row>
    <row r="122" spans="1:13" ht="21.6" x14ac:dyDescent="0.65">
      <c r="A122" s="195"/>
      <c r="B122" s="140">
        <v>119</v>
      </c>
      <c r="C122" s="2"/>
      <c r="D122" s="1"/>
      <c r="E122" s="3"/>
      <c r="F122" s="1"/>
      <c r="G122" s="141">
        <f>IF(Basic34567891011121314[[#This Row],[نوع الخدمة]]="مخالفات", 50,
IF(Basic34567891011121314[[#This Row],[نوع الخدمة]]="كاش ان",
    IF(F122&lt;=100, 18, IF(F122&lt;=250, 23, IF(F122&lt;=500, 35, IF(F122&lt;=1000, 40, F122*0.04)))),
IF(Basic34567891011121314[[#This Row],[نوع الخدمة]]="كاش اوت",
    IF(F122&lt;=100, 15, IF(F122&lt;=250, 20, IF(F122&lt;=500, 30, IF(F122&lt;=1000, 35, F122*0.035)))),
0)))</f>
        <v>0</v>
      </c>
      <c r="H122" s="163">
        <f>IF(I122="مخالفات",50,Basic34567891011121314[[#This Row],[قيمة الرسوم / العموله]]+Basic34567891011121314[[#This Row],[قيمة الشحنه]])</f>
        <v>0</v>
      </c>
      <c r="I122" s="90"/>
      <c r="J122" s="142" t="str">
        <f t="shared" si="1"/>
        <v>19.5.2026</v>
      </c>
      <c r="L122" s="153">
        <v>111</v>
      </c>
      <c r="M122" s="92"/>
    </row>
    <row r="123" spans="1:13" ht="21.6" x14ac:dyDescent="0.65">
      <c r="A123" s="195"/>
      <c r="B123" s="140">
        <v>120</v>
      </c>
      <c r="C123" s="2"/>
      <c r="D123" s="1"/>
      <c r="E123" s="3"/>
      <c r="F123" s="1"/>
      <c r="G123" s="141">
        <f>IF(Basic34567891011121314[[#This Row],[نوع الخدمة]]="مخالفات", 50,
IF(Basic34567891011121314[[#This Row],[نوع الخدمة]]="كاش ان",
    IF(F123&lt;=100, 18, IF(F123&lt;=250, 23, IF(F123&lt;=500, 35, IF(F123&lt;=1000, 40, F123*0.04)))),
IF(Basic34567891011121314[[#This Row],[نوع الخدمة]]="كاش اوت",
    IF(F123&lt;=100, 15, IF(F123&lt;=250, 20, IF(F123&lt;=500, 30, IF(F123&lt;=1000, 35, F123*0.035)))),
0)))</f>
        <v>0</v>
      </c>
      <c r="H123" s="163">
        <f>IF(I123="مخالفات",50,Basic34567891011121314[[#This Row],[قيمة الرسوم / العموله]]+Basic34567891011121314[[#This Row],[قيمة الشحنه]])</f>
        <v>0</v>
      </c>
      <c r="I123" s="90"/>
      <c r="J123" s="142" t="str">
        <f t="shared" si="1"/>
        <v>19.5.2026</v>
      </c>
      <c r="L123" s="153">
        <v>112</v>
      </c>
      <c r="M123" s="92"/>
    </row>
    <row r="124" spans="1:13" ht="21.6" x14ac:dyDescent="0.65">
      <c r="A124" s="195"/>
      <c r="B124" s="140">
        <v>121</v>
      </c>
      <c r="C124" s="2"/>
      <c r="D124" s="1"/>
      <c r="E124" s="3"/>
      <c r="F124" s="1"/>
      <c r="G124" s="141">
        <f>IF(Basic34567891011121314[[#This Row],[نوع الخدمة]]="مخالفات", 50,
IF(Basic34567891011121314[[#This Row],[نوع الخدمة]]="كاش ان",
    IF(F124&lt;=100, 18, IF(F124&lt;=250, 23, IF(F124&lt;=500, 35, IF(F124&lt;=1000, 40, F124*0.04)))),
IF(Basic34567891011121314[[#This Row],[نوع الخدمة]]="كاش اوت",
    IF(F124&lt;=100, 15, IF(F124&lt;=250, 20, IF(F124&lt;=500, 30, IF(F124&lt;=1000, 35, F124*0.035)))),
0)))</f>
        <v>0</v>
      </c>
      <c r="H124" s="163">
        <f>IF(I124="مخالفات",50,Basic34567891011121314[[#This Row],[قيمة الرسوم / العموله]]+Basic34567891011121314[[#This Row],[قيمة الشحنه]])</f>
        <v>0</v>
      </c>
      <c r="I124" s="90"/>
      <c r="J124" s="142" t="str">
        <f t="shared" si="1"/>
        <v>19.5.2026</v>
      </c>
      <c r="L124" s="153">
        <v>113</v>
      </c>
      <c r="M124" s="92"/>
    </row>
    <row r="125" spans="1:13" ht="21.6" x14ac:dyDescent="0.65">
      <c r="A125" s="195"/>
      <c r="B125" s="144">
        <v>122</v>
      </c>
      <c r="C125" s="2"/>
      <c r="D125" s="1"/>
      <c r="E125" s="3"/>
      <c r="F125" s="1"/>
      <c r="G125" s="141">
        <f>IF(Basic34567891011121314[[#This Row],[نوع الخدمة]]="مخالفات", 50,
IF(Basic34567891011121314[[#This Row],[نوع الخدمة]]="كاش ان",
    IF(F125&lt;=100, 18, IF(F125&lt;=250, 23, IF(F125&lt;=500, 35, IF(F125&lt;=1000, 40, F125*0.04)))),
IF(Basic34567891011121314[[#This Row],[نوع الخدمة]]="كاش اوت",
    IF(F125&lt;=100, 15, IF(F125&lt;=250, 20, IF(F125&lt;=500, 30, IF(F125&lt;=1000, 35, F125*0.035)))),
0)))</f>
        <v>0</v>
      </c>
      <c r="H125" s="163">
        <f>IF(I125="مخالفات",50,Basic34567891011121314[[#This Row],[قيمة الرسوم / العموله]]+Basic34567891011121314[[#This Row],[قيمة الشحنه]])</f>
        <v>0</v>
      </c>
      <c r="I125" s="90"/>
      <c r="J125" s="142" t="str">
        <f t="shared" si="1"/>
        <v>19.5.2026</v>
      </c>
      <c r="L125" s="153">
        <v>114</v>
      </c>
      <c r="M125" s="92"/>
    </row>
    <row r="126" spans="1:13" ht="21.6" x14ac:dyDescent="0.65">
      <c r="A126" s="195"/>
      <c r="B126" s="140">
        <v>123</v>
      </c>
      <c r="C126" s="2"/>
      <c r="D126" s="1"/>
      <c r="E126" s="3"/>
      <c r="F126" s="1"/>
      <c r="G126" s="141">
        <f>IF(Basic34567891011121314[[#This Row],[نوع الخدمة]]="مخالفات", 50,
IF(Basic34567891011121314[[#This Row],[نوع الخدمة]]="كاش ان",
    IF(F126&lt;=100, 18, IF(F126&lt;=250, 23, IF(F126&lt;=500, 35, IF(F126&lt;=1000, 40, F126*0.04)))),
IF(Basic34567891011121314[[#This Row],[نوع الخدمة]]="كاش اوت",
    IF(F126&lt;=100, 15, IF(F126&lt;=250, 20, IF(F126&lt;=500, 30, IF(F126&lt;=1000, 35, F126*0.035)))),
0)))</f>
        <v>0</v>
      </c>
      <c r="H126" s="163">
        <f>IF(I126="مخالفات",50,Basic34567891011121314[[#This Row],[قيمة الرسوم / العموله]]+Basic34567891011121314[[#This Row],[قيمة الشحنه]])</f>
        <v>0</v>
      </c>
      <c r="I126" s="90"/>
      <c r="J126" s="142" t="str">
        <f t="shared" si="1"/>
        <v>19.5.2026</v>
      </c>
      <c r="L126" s="153">
        <v>115</v>
      </c>
      <c r="M126" s="92"/>
    </row>
    <row r="127" spans="1:13" ht="21.6" x14ac:dyDescent="0.65">
      <c r="A127" s="195"/>
      <c r="B127" s="140">
        <v>124</v>
      </c>
      <c r="C127" s="2"/>
      <c r="D127" s="1"/>
      <c r="E127" s="3"/>
      <c r="F127" s="1"/>
      <c r="G127" s="141">
        <f>IF(Basic34567891011121314[[#This Row],[نوع الخدمة]]="مخالفات", 50,
IF(Basic34567891011121314[[#This Row],[نوع الخدمة]]="كاش ان",
    IF(F127&lt;=100, 18, IF(F127&lt;=250, 23, IF(F127&lt;=500, 35, IF(F127&lt;=1000, 40, F127*0.04)))),
IF(Basic34567891011121314[[#This Row],[نوع الخدمة]]="كاش اوت",
    IF(F127&lt;=100, 15, IF(F127&lt;=250, 20, IF(F127&lt;=500, 30, IF(F127&lt;=1000, 35, F127*0.035)))),
0)))</f>
        <v>0</v>
      </c>
      <c r="H127" s="163">
        <f>IF(I127="مخالفات",50,Basic34567891011121314[[#This Row],[قيمة الرسوم / العموله]]+Basic34567891011121314[[#This Row],[قيمة الشحنه]])</f>
        <v>0</v>
      </c>
      <c r="I127" s="90"/>
      <c r="J127" s="142" t="str">
        <f t="shared" si="1"/>
        <v>19.5.2026</v>
      </c>
      <c r="L127" s="153">
        <v>116</v>
      </c>
      <c r="M127" s="92"/>
    </row>
    <row r="128" spans="1:13" ht="21.6" x14ac:dyDescent="0.65">
      <c r="A128" s="195"/>
      <c r="B128" s="140">
        <v>125</v>
      </c>
      <c r="C128" s="2"/>
      <c r="D128" s="1"/>
      <c r="E128" s="3"/>
      <c r="F128" s="1"/>
      <c r="G128" s="141">
        <f>IF(Basic34567891011121314[[#This Row],[نوع الخدمة]]="مخالفات", 50,
IF(Basic34567891011121314[[#This Row],[نوع الخدمة]]="كاش ان",
    IF(F128&lt;=100, 18, IF(F128&lt;=250, 23, IF(F128&lt;=500, 35, IF(F128&lt;=1000, 40, F128*0.04)))),
IF(Basic34567891011121314[[#This Row],[نوع الخدمة]]="كاش اوت",
    IF(F128&lt;=100, 15, IF(F128&lt;=250, 20, IF(F128&lt;=500, 30, IF(F128&lt;=1000, 35, F128*0.035)))),
0)))</f>
        <v>0</v>
      </c>
      <c r="H128" s="163">
        <f>IF(I128="مخالفات",50,Basic34567891011121314[[#This Row],[قيمة الرسوم / العموله]]+Basic34567891011121314[[#This Row],[قيمة الشحنه]])</f>
        <v>0</v>
      </c>
      <c r="I128" s="90"/>
      <c r="J128" s="142" t="str">
        <f t="shared" si="1"/>
        <v>19.5.2026</v>
      </c>
      <c r="L128" s="153">
        <v>117</v>
      </c>
      <c r="M128" s="92"/>
    </row>
    <row r="129" spans="1:13" ht="21.6" x14ac:dyDescent="0.65">
      <c r="A129" s="195"/>
      <c r="B129" s="144">
        <v>126</v>
      </c>
      <c r="C129" s="2"/>
      <c r="D129" s="1"/>
      <c r="E129" s="3"/>
      <c r="F129" s="1"/>
      <c r="G129" s="141">
        <f>IF(Basic34567891011121314[[#This Row],[نوع الخدمة]]="مخالفات", 50,
IF(Basic34567891011121314[[#This Row],[نوع الخدمة]]="كاش ان",
    IF(F129&lt;=100, 18, IF(F129&lt;=250, 23, IF(F129&lt;=500, 35, IF(F129&lt;=1000, 40, F129*0.04)))),
IF(Basic34567891011121314[[#This Row],[نوع الخدمة]]="كاش اوت",
    IF(F129&lt;=100, 15, IF(F129&lt;=250, 20, IF(F129&lt;=500, 30, IF(F129&lt;=1000, 35, F129*0.035)))),
0)))</f>
        <v>0</v>
      </c>
      <c r="H129" s="163">
        <f>IF(I129="مخالفات",50,Basic34567891011121314[[#This Row],[قيمة الرسوم / العموله]]+Basic34567891011121314[[#This Row],[قيمة الشحنه]])</f>
        <v>0</v>
      </c>
      <c r="I129" s="90"/>
      <c r="J129" s="142" t="str">
        <f t="shared" si="1"/>
        <v>19.5.2026</v>
      </c>
      <c r="L129" s="153">
        <v>118</v>
      </c>
      <c r="M129" s="92"/>
    </row>
    <row r="130" spans="1:13" ht="21.6" x14ac:dyDescent="0.65">
      <c r="A130" s="195"/>
      <c r="B130" s="140">
        <v>127</v>
      </c>
      <c r="C130" s="2"/>
      <c r="D130" s="1"/>
      <c r="E130" s="3"/>
      <c r="F130" s="1"/>
      <c r="G130" s="141">
        <f>IF(Basic34567891011121314[[#This Row],[نوع الخدمة]]="مخالفات", 50,
IF(Basic34567891011121314[[#This Row],[نوع الخدمة]]="كاش ان",
    IF(F130&lt;=100, 18, IF(F130&lt;=250, 23, IF(F130&lt;=500, 35, IF(F130&lt;=1000, 40, F130*0.04)))),
IF(Basic34567891011121314[[#This Row],[نوع الخدمة]]="كاش اوت",
    IF(F130&lt;=100, 15, IF(F130&lt;=250, 20, IF(F130&lt;=500, 30, IF(F130&lt;=1000, 35, F130*0.035)))),
0)))</f>
        <v>0</v>
      </c>
      <c r="H130" s="163">
        <f>IF(I130="مخالفات",50,Basic34567891011121314[[#This Row],[قيمة الرسوم / العموله]]+Basic34567891011121314[[#This Row],[قيمة الشحنه]])</f>
        <v>0</v>
      </c>
      <c r="I130" s="90"/>
      <c r="J130" s="142" t="str">
        <f t="shared" si="1"/>
        <v>19.5.2026</v>
      </c>
      <c r="L130" s="153">
        <v>119</v>
      </c>
      <c r="M130" s="92"/>
    </row>
    <row r="131" spans="1:13" ht="21.6" x14ac:dyDescent="0.65">
      <c r="A131" s="195"/>
      <c r="B131" s="140">
        <v>128</v>
      </c>
      <c r="C131" s="2"/>
      <c r="D131" s="1"/>
      <c r="E131" s="3"/>
      <c r="F131" s="1"/>
      <c r="G131" s="141">
        <f>IF(Basic34567891011121314[[#This Row],[نوع الخدمة]]="مخالفات", 50,
IF(Basic34567891011121314[[#This Row],[نوع الخدمة]]="كاش ان",
    IF(F131&lt;=100, 18, IF(F131&lt;=250, 23, IF(F131&lt;=500, 35, IF(F131&lt;=1000, 40, F131*0.04)))),
IF(Basic34567891011121314[[#This Row],[نوع الخدمة]]="كاش اوت",
    IF(F131&lt;=100, 15, IF(F131&lt;=250, 20, IF(F131&lt;=500, 30, IF(F131&lt;=1000, 35, F131*0.035)))),
0)))</f>
        <v>0</v>
      </c>
      <c r="H131" s="163">
        <f>IF(I131="مخالفات",50,Basic34567891011121314[[#This Row],[قيمة الرسوم / العموله]]+Basic34567891011121314[[#This Row],[قيمة الشحنه]])</f>
        <v>0</v>
      </c>
      <c r="I131" s="90"/>
      <c r="J131" s="142" t="str">
        <f t="shared" si="1"/>
        <v>19.5.2026</v>
      </c>
      <c r="L131" s="153">
        <v>120</v>
      </c>
      <c r="M131" s="92"/>
    </row>
    <row r="132" spans="1:13" ht="21.6" x14ac:dyDescent="0.65">
      <c r="A132" s="195"/>
      <c r="B132" s="140">
        <v>129</v>
      </c>
      <c r="C132" s="2"/>
      <c r="D132" s="1"/>
      <c r="E132" s="3"/>
      <c r="F132" s="1"/>
      <c r="G132" s="141">
        <f>IF(Basic34567891011121314[[#This Row],[نوع الخدمة]]="مخالفات", 50,
IF(Basic34567891011121314[[#This Row],[نوع الخدمة]]="كاش ان",
    IF(F132&lt;=100, 18, IF(F132&lt;=250, 23, IF(F132&lt;=500, 35, IF(F132&lt;=1000, 40, F132*0.04)))),
IF(Basic34567891011121314[[#This Row],[نوع الخدمة]]="كاش اوت",
    IF(F132&lt;=100, 15, IF(F132&lt;=250, 20, IF(F132&lt;=500, 30, IF(F132&lt;=1000, 35, F132*0.035)))),
0)))</f>
        <v>0</v>
      </c>
      <c r="H132" s="163">
        <f>IF(I132="مخالفات",50,Basic34567891011121314[[#This Row],[قيمة الرسوم / العموله]]+Basic34567891011121314[[#This Row],[قيمة الشحنه]])</f>
        <v>0</v>
      </c>
      <c r="I132" s="90"/>
      <c r="J132" s="142" t="str">
        <f t="shared" ref="J132:J195" si="2">M$3</f>
        <v>19.5.2026</v>
      </c>
      <c r="L132" s="153">
        <v>121</v>
      </c>
      <c r="M132" s="92"/>
    </row>
    <row r="133" spans="1:13" ht="21.6" x14ac:dyDescent="0.65">
      <c r="A133" s="195"/>
      <c r="B133" s="144">
        <v>130</v>
      </c>
      <c r="C133" s="2"/>
      <c r="D133" s="1"/>
      <c r="E133" s="3"/>
      <c r="F133" s="1"/>
      <c r="G133" s="141">
        <f>IF(Basic34567891011121314[[#This Row],[نوع الخدمة]]="مخالفات", 50,
IF(Basic34567891011121314[[#This Row],[نوع الخدمة]]="كاش ان",
    IF(F133&lt;=100, 18, IF(F133&lt;=250, 23, IF(F133&lt;=500, 35, IF(F133&lt;=1000, 40, F133*0.04)))),
IF(Basic34567891011121314[[#This Row],[نوع الخدمة]]="كاش اوت",
    IF(F133&lt;=100, 15, IF(F133&lt;=250, 20, IF(F133&lt;=500, 30, IF(F133&lt;=1000, 35, F133*0.035)))),
0)))</f>
        <v>0</v>
      </c>
      <c r="H133" s="163">
        <f>IF(I133="مخالفات",50,Basic34567891011121314[[#This Row],[قيمة الرسوم / العموله]]+Basic34567891011121314[[#This Row],[قيمة الشحنه]])</f>
        <v>0</v>
      </c>
      <c r="I133" s="90"/>
      <c r="J133" s="142" t="str">
        <f t="shared" si="2"/>
        <v>19.5.2026</v>
      </c>
      <c r="L133" s="153">
        <v>122</v>
      </c>
      <c r="M133" s="92"/>
    </row>
    <row r="134" spans="1:13" ht="21.6" x14ac:dyDescent="0.65">
      <c r="A134" s="195"/>
      <c r="B134" s="140">
        <v>131</v>
      </c>
      <c r="C134" s="2"/>
      <c r="D134" s="1"/>
      <c r="E134" s="3"/>
      <c r="F134" s="1"/>
      <c r="G134" s="141">
        <f>IF(Basic34567891011121314[[#This Row],[نوع الخدمة]]="مخالفات", 50,
IF(Basic34567891011121314[[#This Row],[نوع الخدمة]]="كاش ان",
    IF(F134&lt;=100, 18, IF(F134&lt;=250, 23, IF(F134&lt;=500, 35, IF(F134&lt;=1000, 40, F134*0.04)))),
IF(Basic34567891011121314[[#This Row],[نوع الخدمة]]="كاش اوت",
    IF(F134&lt;=100, 15, IF(F134&lt;=250, 20, IF(F134&lt;=500, 30, IF(F134&lt;=1000, 35, F134*0.035)))),
0)))</f>
        <v>0</v>
      </c>
      <c r="H134" s="163">
        <f>IF(I134="مخالفات",50,Basic34567891011121314[[#This Row],[قيمة الرسوم / العموله]]+Basic34567891011121314[[#This Row],[قيمة الشحنه]])</f>
        <v>0</v>
      </c>
      <c r="I134" s="90"/>
      <c r="J134" s="142" t="str">
        <f t="shared" si="2"/>
        <v>19.5.2026</v>
      </c>
      <c r="L134" s="153">
        <v>123</v>
      </c>
      <c r="M134" s="92"/>
    </row>
    <row r="135" spans="1:13" ht="21.6" x14ac:dyDescent="0.65">
      <c r="A135" s="195"/>
      <c r="B135" s="140">
        <v>132</v>
      </c>
      <c r="C135" s="2"/>
      <c r="D135" s="1"/>
      <c r="E135" s="3"/>
      <c r="F135" s="1"/>
      <c r="G135" s="141">
        <f>IF(Basic34567891011121314[[#This Row],[نوع الخدمة]]="مخالفات", 50,
IF(Basic34567891011121314[[#This Row],[نوع الخدمة]]="كاش ان",
    IF(F135&lt;=100, 18, IF(F135&lt;=250, 23, IF(F135&lt;=500, 35, IF(F135&lt;=1000, 40, F135*0.04)))),
IF(Basic34567891011121314[[#This Row],[نوع الخدمة]]="كاش اوت",
    IF(F135&lt;=100, 15, IF(F135&lt;=250, 20, IF(F135&lt;=500, 30, IF(F135&lt;=1000, 35, F135*0.035)))),
0)))</f>
        <v>0</v>
      </c>
      <c r="H135" s="163">
        <f>IF(I135="مخالفات",50,Basic34567891011121314[[#This Row],[قيمة الرسوم / العموله]]+Basic34567891011121314[[#This Row],[قيمة الشحنه]])</f>
        <v>0</v>
      </c>
      <c r="I135" s="90"/>
      <c r="J135" s="142" t="str">
        <f t="shared" si="2"/>
        <v>19.5.2026</v>
      </c>
      <c r="L135" s="153">
        <v>124</v>
      </c>
      <c r="M135" s="92"/>
    </row>
    <row r="136" spans="1:13" ht="21.6" x14ac:dyDescent="0.65">
      <c r="A136" s="195"/>
      <c r="B136" s="140">
        <v>133</v>
      </c>
      <c r="C136" s="2"/>
      <c r="D136" s="1"/>
      <c r="E136" s="3"/>
      <c r="F136" s="1"/>
      <c r="G136" s="141">
        <f>IF(Basic34567891011121314[[#This Row],[نوع الخدمة]]="مخالفات", 50,
IF(Basic34567891011121314[[#This Row],[نوع الخدمة]]="كاش ان",
    IF(F136&lt;=100, 18, IF(F136&lt;=250, 23, IF(F136&lt;=500, 35, IF(F136&lt;=1000, 40, F136*0.04)))),
IF(Basic34567891011121314[[#This Row],[نوع الخدمة]]="كاش اوت",
    IF(F136&lt;=100, 15, IF(F136&lt;=250, 20, IF(F136&lt;=500, 30, IF(F136&lt;=1000, 35, F136*0.035)))),
0)))</f>
        <v>0</v>
      </c>
      <c r="H136" s="163">
        <f>IF(I136="مخالفات",50,Basic34567891011121314[[#This Row],[قيمة الرسوم / العموله]]+Basic34567891011121314[[#This Row],[قيمة الشحنه]])</f>
        <v>0</v>
      </c>
      <c r="I136" s="90"/>
      <c r="J136" s="142" t="str">
        <f t="shared" si="2"/>
        <v>19.5.2026</v>
      </c>
      <c r="L136" s="153">
        <v>125</v>
      </c>
      <c r="M136" s="92"/>
    </row>
    <row r="137" spans="1:13" ht="21.6" x14ac:dyDescent="0.65">
      <c r="A137" s="195"/>
      <c r="B137" s="144">
        <v>134</v>
      </c>
      <c r="C137" s="2"/>
      <c r="D137" s="1"/>
      <c r="E137" s="3"/>
      <c r="F137" s="1"/>
      <c r="G137" s="141">
        <f>IF(Basic34567891011121314[[#This Row],[نوع الخدمة]]="مخالفات", 50,
IF(Basic34567891011121314[[#This Row],[نوع الخدمة]]="كاش ان",
    IF(F137&lt;=100, 18, IF(F137&lt;=250, 23, IF(F137&lt;=500, 35, IF(F137&lt;=1000, 40, F137*0.04)))),
IF(Basic34567891011121314[[#This Row],[نوع الخدمة]]="كاش اوت",
    IF(F137&lt;=100, 15, IF(F137&lt;=250, 20, IF(F137&lt;=500, 30, IF(F137&lt;=1000, 35, F137*0.035)))),
0)))</f>
        <v>0</v>
      </c>
      <c r="H137" s="163">
        <f>IF(I137="مخالفات",50,Basic34567891011121314[[#This Row],[قيمة الرسوم / العموله]]+Basic34567891011121314[[#This Row],[قيمة الشحنه]])</f>
        <v>0</v>
      </c>
      <c r="I137" s="90"/>
      <c r="J137" s="142" t="str">
        <f t="shared" si="2"/>
        <v>19.5.2026</v>
      </c>
      <c r="L137" s="153">
        <v>126</v>
      </c>
      <c r="M137" s="92"/>
    </row>
    <row r="138" spans="1:13" ht="21.6" x14ac:dyDescent="0.65">
      <c r="A138" s="195"/>
      <c r="B138" s="140">
        <v>135</v>
      </c>
      <c r="C138" s="2"/>
      <c r="D138" s="1"/>
      <c r="E138" s="3"/>
      <c r="F138" s="1"/>
      <c r="G138" s="141">
        <f>IF(Basic34567891011121314[[#This Row],[نوع الخدمة]]="مخالفات", 50,
IF(Basic34567891011121314[[#This Row],[نوع الخدمة]]="كاش ان",
    IF(F138&lt;=100, 18, IF(F138&lt;=250, 23, IF(F138&lt;=500, 35, IF(F138&lt;=1000, 40, F138*0.04)))),
IF(Basic34567891011121314[[#This Row],[نوع الخدمة]]="كاش اوت",
    IF(F138&lt;=100, 15, IF(F138&lt;=250, 20, IF(F138&lt;=500, 30, IF(F138&lt;=1000, 35, F138*0.035)))),
0)))</f>
        <v>0</v>
      </c>
      <c r="H138" s="163">
        <f>IF(I138="مخالفات",50,Basic34567891011121314[[#This Row],[قيمة الرسوم / العموله]]+Basic34567891011121314[[#This Row],[قيمة الشحنه]])</f>
        <v>0</v>
      </c>
      <c r="I138" s="90"/>
      <c r="J138" s="142" t="str">
        <f t="shared" si="2"/>
        <v>19.5.2026</v>
      </c>
      <c r="L138" s="153">
        <v>127</v>
      </c>
      <c r="M138" s="92"/>
    </row>
    <row r="139" spans="1:13" ht="21.6" x14ac:dyDescent="0.65">
      <c r="A139" s="195"/>
      <c r="B139" s="140">
        <v>136</v>
      </c>
      <c r="C139" s="2"/>
      <c r="D139" s="1"/>
      <c r="E139" s="3"/>
      <c r="F139" s="1"/>
      <c r="G139" s="141">
        <f>IF(Basic34567891011121314[[#This Row],[نوع الخدمة]]="مخالفات", 50,
IF(Basic34567891011121314[[#This Row],[نوع الخدمة]]="كاش ان",
    IF(F139&lt;=100, 18, IF(F139&lt;=250, 23, IF(F139&lt;=500, 35, IF(F139&lt;=1000, 40, F139*0.04)))),
IF(Basic34567891011121314[[#This Row],[نوع الخدمة]]="كاش اوت",
    IF(F139&lt;=100, 15, IF(F139&lt;=250, 20, IF(F139&lt;=500, 30, IF(F139&lt;=1000, 35, F139*0.035)))),
0)))</f>
        <v>0</v>
      </c>
      <c r="H139" s="163">
        <f>IF(I139="مخالفات",50,Basic34567891011121314[[#This Row],[قيمة الرسوم / العموله]]+Basic34567891011121314[[#This Row],[قيمة الشحنه]])</f>
        <v>0</v>
      </c>
      <c r="I139" s="90"/>
      <c r="J139" s="142" t="str">
        <f t="shared" si="2"/>
        <v>19.5.2026</v>
      </c>
      <c r="L139" s="153">
        <v>128</v>
      </c>
      <c r="M139" s="92"/>
    </row>
    <row r="140" spans="1:13" ht="21.6" x14ac:dyDescent="0.65">
      <c r="A140" s="195"/>
      <c r="B140" s="140">
        <v>137</v>
      </c>
      <c r="C140" s="2"/>
      <c r="D140" s="1"/>
      <c r="E140" s="3"/>
      <c r="F140" s="1"/>
      <c r="G140" s="141">
        <f>IF(Basic34567891011121314[[#This Row],[نوع الخدمة]]="مخالفات", 50,
IF(Basic34567891011121314[[#This Row],[نوع الخدمة]]="كاش ان",
    IF(F140&lt;=100, 18, IF(F140&lt;=250, 23, IF(F140&lt;=500, 35, IF(F140&lt;=1000, 40, F140*0.04)))),
IF(Basic34567891011121314[[#This Row],[نوع الخدمة]]="كاش اوت",
    IF(F140&lt;=100, 15, IF(F140&lt;=250, 20, IF(F140&lt;=500, 30, IF(F140&lt;=1000, 35, F140*0.035)))),
0)))</f>
        <v>0</v>
      </c>
      <c r="H140" s="163">
        <f>IF(I140="مخالفات",50,Basic34567891011121314[[#This Row],[قيمة الرسوم / العموله]]+Basic34567891011121314[[#This Row],[قيمة الشحنه]])</f>
        <v>0</v>
      </c>
      <c r="I140" s="90"/>
      <c r="J140" s="142" t="str">
        <f t="shared" si="2"/>
        <v>19.5.2026</v>
      </c>
      <c r="L140" s="153">
        <v>129</v>
      </c>
      <c r="M140" s="92"/>
    </row>
    <row r="141" spans="1:13" ht="21.6" x14ac:dyDescent="0.65">
      <c r="A141" s="195"/>
      <c r="B141" s="144">
        <v>138</v>
      </c>
      <c r="C141" s="2"/>
      <c r="D141" s="1"/>
      <c r="E141" s="3"/>
      <c r="F141" s="1"/>
      <c r="G141" s="141">
        <f>IF(Basic34567891011121314[[#This Row],[نوع الخدمة]]="مخالفات", 50,
IF(Basic34567891011121314[[#This Row],[نوع الخدمة]]="كاش ان",
    IF(F141&lt;=100, 18, IF(F141&lt;=250, 23, IF(F141&lt;=500, 35, IF(F141&lt;=1000, 40, F141*0.04)))),
IF(Basic34567891011121314[[#This Row],[نوع الخدمة]]="كاش اوت",
    IF(F141&lt;=100, 15, IF(F141&lt;=250, 20, IF(F141&lt;=500, 30, IF(F141&lt;=1000, 35, F141*0.035)))),
0)))</f>
        <v>0</v>
      </c>
      <c r="H141" s="163">
        <f>IF(I141="مخالفات",50,Basic34567891011121314[[#This Row],[قيمة الرسوم / العموله]]+Basic34567891011121314[[#This Row],[قيمة الشحنه]])</f>
        <v>0</v>
      </c>
      <c r="I141" s="90"/>
      <c r="J141" s="142" t="str">
        <f t="shared" si="2"/>
        <v>19.5.2026</v>
      </c>
      <c r="L141" s="153">
        <v>130</v>
      </c>
      <c r="M141" s="92"/>
    </row>
    <row r="142" spans="1:13" ht="21.6" x14ac:dyDescent="0.65">
      <c r="A142" s="195"/>
      <c r="B142" s="140">
        <v>139</v>
      </c>
      <c r="C142" s="2"/>
      <c r="D142" s="1"/>
      <c r="E142" s="3"/>
      <c r="F142" s="1"/>
      <c r="G142" s="141">
        <f>IF(Basic34567891011121314[[#This Row],[نوع الخدمة]]="مخالفات", 50,
IF(Basic34567891011121314[[#This Row],[نوع الخدمة]]="كاش ان",
    IF(F142&lt;=100, 18, IF(F142&lt;=250, 23, IF(F142&lt;=500, 35, IF(F142&lt;=1000, 40, F142*0.04)))),
IF(Basic34567891011121314[[#This Row],[نوع الخدمة]]="كاش اوت",
    IF(F142&lt;=100, 15, IF(F142&lt;=250, 20, IF(F142&lt;=500, 30, IF(F142&lt;=1000, 35, F142*0.035)))),
0)))</f>
        <v>0</v>
      </c>
      <c r="H142" s="163">
        <f>IF(I142="مخالفات",50,Basic34567891011121314[[#This Row],[قيمة الرسوم / العموله]]+Basic34567891011121314[[#This Row],[قيمة الشحنه]])</f>
        <v>0</v>
      </c>
      <c r="I142" s="90"/>
      <c r="J142" s="142" t="str">
        <f t="shared" si="2"/>
        <v>19.5.2026</v>
      </c>
      <c r="L142" s="153">
        <v>131</v>
      </c>
      <c r="M142" s="92"/>
    </row>
    <row r="143" spans="1:13" ht="21.6" x14ac:dyDescent="0.65">
      <c r="A143" s="195"/>
      <c r="B143" s="140">
        <v>140</v>
      </c>
      <c r="C143" s="2"/>
      <c r="D143" s="1"/>
      <c r="E143" s="3"/>
      <c r="F143" s="1"/>
      <c r="G143" s="141">
        <f>IF(Basic34567891011121314[[#This Row],[نوع الخدمة]]="مخالفات", 50,
IF(Basic34567891011121314[[#This Row],[نوع الخدمة]]="كاش ان",
    IF(F143&lt;=100, 18, IF(F143&lt;=250, 23, IF(F143&lt;=500, 35, IF(F143&lt;=1000, 40, F143*0.04)))),
IF(Basic34567891011121314[[#This Row],[نوع الخدمة]]="كاش اوت",
    IF(F143&lt;=100, 15, IF(F143&lt;=250, 20, IF(F143&lt;=500, 30, IF(F143&lt;=1000, 35, F143*0.035)))),
0)))</f>
        <v>0</v>
      </c>
      <c r="H143" s="163">
        <f>IF(I143="مخالفات",50,Basic34567891011121314[[#This Row],[قيمة الرسوم / العموله]]+Basic34567891011121314[[#This Row],[قيمة الشحنه]])</f>
        <v>0</v>
      </c>
      <c r="I143" s="90"/>
      <c r="J143" s="142" t="str">
        <f t="shared" si="2"/>
        <v>19.5.2026</v>
      </c>
      <c r="L143" s="153">
        <v>132</v>
      </c>
      <c r="M143" s="92"/>
    </row>
    <row r="144" spans="1:13" ht="21.6" x14ac:dyDescent="0.65">
      <c r="A144" s="195"/>
      <c r="B144" s="140">
        <v>141</v>
      </c>
      <c r="C144" s="2"/>
      <c r="D144" s="1"/>
      <c r="E144" s="3"/>
      <c r="F144" s="1"/>
      <c r="G144" s="141">
        <f>IF(Basic34567891011121314[[#This Row],[نوع الخدمة]]="مخالفات", 50,
IF(Basic34567891011121314[[#This Row],[نوع الخدمة]]="كاش ان",
    IF(F144&lt;=100, 18, IF(F144&lt;=250, 23, IF(F144&lt;=500, 35, IF(F144&lt;=1000, 40, F144*0.04)))),
IF(Basic34567891011121314[[#This Row],[نوع الخدمة]]="كاش اوت",
    IF(F144&lt;=100, 15, IF(F144&lt;=250, 20, IF(F144&lt;=500, 30, IF(F144&lt;=1000, 35, F144*0.035)))),
0)))</f>
        <v>0</v>
      </c>
      <c r="H144" s="163">
        <f>IF(I144="مخالفات",50,Basic34567891011121314[[#This Row],[قيمة الرسوم / العموله]]+Basic34567891011121314[[#This Row],[قيمة الشحنه]])</f>
        <v>0</v>
      </c>
      <c r="I144" s="90"/>
      <c r="J144" s="142" t="str">
        <f t="shared" si="2"/>
        <v>19.5.2026</v>
      </c>
      <c r="L144" s="153">
        <v>133</v>
      </c>
      <c r="M144" s="92"/>
    </row>
    <row r="145" spans="1:13" ht="21.6" x14ac:dyDescent="0.65">
      <c r="A145" s="195"/>
      <c r="B145" s="144">
        <v>142</v>
      </c>
      <c r="C145" s="2"/>
      <c r="D145" s="1"/>
      <c r="E145" s="3"/>
      <c r="F145" s="1"/>
      <c r="G145" s="141">
        <f>IF(Basic34567891011121314[[#This Row],[نوع الخدمة]]="مخالفات", 50,
IF(Basic34567891011121314[[#This Row],[نوع الخدمة]]="كاش ان",
    IF(F145&lt;=100, 18, IF(F145&lt;=250, 23, IF(F145&lt;=500, 35, IF(F145&lt;=1000, 40, F145*0.04)))),
IF(Basic34567891011121314[[#This Row],[نوع الخدمة]]="كاش اوت",
    IF(F145&lt;=100, 15, IF(F145&lt;=250, 20, IF(F145&lt;=500, 30, IF(F145&lt;=1000, 35, F145*0.035)))),
0)))</f>
        <v>0</v>
      </c>
      <c r="H145" s="163">
        <f>IF(I145="مخالفات",50,Basic34567891011121314[[#This Row],[قيمة الرسوم / العموله]]+Basic34567891011121314[[#This Row],[قيمة الشحنه]])</f>
        <v>0</v>
      </c>
      <c r="I145" s="90"/>
      <c r="J145" s="142" t="str">
        <f t="shared" si="2"/>
        <v>19.5.2026</v>
      </c>
      <c r="L145" s="153">
        <v>134</v>
      </c>
      <c r="M145" s="92"/>
    </row>
    <row r="146" spans="1:13" ht="21.6" x14ac:dyDescent="0.65">
      <c r="A146" s="195"/>
      <c r="B146" s="140">
        <v>143</v>
      </c>
      <c r="C146" s="2"/>
      <c r="D146" s="1"/>
      <c r="E146" s="3"/>
      <c r="F146" s="1"/>
      <c r="G146" s="141">
        <f>IF(Basic34567891011121314[[#This Row],[نوع الخدمة]]="مخالفات", 50,
IF(Basic34567891011121314[[#This Row],[نوع الخدمة]]="كاش ان",
    IF(F146&lt;=100, 18, IF(F146&lt;=250, 23, IF(F146&lt;=500, 35, IF(F146&lt;=1000, 40, F146*0.04)))),
IF(Basic34567891011121314[[#This Row],[نوع الخدمة]]="كاش اوت",
    IF(F146&lt;=100, 15, IF(F146&lt;=250, 20, IF(F146&lt;=500, 30, IF(F146&lt;=1000, 35, F146*0.035)))),
0)))</f>
        <v>0</v>
      </c>
      <c r="H146" s="163">
        <f>IF(I146="مخالفات",50,Basic34567891011121314[[#This Row],[قيمة الرسوم / العموله]]+Basic34567891011121314[[#This Row],[قيمة الشحنه]])</f>
        <v>0</v>
      </c>
      <c r="I146" s="90"/>
      <c r="J146" s="142" t="str">
        <f t="shared" si="2"/>
        <v>19.5.2026</v>
      </c>
      <c r="L146" s="153">
        <v>135</v>
      </c>
      <c r="M146" s="92"/>
    </row>
    <row r="147" spans="1:13" ht="21.6" x14ac:dyDescent="0.65">
      <c r="A147" s="195"/>
      <c r="B147" s="140">
        <v>144</v>
      </c>
      <c r="C147" s="2"/>
      <c r="D147" s="1"/>
      <c r="E147" s="3"/>
      <c r="F147" s="1"/>
      <c r="G147" s="141">
        <f>IF(Basic34567891011121314[[#This Row],[نوع الخدمة]]="مخالفات", 50,
IF(Basic34567891011121314[[#This Row],[نوع الخدمة]]="كاش ان",
    IF(F147&lt;=100, 18, IF(F147&lt;=250, 23, IF(F147&lt;=500, 35, IF(F147&lt;=1000, 40, F147*0.04)))),
IF(Basic34567891011121314[[#This Row],[نوع الخدمة]]="كاش اوت",
    IF(F147&lt;=100, 15, IF(F147&lt;=250, 20, IF(F147&lt;=500, 30, IF(F147&lt;=1000, 35, F147*0.035)))),
0)))</f>
        <v>0</v>
      </c>
      <c r="H147" s="163">
        <f>IF(I147="مخالفات",50,Basic34567891011121314[[#This Row],[قيمة الرسوم / العموله]]+Basic34567891011121314[[#This Row],[قيمة الشحنه]])</f>
        <v>0</v>
      </c>
      <c r="I147" s="90"/>
      <c r="J147" s="142" t="str">
        <f t="shared" si="2"/>
        <v>19.5.2026</v>
      </c>
      <c r="L147" s="153">
        <v>136</v>
      </c>
      <c r="M147" s="92"/>
    </row>
    <row r="148" spans="1:13" ht="21.6" x14ac:dyDescent="0.65">
      <c r="A148" s="195"/>
      <c r="B148" s="140">
        <v>145</v>
      </c>
      <c r="C148" s="2"/>
      <c r="D148" s="1"/>
      <c r="E148" s="3"/>
      <c r="F148" s="1"/>
      <c r="G148" s="141">
        <f>IF(Basic34567891011121314[[#This Row],[نوع الخدمة]]="مخالفات", 50,
IF(Basic34567891011121314[[#This Row],[نوع الخدمة]]="كاش ان",
    IF(F148&lt;=100, 18, IF(F148&lt;=250, 23, IF(F148&lt;=500, 35, IF(F148&lt;=1000, 40, F148*0.04)))),
IF(Basic34567891011121314[[#This Row],[نوع الخدمة]]="كاش اوت",
    IF(F148&lt;=100, 15, IF(F148&lt;=250, 20, IF(F148&lt;=500, 30, IF(F148&lt;=1000, 35, F148*0.035)))),
0)))</f>
        <v>0</v>
      </c>
      <c r="H148" s="163">
        <f>IF(I148="مخالفات",50,Basic34567891011121314[[#This Row],[قيمة الرسوم / العموله]]+Basic34567891011121314[[#This Row],[قيمة الشحنه]])</f>
        <v>0</v>
      </c>
      <c r="I148" s="90"/>
      <c r="J148" s="142" t="str">
        <f t="shared" si="2"/>
        <v>19.5.2026</v>
      </c>
      <c r="L148" s="153">
        <v>137</v>
      </c>
      <c r="M148" s="92"/>
    </row>
    <row r="149" spans="1:13" ht="21.6" x14ac:dyDescent="0.65">
      <c r="A149" s="195"/>
      <c r="B149" s="144">
        <v>146</v>
      </c>
      <c r="C149" s="2"/>
      <c r="D149" s="1"/>
      <c r="E149" s="3"/>
      <c r="F149" s="1"/>
      <c r="G149" s="141">
        <f>IF(Basic34567891011121314[[#This Row],[نوع الخدمة]]="مخالفات", 50,
IF(Basic34567891011121314[[#This Row],[نوع الخدمة]]="كاش ان",
    IF(F149&lt;=100, 18, IF(F149&lt;=250, 23, IF(F149&lt;=500, 35, IF(F149&lt;=1000, 40, F149*0.04)))),
IF(Basic34567891011121314[[#This Row],[نوع الخدمة]]="كاش اوت",
    IF(F149&lt;=100, 15, IF(F149&lt;=250, 20, IF(F149&lt;=500, 30, IF(F149&lt;=1000, 35, F149*0.035)))),
0)))</f>
        <v>0</v>
      </c>
      <c r="H149" s="163">
        <f>IF(I149="مخالفات",50,Basic34567891011121314[[#This Row],[قيمة الرسوم / العموله]]+Basic34567891011121314[[#This Row],[قيمة الشحنه]])</f>
        <v>0</v>
      </c>
      <c r="I149" s="90"/>
      <c r="J149" s="142" t="str">
        <f t="shared" si="2"/>
        <v>19.5.2026</v>
      </c>
      <c r="L149" s="153">
        <v>138</v>
      </c>
      <c r="M149" s="92"/>
    </row>
    <row r="150" spans="1:13" ht="21.6" x14ac:dyDescent="0.65">
      <c r="A150" s="195"/>
      <c r="B150" s="140">
        <v>147</v>
      </c>
      <c r="C150" s="2"/>
      <c r="D150" s="1"/>
      <c r="E150" s="3"/>
      <c r="F150" s="1"/>
      <c r="G150" s="141">
        <f>IF(Basic34567891011121314[[#This Row],[نوع الخدمة]]="مخالفات", 50,
IF(Basic34567891011121314[[#This Row],[نوع الخدمة]]="كاش ان",
    IF(F150&lt;=100, 18, IF(F150&lt;=250, 23, IF(F150&lt;=500, 35, IF(F150&lt;=1000, 40, F150*0.04)))),
IF(Basic34567891011121314[[#This Row],[نوع الخدمة]]="كاش اوت",
    IF(F150&lt;=100, 15, IF(F150&lt;=250, 20, IF(F150&lt;=500, 30, IF(F150&lt;=1000, 35, F150*0.035)))),
0)))</f>
        <v>0</v>
      </c>
      <c r="H150" s="163">
        <f>IF(I150="مخالفات",50,Basic34567891011121314[[#This Row],[قيمة الرسوم / العموله]]+Basic34567891011121314[[#This Row],[قيمة الشحنه]])</f>
        <v>0</v>
      </c>
      <c r="I150" s="90"/>
      <c r="J150" s="142" t="str">
        <f t="shared" si="2"/>
        <v>19.5.2026</v>
      </c>
      <c r="L150" s="153">
        <v>139</v>
      </c>
      <c r="M150" s="92"/>
    </row>
    <row r="151" spans="1:13" ht="21.6" x14ac:dyDescent="0.65">
      <c r="A151" s="195"/>
      <c r="B151" s="140">
        <v>148</v>
      </c>
      <c r="C151" s="2"/>
      <c r="D151" s="1"/>
      <c r="E151" s="3"/>
      <c r="F151" s="1"/>
      <c r="G151" s="141">
        <f>IF(Basic34567891011121314[[#This Row],[نوع الخدمة]]="مخالفات", 50,
IF(Basic34567891011121314[[#This Row],[نوع الخدمة]]="كاش ان",
    IF(F151&lt;=100, 18, IF(F151&lt;=250, 23, IF(F151&lt;=500, 35, IF(F151&lt;=1000, 40, F151*0.04)))),
IF(Basic34567891011121314[[#This Row],[نوع الخدمة]]="كاش اوت",
    IF(F151&lt;=100, 15, IF(F151&lt;=250, 20, IF(F151&lt;=500, 30, IF(F151&lt;=1000, 35, F151*0.035)))),
0)))</f>
        <v>0</v>
      </c>
      <c r="H151" s="163">
        <f>IF(I151="مخالفات",50,Basic34567891011121314[[#This Row],[قيمة الرسوم / العموله]]+Basic34567891011121314[[#This Row],[قيمة الشحنه]])</f>
        <v>0</v>
      </c>
      <c r="I151" s="90"/>
      <c r="J151" s="142" t="str">
        <f t="shared" si="2"/>
        <v>19.5.2026</v>
      </c>
      <c r="L151" s="153">
        <v>140</v>
      </c>
      <c r="M151" s="92"/>
    </row>
    <row r="152" spans="1:13" ht="21.6" x14ac:dyDescent="0.65">
      <c r="A152" s="195"/>
      <c r="B152" s="140">
        <v>149</v>
      </c>
      <c r="C152" s="2"/>
      <c r="D152" s="1"/>
      <c r="E152" s="3"/>
      <c r="F152" s="1"/>
      <c r="G152" s="141">
        <f>IF(Basic34567891011121314[[#This Row],[نوع الخدمة]]="مخالفات", 50,
IF(Basic34567891011121314[[#This Row],[نوع الخدمة]]="كاش ان",
    IF(F152&lt;=100, 18, IF(F152&lt;=250, 23, IF(F152&lt;=500, 35, IF(F152&lt;=1000, 40, F152*0.04)))),
IF(Basic34567891011121314[[#This Row],[نوع الخدمة]]="كاش اوت",
    IF(F152&lt;=100, 15, IF(F152&lt;=250, 20, IF(F152&lt;=500, 30, IF(F152&lt;=1000, 35, F152*0.035)))),
0)))</f>
        <v>0</v>
      </c>
      <c r="H152" s="163">
        <f>IF(I152="مخالفات",50,Basic34567891011121314[[#This Row],[قيمة الرسوم / العموله]]+Basic34567891011121314[[#This Row],[قيمة الشحنه]])</f>
        <v>0</v>
      </c>
      <c r="I152" s="90"/>
      <c r="J152" s="142" t="str">
        <f t="shared" si="2"/>
        <v>19.5.2026</v>
      </c>
      <c r="L152" s="153">
        <v>141</v>
      </c>
      <c r="M152" s="92"/>
    </row>
    <row r="153" spans="1:13" ht="21.6" x14ac:dyDescent="0.65">
      <c r="A153" s="195"/>
      <c r="B153" s="144">
        <v>150</v>
      </c>
      <c r="C153" s="2"/>
      <c r="D153" s="1"/>
      <c r="E153" s="3"/>
      <c r="F153" s="1"/>
      <c r="G153" s="141">
        <f>IF(Basic34567891011121314[[#This Row],[نوع الخدمة]]="مخالفات", 50,
IF(Basic34567891011121314[[#This Row],[نوع الخدمة]]="كاش ان",
    IF(F153&lt;=100, 18, IF(F153&lt;=250, 23, IF(F153&lt;=500, 35, IF(F153&lt;=1000, 40, F153*0.04)))),
IF(Basic34567891011121314[[#This Row],[نوع الخدمة]]="كاش اوت",
    IF(F153&lt;=100, 15, IF(F153&lt;=250, 20, IF(F153&lt;=500, 30, IF(F153&lt;=1000, 35, F153*0.035)))),
0)))</f>
        <v>0</v>
      </c>
      <c r="H153" s="163">
        <f>IF(I153="مخالفات",50,Basic34567891011121314[[#This Row],[قيمة الرسوم / العموله]]+Basic34567891011121314[[#This Row],[قيمة الشحنه]])</f>
        <v>0</v>
      </c>
      <c r="I153" s="90"/>
      <c r="J153" s="142" t="str">
        <f t="shared" si="2"/>
        <v>19.5.2026</v>
      </c>
      <c r="L153" s="153">
        <v>142</v>
      </c>
      <c r="M153" s="92"/>
    </row>
    <row r="154" spans="1:13" ht="21.6" x14ac:dyDescent="0.65">
      <c r="A154" s="195"/>
      <c r="B154" s="140">
        <v>151</v>
      </c>
      <c r="C154" s="2"/>
      <c r="D154" s="1"/>
      <c r="E154" s="3"/>
      <c r="F154" s="1"/>
      <c r="G154" s="141">
        <f>IF(Basic34567891011121314[[#This Row],[نوع الخدمة]]="مخالفات", 50,
IF(Basic34567891011121314[[#This Row],[نوع الخدمة]]="كاش ان",
    IF(F154&lt;=100, 18, IF(F154&lt;=250, 23, IF(F154&lt;=500, 35, IF(F154&lt;=1000, 40, F154*0.04)))),
IF(Basic34567891011121314[[#This Row],[نوع الخدمة]]="كاش اوت",
    IF(F154&lt;=100, 15, IF(F154&lt;=250, 20, IF(F154&lt;=500, 30, IF(F154&lt;=1000, 35, F154*0.035)))),
0)))</f>
        <v>0</v>
      </c>
      <c r="H154" s="163">
        <f>IF(I154="مخالفات",50,Basic34567891011121314[[#This Row],[قيمة الرسوم / العموله]]+Basic34567891011121314[[#This Row],[قيمة الشحنه]])</f>
        <v>0</v>
      </c>
      <c r="I154" s="90"/>
      <c r="J154" s="142" t="str">
        <f t="shared" si="2"/>
        <v>19.5.2026</v>
      </c>
      <c r="L154" s="153">
        <v>143</v>
      </c>
      <c r="M154" s="92"/>
    </row>
    <row r="155" spans="1:13" ht="21.6" x14ac:dyDescent="0.65">
      <c r="A155" s="195"/>
      <c r="B155" s="140">
        <v>152</v>
      </c>
      <c r="C155" s="2"/>
      <c r="D155" s="1"/>
      <c r="E155" s="3"/>
      <c r="F155" s="1"/>
      <c r="G155" s="141">
        <f>IF(Basic34567891011121314[[#This Row],[نوع الخدمة]]="مخالفات", 50,
IF(Basic34567891011121314[[#This Row],[نوع الخدمة]]="كاش ان",
    IF(F155&lt;=100, 18, IF(F155&lt;=250, 23, IF(F155&lt;=500, 35, IF(F155&lt;=1000, 40, F155*0.04)))),
IF(Basic34567891011121314[[#This Row],[نوع الخدمة]]="كاش اوت",
    IF(F155&lt;=100, 15, IF(F155&lt;=250, 20, IF(F155&lt;=500, 30, IF(F155&lt;=1000, 35, F155*0.035)))),
0)))</f>
        <v>0</v>
      </c>
      <c r="H155" s="163">
        <f>IF(I155="مخالفات",50,Basic34567891011121314[[#This Row],[قيمة الرسوم / العموله]]+Basic34567891011121314[[#This Row],[قيمة الشحنه]])</f>
        <v>0</v>
      </c>
      <c r="I155" s="90"/>
      <c r="J155" s="142" t="str">
        <f t="shared" si="2"/>
        <v>19.5.2026</v>
      </c>
      <c r="L155" s="153">
        <v>144</v>
      </c>
      <c r="M155" s="92"/>
    </row>
    <row r="156" spans="1:13" ht="21.6" x14ac:dyDescent="0.65">
      <c r="A156" s="195"/>
      <c r="B156" s="140">
        <v>153</v>
      </c>
      <c r="C156" s="2"/>
      <c r="D156" s="1"/>
      <c r="E156" s="3"/>
      <c r="F156" s="1"/>
      <c r="G156" s="141">
        <f>IF(Basic34567891011121314[[#This Row],[نوع الخدمة]]="مخالفات", 50,
IF(Basic34567891011121314[[#This Row],[نوع الخدمة]]="كاش ان",
    IF(F156&lt;=100, 18, IF(F156&lt;=250, 23, IF(F156&lt;=500, 35, IF(F156&lt;=1000, 40, F156*0.04)))),
IF(Basic34567891011121314[[#This Row],[نوع الخدمة]]="كاش اوت",
    IF(F156&lt;=100, 15, IF(F156&lt;=250, 20, IF(F156&lt;=500, 30, IF(F156&lt;=1000, 35, F156*0.035)))),
0)))</f>
        <v>0</v>
      </c>
      <c r="H156" s="163">
        <f>IF(I156="مخالفات",50,Basic34567891011121314[[#This Row],[قيمة الرسوم / العموله]]+Basic34567891011121314[[#This Row],[قيمة الشحنه]])</f>
        <v>0</v>
      </c>
      <c r="I156" s="90"/>
      <c r="J156" s="142" t="str">
        <f t="shared" si="2"/>
        <v>19.5.2026</v>
      </c>
      <c r="L156" s="153">
        <v>145</v>
      </c>
      <c r="M156" s="92"/>
    </row>
    <row r="157" spans="1:13" ht="21.6" x14ac:dyDescent="0.65">
      <c r="A157" s="195"/>
      <c r="B157" s="144">
        <v>154</v>
      </c>
      <c r="C157" s="2"/>
      <c r="D157" s="1"/>
      <c r="E157" s="3"/>
      <c r="F157" s="1"/>
      <c r="G157" s="141">
        <f>IF(Basic34567891011121314[[#This Row],[نوع الخدمة]]="مخالفات", 50,
IF(Basic34567891011121314[[#This Row],[نوع الخدمة]]="كاش ان",
    IF(F157&lt;=100, 18, IF(F157&lt;=250, 23, IF(F157&lt;=500, 35, IF(F157&lt;=1000, 40, F157*0.04)))),
IF(Basic34567891011121314[[#This Row],[نوع الخدمة]]="كاش اوت",
    IF(F157&lt;=100, 15, IF(F157&lt;=250, 20, IF(F157&lt;=500, 30, IF(F157&lt;=1000, 35, F157*0.035)))),
0)))</f>
        <v>0</v>
      </c>
      <c r="H157" s="163">
        <f>IF(I157="مخالفات",50,Basic34567891011121314[[#This Row],[قيمة الرسوم / العموله]]+Basic34567891011121314[[#This Row],[قيمة الشحنه]])</f>
        <v>0</v>
      </c>
      <c r="I157" s="90"/>
      <c r="J157" s="142" t="str">
        <f t="shared" si="2"/>
        <v>19.5.2026</v>
      </c>
      <c r="L157" s="153">
        <v>146</v>
      </c>
      <c r="M157" s="92"/>
    </row>
    <row r="158" spans="1:13" ht="21.6" x14ac:dyDescent="0.65">
      <c r="A158" s="195"/>
      <c r="B158" s="140">
        <v>155</v>
      </c>
      <c r="C158" s="2"/>
      <c r="D158" s="1"/>
      <c r="E158" s="3"/>
      <c r="F158" s="1"/>
      <c r="G158" s="141">
        <f>IF(Basic34567891011121314[[#This Row],[نوع الخدمة]]="مخالفات", 50,
IF(Basic34567891011121314[[#This Row],[نوع الخدمة]]="كاش ان",
    IF(F158&lt;=100, 18, IF(F158&lt;=250, 23, IF(F158&lt;=500, 35, IF(F158&lt;=1000, 40, F158*0.04)))),
IF(Basic34567891011121314[[#This Row],[نوع الخدمة]]="كاش اوت",
    IF(F158&lt;=100, 15, IF(F158&lt;=250, 20, IF(F158&lt;=500, 30, IF(F158&lt;=1000, 35, F158*0.035)))),
0)))</f>
        <v>0</v>
      </c>
      <c r="H158" s="163">
        <f>IF(I158="مخالفات",50,Basic34567891011121314[[#This Row],[قيمة الرسوم / العموله]]+Basic34567891011121314[[#This Row],[قيمة الشحنه]])</f>
        <v>0</v>
      </c>
      <c r="I158" s="90"/>
      <c r="J158" s="142" t="str">
        <f t="shared" si="2"/>
        <v>19.5.2026</v>
      </c>
      <c r="L158" s="153">
        <v>147</v>
      </c>
      <c r="M158" s="92"/>
    </row>
    <row r="159" spans="1:13" ht="21.6" x14ac:dyDescent="0.65">
      <c r="A159" s="195"/>
      <c r="B159" s="140">
        <v>156</v>
      </c>
      <c r="C159" s="2"/>
      <c r="D159" s="1"/>
      <c r="E159" s="3"/>
      <c r="F159" s="1"/>
      <c r="G159" s="141">
        <f>IF(Basic34567891011121314[[#This Row],[نوع الخدمة]]="مخالفات", 50,
IF(Basic34567891011121314[[#This Row],[نوع الخدمة]]="كاش ان",
    IF(F159&lt;=100, 18, IF(F159&lt;=250, 23, IF(F159&lt;=500, 35, IF(F159&lt;=1000, 40, F159*0.04)))),
IF(Basic34567891011121314[[#This Row],[نوع الخدمة]]="كاش اوت",
    IF(F159&lt;=100, 15, IF(F159&lt;=250, 20, IF(F159&lt;=500, 30, IF(F159&lt;=1000, 35, F159*0.035)))),
0)))</f>
        <v>0</v>
      </c>
      <c r="H159" s="163">
        <f>IF(I159="مخالفات",50,Basic34567891011121314[[#This Row],[قيمة الرسوم / العموله]]+Basic34567891011121314[[#This Row],[قيمة الشحنه]])</f>
        <v>0</v>
      </c>
      <c r="I159" s="90"/>
      <c r="J159" s="142" t="str">
        <f t="shared" si="2"/>
        <v>19.5.2026</v>
      </c>
      <c r="L159" s="153">
        <v>148</v>
      </c>
      <c r="M159" s="92"/>
    </row>
    <row r="160" spans="1:13" ht="21.6" x14ac:dyDescent="0.65">
      <c r="A160" s="195"/>
      <c r="B160" s="140">
        <v>157</v>
      </c>
      <c r="C160" s="2"/>
      <c r="D160" s="1"/>
      <c r="E160" s="3"/>
      <c r="F160" s="1"/>
      <c r="G160" s="141">
        <f>IF(Basic34567891011121314[[#This Row],[نوع الخدمة]]="مخالفات", 50,
IF(Basic34567891011121314[[#This Row],[نوع الخدمة]]="كاش ان",
    IF(F160&lt;=100, 18, IF(F160&lt;=250, 23, IF(F160&lt;=500, 35, IF(F160&lt;=1000, 40, F160*0.04)))),
IF(Basic34567891011121314[[#This Row],[نوع الخدمة]]="كاش اوت",
    IF(F160&lt;=100, 15, IF(F160&lt;=250, 20, IF(F160&lt;=500, 30, IF(F160&lt;=1000, 35, F160*0.035)))),
0)))</f>
        <v>0</v>
      </c>
      <c r="H160" s="163">
        <f>IF(I160="مخالفات",50,Basic34567891011121314[[#This Row],[قيمة الرسوم / العموله]]+Basic34567891011121314[[#This Row],[قيمة الشحنه]])</f>
        <v>0</v>
      </c>
      <c r="I160" s="90"/>
      <c r="J160" s="142" t="str">
        <f t="shared" si="2"/>
        <v>19.5.2026</v>
      </c>
      <c r="L160" s="153">
        <v>149</v>
      </c>
      <c r="M160" s="92"/>
    </row>
    <row r="161" spans="1:13" ht="21.6" x14ac:dyDescent="0.65">
      <c r="A161" s="195"/>
      <c r="B161" s="144">
        <v>158</v>
      </c>
      <c r="C161" s="2"/>
      <c r="D161" s="1"/>
      <c r="E161" s="3"/>
      <c r="F161" s="1"/>
      <c r="G161" s="141">
        <f>IF(Basic34567891011121314[[#This Row],[نوع الخدمة]]="مخالفات", 50,
IF(Basic34567891011121314[[#This Row],[نوع الخدمة]]="كاش ان",
    IF(F161&lt;=100, 18, IF(F161&lt;=250, 23, IF(F161&lt;=500, 35, IF(F161&lt;=1000, 40, F161*0.04)))),
IF(Basic34567891011121314[[#This Row],[نوع الخدمة]]="كاش اوت",
    IF(F161&lt;=100, 15, IF(F161&lt;=250, 20, IF(F161&lt;=500, 30, IF(F161&lt;=1000, 35, F161*0.035)))),
0)))</f>
        <v>0</v>
      </c>
      <c r="H161" s="163">
        <f>IF(I161="مخالفات",50,Basic34567891011121314[[#This Row],[قيمة الرسوم / العموله]]+Basic34567891011121314[[#This Row],[قيمة الشحنه]])</f>
        <v>0</v>
      </c>
      <c r="I161" s="90"/>
      <c r="J161" s="142" t="str">
        <f t="shared" si="2"/>
        <v>19.5.2026</v>
      </c>
      <c r="L161" s="153">
        <v>150</v>
      </c>
      <c r="M161" s="92"/>
    </row>
    <row r="162" spans="1:13" ht="21.6" x14ac:dyDescent="0.65">
      <c r="A162" s="195"/>
      <c r="B162" s="140">
        <v>159</v>
      </c>
      <c r="C162" s="2"/>
      <c r="D162" s="1"/>
      <c r="E162" s="3"/>
      <c r="F162" s="1"/>
      <c r="G162" s="141">
        <f>IF(Basic34567891011121314[[#This Row],[نوع الخدمة]]="مخالفات", 50,
IF(Basic34567891011121314[[#This Row],[نوع الخدمة]]="كاش ان",
    IF(F162&lt;=100, 18, IF(F162&lt;=250, 23, IF(F162&lt;=500, 35, IF(F162&lt;=1000, 40, F162*0.04)))),
IF(Basic34567891011121314[[#This Row],[نوع الخدمة]]="كاش اوت",
    IF(F162&lt;=100, 15, IF(F162&lt;=250, 20, IF(F162&lt;=500, 30, IF(F162&lt;=1000, 35, F162*0.035)))),
0)))</f>
        <v>0</v>
      </c>
      <c r="H162" s="163">
        <f>IF(I162="مخالفات",50,Basic34567891011121314[[#This Row],[قيمة الرسوم / العموله]]+Basic34567891011121314[[#This Row],[قيمة الشحنه]])</f>
        <v>0</v>
      </c>
      <c r="I162" s="90"/>
      <c r="J162" s="142" t="str">
        <f t="shared" si="2"/>
        <v>19.5.2026</v>
      </c>
      <c r="L162" s="153">
        <v>151</v>
      </c>
      <c r="M162" s="92"/>
    </row>
    <row r="163" spans="1:13" ht="21.6" x14ac:dyDescent="0.65">
      <c r="A163" s="195"/>
      <c r="B163" s="140">
        <v>160</v>
      </c>
      <c r="C163" s="2"/>
      <c r="D163" s="1"/>
      <c r="E163" s="3"/>
      <c r="F163" s="1"/>
      <c r="G163" s="141">
        <f>IF(Basic34567891011121314[[#This Row],[نوع الخدمة]]="مخالفات", 50,
IF(Basic34567891011121314[[#This Row],[نوع الخدمة]]="كاش ان",
    IF(F163&lt;=100, 18, IF(F163&lt;=250, 23, IF(F163&lt;=500, 35, IF(F163&lt;=1000, 40, F163*0.04)))),
IF(Basic34567891011121314[[#This Row],[نوع الخدمة]]="كاش اوت",
    IF(F163&lt;=100, 15, IF(F163&lt;=250, 20, IF(F163&lt;=500, 30, IF(F163&lt;=1000, 35, F163*0.035)))),
0)))</f>
        <v>0</v>
      </c>
      <c r="H163" s="163">
        <f>IF(I163="مخالفات",50,Basic34567891011121314[[#This Row],[قيمة الرسوم / العموله]]+Basic34567891011121314[[#This Row],[قيمة الشحنه]])</f>
        <v>0</v>
      </c>
      <c r="I163" s="90"/>
      <c r="J163" s="142" t="str">
        <f t="shared" si="2"/>
        <v>19.5.2026</v>
      </c>
      <c r="L163" s="153">
        <v>152</v>
      </c>
      <c r="M163" s="92"/>
    </row>
    <row r="164" spans="1:13" ht="21.6" x14ac:dyDescent="0.65">
      <c r="A164" s="195"/>
      <c r="B164" s="140">
        <v>161</v>
      </c>
      <c r="C164" s="2"/>
      <c r="D164" s="1"/>
      <c r="E164" s="3"/>
      <c r="F164" s="1"/>
      <c r="G164" s="141">
        <f>IF(Basic34567891011121314[[#This Row],[نوع الخدمة]]="مخالفات", 50,
IF(Basic34567891011121314[[#This Row],[نوع الخدمة]]="كاش ان",
    IF(F164&lt;=100, 18, IF(F164&lt;=250, 23, IF(F164&lt;=500, 35, IF(F164&lt;=1000, 40, F164*0.04)))),
IF(Basic34567891011121314[[#This Row],[نوع الخدمة]]="كاش اوت",
    IF(F164&lt;=100, 15, IF(F164&lt;=250, 20, IF(F164&lt;=500, 30, IF(F164&lt;=1000, 35, F164*0.035)))),
0)))</f>
        <v>0</v>
      </c>
      <c r="H164" s="163">
        <f>IF(I164="مخالفات",50,Basic34567891011121314[[#This Row],[قيمة الرسوم / العموله]]+Basic34567891011121314[[#This Row],[قيمة الشحنه]])</f>
        <v>0</v>
      </c>
      <c r="I164" s="90"/>
      <c r="J164" s="142" t="str">
        <f t="shared" si="2"/>
        <v>19.5.2026</v>
      </c>
      <c r="L164" s="153">
        <v>153</v>
      </c>
      <c r="M164" s="92"/>
    </row>
    <row r="165" spans="1:13" ht="21.6" x14ac:dyDescent="0.65">
      <c r="A165" s="195"/>
      <c r="B165" s="144">
        <v>162</v>
      </c>
      <c r="C165" s="2"/>
      <c r="D165" s="1"/>
      <c r="E165" s="3"/>
      <c r="F165" s="1"/>
      <c r="G165" s="141">
        <f>IF(Basic34567891011121314[[#This Row],[نوع الخدمة]]="مخالفات", 50,
IF(Basic34567891011121314[[#This Row],[نوع الخدمة]]="كاش ان",
    IF(F165&lt;=100, 18, IF(F165&lt;=250, 23, IF(F165&lt;=500, 35, IF(F165&lt;=1000, 40, F165*0.04)))),
IF(Basic34567891011121314[[#This Row],[نوع الخدمة]]="كاش اوت",
    IF(F165&lt;=100, 15, IF(F165&lt;=250, 20, IF(F165&lt;=500, 30, IF(F165&lt;=1000, 35, F165*0.035)))),
0)))</f>
        <v>0</v>
      </c>
      <c r="H165" s="163">
        <f>IF(I165="مخالفات",50,Basic34567891011121314[[#This Row],[قيمة الرسوم / العموله]]+Basic34567891011121314[[#This Row],[قيمة الشحنه]])</f>
        <v>0</v>
      </c>
      <c r="I165" s="90"/>
      <c r="J165" s="142" t="str">
        <f t="shared" si="2"/>
        <v>19.5.2026</v>
      </c>
      <c r="L165" s="153">
        <v>154</v>
      </c>
      <c r="M165" s="92"/>
    </row>
    <row r="166" spans="1:13" ht="21.6" x14ac:dyDescent="0.65">
      <c r="A166" s="195"/>
      <c r="B166" s="140">
        <v>163</v>
      </c>
      <c r="C166" s="2"/>
      <c r="D166" s="1"/>
      <c r="E166" s="3"/>
      <c r="F166" s="1"/>
      <c r="G166" s="141">
        <f>IF(Basic34567891011121314[[#This Row],[نوع الخدمة]]="مخالفات", 50,
IF(Basic34567891011121314[[#This Row],[نوع الخدمة]]="كاش ان",
    IF(F166&lt;=100, 18, IF(F166&lt;=250, 23, IF(F166&lt;=500, 35, IF(F166&lt;=1000, 40, F166*0.04)))),
IF(Basic34567891011121314[[#This Row],[نوع الخدمة]]="كاش اوت",
    IF(F166&lt;=100, 15, IF(F166&lt;=250, 20, IF(F166&lt;=500, 30, IF(F166&lt;=1000, 35, F166*0.035)))),
0)))</f>
        <v>0</v>
      </c>
      <c r="H166" s="163">
        <f>IF(I166="مخالفات",50,Basic34567891011121314[[#This Row],[قيمة الرسوم / العموله]]+Basic34567891011121314[[#This Row],[قيمة الشحنه]])</f>
        <v>0</v>
      </c>
      <c r="I166" s="90"/>
      <c r="J166" s="142" t="str">
        <f t="shared" si="2"/>
        <v>19.5.2026</v>
      </c>
      <c r="L166" s="153">
        <v>155</v>
      </c>
      <c r="M166" s="92"/>
    </row>
    <row r="167" spans="1:13" ht="21.6" x14ac:dyDescent="0.65">
      <c r="A167" s="195"/>
      <c r="B167" s="140">
        <v>164</v>
      </c>
      <c r="C167" s="2"/>
      <c r="D167" s="1"/>
      <c r="E167" s="3"/>
      <c r="F167" s="1"/>
      <c r="G167" s="141">
        <f>IF(Basic34567891011121314[[#This Row],[نوع الخدمة]]="مخالفات", 50,
IF(Basic34567891011121314[[#This Row],[نوع الخدمة]]="كاش ان",
    IF(F167&lt;=100, 18, IF(F167&lt;=250, 23, IF(F167&lt;=500, 35, IF(F167&lt;=1000, 40, F167*0.04)))),
IF(Basic34567891011121314[[#This Row],[نوع الخدمة]]="كاش اوت",
    IF(F167&lt;=100, 15, IF(F167&lt;=250, 20, IF(F167&lt;=500, 30, IF(F167&lt;=1000, 35, F167*0.035)))),
0)))</f>
        <v>0</v>
      </c>
      <c r="H167" s="163">
        <f>IF(I167="مخالفات",50,Basic34567891011121314[[#This Row],[قيمة الرسوم / العموله]]+Basic34567891011121314[[#This Row],[قيمة الشحنه]])</f>
        <v>0</v>
      </c>
      <c r="I167" s="90"/>
      <c r="J167" s="142" t="str">
        <f t="shared" si="2"/>
        <v>19.5.2026</v>
      </c>
      <c r="L167" s="153">
        <v>156</v>
      </c>
      <c r="M167" s="92"/>
    </row>
    <row r="168" spans="1:13" ht="21.6" x14ac:dyDescent="0.65">
      <c r="A168" s="195"/>
      <c r="B168" s="140">
        <v>165</v>
      </c>
      <c r="C168" s="2"/>
      <c r="D168" s="1"/>
      <c r="E168" s="3"/>
      <c r="F168" s="1"/>
      <c r="G168" s="141">
        <f>IF(Basic34567891011121314[[#This Row],[نوع الخدمة]]="مخالفات", 50,
IF(Basic34567891011121314[[#This Row],[نوع الخدمة]]="كاش ان",
    IF(F168&lt;=100, 18, IF(F168&lt;=250, 23, IF(F168&lt;=500, 35, IF(F168&lt;=1000, 40, F168*0.04)))),
IF(Basic34567891011121314[[#This Row],[نوع الخدمة]]="كاش اوت",
    IF(F168&lt;=100, 15, IF(F168&lt;=250, 20, IF(F168&lt;=500, 30, IF(F168&lt;=1000, 35, F168*0.035)))),
0)))</f>
        <v>0</v>
      </c>
      <c r="H168" s="163">
        <f>IF(I168="مخالفات",50,Basic34567891011121314[[#This Row],[قيمة الرسوم / العموله]]+Basic34567891011121314[[#This Row],[قيمة الشحنه]])</f>
        <v>0</v>
      </c>
      <c r="I168" s="90"/>
      <c r="J168" s="142" t="str">
        <f t="shared" si="2"/>
        <v>19.5.2026</v>
      </c>
      <c r="L168" s="153">
        <v>157</v>
      </c>
      <c r="M168" s="92"/>
    </row>
    <row r="169" spans="1:13" ht="21.6" x14ac:dyDescent="0.65">
      <c r="A169" s="195"/>
      <c r="B169" s="144">
        <v>166</v>
      </c>
      <c r="C169" s="2"/>
      <c r="D169" s="1"/>
      <c r="E169" s="3"/>
      <c r="F169" s="1"/>
      <c r="G169" s="141">
        <f>IF(Basic34567891011121314[[#This Row],[نوع الخدمة]]="مخالفات", 50,
IF(Basic34567891011121314[[#This Row],[نوع الخدمة]]="كاش ان",
    IF(F169&lt;=100, 18, IF(F169&lt;=250, 23, IF(F169&lt;=500, 35, IF(F169&lt;=1000, 40, F169*0.04)))),
IF(Basic34567891011121314[[#This Row],[نوع الخدمة]]="كاش اوت",
    IF(F169&lt;=100, 15, IF(F169&lt;=250, 20, IF(F169&lt;=500, 30, IF(F169&lt;=1000, 35, F169*0.035)))),
0)))</f>
        <v>0</v>
      </c>
      <c r="H169" s="163">
        <f>IF(I169="مخالفات",50,Basic34567891011121314[[#This Row],[قيمة الرسوم / العموله]]+Basic34567891011121314[[#This Row],[قيمة الشحنه]])</f>
        <v>0</v>
      </c>
      <c r="I169" s="90"/>
      <c r="J169" s="142" t="str">
        <f t="shared" si="2"/>
        <v>19.5.2026</v>
      </c>
      <c r="L169" s="153">
        <v>158</v>
      </c>
      <c r="M169" s="92"/>
    </row>
    <row r="170" spans="1:13" ht="21.6" x14ac:dyDescent="0.65">
      <c r="A170" s="195"/>
      <c r="B170" s="140">
        <v>167</v>
      </c>
      <c r="C170" s="2"/>
      <c r="D170" s="1"/>
      <c r="E170" s="3"/>
      <c r="F170" s="1"/>
      <c r="G170" s="141">
        <f>IF(Basic34567891011121314[[#This Row],[نوع الخدمة]]="مخالفات", 50,
IF(Basic34567891011121314[[#This Row],[نوع الخدمة]]="كاش ان",
    IF(F170&lt;=100, 18, IF(F170&lt;=250, 23, IF(F170&lt;=500, 35, IF(F170&lt;=1000, 40, F170*0.04)))),
IF(Basic34567891011121314[[#This Row],[نوع الخدمة]]="كاش اوت",
    IF(F170&lt;=100, 15, IF(F170&lt;=250, 20, IF(F170&lt;=500, 30, IF(F170&lt;=1000, 35, F170*0.035)))),
0)))</f>
        <v>0</v>
      </c>
      <c r="H170" s="163">
        <f>IF(I170="مخالفات",50,Basic34567891011121314[[#This Row],[قيمة الرسوم / العموله]]+Basic34567891011121314[[#This Row],[قيمة الشحنه]])</f>
        <v>0</v>
      </c>
      <c r="I170" s="90"/>
      <c r="J170" s="142" t="str">
        <f t="shared" si="2"/>
        <v>19.5.2026</v>
      </c>
      <c r="L170" s="153">
        <v>159</v>
      </c>
      <c r="M170" s="92"/>
    </row>
    <row r="171" spans="1:13" ht="21.6" x14ac:dyDescent="0.65">
      <c r="A171" s="195"/>
      <c r="B171" s="140">
        <v>168</v>
      </c>
      <c r="C171" s="2"/>
      <c r="D171" s="1"/>
      <c r="E171" s="3"/>
      <c r="F171" s="1"/>
      <c r="G171" s="141">
        <f>IF(Basic34567891011121314[[#This Row],[نوع الخدمة]]="مخالفات", 50,
IF(Basic34567891011121314[[#This Row],[نوع الخدمة]]="كاش ان",
    IF(F171&lt;=100, 18, IF(F171&lt;=250, 23, IF(F171&lt;=500, 35, IF(F171&lt;=1000, 40, F171*0.04)))),
IF(Basic34567891011121314[[#This Row],[نوع الخدمة]]="كاش اوت",
    IF(F171&lt;=100, 15, IF(F171&lt;=250, 20, IF(F171&lt;=500, 30, IF(F171&lt;=1000, 35, F171*0.035)))),
0)))</f>
        <v>0</v>
      </c>
      <c r="H171" s="163">
        <f>IF(I171="مخالفات",50,Basic34567891011121314[[#This Row],[قيمة الرسوم / العموله]]+Basic34567891011121314[[#This Row],[قيمة الشحنه]])</f>
        <v>0</v>
      </c>
      <c r="I171" s="90"/>
      <c r="J171" s="142" t="str">
        <f t="shared" si="2"/>
        <v>19.5.2026</v>
      </c>
      <c r="L171" s="153">
        <v>160</v>
      </c>
      <c r="M171" s="92"/>
    </row>
    <row r="172" spans="1:13" ht="21.6" x14ac:dyDescent="0.65">
      <c r="A172" s="195"/>
      <c r="B172" s="140">
        <v>169</v>
      </c>
      <c r="C172" s="2"/>
      <c r="D172" s="1"/>
      <c r="E172" s="3"/>
      <c r="F172" s="1"/>
      <c r="G172" s="141">
        <f>IF(Basic34567891011121314[[#This Row],[نوع الخدمة]]="مخالفات", 50,
IF(Basic34567891011121314[[#This Row],[نوع الخدمة]]="كاش ان",
    IF(F172&lt;=100, 18, IF(F172&lt;=250, 23, IF(F172&lt;=500, 35, IF(F172&lt;=1000, 40, F172*0.04)))),
IF(Basic34567891011121314[[#This Row],[نوع الخدمة]]="كاش اوت",
    IF(F172&lt;=100, 15, IF(F172&lt;=250, 20, IF(F172&lt;=500, 30, IF(F172&lt;=1000, 35, F172*0.035)))),
0)))</f>
        <v>0</v>
      </c>
      <c r="H172" s="163">
        <f>IF(I172="مخالفات",50,Basic34567891011121314[[#This Row],[قيمة الرسوم / العموله]]+Basic34567891011121314[[#This Row],[قيمة الشحنه]])</f>
        <v>0</v>
      </c>
      <c r="I172" s="90"/>
      <c r="J172" s="142" t="str">
        <f t="shared" si="2"/>
        <v>19.5.2026</v>
      </c>
      <c r="L172" s="153">
        <v>161</v>
      </c>
      <c r="M172" s="92"/>
    </row>
    <row r="173" spans="1:13" ht="21.6" x14ac:dyDescent="0.65">
      <c r="A173" s="195"/>
      <c r="B173" s="144">
        <v>170</v>
      </c>
      <c r="C173" s="2"/>
      <c r="D173" s="1"/>
      <c r="E173" s="3"/>
      <c r="F173" s="1"/>
      <c r="G173" s="141">
        <f>IF(Basic34567891011121314[[#This Row],[نوع الخدمة]]="مخالفات", 50,
IF(Basic34567891011121314[[#This Row],[نوع الخدمة]]="كاش ان",
    IF(F173&lt;=100, 18, IF(F173&lt;=250, 23, IF(F173&lt;=500, 35, IF(F173&lt;=1000, 40, F173*0.04)))),
IF(Basic34567891011121314[[#This Row],[نوع الخدمة]]="كاش اوت",
    IF(F173&lt;=100, 15, IF(F173&lt;=250, 20, IF(F173&lt;=500, 30, IF(F173&lt;=1000, 35, F173*0.035)))),
0)))</f>
        <v>0</v>
      </c>
      <c r="H173" s="163">
        <f>IF(I173="مخالفات",50,Basic34567891011121314[[#This Row],[قيمة الرسوم / العموله]]+Basic34567891011121314[[#This Row],[قيمة الشحنه]])</f>
        <v>0</v>
      </c>
      <c r="I173" s="90"/>
      <c r="J173" s="142" t="str">
        <f t="shared" si="2"/>
        <v>19.5.2026</v>
      </c>
      <c r="L173" s="153">
        <v>162</v>
      </c>
      <c r="M173" s="92"/>
    </row>
    <row r="174" spans="1:13" ht="21.6" x14ac:dyDescent="0.65">
      <c r="A174" s="195"/>
      <c r="B174" s="140">
        <v>171</v>
      </c>
      <c r="C174" s="2"/>
      <c r="D174" s="1"/>
      <c r="E174" s="3"/>
      <c r="F174" s="1"/>
      <c r="G174" s="141">
        <f>IF(Basic34567891011121314[[#This Row],[نوع الخدمة]]="مخالفات", 50,
IF(Basic34567891011121314[[#This Row],[نوع الخدمة]]="كاش ان",
    IF(F174&lt;=100, 18, IF(F174&lt;=250, 23, IF(F174&lt;=500, 35, IF(F174&lt;=1000, 40, F174*0.04)))),
IF(Basic34567891011121314[[#This Row],[نوع الخدمة]]="كاش اوت",
    IF(F174&lt;=100, 15, IF(F174&lt;=250, 20, IF(F174&lt;=500, 30, IF(F174&lt;=1000, 35, F174*0.035)))),
0)))</f>
        <v>0</v>
      </c>
      <c r="H174" s="163">
        <f>IF(I174="مخالفات",50,Basic34567891011121314[[#This Row],[قيمة الرسوم / العموله]]+Basic34567891011121314[[#This Row],[قيمة الشحنه]])</f>
        <v>0</v>
      </c>
      <c r="I174" s="90"/>
      <c r="J174" s="142" t="str">
        <f t="shared" si="2"/>
        <v>19.5.2026</v>
      </c>
      <c r="L174" s="153">
        <v>163</v>
      </c>
      <c r="M174" s="92"/>
    </row>
    <row r="175" spans="1:13" ht="21.6" x14ac:dyDescent="0.65">
      <c r="A175" s="195"/>
      <c r="B175" s="140">
        <v>172</v>
      </c>
      <c r="C175" s="2"/>
      <c r="D175" s="1"/>
      <c r="E175" s="3"/>
      <c r="F175" s="1"/>
      <c r="G175" s="141">
        <f>IF(Basic34567891011121314[[#This Row],[نوع الخدمة]]="مخالفات", 50,
IF(Basic34567891011121314[[#This Row],[نوع الخدمة]]="كاش ان",
    IF(F175&lt;=100, 18, IF(F175&lt;=250, 23, IF(F175&lt;=500, 35, IF(F175&lt;=1000, 40, F175*0.04)))),
IF(Basic34567891011121314[[#This Row],[نوع الخدمة]]="كاش اوت",
    IF(F175&lt;=100, 15, IF(F175&lt;=250, 20, IF(F175&lt;=500, 30, IF(F175&lt;=1000, 35, F175*0.035)))),
0)))</f>
        <v>0</v>
      </c>
      <c r="H175" s="163">
        <f>IF(I175="مخالفات",50,Basic34567891011121314[[#This Row],[قيمة الرسوم / العموله]]+Basic34567891011121314[[#This Row],[قيمة الشحنه]])</f>
        <v>0</v>
      </c>
      <c r="I175" s="90"/>
      <c r="J175" s="142" t="str">
        <f t="shared" si="2"/>
        <v>19.5.2026</v>
      </c>
      <c r="L175" s="153">
        <v>164</v>
      </c>
      <c r="M175" s="92"/>
    </row>
    <row r="176" spans="1:13" ht="21.6" x14ac:dyDescent="0.65">
      <c r="A176" s="195"/>
      <c r="B176" s="140">
        <v>173</v>
      </c>
      <c r="C176" s="2"/>
      <c r="D176" s="1"/>
      <c r="E176" s="3"/>
      <c r="F176" s="1"/>
      <c r="G176" s="141">
        <f>IF(Basic34567891011121314[[#This Row],[نوع الخدمة]]="مخالفات", 50,
IF(Basic34567891011121314[[#This Row],[نوع الخدمة]]="كاش ان",
    IF(F176&lt;=100, 18, IF(F176&lt;=250, 23, IF(F176&lt;=500, 35, IF(F176&lt;=1000, 40, F176*0.04)))),
IF(Basic34567891011121314[[#This Row],[نوع الخدمة]]="كاش اوت",
    IF(F176&lt;=100, 15, IF(F176&lt;=250, 20, IF(F176&lt;=500, 30, IF(F176&lt;=1000, 35, F176*0.035)))),
0)))</f>
        <v>0</v>
      </c>
      <c r="H176" s="163">
        <f>IF(I176="مخالفات",50,Basic34567891011121314[[#This Row],[قيمة الرسوم / العموله]]+Basic34567891011121314[[#This Row],[قيمة الشحنه]])</f>
        <v>0</v>
      </c>
      <c r="I176" s="90"/>
      <c r="J176" s="142" t="str">
        <f t="shared" si="2"/>
        <v>19.5.2026</v>
      </c>
      <c r="L176" s="153">
        <v>165</v>
      </c>
      <c r="M176" s="92"/>
    </row>
    <row r="177" spans="1:13" ht="21.6" x14ac:dyDescent="0.65">
      <c r="A177" s="195"/>
      <c r="B177" s="144">
        <v>174</v>
      </c>
      <c r="C177" s="2"/>
      <c r="D177" s="1"/>
      <c r="E177" s="3"/>
      <c r="F177" s="1"/>
      <c r="G177" s="141">
        <f>IF(Basic34567891011121314[[#This Row],[نوع الخدمة]]="مخالفات", 50,
IF(Basic34567891011121314[[#This Row],[نوع الخدمة]]="كاش ان",
    IF(F177&lt;=100, 18, IF(F177&lt;=250, 23, IF(F177&lt;=500, 35, IF(F177&lt;=1000, 40, F177*0.04)))),
IF(Basic34567891011121314[[#This Row],[نوع الخدمة]]="كاش اوت",
    IF(F177&lt;=100, 15, IF(F177&lt;=250, 20, IF(F177&lt;=500, 30, IF(F177&lt;=1000, 35, F177*0.035)))),
0)))</f>
        <v>0</v>
      </c>
      <c r="H177" s="163">
        <f>IF(I177="مخالفات",50,Basic34567891011121314[[#This Row],[قيمة الرسوم / العموله]]+Basic34567891011121314[[#This Row],[قيمة الشحنه]])</f>
        <v>0</v>
      </c>
      <c r="I177" s="90"/>
      <c r="J177" s="142" t="str">
        <f t="shared" si="2"/>
        <v>19.5.2026</v>
      </c>
      <c r="L177" s="153">
        <v>166</v>
      </c>
      <c r="M177" s="92"/>
    </row>
    <row r="178" spans="1:13" ht="21.6" x14ac:dyDescent="0.65">
      <c r="A178" s="195"/>
      <c r="B178" s="140">
        <v>175</v>
      </c>
      <c r="C178" s="2"/>
      <c r="D178" s="1"/>
      <c r="E178" s="3"/>
      <c r="F178" s="1"/>
      <c r="G178" s="141">
        <f>IF(Basic34567891011121314[[#This Row],[نوع الخدمة]]="مخالفات", 50,
IF(Basic34567891011121314[[#This Row],[نوع الخدمة]]="كاش ان",
    IF(F178&lt;=100, 18, IF(F178&lt;=250, 23, IF(F178&lt;=500, 35, IF(F178&lt;=1000, 40, F178*0.04)))),
IF(Basic34567891011121314[[#This Row],[نوع الخدمة]]="كاش اوت",
    IF(F178&lt;=100, 15, IF(F178&lt;=250, 20, IF(F178&lt;=500, 30, IF(F178&lt;=1000, 35, F178*0.035)))),
0)))</f>
        <v>0</v>
      </c>
      <c r="H178" s="163">
        <f>IF(I178="مخالفات",50,Basic34567891011121314[[#This Row],[قيمة الرسوم / العموله]]+Basic34567891011121314[[#This Row],[قيمة الشحنه]])</f>
        <v>0</v>
      </c>
      <c r="I178" s="90"/>
      <c r="J178" s="142" t="str">
        <f t="shared" si="2"/>
        <v>19.5.2026</v>
      </c>
      <c r="L178" s="153">
        <v>167</v>
      </c>
      <c r="M178" s="92"/>
    </row>
    <row r="179" spans="1:13" ht="21.6" x14ac:dyDescent="0.65">
      <c r="A179" s="195"/>
      <c r="B179" s="140">
        <v>176</v>
      </c>
      <c r="C179" s="2"/>
      <c r="D179" s="1"/>
      <c r="E179" s="3"/>
      <c r="F179" s="1"/>
      <c r="G179" s="141">
        <f>IF(Basic34567891011121314[[#This Row],[نوع الخدمة]]="مخالفات", 50,
IF(Basic34567891011121314[[#This Row],[نوع الخدمة]]="كاش ان",
    IF(F179&lt;=100, 18, IF(F179&lt;=250, 23, IF(F179&lt;=500, 35, IF(F179&lt;=1000, 40, F179*0.04)))),
IF(Basic34567891011121314[[#This Row],[نوع الخدمة]]="كاش اوت",
    IF(F179&lt;=100, 15, IF(F179&lt;=250, 20, IF(F179&lt;=500, 30, IF(F179&lt;=1000, 35, F179*0.035)))),
0)))</f>
        <v>0</v>
      </c>
      <c r="H179" s="163">
        <f>IF(I179="مخالفات",50,Basic34567891011121314[[#This Row],[قيمة الرسوم / العموله]]+Basic34567891011121314[[#This Row],[قيمة الشحنه]])</f>
        <v>0</v>
      </c>
      <c r="I179" s="90"/>
      <c r="J179" s="142" t="str">
        <f t="shared" si="2"/>
        <v>19.5.2026</v>
      </c>
      <c r="L179" s="153">
        <v>168</v>
      </c>
      <c r="M179" s="92"/>
    </row>
    <row r="180" spans="1:13" ht="21.6" x14ac:dyDescent="0.65">
      <c r="A180" s="195"/>
      <c r="B180" s="140">
        <v>177</v>
      </c>
      <c r="C180" s="2"/>
      <c r="D180" s="1"/>
      <c r="E180" s="3"/>
      <c r="F180" s="1"/>
      <c r="G180" s="141">
        <f>IF(Basic34567891011121314[[#This Row],[نوع الخدمة]]="مخالفات", 50,
IF(Basic34567891011121314[[#This Row],[نوع الخدمة]]="كاش ان",
    IF(F180&lt;=100, 18, IF(F180&lt;=250, 23, IF(F180&lt;=500, 35, IF(F180&lt;=1000, 40, F180*0.04)))),
IF(Basic34567891011121314[[#This Row],[نوع الخدمة]]="كاش اوت",
    IF(F180&lt;=100, 15, IF(F180&lt;=250, 20, IF(F180&lt;=500, 30, IF(F180&lt;=1000, 35, F180*0.035)))),
0)))</f>
        <v>0</v>
      </c>
      <c r="H180" s="163">
        <f>IF(I180="مخالفات",50,Basic34567891011121314[[#This Row],[قيمة الرسوم / العموله]]+Basic34567891011121314[[#This Row],[قيمة الشحنه]])</f>
        <v>0</v>
      </c>
      <c r="I180" s="90"/>
      <c r="J180" s="142" t="str">
        <f t="shared" si="2"/>
        <v>19.5.2026</v>
      </c>
      <c r="L180" s="153">
        <v>169</v>
      </c>
      <c r="M180" s="92"/>
    </row>
    <row r="181" spans="1:13" ht="21.6" x14ac:dyDescent="0.65">
      <c r="A181" s="195"/>
      <c r="B181" s="144">
        <v>178</v>
      </c>
      <c r="C181" s="2"/>
      <c r="D181" s="1"/>
      <c r="E181" s="3"/>
      <c r="F181" s="1"/>
      <c r="G181" s="141">
        <f>IF(Basic34567891011121314[[#This Row],[نوع الخدمة]]="مخالفات", 50,
IF(Basic34567891011121314[[#This Row],[نوع الخدمة]]="كاش ان",
    IF(F181&lt;=100, 18, IF(F181&lt;=250, 23, IF(F181&lt;=500, 35, IF(F181&lt;=1000, 40, F181*0.04)))),
IF(Basic34567891011121314[[#This Row],[نوع الخدمة]]="كاش اوت",
    IF(F181&lt;=100, 15, IF(F181&lt;=250, 20, IF(F181&lt;=500, 30, IF(F181&lt;=1000, 35, F181*0.035)))),
0)))</f>
        <v>0</v>
      </c>
      <c r="H181" s="163">
        <f>IF(I181="مخالفات",50,Basic34567891011121314[[#This Row],[قيمة الرسوم / العموله]]+Basic34567891011121314[[#This Row],[قيمة الشحنه]])</f>
        <v>0</v>
      </c>
      <c r="I181" s="90"/>
      <c r="J181" s="142" t="str">
        <f t="shared" si="2"/>
        <v>19.5.2026</v>
      </c>
      <c r="L181" s="153">
        <v>170</v>
      </c>
      <c r="M181" s="92"/>
    </row>
    <row r="182" spans="1:13" ht="21.6" x14ac:dyDescent="0.65">
      <c r="A182" s="195"/>
      <c r="B182" s="140">
        <v>179</v>
      </c>
      <c r="C182" s="2"/>
      <c r="D182" s="1"/>
      <c r="E182" s="3"/>
      <c r="F182" s="1"/>
      <c r="G182" s="141">
        <f>IF(Basic34567891011121314[[#This Row],[نوع الخدمة]]="مخالفات", 50,
IF(Basic34567891011121314[[#This Row],[نوع الخدمة]]="كاش ان",
    IF(F182&lt;=100, 18, IF(F182&lt;=250, 23, IF(F182&lt;=500, 35, IF(F182&lt;=1000, 40, F182*0.04)))),
IF(Basic34567891011121314[[#This Row],[نوع الخدمة]]="كاش اوت",
    IF(F182&lt;=100, 15, IF(F182&lt;=250, 20, IF(F182&lt;=500, 30, IF(F182&lt;=1000, 35, F182*0.035)))),
0)))</f>
        <v>0</v>
      </c>
      <c r="H182" s="163">
        <f>IF(I182="مخالفات",50,Basic34567891011121314[[#This Row],[قيمة الرسوم / العموله]]+Basic34567891011121314[[#This Row],[قيمة الشحنه]])</f>
        <v>0</v>
      </c>
      <c r="I182" s="90"/>
      <c r="J182" s="142" t="str">
        <f t="shared" si="2"/>
        <v>19.5.2026</v>
      </c>
      <c r="L182" s="153">
        <v>171</v>
      </c>
      <c r="M182" s="92"/>
    </row>
    <row r="183" spans="1:13" ht="21.6" x14ac:dyDescent="0.65">
      <c r="A183" s="195"/>
      <c r="B183" s="140">
        <v>180</v>
      </c>
      <c r="C183" s="2"/>
      <c r="D183" s="1"/>
      <c r="E183" s="3"/>
      <c r="F183" s="1"/>
      <c r="G183" s="141">
        <f>IF(Basic34567891011121314[[#This Row],[نوع الخدمة]]="مخالفات", 50,
IF(Basic34567891011121314[[#This Row],[نوع الخدمة]]="كاش ان",
    IF(F183&lt;=100, 18, IF(F183&lt;=250, 23, IF(F183&lt;=500, 35, IF(F183&lt;=1000, 40, F183*0.04)))),
IF(Basic34567891011121314[[#This Row],[نوع الخدمة]]="كاش اوت",
    IF(F183&lt;=100, 15, IF(F183&lt;=250, 20, IF(F183&lt;=500, 30, IF(F183&lt;=1000, 35, F183*0.035)))),
0)))</f>
        <v>0</v>
      </c>
      <c r="H183" s="163">
        <f>IF(I183="مخالفات",50,Basic34567891011121314[[#This Row],[قيمة الرسوم / العموله]]+Basic34567891011121314[[#This Row],[قيمة الشحنه]])</f>
        <v>0</v>
      </c>
      <c r="I183" s="90"/>
      <c r="J183" s="142" t="str">
        <f t="shared" si="2"/>
        <v>19.5.2026</v>
      </c>
      <c r="L183" s="153">
        <v>172</v>
      </c>
      <c r="M183" s="92"/>
    </row>
    <row r="184" spans="1:13" ht="21.6" x14ac:dyDescent="0.65">
      <c r="A184" s="195"/>
      <c r="B184" s="140">
        <v>181</v>
      </c>
      <c r="C184" s="2"/>
      <c r="D184" s="1"/>
      <c r="E184" s="3"/>
      <c r="F184" s="1"/>
      <c r="G184" s="141">
        <f>IF(Basic34567891011121314[[#This Row],[نوع الخدمة]]="مخالفات", 50,
IF(Basic34567891011121314[[#This Row],[نوع الخدمة]]="كاش ان",
    IF(F184&lt;=100, 18, IF(F184&lt;=250, 23, IF(F184&lt;=500, 35, IF(F184&lt;=1000, 40, F184*0.04)))),
IF(Basic34567891011121314[[#This Row],[نوع الخدمة]]="كاش اوت",
    IF(F184&lt;=100, 15, IF(F184&lt;=250, 20, IF(F184&lt;=500, 30, IF(F184&lt;=1000, 35, F184*0.035)))),
0)))</f>
        <v>0</v>
      </c>
      <c r="H184" s="163">
        <f>IF(I184="مخالفات",50,Basic34567891011121314[[#This Row],[قيمة الرسوم / العموله]]+Basic34567891011121314[[#This Row],[قيمة الشحنه]])</f>
        <v>0</v>
      </c>
      <c r="I184" s="90"/>
      <c r="J184" s="142" t="str">
        <f t="shared" si="2"/>
        <v>19.5.2026</v>
      </c>
      <c r="L184" s="153">
        <v>173</v>
      </c>
      <c r="M184" s="92"/>
    </row>
    <row r="185" spans="1:13" ht="21.6" x14ac:dyDescent="0.65">
      <c r="A185" s="195"/>
      <c r="B185" s="144">
        <v>182</v>
      </c>
      <c r="C185" s="2"/>
      <c r="D185" s="1"/>
      <c r="E185" s="3"/>
      <c r="F185" s="1"/>
      <c r="G185" s="141">
        <f>IF(Basic34567891011121314[[#This Row],[نوع الخدمة]]="مخالفات", 50,
IF(Basic34567891011121314[[#This Row],[نوع الخدمة]]="كاش ان",
    IF(F185&lt;=100, 18, IF(F185&lt;=250, 23, IF(F185&lt;=500, 35, IF(F185&lt;=1000, 40, F185*0.04)))),
IF(Basic34567891011121314[[#This Row],[نوع الخدمة]]="كاش اوت",
    IF(F185&lt;=100, 15, IF(F185&lt;=250, 20, IF(F185&lt;=500, 30, IF(F185&lt;=1000, 35, F185*0.035)))),
0)))</f>
        <v>0</v>
      </c>
      <c r="H185" s="163">
        <f>IF(I185="مخالفات",50,Basic34567891011121314[[#This Row],[قيمة الرسوم / العموله]]+Basic34567891011121314[[#This Row],[قيمة الشحنه]])</f>
        <v>0</v>
      </c>
      <c r="I185" s="90"/>
      <c r="J185" s="142" t="str">
        <f t="shared" si="2"/>
        <v>19.5.2026</v>
      </c>
      <c r="L185" s="153">
        <v>174</v>
      </c>
      <c r="M185" s="92"/>
    </row>
    <row r="186" spans="1:13" ht="21.6" x14ac:dyDescent="0.65">
      <c r="A186" s="195"/>
      <c r="B186" s="140">
        <v>183</v>
      </c>
      <c r="C186" s="2"/>
      <c r="D186" s="1"/>
      <c r="E186" s="3"/>
      <c r="F186" s="1"/>
      <c r="G186" s="141">
        <f>IF(Basic34567891011121314[[#This Row],[نوع الخدمة]]="مخالفات", 50,
IF(Basic34567891011121314[[#This Row],[نوع الخدمة]]="كاش ان",
    IF(F186&lt;=100, 18, IF(F186&lt;=250, 23, IF(F186&lt;=500, 35, IF(F186&lt;=1000, 40, F186*0.04)))),
IF(Basic34567891011121314[[#This Row],[نوع الخدمة]]="كاش اوت",
    IF(F186&lt;=100, 15, IF(F186&lt;=250, 20, IF(F186&lt;=500, 30, IF(F186&lt;=1000, 35, F186*0.035)))),
0)))</f>
        <v>0</v>
      </c>
      <c r="H186" s="163">
        <f>IF(I186="مخالفات",50,Basic34567891011121314[[#This Row],[قيمة الرسوم / العموله]]+Basic34567891011121314[[#This Row],[قيمة الشحنه]])</f>
        <v>0</v>
      </c>
      <c r="I186" s="90"/>
      <c r="J186" s="142" t="str">
        <f t="shared" si="2"/>
        <v>19.5.2026</v>
      </c>
      <c r="L186" s="153">
        <v>175</v>
      </c>
      <c r="M186" s="92"/>
    </row>
    <row r="187" spans="1:13" ht="21.6" x14ac:dyDescent="0.65">
      <c r="A187" s="195"/>
      <c r="B187" s="140">
        <v>184</v>
      </c>
      <c r="C187" s="2"/>
      <c r="D187" s="1"/>
      <c r="E187" s="3"/>
      <c r="F187" s="1"/>
      <c r="G187" s="141">
        <f>IF(Basic34567891011121314[[#This Row],[نوع الخدمة]]="مخالفات", 50,
IF(Basic34567891011121314[[#This Row],[نوع الخدمة]]="كاش ان",
    IF(F187&lt;=100, 18, IF(F187&lt;=250, 23, IF(F187&lt;=500, 35, IF(F187&lt;=1000, 40, F187*0.04)))),
IF(Basic34567891011121314[[#This Row],[نوع الخدمة]]="كاش اوت",
    IF(F187&lt;=100, 15, IF(F187&lt;=250, 20, IF(F187&lt;=500, 30, IF(F187&lt;=1000, 35, F187*0.035)))),
0)))</f>
        <v>0</v>
      </c>
      <c r="H187" s="163">
        <f>IF(I187="مخالفات",50,Basic34567891011121314[[#This Row],[قيمة الرسوم / العموله]]+Basic34567891011121314[[#This Row],[قيمة الشحنه]])</f>
        <v>0</v>
      </c>
      <c r="I187" s="90"/>
      <c r="J187" s="142" t="str">
        <f t="shared" si="2"/>
        <v>19.5.2026</v>
      </c>
      <c r="L187" s="153">
        <v>176</v>
      </c>
      <c r="M187" s="92"/>
    </row>
    <row r="188" spans="1:13" ht="21.6" x14ac:dyDescent="0.65">
      <c r="A188" s="195"/>
      <c r="B188" s="140">
        <v>185</v>
      </c>
      <c r="C188" s="2"/>
      <c r="D188" s="1"/>
      <c r="E188" s="3"/>
      <c r="F188" s="1"/>
      <c r="G188" s="141">
        <f>IF(Basic34567891011121314[[#This Row],[نوع الخدمة]]="مخالفات", 50,
IF(Basic34567891011121314[[#This Row],[نوع الخدمة]]="كاش ان",
    IF(F188&lt;=100, 18, IF(F188&lt;=250, 23, IF(F188&lt;=500, 35, IF(F188&lt;=1000, 40, F188*0.04)))),
IF(Basic34567891011121314[[#This Row],[نوع الخدمة]]="كاش اوت",
    IF(F188&lt;=100, 15, IF(F188&lt;=250, 20, IF(F188&lt;=500, 30, IF(F188&lt;=1000, 35, F188*0.035)))),
0)))</f>
        <v>0</v>
      </c>
      <c r="H188" s="163">
        <f>IF(I188="مخالفات",50,Basic34567891011121314[[#This Row],[قيمة الرسوم / العموله]]+Basic34567891011121314[[#This Row],[قيمة الشحنه]])</f>
        <v>0</v>
      </c>
      <c r="I188" s="90"/>
      <c r="J188" s="142" t="str">
        <f t="shared" si="2"/>
        <v>19.5.2026</v>
      </c>
      <c r="L188" s="153">
        <v>177</v>
      </c>
      <c r="M188" s="92"/>
    </row>
    <row r="189" spans="1:13" ht="21.6" x14ac:dyDescent="0.65">
      <c r="A189" s="195"/>
      <c r="B189" s="144">
        <v>186</v>
      </c>
      <c r="C189" s="2"/>
      <c r="D189" s="1"/>
      <c r="E189" s="3"/>
      <c r="F189" s="1"/>
      <c r="G189" s="141">
        <f>IF(Basic34567891011121314[[#This Row],[نوع الخدمة]]="مخالفات", 50,
IF(Basic34567891011121314[[#This Row],[نوع الخدمة]]="كاش ان",
    IF(F189&lt;=100, 18, IF(F189&lt;=250, 23, IF(F189&lt;=500, 35, IF(F189&lt;=1000, 40, F189*0.04)))),
IF(Basic34567891011121314[[#This Row],[نوع الخدمة]]="كاش اوت",
    IF(F189&lt;=100, 15, IF(F189&lt;=250, 20, IF(F189&lt;=500, 30, IF(F189&lt;=1000, 35, F189*0.035)))),
0)))</f>
        <v>0</v>
      </c>
      <c r="H189" s="163">
        <f>IF(I189="مخالفات",50,Basic34567891011121314[[#This Row],[قيمة الرسوم / العموله]]+Basic34567891011121314[[#This Row],[قيمة الشحنه]])</f>
        <v>0</v>
      </c>
      <c r="I189" s="90"/>
      <c r="J189" s="142" t="str">
        <f t="shared" si="2"/>
        <v>19.5.2026</v>
      </c>
      <c r="L189" s="153">
        <v>178</v>
      </c>
      <c r="M189" s="92"/>
    </row>
    <row r="190" spans="1:13" ht="21.6" x14ac:dyDescent="0.65">
      <c r="A190" s="195"/>
      <c r="B190" s="140">
        <v>187</v>
      </c>
      <c r="C190" s="2"/>
      <c r="D190" s="1"/>
      <c r="E190" s="3"/>
      <c r="F190" s="1"/>
      <c r="G190" s="141">
        <f>IF(Basic34567891011121314[[#This Row],[نوع الخدمة]]="مخالفات", 50,
IF(Basic34567891011121314[[#This Row],[نوع الخدمة]]="كاش ان",
    IF(F190&lt;=100, 18, IF(F190&lt;=250, 23, IF(F190&lt;=500, 35, IF(F190&lt;=1000, 40, F190*0.04)))),
IF(Basic34567891011121314[[#This Row],[نوع الخدمة]]="كاش اوت",
    IF(F190&lt;=100, 15, IF(F190&lt;=250, 20, IF(F190&lt;=500, 30, IF(F190&lt;=1000, 35, F190*0.035)))),
0)))</f>
        <v>0</v>
      </c>
      <c r="H190" s="163">
        <f>IF(I190="مخالفات",50,Basic34567891011121314[[#This Row],[قيمة الرسوم / العموله]]+Basic34567891011121314[[#This Row],[قيمة الشحنه]])</f>
        <v>0</v>
      </c>
      <c r="I190" s="90"/>
      <c r="J190" s="142" t="str">
        <f t="shared" si="2"/>
        <v>19.5.2026</v>
      </c>
      <c r="L190" s="153">
        <v>179</v>
      </c>
      <c r="M190" s="92"/>
    </row>
    <row r="191" spans="1:13" ht="21.6" x14ac:dyDescent="0.65">
      <c r="A191" s="195"/>
      <c r="B191" s="140">
        <v>188</v>
      </c>
      <c r="C191" s="2"/>
      <c r="D191" s="1"/>
      <c r="E191" s="3"/>
      <c r="F191" s="1"/>
      <c r="G191" s="141">
        <f>IF(Basic34567891011121314[[#This Row],[نوع الخدمة]]="مخالفات", 50,
IF(Basic34567891011121314[[#This Row],[نوع الخدمة]]="كاش ان",
    IF(F191&lt;=100, 18, IF(F191&lt;=250, 23, IF(F191&lt;=500, 35, IF(F191&lt;=1000, 40, F191*0.04)))),
IF(Basic34567891011121314[[#This Row],[نوع الخدمة]]="كاش اوت",
    IF(F191&lt;=100, 15, IF(F191&lt;=250, 20, IF(F191&lt;=500, 30, IF(F191&lt;=1000, 35, F191*0.035)))),
0)))</f>
        <v>0</v>
      </c>
      <c r="H191" s="163">
        <f>IF(I191="مخالفات",50,Basic34567891011121314[[#This Row],[قيمة الرسوم / العموله]]+Basic34567891011121314[[#This Row],[قيمة الشحنه]])</f>
        <v>0</v>
      </c>
      <c r="I191" s="90"/>
      <c r="J191" s="142" t="str">
        <f t="shared" si="2"/>
        <v>19.5.2026</v>
      </c>
      <c r="L191" s="153">
        <v>180</v>
      </c>
      <c r="M191" s="92"/>
    </row>
    <row r="192" spans="1:13" ht="21.6" x14ac:dyDescent="0.65">
      <c r="A192" s="195"/>
      <c r="B192" s="140">
        <v>189</v>
      </c>
      <c r="C192" s="2"/>
      <c r="D192" s="1"/>
      <c r="E192" s="3"/>
      <c r="F192" s="1"/>
      <c r="G192" s="141">
        <f>IF(Basic34567891011121314[[#This Row],[نوع الخدمة]]="مخالفات", 50,
IF(Basic34567891011121314[[#This Row],[نوع الخدمة]]="كاش ان",
    IF(F192&lt;=100, 18, IF(F192&lt;=250, 23, IF(F192&lt;=500, 35, IF(F192&lt;=1000, 40, F192*0.04)))),
IF(Basic34567891011121314[[#This Row],[نوع الخدمة]]="كاش اوت",
    IF(F192&lt;=100, 15, IF(F192&lt;=250, 20, IF(F192&lt;=500, 30, IF(F192&lt;=1000, 35, F192*0.035)))),
0)))</f>
        <v>0</v>
      </c>
      <c r="H192" s="163">
        <f>IF(I192="مخالفات",50,Basic34567891011121314[[#This Row],[قيمة الرسوم / العموله]]+Basic34567891011121314[[#This Row],[قيمة الشحنه]])</f>
        <v>0</v>
      </c>
      <c r="I192" s="90"/>
      <c r="J192" s="142" t="str">
        <f t="shared" si="2"/>
        <v>19.5.2026</v>
      </c>
      <c r="L192" s="153">
        <v>181</v>
      </c>
      <c r="M192" s="92"/>
    </row>
    <row r="193" spans="1:13" ht="21.6" x14ac:dyDescent="0.65">
      <c r="A193" s="195"/>
      <c r="B193" s="144">
        <v>190</v>
      </c>
      <c r="C193" s="2"/>
      <c r="D193" s="1"/>
      <c r="E193" s="3"/>
      <c r="F193" s="1"/>
      <c r="G193" s="141">
        <f>IF(Basic34567891011121314[[#This Row],[نوع الخدمة]]="مخالفات", 50,
IF(Basic34567891011121314[[#This Row],[نوع الخدمة]]="كاش ان",
    IF(F193&lt;=100, 18, IF(F193&lt;=250, 23, IF(F193&lt;=500, 35, IF(F193&lt;=1000, 40, F193*0.04)))),
IF(Basic34567891011121314[[#This Row],[نوع الخدمة]]="كاش اوت",
    IF(F193&lt;=100, 15, IF(F193&lt;=250, 20, IF(F193&lt;=500, 30, IF(F193&lt;=1000, 35, F193*0.035)))),
0)))</f>
        <v>0</v>
      </c>
      <c r="H193" s="163">
        <f>IF(I193="مخالفات",50,Basic34567891011121314[[#This Row],[قيمة الرسوم / العموله]]+Basic34567891011121314[[#This Row],[قيمة الشحنه]])</f>
        <v>0</v>
      </c>
      <c r="I193" s="90"/>
      <c r="J193" s="142" t="str">
        <f t="shared" si="2"/>
        <v>19.5.2026</v>
      </c>
      <c r="L193" s="153">
        <v>182</v>
      </c>
      <c r="M193" s="92"/>
    </row>
    <row r="194" spans="1:13" ht="21.6" x14ac:dyDescent="0.65">
      <c r="A194" s="195"/>
      <c r="B194" s="140">
        <v>191</v>
      </c>
      <c r="C194" s="2"/>
      <c r="D194" s="1"/>
      <c r="E194" s="3"/>
      <c r="F194" s="1"/>
      <c r="G194" s="141">
        <f>IF(Basic34567891011121314[[#This Row],[نوع الخدمة]]="مخالفات", 50,
IF(Basic34567891011121314[[#This Row],[نوع الخدمة]]="كاش ان",
    IF(F194&lt;=100, 18, IF(F194&lt;=250, 23, IF(F194&lt;=500, 35, IF(F194&lt;=1000, 40, F194*0.04)))),
IF(Basic34567891011121314[[#This Row],[نوع الخدمة]]="كاش اوت",
    IF(F194&lt;=100, 15, IF(F194&lt;=250, 20, IF(F194&lt;=500, 30, IF(F194&lt;=1000, 35, F194*0.035)))),
0)))</f>
        <v>0</v>
      </c>
      <c r="H194" s="163">
        <f>IF(I194="مخالفات",50,Basic34567891011121314[[#This Row],[قيمة الرسوم / العموله]]+Basic34567891011121314[[#This Row],[قيمة الشحنه]])</f>
        <v>0</v>
      </c>
      <c r="I194" s="90"/>
      <c r="J194" s="142" t="str">
        <f t="shared" si="2"/>
        <v>19.5.2026</v>
      </c>
      <c r="L194" s="153">
        <v>183</v>
      </c>
      <c r="M194" s="92"/>
    </row>
    <row r="195" spans="1:13" ht="21.6" x14ac:dyDescent="0.65">
      <c r="A195" s="195"/>
      <c r="B195" s="140">
        <v>192</v>
      </c>
      <c r="C195" s="2"/>
      <c r="D195" s="1"/>
      <c r="E195" s="3"/>
      <c r="F195" s="1"/>
      <c r="G195" s="141">
        <f>IF(Basic34567891011121314[[#This Row],[نوع الخدمة]]="مخالفات", 50,
IF(Basic34567891011121314[[#This Row],[نوع الخدمة]]="كاش ان",
    IF(F195&lt;=100, 18, IF(F195&lt;=250, 23, IF(F195&lt;=500, 35, IF(F195&lt;=1000, 40, F195*0.04)))),
IF(Basic34567891011121314[[#This Row],[نوع الخدمة]]="كاش اوت",
    IF(F195&lt;=100, 15, IF(F195&lt;=250, 20, IF(F195&lt;=500, 30, IF(F195&lt;=1000, 35, F195*0.035)))),
0)))</f>
        <v>0</v>
      </c>
      <c r="H195" s="163">
        <f>IF(I195="مخالفات",50,Basic34567891011121314[[#This Row],[قيمة الرسوم / العموله]]+Basic34567891011121314[[#This Row],[قيمة الشحنه]])</f>
        <v>0</v>
      </c>
      <c r="I195" s="90"/>
      <c r="J195" s="142" t="str">
        <f t="shared" si="2"/>
        <v>19.5.2026</v>
      </c>
      <c r="L195" s="153">
        <v>184</v>
      </c>
      <c r="M195" s="92"/>
    </row>
    <row r="196" spans="1:13" ht="21.6" x14ac:dyDescent="0.65">
      <c r="A196" s="195"/>
      <c r="B196" s="140">
        <v>193</v>
      </c>
      <c r="C196" s="2"/>
      <c r="D196" s="1"/>
      <c r="E196" s="3"/>
      <c r="F196" s="1"/>
      <c r="G196" s="141">
        <f>IF(Basic34567891011121314[[#This Row],[نوع الخدمة]]="مخالفات", 50,
IF(Basic34567891011121314[[#This Row],[نوع الخدمة]]="كاش ان",
    IF(F196&lt;=100, 18, IF(F196&lt;=250, 23, IF(F196&lt;=500, 35, IF(F196&lt;=1000, 40, F196*0.04)))),
IF(Basic34567891011121314[[#This Row],[نوع الخدمة]]="كاش اوت",
    IF(F196&lt;=100, 15, IF(F196&lt;=250, 20, IF(F196&lt;=500, 30, IF(F196&lt;=1000, 35, F196*0.035)))),
0)))</f>
        <v>0</v>
      </c>
      <c r="H196" s="163">
        <f>IF(I196="مخالفات",50,Basic34567891011121314[[#This Row],[قيمة الرسوم / العموله]]+Basic34567891011121314[[#This Row],[قيمة الشحنه]])</f>
        <v>0</v>
      </c>
      <c r="I196" s="90"/>
      <c r="J196" s="142" t="str">
        <f t="shared" ref="J196:J226" si="3">M$3</f>
        <v>19.5.2026</v>
      </c>
      <c r="L196" s="153">
        <v>185</v>
      </c>
      <c r="M196" s="92"/>
    </row>
    <row r="197" spans="1:13" ht="21.6" x14ac:dyDescent="0.65">
      <c r="A197" s="195"/>
      <c r="B197" s="144">
        <v>194</v>
      </c>
      <c r="C197" s="2"/>
      <c r="D197" s="1"/>
      <c r="E197" s="3"/>
      <c r="F197" s="1"/>
      <c r="G197" s="141">
        <f>IF(Basic34567891011121314[[#This Row],[نوع الخدمة]]="مخالفات", 50,
IF(Basic34567891011121314[[#This Row],[نوع الخدمة]]="كاش ان",
    IF(F197&lt;=100, 18, IF(F197&lt;=250, 23, IF(F197&lt;=500, 35, IF(F197&lt;=1000, 40, F197*0.04)))),
IF(Basic34567891011121314[[#This Row],[نوع الخدمة]]="كاش اوت",
    IF(F197&lt;=100, 15, IF(F197&lt;=250, 20, IF(F197&lt;=500, 30, IF(F197&lt;=1000, 35, F197*0.035)))),
0)))</f>
        <v>0</v>
      </c>
      <c r="H197" s="163">
        <f>IF(I197="مخالفات",50,Basic34567891011121314[[#This Row],[قيمة الرسوم / العموله]]+Basic34567891011121314[[#This Row],[قيمة الشحنه]])</f>
        <v>0</v>
      </c>
      <c r="I197" s="90"/>
      <c r="J197" s="142" t="str">
        <f t="shared" si="3"/>
        <v>19.5.2026</v>
      </c>
      <c r="L197" s="153">
        <v>186</v>
      </c>
      <c r="M197" s="92"/>
    </row>
    <row r="198" spans="1:13" ht="21.6" x14ac:dyDescent="0.65">
      <c r="A198" s="195"/>
      <c r="B198" s="140">
        <v>195</v>
      </c>
      <c r="C198" s="2"/>
      <c r="D198" s="1"/>
      <c r="E198" s="3"/>
      <c r="F198" s="1"/>
      <c r="G198" s="141">
        <f>IF(Basic34567891011121314[[#This Row],[نوع الخدمة]]="مخالفات", 50,
IF(Basic34567891011121314[[#This Row],[نوع الخدمة]]="كاش ان",
    IF(F198&lt;=100, 18, IF(F198&lt;=250, 23, IF(F198&lt;=500, 35, IF(F198&lt;=1000, 40, F198*0.04)))),
IF(Basic34567891011121314[[#This Row],[نوع الخدمة]]="كاش اوت",
    IF(F198&lt;=100, 15, IF(F198&lt;=250, 20, IF(F198&lt;=500, 30, IF(F198&lt;=1000, 35, F198*0.035)))),
0)))</f>
        <v>0</v>
      </c>
      <c r="H198" s="163">
        <f>IF(I198="مخالفات",50,Basic34567891011121314[[#This Row],[قيمة الرسوم / العموله]]+Basic34567891011121314[[#This Row],[قيمة الشحنه]])</f>
        <v>0</v>
      </c>
      <c r="I198" s="90"/>
      <c r="J198" s="142" t="str">
        <f t="shared" si="3"/>
        <v>19.5.2026</v>
      </c>
      <c r="L198" s="153">
        <v>187</v>
      </c>
      <c r="M198" s="92"/>
    </row>
    <row r="199" spans="1:13" ht="21.6" x14ac:dyDescent="0.65">
      <c r="A199" s="195"/>
      <c r="B199" s="140">
        <v>196</v>
      </c>
      <c r="C199" s="2"/>
      <c r="D199" s="1"/>
      <c r="E199" s="3"/>
      <c r="F199" s="1"/>
      <c r="G199" s="141">
        <f>IF(Basic34567891011121314[[#This Row],[نوع الخدمة]]="مخالفات", 50,
IF(Basic34567891011121314[[#This Row],[نوع الخدمة]]="كاش ان",
    IF(F199&lt;=100, 18, IF(F199&lt;=250, 23, IF(F199&lt;=500, 35, IF(F199&lt;=1000, 40, F199*0.04)))),
IF(Basic34567891011121314[[#This Row],[نوع الخدمة]]="كاش اوت",
    IF(F199&lt;=100, 15, IF(F199&lt;=250, 20, IF(F199&lt;=500, 30, IF(F199&lt;=1000, 35, F199*0.035)))),
0)))</f>
        <v>0</v>
      </c>
      <c r="H199" s="163">
        <f>IF(I199="مخالفات",50,Basic34567891011121314[[#This Row],[قيمة الرسوم / العموله]]+Basic34567891011121314[[#This Row],[قيمة الشحنه]])</f>
        <v>0</v>
      </c>
      <c r="I199" s="90"/>
      <c r="J199" s="142" t="str">
        <f t="shared" si="3"/>
        <v>19.5.2026</v>
      </c>
      <c r="L199" s="153">
        <v>188</v>
      </c>
      <c r="M199" s="92"/>
    </row>
    <row r="200" spans="1:13" ht="21.6" x14ac:dyDescent="0.65">
      <c r="A200" s="195"/>
      <c r="B200" s="140">
        <v>197</v>
      </c>
      <c r="C200" s="2"/>
      <c r="D200" s="1"/>
      <c r="E200" s="3"/>
      <c r="F200" s="1"/>
      <c r="G200" s="141">
        <f>IF(Basic34567891011121314[[#This Row],[نوع الخدمة]]="مخالفات", 50,
IF(Basic34567891011121314[[#This Row],[نوع الخدمة]]="كاش ان",
    IF(F200&lt;=100, 18, IF(F200&lt;=250, 23, IF(F200&lt;=500, 35, IF(F200&lt;=1000, 40, F200*0.04)))),
IF(Basic34567891011121314[[#This Row],[نوع الخدمة]]="كاش اوت",
    IF(F200&lt;=100, 15, IF(F200&lt;=250, 20, IF(F200&lt;=500, 30, IF(F200&lt;=1000, 35, F200*0.035)))),
0)))</f>
        <v>0</v>
      </c>
      <c r="H200" s="163">
        <f>IF(I200="مخالفات",50,Basic34567891011121314[[#This Row],[قيمة الرسوم / العموله]]+Basic34567891011121314[[#This Row],[قيمة الشحنه]])</f>
        <v>0</v>
      </c>
      <c r="I200" s="90"/>
      <c r="J200" s="142" t="str">
        <f t="shared" si="3"/>
        <v>19.5.2026</v>
      </c>
      <c r="L200" s="153">
        <v>189</v>
      </c>
      <c r="M200" s="92"/>
    </row>
    <row r="201" spans="1:13" ht="21.6" x14ac:dyDescent="0.65">
      <c r="A201" s="195"/>
      <c r="B201" s="144">
        <v>198</v>
      </c>
      <c r="C201" s="2"/>
      <c r="D201" s="1"/>
      <c r="E201" s="3"/>
      <c r="F201" s="1"/>
      <c r="G201" s="141">
        <f>IF(Basic34567891011121314[[#This Row],[نوع الخدمة]]="مخالفات", 50,
IF(Basic34567891011121314[[#This Row],[نوع الخدمة]]="كاش ان",
    IF(F201&lt;=100, 18, IF(F201&lt;=250, 23, IF(F201&lt;=500, 35, IF(F201&lt;=1000, 40, F201*0.04)))),
IF(Basic34567891011121314[[#This Row],[نوع الخدمة]]="كاش اوت",
    IF(F201&lt;=100, 15, IF(F201&lt;=250, 20, IF(F201&lt;=500, 30, IF(F201&lt;=1000, 35, F201*0.035)))),
0)))</f>
        <v>0</v>
      </c>
      <c r="H201" s="163">
        <f>IF(I201="مخالفات",50,Basic34567891011121314[[#This Row],[قيمة الرسوم / العموله]]+Basic34567891011121314[[#This Row],[قيمة الشحنه]])</f>
        <v>0</v>
      </c>
      <c r="I201" s="90"/>
      <c r="J201" s="142" t="str">
        <f t="shared" si="3"/>
        <v>19.5.2026</v>
      </c>
      <c r="L201" s="153">
        <v>190</v>
      </c>
      <c r="M201" s="92"/>
    </row>
    <row r="202" spans="1:13" ht="21.6" x14ac:dyDescent="0.65">
      <c r="A202" s="195"/>
      <c r="B202" s="140">
        <v>199</v>
      </c>
      <c r="C202" s="2"/>
      <c r="D202" s="1"/>
      <c r="E202" s="3"/>
      <c r="F202" s="1"/>
      <c r="G202" s="141">
        <f>IF(Basic34567891011121314[[#This Row],[نوع الخدمة]]="مخالفات", 50,
IF(Basic34567891011121314[[#This Row],[نوع الخدمة]]="كاش ان",
    IF(F202&lt;=100, 18, IF(F202&lt;=250, 23, IF(F202&lt;=500, 35, IF(F202&lt;=1000, 40, F202*0.04)))),
IF(Basic34567891011121314[[#This Row],[نوع الخدمة]]="كاش اوت",
    IF(F202&lt;=100, 15, IF(F202&lt;=250, 20, IF(F202&lt;=500, 30, IF(F202&lt;=1000, 35, F202*0.035)))),
0)))</f>
        <v>0</v>
      </c>
      <c r="H202" s="163">
        <f>IF(I202="مخالفات",50,Basic34567891011121314[[#This Row],[قيمة الرسوم / العموله]]+Basic34567891011121314[[#This Row],[قيمة الشحنه]])</f>
        <v>0</v>
      </c>
      <c r="I202" s="90"/>
      <c r="J202" s="142" t="str">
        <f t="shared" si="3"/>
        <v>19.5.2026</v>
      </c>
      <c r="L202" s="153">
        <v>191</v>
      </c>
      <c r="M202" s="92"/>
    </row>
    <row r="203" spans="1:13" ht="21.6" x14ac:dyDescent="0.65">
      <c r="A203" s="195"/>
      <c r="B203" s="140">
        <v>200</v>
      </c>
      <c r="C203" s="2"/>
      <c r="D203" s="1"/>
      <c r="E203" s="3"/>
      <c r="F203" s="1"/>
      <c r="G203" s="141">
        <f>IF(Basic34567891011121314[[#This Row],[نوع الخدمة]]="مخالفات", 50,
IF(Basic34567891011121314[[#This Row],[نوع الخدمة]]="كاش ان",
    IF(F203&lt;=100, 18, IF(F203&lt;=250, 23, IF(F203&lt;=500, 35, IF(F203&lt;=1000, 40, F203*0.04)))),
IF(Basic34567891011121314[[#This Row],[نوع الخدمة]]="كاش اوت",
    IF(F203&lt;=100, 15, IF(F203&lt;=250, 20, IF(F203&lt;=500, 30, IF(F203&lt;=1000, 35, F203*0.035)))),
0)))</f>
        <v>0</v>
      </c>
      <c r="H203" s="163">
        <f>IF(I203="مخالفات",50,Basic34567891011121314[[#This Row],[قيمة الرسوم / العموله]]+Basic34567891011121314[[#This Row],[قيمة الشحنه]])</f>
        <v>0</v>
      </c>
      <c r="I203" s="90"/>
      <c r="J203" s="142" t="str">
        <f t="shared" si="3"/>
        <v>19.5.2026</v>
      </c>
      <c r="L203" s="153">
        <v>192</v>
      </c>
      <c r="M203" s="92"/>
    </row>
    <row r="204" spans="1:13" ht="21.6" x14ac:dyDescent="0.65">
      <c r="A204" s="195"/>
      <c r="B204" s="140">
        <v>201</v>
      </c>
      <c r="C204" s="2"/>
      <c r="D204" s="1"/>
      <c r="E204" s="3"/>
      <c r="F204" s="1"/>
      <c r="G204" s="141">
        <f>IF(Basic34567891011121314[[#This Row],[نوع الخدمة]]="مخالفات", 50,
IF(Basic34567891011121314[[#This Row],[نوع الخدمة]]="كاش ان",
    IF(F204&lt;=100, 18, IF(F204&lt;=250, 23, IF(F204&lt;=500, 35, IF(F204&lt;=1000, 40, F204*0.04)))),
IF(Basic34567891011121314[[#This Row],[نوع الخدمة]]="كاش اوت",
    IF(F204&lt;=100, 15, IF(F204&lt;=250, 20, IF(F204&lt;=500, 30, IF(F204&lt;=1000, 35, F204*0.035)))),
0)))</f>
        <v>0</v>
      </c>
      <c r="H204" s="163">
        <f>IF(I204="مخالفات",50,Basic34567891011121314[[#This Row],[قيمة الرسوم / العموله]]+Basic34567891011121314[[#This Row],[قيمة الشحنه]])</f>
        <v>0</v>
      </c>
      <c r="I204" s="90"/>
      <c r="J204" s="142" t="str">
        <f t="shared" si="3"/>
        <v>19.5.2026</v>
      </c>
      <c r="L204" s="153">
        <v>193</v>
      </c>
      <c r="M204" s="92"/>
    </row>
    <row r="205" spans="1:13" ht="21.6" x14ac:dyDescent="0.65">
      <c r="A205" s="195"/>
      <c r="B205" s="144">
        <v>202</v>
      </c>
      <c r="C205" s="2"/>
      <c r="D205" s="1"/>
      <c r="E205" s="3"/>
      <c r="F205" s="1"/>
      <c r="G205" s="141">
        <f>IF(Basic34567891011121314[[#This Row],[نوع الخدمة]]="مخالفات", 50,
IF(Basic34567891011121314[[#This Row],[نوع الخدمة]]="كاش ان",
    IF(F205&lt;=100, 18, IF(F205&lt;=250, 23, IF(F205&lt;=500, 35, IF(F205&lt;=1000, 40, F205*0.04)))),
IF(Basic34567891011121314[[#This Row],[نوع الخدمة]]="كاش اوت",
    IF(F205&lt;=100, 15, IF(F205&lt;=250, 20, IF(F205&lt;=500, 30, IF(F205&lt;=1000, 35, F205*0.035)))),
0)))</f>
        <v>0</v>
      </c>
      <c r="H205" s="163">
        <f>IF(I205="مخالفات",50,Basic34567891011121314[[#This Row],[قيمة الرسوم / العموله]]+Basic34567891011121314[[#This Row],[قيمة الشحنه]])</f>
        <v>0</v>
      </c>
      <c r="I205" s="90"/>
      <c r="J205" s="142" t="str">
        <f t="shared" si="3"/>
        <v>19.5.2026</v>
      </c>
      <c r="L205" s="153">
        <v>194</v>
      </c>
      <c r="M205" s="92"/>
    </row>
    <row r="206" spans="1:13" ht="21.6" x14ac:dyDescent="0.65">
      <c r="A206" s="195"/>
      <c r="B206" s="140">
        <v>203</v>
      </c>
      <c r="C206" s="2"/>
      <c r="D206" s="1"/>
      <c r="E206" s="3"/>
      <c r="F206" s="1"/>
      <c r="G206" s="141">
        <f>IF(Basic34567891011121314[[#This Row],[نوع الخدمة]]="مخالفات", 50,
IF(Basic34567891011121314[[#This Row],[نوع الخدمة]]="كاش ان",
    IF(F206&lt;=100, 18, IF(F206&lt;=250, 23, IF(F206&lt;=500, 35, IF(F206&lt;=1000, 40, F206*0.04)))),
IF(Basic34567891011121314[[#This Row],[نوع الخدمة]]="كاش اوت",
    IF(F206&lt;=100, 15, IF(F206&lt;=250, 20, IF(F206&lt;=500, 30, IF(F206&lt;=1000, 35, F206*0.035)))),
0)))</f>
        <v>0</v>
      </c>
      <c r="H206" s="163">
        <f>IF(I206="مخالفات",50,Basic34567891011121314[[#This Row],[قيمة الرسوم / العموله]]+Basic34567891011121314[[#This Row],[قيمة الشحنه]])</f>
        <v>0</v>
      </c>
      <c r="I206" s="90"/>
      <c r="J206" s="142" t="str">
        <f t="shared" si="3"/>
        <v>19.5.2026</v>
      </c>
      <c r="L206" s="153">
        <v>195</v>
      </c>
      <c r="M206" s="92"/>
    </row>
    <row r="207" spans="1:13" ht="21.6" x14ac:dyDescent="0.65">
      <c r="A207" s="195"/>
      <c r="B207" s="140">
        <v>204</v>
      </c>
      <c r="C207" s="2"/>
      <c r="D207" s="1"/>
      <c r="E207" s="3"/>
      <c r="F207" s="1"/>
      <c r="G207" s="141">
        <f>IF(Basic34567891011121314[[#This Row],[نوع الخدمة]]="مخالفات", 50,
IF(Basic34567891011121314[[#This Row],[نوع الخدمة]]="كاش ان",
    IF(F207&lt;=100, 18, IF(F207&lt;=250, 23, IF(F207&lt;=500, 35, IF(F207&lt;=1000, 40, F207*0.04)))),
IF(Basic34567891011121314[[#This Row],[نوع الخدمة]]="كاش اوت",
    IF(F207&lt;=100, 15, IF(F207&lt;=250, 20, IF(F207&lt;=500, 30, IF(F207&lt;=1000, 35, F207*0.035)))),
0)))</f>
        <v>0</v>
      </c>
      <c r="H207" s="163">
        <f>IF(I207="مخالفات",50,Basic34567891011121314[[#This Row],[قيمة الرسوم / العموله]]+Basic34567891011121314[[#This Row],[قيمة الشحنه]])</f>
        <v>0</v>
      </c>
      <c r="I207" s="90"/>
      <c r="J207" s="142" t="str">
        <f t="shared" si="3"/>
        <v>19.5.2026</v>
      </c>
      <c r="L207" s="153">
        <v>196</v>
      </c>
      <c r="M207" s="92"/>
    </row>
    <row r="208" spans="1:13" ht="21.6" x14ac:dyDescent="0.65">
      <c r="A208" s="195"/>
      <c r="B208" s="140">
        <v>205</v>
      </c>
      <c r="C208" s="2"/>
      <c r="D208" s="1"/>
      <c r="E208" s="3"/>
      <c r="F208" s="1"/>
      <c r="G208" s="141">
        <f>IF(Basic34567891011121314[[#This Row],[نوع الخدمة]]="مخالفات", 50,
IF(Basic34567891011121314[[#This Row],[نوع الخدمة]]="كاش ان",
    IF(F208&lt;=100, 18, IF(F208&lt;=250, 23, IF(F208&lt;=500, 35, IF(F208&lt;=1000, 40, F208*0.04)))),
IF(Basic34567891011121314[[#This Row],[نوع الخدمة]]="كاش اوت",
    IF(F208&lt;=100, 15, IF(F208&lt;=250, 20, IF(F208&lt;=500, 30, IF(F208&lt;=1000, 35, F208*0.035)))),
0)))</f>
        <v>0</v>
      </c>
      <c r="H208" s="163">
        <f>IF(I208="مخالفات",50,Basic34567891011121314[[#This Row],[قيمة الرسوم / العموله]]+Basic34567891011121314[[#This Row],[قيمة الشحنه]])</f>
        <v>0</v>
      </c>
      <c r="I208" s="90"/>
      <c r="J208" s="142" t="str">
        <f t="shared" si="3"/>
        <v>19.5.2026</v>
      </c>
      <c r="L208" s="153">
        <v>197</v>
      </c>
      <c r="M208" s="92"/>
    </row>
    <row r="209" spans="1:13" ht="21.6" x14ac:dyDescent="0.65">
      <c r="A209" s="195"/>
      <c r="B209" s="144">
        <v>206</v>
      </c>
      <c r="C209" s="2"/>
      <c r="D209" s="1"/>
      <c r="E209" s="3"/>
      <c r="F209" s="1"/>
      <c r="G209" s="141">
        <f>IF(Basic34567891011121314[[#This Row],[نوع الخدمة]]="مخالفات", 50,
IF(Basic34567891011121314[[#This Row],[نوع الخدمة]]="كاش ان",
    IF(F209&lt;=100, 18, IF(F209&lt;=250, 23, IF(F209&lt;=500, 35, IF(F209&lt;=1000, 40, F209*0.04)))),
IF(Basic34567891011121314[[#This Row],[نوع الخدمة]]="كاش اوت",
    IF(F209&lt;=100, 15, IF(F209&lt;=250, 20, IF(F209&lt;=500, 30, IF(F209&lt;=1000, 35, F209*0.035)))),
0)))</f>
        <v>0</v>
      </c>
      <c r="H209" s="163">
        <f>IF(I209="مخالفات",50,Basic34567891011121314[[#This Row],[قيمة الرسوم / العموله]]+Basic34567891011121314[[#This Row],[قيمة الشحنه]])</f>
        <v>0</v>
      </c>
      <c r="I209" s="90"/>
      <c r="J209" s="142" t="str">
        <f t="shared" si="3"/>
        <v>19.5.2026</v>
      </c>
      <c r="L209" s="153">
        <v>198</v>
      </c>
      <c r="M209" s="92"/>
    </row>
    <row r="210" spans="1:13" ht="21.6" x14ac:dyDescent="0.65">
      <c r="A210" s="195"/>
      <c r="B210" s="140">
        <v>207</v>
      </c>
      <c r="C210" s="2"/>
      <c r="D210" s="1"/>
      <c r="E210" s="3"/>
      <c r="F210" s="1"/>
      <c r="G210" s="141">
        <f>IF(Basic34567891011121314[[#This Row],[نوع الخدمة]]="مخالفات", 50,
IF(Basic34567891011121314[[#This Row],[نوع الخدمة]]="كاش ان",
    IF(F210&lt;=100, 18, IF(F210&lt;=250, 23, IF(F210&lt;=500, 35, IF(F210&lt;=1000, 40, F210*0.04)))),
IF(Basic34567891011121314[[#This Row],[نوع الخدمة]]="كاش اوت",
    IF(F210&lt;=100, 15, IF(F210&lt;=250, 20, IF(F210&lt;=500, 30, IF(F210&lt;=1000, 35, F210*0.035)))),
0)))</f>
        <v>0</v>
      </c>
      <c r="H210" s="163">
        <f>IF(I210="مخالفات",50,Basic34567891011121314[[#This Row],[قيمة الرسوم / العموله]]+Basic34567891011121314[[#This Row],[قيمة الشحنه]])</f>
        <v>0</v>
      </c>
      <c r="I210" s="90"/>
      <c r="J210" s="142" t="str">
        <f t="shared" si="3"/>
        <v>19.5.2026</v>
      </c>
      <c r="L210" s="153">
        <v>199</v>
      </c>
      <c r="M210" s="92"/>
    </row>
    <row r="211" spans="1:13" ht="21.6" x14ac:dyDescent="0.65">
      <c r="A211" s="195"/>
      <c r="B211" s="140">
        <v>208</v>
      </c>
      <c r="C211" s="2"/>
      <c r="D211" s="1"/>
      <c r="E211" s="3"/>
      <c r="F211" s="1"/>
      <c r="G211" s="141">
        <f>IF(Basic34567891011121314[[#This Row],[نوع الخدمة]]="مخالفات", 50,
IF(Basic34567891011121314[[#This Row],[نوع الخدمة]]="كاش ان",
    IF(F211&lt;=100, 18, IF(F211&lt;=250, 23, IF(F211&lt;=500, 35, IF(F211&lt;=1000, 40, F211*0.04)))),
IF(Basic34567891011121314[[#This Row],[نوع الخدمة]]="كاش اوت",
    IF(F211&lt;=100, 15, IF(F211&lt;=250, 20, IF(F211&lt;=500, 30, IF(F211&lt;=1000, 35, F211*0.035)))),
0)))</f>
        <v>0</v>
      </c>
      <c r="H211" s="163">
        <f>IF(I211="مخالفات",50,Basic34567891011121314[[#This Row],[قيمة الرسوم / العموله]]+Basic34567891011121314[[#This Row],[قيمة الشحنه]])</f>
        <v>0</v>
      </c>
      <c r="I211" s="90"/>
      <c r="J211" s="142" t="str">
        <f t="shared" si="3"/>
        <v>19.5.2026</v>
      </c>
      <c r="L211" s="153">
        <v>200</v>
      </c>
      <c r="M211" s="92"/>
    </row>
    <row r="212" spans="1:13" ht="21.6" x14ac:dyDescent="0.65">
      <c r="A212" s="195"/>
      <c r="B212" s="140">
        <v>209</v>
      </c>
      <c r="C212" s="2"/>
      <c r="D212" s="1"/>
      <c r="E212" s="3"/>
      <c r="F212" s="1"/>
      <c r="G212" s="141">
        <f>IF(Basic34567891011121314[[#This Row],[نوع الخدمة]]="مخالفات", 50,
IF(Basic34567891011121314[[#This Row],[نوع الخدمة]]="كاش ان",
    IF(F212&lt;=100, 18, IF(F212&lt;=250, 23, IF(F212&lt;=500, 35, IF(F212&lt;=1000, 40, F212*0.04)))),
IF(Basic34567891011121314[[#This Row],[نوع الخدمة]]="كاش اوت",
    IF(F212&lt;=100, 15, IF(F212&lt;=250, 20, IF(F212&lt;=500, 30, IF(F212&lt;=1000, 35, F212*0.035)))),
0)))</f>
        <v>0</v>
      </c>
      <c r="H212" s="163">
        <f>IF(I212="مخالفات",50,Basic34567891011121314[[#This Row],[قيمة الرسوم / العموله]]+Basic34567891011121314[[#This Row],[قيمة الشحنه]])</f>
        <v>0</v>
      </c>
      <c r="I212" s="90"/>
      <c r="J212" s="142" t="str">
        <f t="shared" si="3"/>
        <v>19.5.2026</v>
      </c>
      <c r="L212" s="153">
        <v>201</v>
      </c>
      <c r="M212" s="92"/>
    </row>
    <row r="213" spans="1:13" ht="21.6" x14ac:dyDescent="0.65">
      <c r="A213" s="195"/>
      <c r="B213" s="144">
        <v>210</v>
      </c>
      <c r="C213" s="2"/>
      <c r="D213" s="1"/>
      <c r="E213" s="3"/>
      <c r="F213" s="1"/>
      <c r="G213" s="141">
        <f>IF(Basic34567891011121314[[#This Row],[نوع الخدمة]]="مخالفات", 50,
IF(Basic34567891011121314[[#This Row],[نوع الخدمة]]="كاش ان",
    IF(F213&lt;=100, 18, IF(F213&lt;=250, 23, IF(F213&lt;=500, 35, IF(F213&lt;=1000, 40, F213*0.04)))),
IF(Basic34567891011121314[[#This Row],[نوع الخدمة]]="كاش اوت",
    IF(F213&lt;=100, 15, IF(F213&lt;=250, 20, IF(F213&lt;=500, 30, IF(F213&lt;=1000, 35, F213*0.035)))),
0)))</f>
        <v>0</v>
      </c>
      <c r="H213" s="163">
        <f>IF(I213="مخالفات",50,Basic34567891011121314[[#This Row],[قيمة الرسوم / العموله]]+Basic34567891011121314[[#This Row],[قيمة الشحنه]])</f>
        <v>0</v>
      </c>
      <c r="I213" s="90"/>
      <c r="J213" s="142" t="str">
        <f t="shared" si="3"/>
        <v>19.5.2026</v>
      </c>
      <c r="L213" s="153">
        <v>202</v>
      </c>
      <c r="M213" s="92"/>
    </row>
    <row r="214" spans="1:13" ht="21.6" x14ac:dyDescent="0.65">
      <c r="A214" s="195"/>
      <c r="B214" s="140">
        <v>211</v>
      </c>
      <c r="C214" s="2"/>
      <c r="D214" s="1"/>
      <c r="E214" s="3"/>
      <c r="F214" s="1"/>
      <c r="G214" s="141">
        <f>IF(Basic34567891011121314[[#This Row],[نوع الخدمة]]="مخالفات", 50,
IF(Basic34567891011121314[[#This Row],[نوع الخدمة]]="كاش ان",
    IF(F214&lt;=100, 18, IF(F214&lt;=250, 23, IF(F214&lt;=500, 35, IF(F214&lt;=1000, 40, F214*0.04)))),
IF(Basic34567891011121314[[#This Row],[نوع الخدمة]]="كاش اوت",
    IF(F214&lt;=100, 15, IF(F214&lt;=250, 20, IF(F214&lt;=500, 30, IF(F214&lt;=1000, 35, F214*0.035)))),
0)))</f>
        <v>0</v>
      </c>
      <c r="H214" s="163">
        <f>IF(I214="مخالفات",50,Basic34567891011121314[[#This Row],[قيمة الرسوم / العموله]]+Basic34567891011121314[[#This Row],[قيمة الشحنه]])</f>
        <v>0</v>
      </c>
      <c r="I214" s="90"/>
      <c r="J214" s="142" t="str">
        <f t="shared" si="3"/>
        <v>19.5.2026</v>
      </c>
      <c r="L214" s="153">
        <v>203</v>
      </c>
      <c r="M214" s="92"/>
    </row>
    <row r="215" spans="1:13" ht="21.6" x14ac:dyDescent="0.65">
      <c r="A215" s="195"/>
      <c r="B215" s="140">
        <v>212</v>
      </c>
      <c r="C215" s="2"/>
      <c r="D215" s="1"/>
      <c r="E215" s="3"/>
      <c r="F215" s="1"/>
      <c r="G215" s="141">
        <f>IF(Basic34567891011121314[[#This Row],[نوع الخدمة]]="مخالفات", 50,
IF(Basic34567891011121314[[#This Row],[نوع الخدمة]]="كاش ان",
    IF(F215&lt;=100, 18, IF(F215&lt;=250, 23, IF(F215&lt;=500, 35, IF(F215&lt;=1000, 40, F215*0.04)))),
IF(Basic34567891011121314[[#This Row],[نوع الخدمة]]="كاش اوت",
    IF(F215&lt;=100, 15, IF(F215&lt;=250, 20, IF(F215&lt;=500, 30, IF(F215&lt;=1000, 35, F215*0.035)))),
0)))</f>
        <v>0</v>
      </c>
      <c r="H215" s="163">
        <f>IF(I215="مخالفات",50,Basic34567891011121314[[#This Row],[قيمة الرسوم / العموله]]+Basic34567891011121314[[#This Row],[قيمة الشحنه]])</f>
        <v>0</v>
      </c>
      <c r="I215" s="90"/>
      <c r="J215" s="142" t="str">
        <f t="shared" si="3"/>
        <v>19.5.2026</v>
      </c>
      <c r="L215" s="153">
        <v>204</v>
      </c>
      <c r="M215" s="92"/>
    </row>
    <row r="216" spans="1:13" ht="21.6" x14ac:dyDescent="0.65">
      <c r="A216" s="195"/>
      <c r="B216" s="140">
        <v>213</v>
      </c>
      <c r="C216" s="2"/>
      <c r="D216" s="1"/>
      <c r="E216" s="3"/>
      <c r="F216" s="1"/>
      <c r="G216" s="141">
        <f>IF(Basic34567891011121314[[#This Row],[نوع الخدمة]]="مخالفات", 50,
IF(Basic34567891011121314[[#This Row],[نوع الخدمة]]="كاش ان",
    IF(F216&lt;=100, 18, IF(F216&lt;=250, 23, IF(F216&lt;=500, 35, IF(F216&lt;=1000, 40, F216*0.04)))),
IF(Basic34567891011121314[[#This Row],[نوع الخدمة]]="كاش اوت",
    IF(F216&lt;=100, 15, IF(F216&lt;=250, 20, IF(F216&lt;=500, 30, IF(F216&lt;=1000, 35, F216*0.035)))),
0)))</f>
        <v>0</v>
      </c>
      <c r="H216" s="163">
        <f>IF(I216="مخالفات",50,Basic34567891011121314[[#This Row],[قيمة الرسوم / العموله]]+Basic34567891011121314[[#This Row],[قيمة الشحنه]])</f>
        <v>0</v>
      </c>
      <c r="I216" s="90"/>
      <c r="J216" s="142" t="str">
        <f t="shared" si="3"/>
        <v>19.5.2026</v>
      </c>
      <c r="L216" s="153">
        <v>205</v>
      </c>
      <c r="M216" s="92"/>
    </row>
    <row r="217" spans="1:13" ht="21.6" x14ac:dyDescent="0.65">
      <c r="A217" s="195"/>
      <c r="B217" s="144">
        <v>214</v>
      </c>
      <c r="C217" s="2"/>
      <c r="D217" s="1"/>
      <c r="E217" s="3"/>
      <c r="F217" s="1"/>
      <c r="G217" s="141">
        <f>IF(Basic34567891011121314[[#This Row],[نوع الخدمة]]="مخالفات", 50,
IF(Basic34567891011121314[[#This Row],[نوع الخدمة]]="كاش ان",
    IF(F217&lt;=100, 18, IF(F217&lt;=250, 23, IF(F217&lt;=500, 35, IF(F217&lt;=1000, 40, F217*0.04)))),
IF(Basic34567891011121314[[#This Row],[نوع الخدمة]]="كاش اوت",
    IF(F217&lt;=100, 15, IF(F217&lt;=250, 20, IF(F217&lt;=500, 30, IF(F217&lt;=1000, 35, F217*0.035)))),
0)))</f>
        <v>0</v>
      </c>
      <c r="H217" s="163">
        <f>IF(I217="مخالفات",50,Basic34567891011121314[[#This Row],[قيمة الرسوم / العموله]]+Basic34567891011121314[[#This Row],[قيمة الشحنه]])</f>
        <v>0</v>
      </c>
      <c r="I217" s="90"/>
      <c r="J217" s="142" t="str">
        <f t="shared" si="3"/>
        <v>19.5.2026</v>
      </c>
      <c r="L217" s="153">
        <v>206</v>
      </c>
      <c r="M217" s="92"/>
    </row>
    <row r="218" spans="1:13" ht="21.6" x14ac:dyDescent="0.65">
      <c r="A218" s="195"/>
      <c r="B218" s="140">
        <v>215</v>
      </c>
      <c r="C218" s="2"/>
      <c r="D218" s="1"/>
      <c r="E218" s="3"/>
      <c r="F218" s="1"/>
      <c r="G218" s="141">
        <f>IF(Basic34567891011121314[[#This Row],[نوع الخدمة]]="مخالفات", 50,
IF(Basic34567891011121314[[#This Row],[نوع الخدمة]]="كاش ان",
    IF(F218&lt;=100, 18, IF(F218&lt;=250, 23, IF(F218&lt;=500, 35, IF(F218&lt;=1000, 40, F218*0.04)))),
IF(Basic34567891011121314[[#This Row],[نوع الخدمة]]="كاش اوت",
    IF(F218&lt;=100, 15, IF(F218&lt;=250, 20, IF(F218&lt;=500, 30, IF(F218&lt;=1000, 35, F218*0.035)))),
0)))</f>
        <v>0</v>
      </c>
      <c r="H218" s="163">
        <f>IF(I218="مخالفات",50,Basic34567891011121314[[#This Row],[قيمة الرسوم / العموله]]+Basic34567891011121314[[#This Row],[قيمة الشحنه]])</f>
        <v>0</v>
      </c>
      <c r="I218" s="90"/>
      <c r="J218" s="142" t="str">
        <f t="shared" si="3"/>
        <v>19.5.2026</v>
      </c>
      <c r="L218" s="153">
        <v>207</v>
      </c>
      <c r="M218" s="92"/>
    </row>
    <row r="219" spans="1:13" ht="21.6" x14ac:dyDescent="0.65">
      <c r="A219" s="195"/>
      <c r="B219" s="140">
        <v>216</v>
      </c>
      <c r="C219" s="2"/>
      <c r="D219" s="1"/>
      <c r="E219" s="3"/>
      <c r="F219" s="1"/>
      <c r="G219" s="141">
        <f>IF(Basic34567891011121314[[#This Row],[نوع الخدمة]]="مخالفات", 50,
IF(Basic34567891011121314[[#This Row],[نوع الخدمة]]="كاش ان",
    IF(F219&lt;=100, 18, IF(F219&lt;=250, 23, IF(F219&lt;=500, 35, IF(F219&lt;=1000, 40, F219*0.04)))),
IF(Basic34567891011121314[[#This Row],[نوع الخدمة]]="كاش اوت",
    IF(F219&lt;=100, 15, IF(F219&lt;=250, 20, IF(F219&lt;=500, 30, IF(F219&lt;=1000, 35, F219*0.035)))),
0)))</f>
        <v>0</v>
      </c>
      <c r="H219" s="163">
        <f>IF(I219="مخالفات",50,Basic34567891011121314[[#This Row],[قيمة الرسوم / العموله]]+Basic34567891011121314[[#This Row],[قيمة الشحنه]])</f>
        <v>0</v>
      </c>
      <c r="I219" s="90"/>
      <c r="J219" s="142" t="str">
        <f t="shared" si="3"/>
        <v>19.5.2026</v>
      </c>
      <c r="L219" s="153">
        <v>208</v>
      </c>
      <c r="M219" s="92"/>
    </row>
    <row r="220" spans="1:13" ht="21.6" x14ac:dyDescent="0.65">
      <c r="A220" s="195"/>
      <c r="B220" s="140">
        <v>217</v>
      </c>
      <c r="C220" s="2"/>
      <c r="D220" s="1"/>
      <c r="E220" s="3"/>
      <c r="F220" s="1"/>
      <c r="G220" s="141">
        <f>IF(Basic34567891011121314[[#This Row],[نوع الخدمة]]="مخالفات", 50,
IF(Basic34567891011121314[[#This Row],[نوع الخدمة]]="كاش ان",
    IF(F220&lt;=100, 18, IF(F220&lt;=250, 23, IF(F220&lt;=500, 35, IF(F220&lt;=1000, 40, F220*0.04)))),
IF(Basic34567891011121314[[#This Row],[نوع الخدمة]]="كاش اوت",
    IF(F220&lt;=100, 15, IF(F220&lt;=250, 20, IF(F220&lt;=500, 30, IF(F220&lt;=1000, 35, F220*0.035)))),
0)))</f>
        <v>0</v>
      </c>
      <c r="H220" s="163">
        <f>IF(I220="مخالفات",50,Basic34567891011121314[[#This Row],[قيمة الرسوم / العموله]]+Basic34567891011121314[[#This Row],[قيمة الشحنه]])</f>
        <v>0</v>
      </c>
      <c r="I220" s="90"/>
      <c r="J220" s="142" t="str">
        <f t="shared" si="3"/>
        <v>19.5.2026</v>
      </c>
      <c r="L220" s="153">
        <v>209</v>
      </c>
      <c r="M220" s="92"/>
    </row>
    <row r="221" spans="1:13" ht="21.6" x14ac:dyDescent="0.65">
      <c r="A221" s="195"/>
      <c r="B221" s="144">
        <v>218</v>
      </c>
      <c r="C221" s="2"/>
      <c r="D221" s="1"/>
      <c r="E221" s="3"/>
      <c r="F221" s="1"/>
      <c r="G221" s="141">
        <f>IF(Basic34567891011121314[[#This Row],[نوع الخدمة]]="مخالفات", 50,
IF(Basic34567891011121314[[#This Row],[نوع الخدمة]]="كاش ان",
    IF(F221&lt;=100, 18, IF(F221&lt;=250, 23, IF(F221&lt;=500, 35, IF(F221&lt;=1000, 40, F221*0.04)))),
IF(Basic34567891011121314[[#This Row],[نوع الخدمة]]="كاش اوت",
    IF(F221&lt;=100, 15, IF(F221&lt;=250, 20, IF(F221&lt;=500, 30, IF(F221&lt;=1000, 35, F221*0.035)))),
0)))</f>
        <v>0</v>
      </c>
      <c r="H221" s="163">
        <f>IF(I221="مخالفات",50,Basic34567891011121314[[#This Row],[قيمة الرسوم / العموله]]+Basic34567891011121314[[#This Row],[قيمة الشحنه]])</f>
        <v>0</v>
      </c>
      <c r="I221" s="90"/>
      <c r="J221" s="142" t="str">
        <f t="shared" si="3"/>
        <v>19.5.2026</v>
      </c>
      <c r="L221" s="153">
        <v>210</v>
      </c>
      <c r="M221" s="92"/>
    </row>
    <row r="222" spans="1:13" ht="21.6" x14ac:dyDescent="0.65">
      <c r="A222" s="195"/>
      <c r="B222" s="140">
        <v>219</v>
      </c>
      <c r="C222" s="2"/>
      <c r="D222" s="1"/>
      <c r="E222" s="3"/>
      <c r="F222" s="1"/>
      <c r="G222" s="141">
        <f>IF(Basic34567891011121314[[#This Row],[نوع الخدمة]]="مخالفات", 50,
IF(Basic34567891011121314[[#This Row],[نوع الخدمة]]="كاش ان",
    IF(F222&lt;=100, 18, IF(F222&lt;=250, 23, IF(F222&lt;=500, 35, IF(F222&lt;=1000, 40, F222*0.04)))),
IF(Basic34567891011121314[[#This Row],[نوع الخدمة]]="كاش اوت",
    IF(F222&lt;=100, 15, IF(F222&lt;=250, 20, IF(F222&lt;=500, 30, IF(F222&lt;=1000, 35, F222*0.035)))),
0)))</f>
        <v>0</v>
      </c>
      <c r="H222" s="163">
        <f>IF(I222="مخالفات",50,Basic34567891011121314[[#This Row],[قيمة الرسوم / العموله]]+Basic34567891011121314[[#This Row],[قيمة الشحنه]])</f>
        <v>0</v>
      </c>
      <c r="I222" s="90"/>
      <c r="J222" s="142" t="str">
        <f t="shared" si="3"/>
        <v>19.5.2026</v>
      </c>
      <c r="L222" s="153">
        <v>211</v>
      </c>
      <c r="M222" s="92"/>
    </row>
    <row r="223" spans="1:13" ht="21.6" x14ac:dyDescent="0.65">
      <c r="A223" s="195"/>
      <c r="B223" s="140">
        <v>220</v>
      </c>
      <c r="C223" s="2"/>
      <c r="D223" s="1"/>
      <c r="E223" s="3"/>
      <c r="F223" s="1"/>
      <c r="G223" s="141">
        <f>IF(Basic34567891011121314[[#This Row],[نوع الخدمة]]="مخالفات", 50,
IF(Basic34567891011121314[[#This Row],[نوع الخدمة]]="كاش ان",
    IF(F223&lt;=100, 18, IF(F223&lt;=250, 23, IF(F223&lt;=500, 35, IF(F223&lt;=1000, 40, F223*0.04)))),
IF(Basic34567891011121314[[#This Row],[نوع الخدمة]]="كاش اوت",
    IF(F223&lt;=100, 15, IF(F223&lt;=250, 20, IF(F223&lt;=500, 30, IF(F223&lt;=1000, 35, F223*0.035)))),
0)))</f>
        <v>0</v>
      </c>
      <c r="H223" s="163">
        <f>IF(I223="مخالفات",50,Basic34567891011121314[[#This Row],[قيمة الرسوم / العموله]]+Basic34567891011121314[[#This Row],[قيمة الشحنه]])</f>
        <v>0</v>
      </c>
      <c r="I223" s="90"/>
      <c r="J223" s="142" t="str">
        <f t="shared" si="3"/>
        <v>19.5.2026</v>
      </c>
      <c r="L223" s="153">
        <v>212</v>
      </c>
      <c r="M223" s="92"/>
    </row>
    <row r="224" spans="1:13" ht="21.6" x14ac:dyDescent="0.65">
      <c r="A224" s="195"/>
      <c r="B224" s="140">
        <v>221</v>
      </c>
      <c r="C224" s="2"/>
      <c r="D224" s="1"/>
      <c r="E224" s="3"/>
      <c r="F224" s="1"/>
      <c r="G224" s="141">
        <f>IF(Basic34567891011121314[[#This Row],[نوع الخدمة]]="مخالفات", 50,
IF(Basic34567891011121314[[#This Row],[نوع الخدمة]]="كاش ان",
    IF(F224&lt;=100, 18, IF(F224&lt;=250, 23, IF(F224&lt;=500, 35, IF(F224&lt;=1000, 40, F224*0.04)))),
IF(Basic34567891011121314[[#This Row],[نوع الخدمة]]="كاش اوت",
    IF(F224&lt;=100, 15, IF(F224&lt;=250, 20, IF(F224&lt;=500, 30, IF(F224&lt;=1000, 35, F224*0.035)))),
0)))</f>
        <v>0</v>
      </c>
      <c r="H224" s="163">
        <f>IF(I224="مخالفات",50,Basic34567891011121314[[#This Row],[قيمة الرسوم / العموله]]+Basic34567891011121314[[#This Row],[قيمة الشحنه]])</f>
        <v>0</v>
      </c>
      <c r="I224" s="90"/>
      <c r="J224" s="142" t="str">
        <f t="shared" si="3"/>
        <v>19.5.2026</v>
      </c>
      <c r="L224" s="153">
        <v>213</v>
      </c>
      <c r="M224" s="92"/>
    </row>
    <row r="225" spans="1:13" ht="21.6" x14ac:dyDescent="0.65">
      <c r="A225" s="195"/>
      <c r="B225" s="144">
        <v>222</v>
      </c>
      <c r="C225" s="2"/>
      <c r="D225" s="1"/>
      <c r="E225" s="3"/>
      <c r="F225" s="1"/>
      <c r="G225" s="141">
        <f>IF(Basic34567891011121314[[#This Row],[نوع الخدمة]]="مخالفات", 50,
IF(Basic34567891011121314[[#This Row],[نوع الخدمة]]="كاش ان",
    IF(F225&lt;=100, 18, IF(F225&lt;=250, 23, IF(F225&lt;=500, 35, IF(F225&lt;=1000, 40, F225*0.04)))),
IF(Basic34567891011121314[[#This Row],[نوع الخدمة]]="كاش اوت",
    IF(F225&lt;=100, 15, IF(F225&lt;=250, 20, IF(F225&lt;=500, 30, IF(F225&lt;=1000, 35, F225*0.035)))),
0)))</f>
        <v>0</v>
      </c>
      <c r="H225" s="163">
        <f>IF(I225="مخالفات",50,Basic34567891011121314[[#This Row],[قيمة الرسوم / العموله]]+Basic34567891011121314[[#This Row],[قيمة الشحنه]])</f>
        <v>0</v>
      </c>
      <c r="I225" s="90"/>
      <c r="J225" s="142" t="str">
        <f t="shared" si="3"/>
        <v>19.5.2026</v>
      </c>
      <c r="L225" s="153">
        <v>214</v>
      </c>
      <c r="M225" s="92"/>
    </row>
    <row r="226" spans="1:13" ht="21.6" x14ac:dyDescent="0.65">
      <c r="A226" s="195"/>
      <c r="B226" s="140">
        <v>223</v>
      </c>
      <c r="C226" s="4"/>
      <c r="D226" s="5"/>
      <c r="E226" s="6"/>
      <c r="F226" s="5"/>
      <c r="G226" s="141">
        <f>IF(Basic34567891011121314[[#This Row],[نوع الخدمة]]="مخالفات", 50,
IF(Basic34567891011121314[[#This Row],[نوع الخدمة]]="كاش ان",
    IF(F226&lt;=100, 18, IF(F226&lt;=250, 23, IF(F226&lt;=500, 35, IF(F226&lt;=1000, 40, F226*0.04)))),
IF(Basic34567891011121314[[#This Row],[نوع الخدمة]]="كاش اوت",
    IF(F226&lt;=100, 15, IF(F226&lt;=250, 20, IF(F226&lt;=500, 30, IF(F226&lt;=1000, 35, F226*0.035)))),
0)))</f>
        <v>0</v>
      </c>
      <c r="H226" s="164">
        <f>IF(I226="مخالفات",50,Basic34567891011121314[[#This Row],[قيمة الرسوم / العموله]]+Basic34567891011121314[[#This Row],[قيمة الشحنه]])</f>
        <v>0</v>
      </c>
      <c r="I226" s="90"/>
      <c r="J226" s="142" t="str">
        <f t="shared" si="3"/>
        <v>19.5.2026</v>
      </c>
      <c r="L226" s="156">
        <v>215</v>
      </c>
      <c r="M226" s="93"/>
    </row>
  </sheetData>
  <sheetProtection algorithmName="SHA-512" hashValue="OObOf1etxRrV1yAW67H61fwGmp/JU6ZJN39U4WnUgSHn2zUD+buOoahJar+G/sh2mk8p7v7rvp2wdfV3wcYuZA==" saltValue="yKjUZQBXVV9PzjtoLX26Rw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51" priority="12" operator="equal">
      <formula>$BH$10</formula>
    </cfRule>
    <cfRule type="cellIs" dxfId="50" priority="13" operator="equal">
      <formula>$BH$9</formula>
    </cfRule>
    <cfRule type="cellIs" dxfId="49" priority="14" operator="equal">
      <formula>$BH$8</formula>
    </cfRule>
  </conditionalFormatting>
  <conditionalFormatting sqref="P11">
    <cfRule type="cellIs" dxfId="48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{A5D2BA02-EB66-44D5-9352-FA8D4019E3B4}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{9612A043-8E41-46A6-B4E1-A5F456180B24}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{7F3432AA-5397-456F-9B61-1D0D668F587F}</x14:id>
        </ext>
      </extLst>
    </cfRule>
  </conditionalFormatting>
  <dataValidations count="2">
    <dataValidation type="list" allowBlank="1" showInputMessage="1" showErrorMessage="1" sqref="I4:I226" xr:uid="{00000000-0002-0000-1200-000000000000}">
      <formula1>$BH$8:$BH$10</formula1>
    </dataValidation>
    <dataValidation type="textLength" operator="equal" allowBlank="1" showInputMessage="1" showErrorMessage="1" errorTitle="يجب إخال رقم IPN صحيح 13 رقم" sqref="C1:C1048576" xr:uid="{00000000-0002-0000-1200-000001000000}">
      <formula1>13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5D2BA02-EB66-44D5-9352-FA8D4019E3B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9612A043-8E41-46A6-B4E1-A5F456180B2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7F3432AA-5397-456F-9B61-1D0D668F587F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H226"/>
  <sheetViews>
    <sheetView showGridLines="0" showRowColHeaders="0" rightToLeft="1" topLeftCell="D1" zoomScale="80" zoomScaleNormal="80" workbookViewId="0">
      <selection activeCell="R10" sqref="R10:W10"/>
    </sheetView>
  </sheetViews>
  <sheetFormatPr defaultColWidth="9.109375" defaultRowHeight="14.4" x14ac:dyDescent="0.3"/>
  <cols>
    <col min="1" max="1" width="2.5546875" style="124" customWidth="1"/>
    <col min="2" max="2" width="6.5546875" style="125" bestFit="1" customWidth="1"/>
    <col min="3" max="3" width="27.33203125" style="126" customWidth="1"/>
    <col min="4" max="4" width="15.6640625" style="124" customWidth="1"/>
    <col min="5" max="5" width="17.5546875" style="157" customWidth="1"/>
    <col min="6" max="6" width="12.88671875" style="124" bestFit="1" customWidth="1"/>
    <col min="7" max="7" width="19" style="124" bestFit="1" customWidth="1"/>
    <col min="8" max="8" width="19" style="124" customWidth="1"/>
    <col min="9" max="9" width="12.44140625" style="128" bestFit="1" customWidth="1"/>
    <col min="10" max="10" width="17.5546875" style="129" customWidth="1"/>
    <col min="11" max="11" width="3.5546875" style="124" customWidth="1"/>
    <col min="12" max="12" width="8.5546875" style="124" bestFit="1" customWidth="1"/>
    <col min="13" max="13" width="23" style="124" customWidth="1"/>
    <col min="14" max="14" width="8.33203125" style="124" bestFit="1" customWidth="1"/>
    <col min="15" max="15" width="26.5546875" style="124" bestFit="1" customWidth="1"/>
    <col min="16" max="16" width="10.88671875" style="124" bestFit="1" customWidth="1"/>
    <col min="17" max="17" width="3.5546875" style="124" customWidth="1"/>
    <col min="18" max="19" width="18.5546875" style="128" customWidth="1"/>
    <col min="20" max="20" width="11.5546875" style="128" bestFit="1" customWidth="1"/>
    <col min="21" max="22" width="12" style="128" customWidth="1"/>
    <col min="23" max="23" width="7.88671875" style="128" customWidth="1"/>
    <col min="24" max="24" width="12.6640625" style="124" customWidth="1"/>
    <col min="25" max="16384" width="9.109375" style="124"/>
  </cols>
  <sheetData>
    <row r="1" spans="1:60" x14ac:dyDescent="0.3">
      <c r="E1" s="127">
        <f>Total!F5</f>
        <v>69</v>
      </c>
      <c r="F1" s="192" t="str">
        <f>Total!G5</f>
        <v>العبور</v>
      </c>
      <c r="G1" s="192"/>
      <c r="H1" s="192"/>
    </row>
    <row r="3" spans="1:60" ht="15.6" x14ac:dyDescent="0.3">
      <c r="B3" s="130" t="s">
        <v>0</v>
      </c>
      <c r="C3" s="131" t="s">
        <v>1</v>
      </c>
      <c r="D3" s="132" t="s">
        <v>2</v>
      </c>
      <c r="E3" s="133" t="s">
        <v>3</v>
      </c>
      <c r="F3" s="132" t="s">
        <v>4</v>
      </c>
      <c r="G3" s="132" t="s">
        <v>5</v>
      </c>
      <c r="H3" s="132" t="s">
        <v>76</v>
      </c>
      <c r="I3" s="132" t="s">
        <v>6</v>
      </c>
      <c r="J3" s="134" t="s">
        <v>7</v>
      </c>
      <c r="L3" s="135" t="s">
        <v>7</v>
      </c>
      <c r="M3" s="7" t="s">
        <v>103</v>
      </c>
      <c r="O3" s="137" t="s">
        <v>17</v>
      </c>
      <c r="P3" s="138">
        <f>M5+M6</f>
        <v>0</v>
      </c>
      <c r="T3" s="173"/>
      <c r="U3" s="173"/>
      <c r="V3" s="173"/>
      <c r="W3" s="173"/>
      <c r="X3" s="139"/>
    </row>
    <row r="4" spans="1:60" ht="21.6" x14ac:dyDescent="0.65">
      <c r="A4" s="195"/>
      <c r="B4" s="140">
        <v>1</v>
      </c>
      <c r="C4" s="8"/>
      <c r="D4" s="9"/>
      <c r="E4" s="10"/>
      <c r="F4" s="9"/>
      <c r="G4" s="141">
        <f>IF(Basic345678910111213[[#This Row],[نوع الخدمة]]="مخالفات", 50,
IF(Basic345678910111213[[#This Row],[نوع الخدمة]]="كاش ان",
    IF(F4&lt;=100, 18, IF(F4&lt;=250, 23, IF(F4&lt;=500, 35, IF(F4&lt;=1000, 40, F4*0.04)))),
IF(Basic345678910111213[[#This Row],[نوع الخدمة]]="كاش اوت",
    IF(F4&lt;=100, 15, IF(F4&lt;=250, 20, IF(F4&lt;=500, 30, IF(F4&lt;=1000, 35, F4*0.035)))),
0)))</f>
        <v>0</v>
      </c>
      <c r="H4" s="141">
        <f>IF(I4="مخالفات",50,Basic345678910111213[[#This Row],[قيمة الرسوم / العموله]]+Basic345678910111213[[#This Row],[قيمة الشحنه]])</f>
        <v>0</v>
      </c>
      <c r="I4" s="90"/>
      <c r="J4" s="142" t="str">
        <f t="shared" ref="J4:J67" si="0">M$3</f>
        <v>20.5.2026</v>
      </c>
      <c r="L4" s="135" t="s">
        <v>26</v>
      </c>
      <c r="M4" s="90">
        <v>0</v>
      </c>
      <c r="O4" s="137" t="s">
        <v>18</v>
      </c>
      <c r="P4" s="138">
        <f>M4</f>
        <v>0</v>
      </c>
      <c r="S4" s="143" t="s">
        <v>22</v>
      </c>
      <c r="T4" s="143" t="s">
        <v>23</v>
      </c>
      <c r="U4" s="173"/>
      <c r="V4" s="173"/>
      <c r="W4" s="173"/>
      <c r="X4" s="139"/>
    </row>
    <row r="5" spans="1:60" ht="21.6" x14ac:dyDescent="0.65">
      <c r="A5" s="195"/>
      <c r="B5" s="144">
        <v>2</v>
      </c>
      <c r="C5" s="8"/>
      <c r="D5" s="9"/>
      <c r="E5" s="10"/>
      <c r="F5" s="9"/>
      <c r="G5" s="141">
        <f>IF(Basic345678910111213[[#This Row],[نوع الخدمة]]="مخالفات", 50,
IF(Basic345678910111213[[#This Row],[نوع الخدمة]]="كاش ان",
    IF(F5&lt;=100, 18, IF(F5&lt;=250, 23, IF(F5&lt;=500, 35, IF(F5&lt;=1000, 40, F5*0.04)))),
IF(Basic345678910111213[[#This Row],[نوع الخدمة]]="كاش اوت",
    IF(F5&lt;=100, 15, IF(F5&lt;=250, 20, IF(F5&lt;=500, 30, IF(F5&lt;=1000, 35, F5*0.035)))),
0)))</f>
        <v>0</v>
      </c>
      <c r="H5" s="141">
        <f>IF(I5="مخالفات",50,Basic345678910111213[[#This Row],[قيمة الرسوم / العموله]]+Basic345678910111213[[#This Row],[قيمة الشحنه]])</f>
        <v>0</v>
      </c>
      <c r="I5" s="90"/>
      <c r="J5" s="142" t="str">
        <f t="shared" si="0"/>
        <v>20.5.2026</v>
      </c>
      <c r="L5" s="135" t="s">
        <v>27</v>
      </c>
      <c r="M5" s="90"/>
      <c r="O5" s="137" t="s">
        <v>19</v>
      </c>
      <c r="P5" s="138">
        <f>SUMIF(Basic345678910111213[نوع الخدمة],"كاش ان",Basic345678910111213[قيمة الشحنه])</f>
        <v>0</v>
      </c>
      <c r="S5" s="145">
        <f>P5+P9+P12+P7</f>
        <v>0</v>
      </c>
      <c r="T5" s="145">
        <f>P3</f>
        <v>0</v>
      </c>
    </row>
    <row r="6" spans="1:60" ht="21.6" x14ac:dyDescent="0.65">
      <c r="A6" s="195"/>
      <c r="B6" s="140">
        <v>3</v>
      </c>
      <c r="C6" s="8"/>
      <c r="D6" s="9"/>
      <c r="E6" s="10"/>
      <c r="F6" s="9"/>
      <c r="G6" s="141">
        <f>IF(Basic345678910111213[[#This Row],[نوع الخدمة]]="مخالفات", 50,
IF(Basic345678910111213[[#This Row],[نوع الخدمة]]="كاش ان",
    IF(F6&lt;=100, 18, IF(F6&lt;=250, 23, IF(F6&lt;=500, 35, IF(F6&lt;=1000, 40, F6*0.04)))),
IF(Basic345678910111213[[#This Row],[نوع الخدمة]]="كاش اوت",
    IF(F6&lt;=100, 15, IF(F6&lt;=250, 20, IF(F6&lt;=500, 30, IF(F6&lt;=1000, 35, F6*0.035)))),
0)))</f>
        <v>0</v>
      </c>
      <c r="H6" s="141">
        <f>IF(I6="مخالفات",50,Basic345678910111213[[#This Row],[قيمة الرسوم / العموله]]+Basic345678910111213[[#This Row],[قيمة الشحنه]])</f>
        <v>0</v>
      </c>
      <c r="I6" s="90"/>
      <c r="J6" s="142" t="str">
        <f t="shared" si="0"/>
        <v>20.5.2026</v>
      </c>
      <c r="L6" s="135" t="s">
        <v>28</v>
      </c>
      <c r="M6" s="90"/>
      <c r="O6" s="146" t="s">
        <v>12</v>
      </c>
      <c r="P6" s="138">
        <f>P3*150</f>
        <v>0</v>
      </c>
    </row>
    <row r="7" spans="1:60" ht="21.6" x14ac:dyDescent="0.65">
      <c r="A7" s="195"/>
      <c r="B7" s="140">
        <v>4</v>
      </c>
      <c r="C7" s="8"/>
      <c r="D7" s="9"/>
      <c r="E7" s="10"/>
      <c r="F7" s="9"/>
      <c r="G7" s="141">
        <f>IF(Basic345678910111213[[#This Row],[نوع الخدمة]]="مخالفات", 50,
IF(Basic345678910111213[[#This Row],[نوع الخدمة]]="كاش ان",
    IF(F7&lt;=100, 18, IF(F7&lt;=250, 23, IF(F7&lt;=500, 35, IF(F7&lt;=1000, 40, F7*0.04)))),
IF(Basic345678910111213[[#This Row],[نوع الخدمة]]="كاش اوت",
    IF(F7&lt;=100, 15, IF(F7&lt;=250, 20, IF(F7&lt;=500, 30, IF(F7&lt;=1000, 35, F7*0.035)))),
0)))</f>
        <v>0</v>
      </c>
      <c r="H7" s="141">
        <f>IF(I7="مخالفات",50,Basic345678910111213[[#This Row],[قيمة الرسوم / العموله]]+Basic345678910111213[[#This Row],[قيمة الشحنه]])</f>
        <v>0</v>
      </c>
      <c r="I7" s="90"/>
      <c r="J7" s="142" t="str">
        <f t="shared" si="0"/>
        <v>20.5.2026</v>
      </c>
      <c r="L7" s="137" t="s">
        <v>11</v>
      </c>
      <c r="M7" s="165"/>
      <c r="O7" s="146" t="s">
        <v>75</v>
      </c>
      <c r="P7" s="138">
        <f>SUMIF(Basic345678910111213[نوع الخدمة],"مخالفات",Basic345678910111213[الاجمــــــــــالي])</f>
        <v>0</v>
      </c>
      <c r="R7" s="173"/>
      <c r="S7" s="173"/>
    </row>
    <row r="8" spans="1:60" ht="21.6" x14ac:dyDescent="0.65">
      <c r="A8" s="195"/>
      <c r="B8" s="140">
        <v>5</v>
      </c>
      <c r="C8" s="8"/>
      <c r="D8" s="9"/>
      <c r="E8" s="10"/>
      <c r="F8" s="9"/>
      <c r="G8" s="141">
        <f>IF(Basic345678910111213[[#This Row],[نوع الخدمة]]="مخالفات", 50,
IF(Basic345678910111213[[#This Row],[نوع الخدمة]]="كاش ان",
    IF(F8&lt;=100, 18, IF(F8&lt;=250, 23, IF(F8&lt;=500, 35, IF(F8&lt;=1000, 40, F8*0.04)))),
IF(Basic345678910111213[[#This Row],[نوع الخدمة]]="كاش اوت",
    IF(F8&lt;=100, 15, IF(F8&lt;=250, 20, IF(F8&lt;=500, 30, IF(F8&lt;=1000, 35, F8*0.035)))),
0)))</f>
        <v>0</v>
      </c>
      <c r="H8" s="141">
        <f>IF(I8="مخالفات",50,Basic345678910111213[[#This Row],[قيمة الرسوم / العموله]]+Basic345678910111213[[#This Row],[قيمة الشحنه]])</f>
        <v>0</v>
      </c>
      <c r="I8" s="90"/>
      <c r="J8" s="142" t="str">
        <f t="shared" si="0"/>
        <v>20.5.2026</v>
      </c>
      <c r="L8" s="166" t="s">
        <v>79</v>
      </c>
      <c r="M8" s="167">
        <v>0</v>
      </c>
      <c r="O8" s="137" t="s">
        <v>11</v>
      </c>
      <c r="P8" s="138">
        <f>M7</f>
        <v>0</v>
      </c>
      <c r="R8" s="143" t="s">
        <v>72</v>
      </c>
      <c r="S8" s="143" t="s">
        <v>25</v>
      </c>
      <c r="T8" s="143" t="s">
        <v>24</v>
      </c>
      <c r="U8" s="143" t="s">
        <v>73</v>
      </c>
      <c r="V8" s="143" t="s">
        <v>25</v>
      </c>
      <c r="W8" s="143" t="s">
        <v>24</v>
      </c>
      <c r="BH8" s="148" t="s">
        <v>8</v>
      </c>
    </row>
    <row r="9" spans="1:60" ht="18" customHeight="1" x14ac:dyDescent="0.65">
      <c r="A9" s="195"/>
      <c r="B9" s="144">
        <v>6</v>
      </c>
      <c r="C9" s="8"/>
      <c r="D9" s="9"/>
      <c r="E9" s="10"/>
      <c r="F9" s="9"/>
      <c r="G9" s="141">
        <f>IF(Basic345678910111213[[#This Row],[نوع الخدمة]]="مخالفات", 50,
IF(Basic345678910111213[[#This Row],[نوع الخدمة]]="كاش ان",
    IF(F9&lt;=100, 18, IF(F9&lt;=250, 23, IF(F9&lt;=500, 35, IF(F9&lt;=1000, 40, F9*0.04)))),
IF(Basic345678910111213[[#This Row],[نوع الخدمة]]="كاش اوت",
    IF(F9&lt;=100, 15, IF(F9&lt;=250, 20, IF(F9&lt;=500, 30, IF(F9&lt;=1000, 35, F9*0.035)))),
0)))</f>
        <v>0</v>
      </c>
      <c r="H9" s="141">
        <f>IF(I9="مخالفات",50,Basic345678910111213[[#This Row],[قيمة الرسوم / العموله]]+Basic345678910111213[[#This Row],[قيمة الشحنه]])</f>
        <v>0</v>
      </c>
      <c r="I9" s="90"/>
      <c r="J9" s="142" t="str">
        <f t="shared" si="0"/>
        <v>20.5.2026</v>
      </c>
      <c r="L9" s="166" t="s">
        <v>80</v>
      </c>
      <c r="M9" s="167">
        <v>0</v>
      </c>
      <c r="O9" s="137" t="s">
        <v>20</v>
      </c>
      <c r="P9" s="138">
        <f>SUMIF(Basic345678910111213[نوع الخدمة],"كاش ان",Basic345678910111213[قيمة الرسوم / العموله])</f>
        <v>0</v>
      </c>
      <c r="R9" s="149">
        <f>Total!H5/24</f>
        <v>29166.666666666668</v>
      </c>
      <c r="S9" s="149">
        <f>S5</f>
        <v>0</v>
      </c>
      <c r="T9" s="150">
        <f>S9/R9</f>
        <v>0</v>
      </c>
      <c r="U9" s="149">
        <f>Total!K5/24</f>
        <v>2.9166666666666665</v>
      </c>
      <c r="V9" s="149">
        <f>T5</f>
        <v>0</v>
      </c>
      <c r="W9" s="150">
        <f>V9/U9</f>
        <v>0</v>
      </c>
      <c r="BH9" s="148" t="s">
        <v>9</v>
      </c>
    </row>
    <row r="10" spans="1:60" ht="21.6" x14ac:dyDescent="0.65">
      <c r="A10" s="195"/>
      <c r="B10" s="140">
        <v>7</v>
      </c>
      <c r="C10" s="8"/>
      <c r="D10" s="9"/>
      <c r="E10" s="10"/>
      <c r="F10" s="9"/>
      <c r="G10" s="141">
        <f>IF(Basic345678910111213[[#This Row],[نوع الخدمة]]="مخالفات", 50,
IF(Basic345678910111213[[#This Row],[نوع الخدمة]]="كاش ان",
    IF(F10&lt;=100, 18, IF(F10&lt;=250, 23, IF(F10&lt;=500, 35, IF(F10&lt;=1000, 40, F10*0.04)))),
IF(Basic345678910111213[[#This Row],[نوع الخدمة]]="كاش اوت",
    IF(F10&lt;=100, 15, IF(F10&lt;=250, 20, IF(F10&lt;=500, 30, IF(F10&lt;=1000, 35, F10*0.035)))),
0)))</f>
        <v>0</v>
      </c>
      <c r="H10" s="141">
        <f>IF(I10="مخالفات",50,Basic345678910111213[[#This Row],[قيمة الرسوم / العموله]]+Basic345678910111213[[#This Row],[قيمة الشحنه]])</f>
        <v>0</v>
      </c>
      <c r="I10" s="90"/>
      <c r="J10" s="142" t="str">
        <f t="shared" si="0"/>
        <v>20.5.2026</v>
      </c>
      <c r="O10" s="137" t="s">
        <v>16</v>
      </c>
      <c r="P10" s="138">
        <f>SUMIF(Basic345678910111213[نوع الخدمة],"كاش اوت",Basic345678910111213[قيمة الشحنه])</f>
        <v>0</v>
      </c>
      <c r="R10" s="191">
        <f>(W9+T9)/2</f>
        <v>0</v>
      </c>
      <c r="S10" s="191"/>
      <c r="T10" s="191"/>
      <c r="U10" s="191"/>
      <c r="V10" s="191"/>
      <c r="W10" s="191"/>
      <c r="BH10" s="148" t="s">
        <v>10</v>
      </c>
    </row>
    <row r="11" spans="1:60" ht="21.6" x14ac:dyDescent="0.65">
      <c r="A11" s="195"/>
      <c r="B11" s="140">
        <v>8</v>
      </c>
      <c r="C11" s="8"/>
      <c r="D11" s="9"/>
      <c r="E11" s="10"/>
      <c r="F11" s="9"/>
      <c r="G11" s="141">
        <f>IF(Basic345678910111213[[#This Row],[نوع الخدمة]]="مخالفات", 50,
IF(Basic345678910111213[[#This Row],[نوع الخدمة]]="كاش ان",
    IF(F11&lt;=100, 18, IF(F11&lt;=250, 23, IF(F11&lt;=500, 35, IF(F11&lt;=1000, 40, F11*0.04)))),
IF(Basic345678910111213[[#This Row],[نوع الخدمة]]="كاش اوت",
    IF(F11&lt;=100, 15, IF(F11&lt;=250, 20, IF(F11&lt;=500, 30, IF(F11&lt;=1000, 35, F11*0.035)))),
0)))</f>
        <v>0</v>
      </c>
      <c r="H11" s="141">
        <f>IF(I11="مخالفات",50,Basic345678910111213[[#This Row],[قيمة الرسوم / العموله]]+Basic345678910111213[[#This Row],[قيمة الشحنه]])</f>
        <v>0</v>
      </c>
      <c r="I11" s="90"/>
      <c r="J11" s="142" t="str">
        <f t="shared" si="0"/>
        <v>20.5.2026</v>
      </c>
      <c r="L11" s="169" t="s">
        <v>77</v>
      </c>
      <c r="M11" s="168" t="s">
        <v>78</v>
      </c>
      <c r="O11" s="151" t="s">
        <v>21</v>
      </c>
      <c r="P11" s="152">
        <f>(P5+P6+P9+P7+P4)-P10-P8</f>
        <v>0</v>
      </c>
      <c r="T11" s="173"/>
    </row>
    <row r="12" spans="1:60" ht="21.6" x14ac:dyDescent="0.65">
      <c r="A12" s="195"/>
      <c r="B12" s="140">
        <v>9</v>
      </c>
      <c r="C12" s="8"/>
      <c r="D12" s="9"/>
      <c r="E12" s="10"/>
      <c r="F12" s="9"/>
      <c r="G12" s="141">
        <f>IF(Basic345678910111213[[#This Row],[نوع الخدمة]]="مخالفات", 50,
IF(Basic345678910111213[[#This Row],[نوع الخدمة]]="كاش ان",
    IF(F12&lt;=100, 18, IF(F12&lt;=250, 23, IF(F12&lt;=500, 35, IF(F12&lt;=1000, 40, F12*0.04)))),
IF(Basic345678910111213[[#This Row],[نوع الخدمة]]="كاش اوت",
    IF(F12&lt;=100, 15, IF(F12&lt;=250, 20, IF(F12&lt;=500, 30, IF(F12&lt;=1000, 35, F12*0.035)))),
0)))</f>
        <v>0</v>
      </c>
      <c r="H12" s="141">
        <f>IF(I12="مخالفات",50,Basic345678910111213[[#This Row],[قيمة الرسوم / العموله]]+Basic345678910111213[[#This Row],[قيمة الشحنه]])</f>
        <v>0</v>
      </c>
      <c r="I12" s="90"/>
      <c r="J12" s="142" t="str">
        <f t="shared" si="0"/>
        <v>20.5.2026</v>
      </c>
      <c r="L12" s="153">
        <v>1</v>
      </c>
      <c r="M12" s="91"/>
      <c r="O12" s="137" t="s">
        <v>29</v>
      </c>
      <c r="P12" s="138">
        <f>SUMIF(Basic345678910111213[نوع الخدمة],"كاش اوت",Basic345678910111213[الاجمــــــــــالي])</f>
        <v>0</v>
      </c>
    </row>
    <row r="13" spans="1:60" ht="21.6" x14ac:dyDescent="0.65">
      <c r="A13" s="195"/>
      <c r="B13" s="144">
        <v>10</v>
      </c>
      <c r="C13" s="8"/>
      <c r="D13" s="9"/>
      <c r="E13" s="10"/>
      <c r="F13" s="9"/>
      <c r="G13" s="141">
        <f>IF(Basic345678910111213[[#This Row],[نوع الخدمة]]="مخالفات", 50,
IF(Basic345678910111213[[#This Row],[نوع الخدمة]]="كاش ان",
    IF(F13&lt;=100, 18, IF(F13&lt;=250, 23, IF(F13&lt;=500, 35, IF(F13&lt;=1000, 40, F13*0.04)))),
IF(Basic345678910111213[[#This Row],[نوع الخدمة]]="كاش اوت",
    IF(F13&lt;=100, 15, IF(F13&lt;=250, 20, IF(F13&lt;=500, 30, IF(F13&lt;=1000, 35, F13*0.035)))),
0)))</f>
        <v>0</v>
      </c>
      <c r="H13" s="141">
        <f>IF(I13="مخالفات",50,Basic345678910111213[[#This Row],[قيمة الرسوم / العموله]]+Basic345678910111213[[#This Row],[قيمة الشحنه]])</f>
        <v>0</v>
      </c>
      <c r="I13" s="90"/>
      <c r="J13" s="142" t="str">
        <f t="shared" si="0"/>
        <v>20.5.2026</v>
      </c>
      <c r="L13" s="153">
        <v>2</v>
      </c>
      <c r="M13" s="92"/>
    </row>
    <row r="14" spans="1:60" ht="21.6" x14ac:dyDescent="0.65">
      <c r="A14" s="195"/>
      <c r="B14" s="140">
        <v>11</v>
      </c>
      <c r="C14" s="2"/>
      <c r="D14" s="1"/>
      <c r="E14" s="3"/>
      <c r="F14" s="1"/>
      <c r="G14" s="141">
        <f>IF(Basic345678910111213[[#This Row],[نوع الخدمة]]="مخالفات", 50,
IF(Basic345678910111213[[#This Row],[نوع الخدمة]]="كاش ان",
    IF(F14&lt;=100, 18, IF(F14&lt;=250, 23, IF(F14&lt;=500, 35, IF(F14&lt;=1000, 40, F14*0.04)))),
IF(Basic345678910111213[[#This Row],[نوع الخدمة]]="كاش اوت",
    IF(F14&lt;=100, 15, IF(F14&lt;=250, 20, IF(F14&lt;=500, 30, IF(F14&lt;=1000, 35, F14*0.035)))),
0)))</f>
        <v>0</v>
      </c>
      <c r="H14" s="159">
        <f>IF(I14="مخالفات",50,Basic345678910111213[[#This Row],[قيمة الرسوم / العموله]]+Basic345678910111213[[#This Row],[قيمة الشحنه]])</f>
        <v>0</v>
      </c>
      <c r="I14" s="90"/>
      <c r="J14" s="142" t="str">
        <f t="shared" si="0"/>
        <v>20.5.2026</v>
      </c>
      <c r="L14" s="153">
        <v>3</v>
      </c>
      <c r="M14" s="92"/>
    </row>
    <row r="15" spans="1:60" ht="21.6" x14ac:dyDescent="0.65">
      <c r="A15" s="195"/>
      <c r="B15" s="140">
        <v>12</v>
      </c>
      <c r="C15" s="2"/>
      <c r="D15" s="1"/>
      <c r="E15" s="3"/>
      <c r="F15" s="1"/>
      <c r="G15" s="141">
        <f>IF(Basic345678910111213[[#This Row],[نوع الخدمة]]="مخالفات", 50,
IF(Basic345678910111213[[#This Row],[نوع الخدمة]]="كاش ان",
    IF(F15&lt;=100, 18, IF(F15&lt;=250, 23, IF(F15&lt;=500, 35, IF(F15&lt;=1000, 40, F15*0.04)))),
IF(Basic345678910111213[[#This Row],[نوع الخدمة]]="كاش اوت",
    IF(F15&lt;=100, 15, IF(F15&lt;=250, 20, IF(F15&lt;=500, 30, IF(F15&lt;=1000, 35, F15*0.035)))),
0)))</f>
        <v>0</v>
      </c>
      <c r="H15" s="159">
        <f>IF(I15="مخالفات",50,Basic345678910111213[[#This Row],[قيمة الرسوم / العموله]]+Basic345678910111213[[#This Row],[قيمة الشحنه]])</f>
        <v>0</v>
      </c>
      <c r="I15" s="90"/>
      <c r="J15" s="142" t="str">
        <f t="shared" si="0"/>
        <v>20.5.2026</v>
      </c>
      <c r="L15" s="153">
        <v>4</v>
      </c>
      <c r="M15" s="92"/>
      <c r="O15" s="154" t="s">
        <v>10</v>
      </c>
      <c r="P15" s="155">
        <f>COUNTIF(Basic345678910111213[نوع الخدمة],"مخالفات")</f>
        <v>0</v>
      </c>
    </row>
    <row r="16" spans="1:60" ht="21.6" x14ac:dyDescent="0.65">
      <c r="A16" s="195"/>
      <c r="B16" s="140">
        <v>13</v>
      </c>
      <c r="C16" s="2"/>
      <c r="D16" s="1"/>
      <c r="E16" s="3"/>
      <c r="F16" s="1"/>
      <c r="G16" s="141">
        <f>IF(Basic345678910111213[[#This Row],[نوع الخدمة]]="مخالفات", 50,
IF(Basic345678910111213[[#This Row],[نوع الخدمة]]="كاش ان",
    IF(F16&lt;=100, 18, IF(F16&lt;=250, 23, IF(F16&lt;=500, 35, IF(F16&lt;=1000, 40, F16*0.04)))),
IF(Basic345678910111213[[#This Row],[نوع الخدمة]]="كاش اوت",
    IF(F16&lt;=100, 15, IF(F16&lt;=250, 20, IF(F16&lt;=500, 30, IF(F16&lt;=1000, 35, F16*0.035)))),
0)))</f>
        <v>0</v>
      </c>
      <c r="H16" s="159">
        <f>IF(I16="مخالفات",50,Basic345678910111213[[#This Row],[قيمة الرسوم / العموله]]+Basic345678910111213[[#This Row],[قيمة الشحنه]])</f>
        <v>0</v>
      </c>
      <c r="I16" s="90"/>
      <c r="J16" s="142" t="str">
        <f t="shared" si="0"/>
        <v>20.5.2026</v>
      </c>
      <c r="L16" s="153">
        <v>5</v>
      </c>
      <c r="M16" s="92"/>
      <c r="O16" s="154" t="s">
        <v>13</v>
      </c>
      <c r="P16" s="155">
        <f>COUNTIF(Basic345678910111213[نوع الخدمة],"كاش ان")</f>
        <v>0</v>
      </c>
    </row>
    <row r="17" spans="1:21" ht="21.6" x14ac:dyDescent="0.65">
      <c r="A17" s="195"/>
      <c r="B17" s="144">
        <v>14</v>
      </c>
      <c r="C17" s="2"/>
      <c r="D17" s="1"/>
      <c r="E17" s="3"/>
      <c r="F17" s="1"/>
      <c r="G17" s="141">
        <f>IF(Basic345678910111213[[#This Row],[نوع الخدمة]]="مخالفات", 50,
IF(Basic345678910111213[[#This Row],[نوع الخدمة]]="كاش ان",
    IF(F17&lt;=100, 18, IF(F17&lt;=250, 23, IF(F17&lt;=500, 35, IF(F17&lt;=1000, 40, F17*0.04)))),
IF(Basic345678910111213[[#This Row],[نوع الخدمة]]="كاش اوت",
    IF(F17&lt;=100, 15, IF(F17&lt;=250, 20, IF(F17&lt;=500, 30, IF(F17&lt;=1000, 35, F17*0.035)))),
0)))</f>
        <v>0</v>
      </c>
      <c r="H17" s="159">
        <f>IF(I17="مخالفات",50,Basic345678910111213[[#This Row],[قيمة الرسوم / العموله]]+Basic345678910111213[[#This Row],[قيمة الشحنه]])</f>
        <v>0</v>
      </c>
      <c r="I17" s="90"/>
      <c r="J17" s="142" t="str">
        <f t="shared" si="0"/>
        <v>20.5.2026</v>
      </c>
      <c r="L17" s="153">
        <v>6</v>
      </c>
      <c r="M17" s="92"/>
      <c r="O17" s="154" t="s">
        <v>14</v>
      </c>
      <c r="P17" s="155">
        <f>COUNTIF(Basic345678910111213[نوع الخدمة],"كاش اوت")</f>
        <v>0</v>
      </c>
    </row>
    <row r="18" spans="1:21" ht="21.6" x14ac:dyDescent="0.65">
      <c r="A18" s="195"/>
      <c r="B18" s="140">
        <v>15</v>
      </c>
      <c r="C18" s="2"/>
      <c r="D18" s="1"/>
      <c r="E18" s="3"/>
      <c r="F18" s="1"/>
      <c r="G18" s="141">
        <f>IF(Basic345678910111213[[#This Row],[نوع الخدمة]]="مخالفات", 50,
IF(Basic345678910111213[[#This Row],[نوع الخدمة]]="كاش ان",
    IF(F18&lt;=100, 18, IF(F18&lt;=250, 23, IF(F18&lt;=500, 35, IF(F18&lt;=1000, 40, F18*0.04)))),
IF(Basic345678910111213[[#This Row],[نوع الخدمة]]="كاش اوت",
    IF(F18&lt;=100, 15, IF(F18&lt;=250, 20, IF(F18&lt;=500, 30, IF(F18&lt;=1000, 35, F18*0.035)))),
0)))</f>
        <v>0</v>
      </c>
      <c r="H18" s="159">
        <f>IF(I18="مخالفات",50,Basic345678910111213[[#This Row],[قيمة الرسوم / العموله]]+Basic345678910111213[[#This Row],[قيمة الشحنه]])</f>
        <v>0</v>
      </c>
      <c r="I18" s="90"/>
      <c r="J18" s="142" t="str">
        <f t="shared" si="0"/>
        <v>20.5.2026</v>
      </c>
      <c r="L18" s="153">
        <v>7</v>
      </c>
      <c r="M18" s="92"/>
      <c r="O18" s="154" t="s">
        <v>15</v>
      </c>
      <c r="P18" s="155">
        <f>P16+P17</f>
        <v>0</v>
      </c>
    </row>
    <row r="19" spans="1:21" ht="21.6" x14ac:dyDescent="0.65">
      <c r="A19" s="195"/>
      <c r="B19" s="140">
        <v>16</v>
      </c>
      <c r="C19" s="2"/>
      <c r="D19" s="1"/>
      <c r="E19" s="3"/>
      <c r="F19" s="1"/>
      <c r="G19" s="141">
        <f>IF(Basic345678910111213[[#This Row],[نوع الخدمة]]="مخالفات", 50,
IF(Basic345678910111213[[#This Row],[نوع الخدمة]]="كاش ان",
    IF(F19&lt;=100, 18, IF(F19&lt;=250, 23, IF(F19&lt;=500, 35, IF(F19&lt;=1000, 40, F19*0.04)))),
IF(Basic345678910111213[[#This Row],[نوع الخدمة]]="كاش اوت",
    IF(F19&lt;=100, 15, IF(F19&lt;=250, 20, IF(F19&lt;=500, 30, IF(F19&lt;=1000, 35, F19*0.035)))),
0)))</f>
        <v>0</v>
      </c>
      <c r="H19" s="159">
        <f>IF(I19="مخالفات",50,Basic345678910111213[[#This Row],[قيمة الرسوم / العموله]]+Basic345678910111213[[#This Row],[قيمة الشحنه]])</f>
        <v>0</v>
      </c>
      <c r="I19" s="90"/>
      <c r="J19" s="142" t="str">
        <f t="shared" si="0"/>
        <v>20.5.2026</v>
      </c>
      <c r="L19" s="153">
        <v>8</v>
      </c>
      <c r="M19" s="92"/>
    </row>
    <row r="20" spans="1:21" ht="21.6" x14ac:dyDescent="0.65">
      <c r="A20" s="195"/>
      <c r="B20" s="140">
        <v>17</v>
      </c>
      <c r="C20" s="2"/>
      <c r="D20" s="1"/>
      <c r="E20" s="3"/>
      <c r="F20" s="1"/>
      <c r="G20" s="141">
        <f>IF(Basic345678910111213[[#This Row],[نوع الخدمة]]="مخالفات", 50,
IF(Basic345678910111213[[#This Row],[نوع الخدمة]]="كاش ان",
    IF(F20&lt;=100, 18, IF(F20&lt;=250, 23, IF(F20&lt;=500, 35, IF(F20&lt;=1000, 40, F20*0.04)))),
IF(Basic345678910111213[[#This Row],[نوع الخدمة]]="كاش اوت",
    IF(F20&lt;=100, 15, IF(F20&lt;=250, 20, IF(F20&lt;=500, 30, IF(F20&lt;=1000, 35, F20*0.035)))),
0)))</f>
        <v>0</v>
      </c>
      <c r="H20" s="159">
        <f>IF(I20="مخالفات",50,Basic345678910111213[[#This Row],[قيمة الرسوم / العموله]]+Basic345678910111213[[#This Row],[قيمة الشحنه]])</f>
        <v>0</v>
      </c>
      <c r="I20" s="90"/>
      <c r="J20" s="142" t="str">
        <f t="shared" si="0"/>
        <v>20.5.2026</v>
      </c>
      <c r="L20" s="153">
        <v>9</v>
      </c>
      <c r="M20" s="92"/>
      <c r="O20" s="193" t="s">
        <v>30</v>
      </c>
      <c r="P20" s="194"/>
    </row>
    <row r="21" spans="1:21" ht="21.6" x14ac:dyDescent="0.65">
      <c r="A21" s="195"/>
      <c r="B21" s="144">
        <v>18</v>
      </c>
      <c r="C21" s="2"/>
      <c r="D21" s="1"/>
      <c r="E21" s="3"/>
      <c r="F21" s="1"/>
      <c r="G21" s="141">
        <f>IF(Basic345678910111213[[#This Row],[نوع الخدمة]]="مخالفات", 50,
IF(Basic345678910111213[[#This Row],[نوع الخدمة]]="كاش ان",
    IF(F21&lt;=100, 18, IF(F21&lt;=250, 23, IF(F21&lt;=500, 35, IF(F21&lt;=1000, 40, F21*0.04)))),
IF(Basic345678910111213[[#This Row],[نوع الخدمة]]="كاش اوت",
    IF(F21&lt;=100, 15, IF(F21&lt;=250, 20, IF(F21&lt;=500, 30, IF(F21&lt;=1000, 35, F21*0.035)))),
0)))</f>
        <v>0</v>
      </c>
      <c r="H21" s="159">
        <f>IF(I21="مخالفات",50,Basic345678910111213[[#This Row],[قيمة الرسوم / العموله]]+Basic345678910111213[[#This Row],[قيمة الشحنه]])</f>
        <v>0</v>
      </c>
      <c r="I21" s="90"/>
      <c r="J21" s="142" t="str">
        <f t="shared" si="0"/>
        <v>20.5.2026</v>
      </c>
      <c r="L21" s="153">
        <v>10</v>
      </c>
      <c r="M21" s="92"/>
      <c r="O21" s="196" t="s">
        <v>31</v>
      </c>
      <c r="P21" s="197"/>
    </row>
    <row r="22" spans="1:21" ht="21.6" x14ac:dyDescent="0.65">
      <c r="A22" s="195"/>
      <c r="B22" s="140">
        <v>19</v>
      </c>
      <c r="C22" s="2"/>
      <c r="D22" s="1"/>
      <c r="E22" s="3"/>
      <c r="F22" s="1"/>
      <c r="G22" s="141">
        <f>IF(Basic345678910111213[[#This Row],[نوع الخدمة]]="مخالفات", 50,
IF(Basic345678910111213[[#This Row],[نوع الخدمة]]="كاش ان",
    IF(F22&lt;=100, 18, IF(F22&lt;=250, 23, IF(F22&lt;=500, 35, IF(F22&lt;=1000, 40, F22*0.04)))),
IF(Basic345678910111213[[#This Row],[نوع الخدمة]]="كاش اوت",
    IF(F22&lt;=100, 15, IF(F22&lt;=250, 20, IF(F22&lt;=500, 30, IF(F22&lt;=1000, 35, F22*0.035)))),
0)))</f>
        <v>0</v>
      </c>
      <c r="H22" s="159">
        <f>IF(I22="مخالفات",50,Basic345678910111213[[#This Row],[قيمة الرسوم / العموله]]+Basic345678910111213[[#This Row],[قيمة الشحنه]])</f>
        <v>0</v>
      </c>
      <c r="I22" s="90"/>
      <c r="J22" s="142" t="str">
        <f t="shared" si="0"/>
        <v>20.5.2026</v>
      </c>
      <c r="L22" s="153">
        <v>11</v>
      </c>
      <c r="M22" s="92"/>
      <c r="O22" s="147" t="s">
        <v>27</v>
      </c>
      <c r="P22" s="135">
        <f>M8+'19'!P28</f>
        <v>-4</v>
      </c>
    </row>
    <row r="23" spans="1:21" ht="21.6" x14ac:dyDescent="0.65">
      <c r="A23" s="195"/>
      <c r="B23" s="140">
        <v>20</v>
      </c>
      <c r="C23" s="2"/>
      <c r="D23" s="1"/>
      <c r="E23" s="3"/>
      <c r="F23" s="1"/>
      <c r="G23" s="141">
        <f>IF(Basic345678910111213[[#This Row],[نوع الخدمة]]="مخالفات", 50,
IF(Basic345678910111213[[#This Row],[نوع الخدمة]]="كاش ان",
    IF(F23&lt;=100, 18, IF(F23&lt;=250, 23, IF(F23&lt;=500, 35, IF(F23&lt;=1000, 40, F23*0.04)))),
IF(Basic345678910111213[[#This Row],[نوع الخدمة]]="كاش اوت",
    IF(F23&lt;=100, 15, IF(F23&lt;=250, 20, IF(F23&lt;=500, 30, IF(F23&lt;=1000, 35, F23*0.035)))),
0)))</f>
        <v>0</v>
      </c>
      <c r="H23" s="159">
        <f>IF(I23="مخالفات",50,Basic345678910111213[[#This Row],[قيمة الرسوم / العموله]]+Basic345678910111213[[#This Row],[قيمة الشحنه]])</f>
        <v>0</v>
      </c>
      <c r="I23" s="90"/>
      <c r="J23" s="142" t="str">
        <f t="shared" si="0"/>
        <v>20.5.2026</v>
      </c>
      <c r="L23" s="153">
        <v>12</v>
      </c>
      <c r="M23" s="92"/>
      <c r="O23" s="147" t="s">
        <v>28</v>
      </c>
      <c r="P23" s="135">
        <f>M9+'19'!P29</f>
        <v>0</v>
      </c>
      <c r="T23" s="173"/>
      <c r="U23" s="173"/>
    </row>
    <row r="24" spans="1:21" ht="21.6" x14ac:dyDescent="0.65">
      <c r="A24" s="195"/>
      <c r="B24" s="140">
        <v>21</v>
      </c>
      <c r="C24" s="2"/>
      <c r="D24" s="1"/>
      <c r="E24" s="3"/>
      <c r="F24" s="1"/>
      <c r="G24" s="141">
        <f>IF(Basic345678910111213[[#This Row],[نوع الخدمة]]="مخالفات", 50,
IF(Basic345678910111213[[#This Row],[نوع الخدمة]]="كاش ان",
    IF(F24&lt;=100, 18, IF(F24&lt;=250, 23, IF(F24&lt;=500, 35, IF(F24&lt;=1000, 40, F24*0.04)))),
IF(Basic345678910111213[[#This Row],[نوع الخدمة]]="كاش اوت",
    IF(F24&lt;=100, 15, IF(F24&lt;=250, 20, IF(F24&lt;=500, 30, IF(F24&lt;=1000, 35, F24*0.035)))),
0)))</f>
        <v>0</v>
      </c>
      <c r="H24" s="159">
        <f>IF(I24="مخالفات",50,Basic345678910111213[[#This Row],[قيمة الرسوم / العموله]]+Basic345678910111213[[#This Row],[قيمة الشحنه]])</f>
        <v>0</v>
      </c>
      <c r="I24" s="90"/>
      <c r="J24" s="142" t="str">
        <f t="shared" si="0"/>
        <v>20.5.2026</v>
      </c>
      <c r="L24" s="153">
        <v>13</v>
      </c>
      <c r="M24" s="92"/>
      <c r="O24" s="196" t="s">
        <v>32</v>
      </c>
      <c r="P24" s="197"/>
    </row>
    <row r="25" spans="1:21" ht="21.6" x14ac:dyDescent="0.65">
      <c r="A25" s="195"/>
      <c r="B25" s="144">
        <v>22</v>
      </c>
      <c r="C25" s="2"/>
      <c r="D25" s="1"/>
      <c r="E25" s="3"/>
      <c r="F25" s="1"/>
      <c r="G25" s="141">
        <f>IF(Basic345678910111213[[#This Row],[نوع الخدمة]]="مخالفات", 50,
IF(Basic345678910111213[[#This Row],[نوع الخدمة]]="كاش ان",
    IF(F25&lt;=100, 18, IF(F25&lt;=250, 23, IF(F25&lt;=500, 35, IF(F25&lt;=1000, 40, F25*0.04)))),
IF(Basic345678910111213[[#This Row],[نوع الخدمة]]="كاش اوت",
    IF(F25&lt;=100, 15, IF(F25&lt;=250, 20, IF(F25&lt;=500, 30, IF(F25&lt;=1000, 35, F25*0.035)))),
0)))</f>
        <v>0</v>
      </c>
      <c r="H25" s="159">
        <f>IF(I25="مخالفات",50,Basic345678910111213[[#This Row],[قيمة الرسوم / العموله]]+Basic345678910111213[[#This Row],[قيمة الشحنه]])</f>
        <v>0</v>
      </c>
      <c r="I25" s="90"/>
      <c r="J25" s="142" t="str">
        <f t="shared" si="0"/>
        <v>20.5.2026</v>
      </c>
      <c r="L25" s="153">
        <v>14</v>
      </c>
      <c r="M25" s="92"/>
      <c r="O25" s="147" t="s">
        <v>27</v>
      </c>
      <c r="P25" s="135">
        <f>M5</f>
        <v>0</v>
      </c>
    </row>
    <row r="26" spans="1:21" ht="21.6" x14ac:dyDescent="0.65">
      <c r="A26" s="195"/>
      <c r="B26" s="140">
        <v>23</v>
      </c>
      <c r="C26" s="2"/>
      <c r="D26" s="1"/>
      <c r="E26" s="3"/>
      <c r="F26" s="1"/>
      <c r="G26" s="141">
        <f>IF(Basic345678910111213[[#This Row],[نوع الخدمة]]="مخالفات", 50,
IF(Basic345678910111213[[#This Row],[نوع الخدمة]]="كاش ان",
    IF(F26&lt;=100, 18, IF(F26&lt;=250, 23, IF(F26&lt;=500, 35, IF(F26&lt;=1000, 40, F26*0.04)))),
IF(Basic345678910111213[[#This Row],[نوع الخدمة]]="كاش اوت",
    IF(F26&lt;=100, 15, IF(F26&lt;=250, 20, IF(F26&lt;=500, 30, IF(F26&lt;=1000, 35, F26*0.035)))),
0)))</f>
        <v>0</v>
      </c>
      <c r="H26" s="159">
        <f>IF(I26="مخالفات",50,Basic345678910111213[[#This Row],[قيمة الرسوم / العموله]]+Basic345678910111213[[#This Row],[قيمة الشحنه]])</f>
        <v>0</v>
      </c>
      <c r="I26" s="90"/>
      <c r="J26" s="142" t="str">
        <f t="shared" si="0"/>
        <v>20.5.2026</v>
      </c>
      <c r="L26" s="153">
        <v>15</v>
      </c>
      <c r="M26" s="92"/>
      <c r="O26" s="147" t="s">
        <v>28</v>
      </c>
      <c r="P26" s="135">
        <f>M6</f>
        <v>0</v>
      </c>
    </row>
    <row r="27" spans="1:21" ht="21.6" x14ac:dyDescent="0.65">
      <c r="A27" s="195"/>
      <c r="B27" s="140">
        <v>24</v>
      </c>
      <c r="C27" s="2"/>
      <c r="D27" s="1"/>
      <c r="E27" s="3"/>
      <c r="F27" s="1"/>
      <c r="G27" s="141">
        <f>IF(Basic345678910111213[[#This Row],[نوع الخدمة]]="مخالفات", 50,
IF(Basic345678910111213[[#This Row],[نوع الخدمة]]="كاش ان",
    IF(F27&lt;=100, 18, IF(F27&lt;=250, 23, IF(F27&lt;=500, 35, IF(F27&lt;=1000, 40, F27*0.04)))),
IF(Basic345678910111213[[#This Row],[نوع الخدمة]]="كاش اوت",
    IF(F27&lt;=100, 15, IF(F27&lt;=250, 20, IF(F27&lt;=500, 30, IF(F27&lt;=1000, 35, F27*0.035)))),
0)))</f>
        <v>0</v>
      </c>
      <c r="H27" s="159">
        <f>IF(I27="مخالفات",50,Basic345678910111213[[#This Row],[قيمة الرسوم / العموله]]+Basic345678910111213[[#This Row],[قيمة الشحنه]])</f>
        <v>0</v>
      </c>
      <c r="I27" s="90"/>
      <c r="J27" s="142" t="str">
        <f t="shared" si="0"/>
        <v>20.5.2026</v>
      </c>
      <c r="L27" s="153">
        <v>16</v>
      </c>
      <c r="M27" s="92"/>
      <c r="O27" s="196" t="s">
        <v>33</v>
      </c>
      <c r="P27" s="197"/>
    </row>
    <row r="28" spans="1:21" ht="21.6" x14ac:dyDescent="0.65">
      <c r="A28" s="195"/>
      <c r="B28" s="140">
        <v>25</v>
      </c>
      <c r="C28" s="2"/>
      <c r="D28" s="1"/>
      <c r="E28" s="3"/>
      <c r="F28" s="1"/>
      <c r="G28" s="141">
        <f>IF(Basic345678910111213[[#This Row],[نوع الخدمة]]="مخالفات", 50,
IF(Basic345678910111213[[#This Row],[نوع الخدمة]]="كاش ان",
    IF(F28&lt;=100, 18, IF(F28&lt;=250, 23, IF(F28&lt;=500, 35, IF(F28&lt;=1000, 40, F28*0.04)))),
IF(Basic345678910111213[[#This Row],[نوع الخدمة]]="كاش اوت",
    IF(F28&lt;=100, 15, IF(F28&lt;=250, 20, IF(F28&lt;=500, 30, IF(F28&lt;=1000, 35, F28*0.035)))),
0)))</f>
        <v>0</v>
      </c>
      <c r="H28" s="159">
        <f>IF(I28="مخالفات",50,Basic345678910111213[[#This Row],[قيمة الرسوم / العموله]]+Basic345678910111213[[#This Row],[قيمة الشحنه]])</f>
        <v>0</v>
      </c>
      <c r="I28" s="90"/>
      <c r="J28" s="142" t="str">
        <f t="shared" si="0"/>
        <v>20.5.2026</v>
      </c>
      <c r="L28" s="153">
        <v>17</v>
      </c>
      <c r="M28" s="92"/>
      <c r="O28" s="147" t="s">
        <v>27</v>
      </c>
      <c r="P28" s="135">
        <f>P22-P25</f>
        <v>-4</v>
      </c>
    </row>
    <row r="29" spans="1:21" ht="21.6" x14ac:dyDescent="0.65">
      <c r="A29" s="195"/>
      <c r="B29" s="144">
        <v>26</v>
      </c>
      <c r="C29" s="2"/>
      <c r="D29" s="1"/>
      <c r="E29" s="3"/>
      <c r="F29" s="1"/>
      <c r="G29" s="141">
        <f>IF(Basic345678910111213[[#This Row],[نوع الخدمة]]="مخالفات", 50,
IF(Basic345678910111213[[#This Row],[نوع الخدمة]]="كاش ان",
    IF(F29&lt;=100, 18, IF(F29&lt;=250, 23, IF(F29&lt;=500, 35, IF(F29&lt;=1000, 40, F29*0.04)))),
IF(Basic345678910111213[[#This Row],[نوع الخدمة]]="كاش اوت",
    IF(F29&lt;=100, 15, IF(F29&lt;=250, 20, IF(F29&lt;=500, 30, IF(F29&lt;=1000, 35, F29*0.035)))),
0)))</f>
        <v>0</v>
      </c>
      <c r="H29" s="159">
        <f>IF(I29="مخالفات",50,Basic345678910111213[[#This Row],[قيمة الرسوم / العموله]]+Basic345678910111213[[#This Row],[قيمة الشحنه]])</f>
        <v>0</v>
      </c>
      <c r="I29" s="90"/>
      <c r="J29" s="142" t="str">
        <f t="shared" si="0"/>
        <v>20.5.2026</v>
      </c>
      <c r="L29" s="153">
        <v>18</v>
      </c>
      <c r="M29" s="92"/>
      <c r="O29" s="147" t="s">
        <v>28</v>
      </c>
      <c r="P29" s="135">
        <f>P23-P26</f>
        <v>0</v>
      </c>
    </row>
    <row r="30" spans="1:21" ht="21.6" x14ac:dyDescent="0.65">
      <c r="A30" s="195"/>
      <c r="B30" s="140">
        <v>27</v>
      </c>
      <c r="C30" s="2"/>
      <c r="D30" s="1"/>
      <c r="E30" s="3"/>
      <c r="F30" s="1"/>
      <c r="G30" s="141">
        <f>IF(Basic345678910111213[[#This Row],[نوع الخدمة]]="مخالفات", 50,
IF(Basic345678910111213[[#This Row],[نوع الخدمة]]="كاش ان",
    IF(F30&lt;=100, 18, IF(F30&lt;=250, 23, IF(F30&lt;=500, 35, IF(F30&lt;=1000, 40, F30*0.04)))),
IF(Basic345678910111213[[#This Row],[نوع الخدمة]]="كاش اوت",
    IF(F30&lt;=100, 15, IF(F30&lt;=250, 20, IF(F30&lt;=500, 30, IF(F30&lt;=1000, 35, F30*0.035)))),
0)))</f>
        <v>0</v>
      </c>
      <c r="H30" s="159">
        <f>IF(I30="مخالفات",50,Basic345678910111213[[#This Row],[قيمة الرسوم / العموله]]+Basic345678910111213[[#This Row],[قيمة الشحنه]])</f>
        <v>0</v>
      </c>
      <c r="I30" s="90"/>
      <c r="J30" s="142" t="str">
        <f t="shared" si="0"/>
        <v>20.5.2026</v>
      </c>
      <c r="L30" s="153">
        <v>19</v>
      </c>
      <c r="M30" s="92"/>
    </row>
    <row r="31" spans="1:21" ht="21.6" x14ac:dyDescent="0.65">
      <c r="A31" s="195"/>
      <c r="B31" s="140">
        <v>28</v>
      </c>
      <c r="C31" s="2"/>
      <c r="D31" s="1"/>
      <c r="E31" s="3"/>
      <c r="F31" s="1"/>
      <c r="G31" s="141">
        <f>IF(Basic345678910111213[[#This Row],[نوع الخدمة]]="مخالفات", 50,
IF(Basic345678910111213[[#This Row],[نوع الخدمة]]="كاش ان",
    IF(F31&lt;=100, 18, IF(F31&lt;=250, 23, IF(F31&lt;=500, 35, IF(F31&lt;=1000, 40, F31*0.04)))),
IF(Basic345678910111213[[#This Row],[نوع الخدمة]]="كاش اوت",
    IF(F31&lt;=100, 15, IF(F31&lt;=250, 20, IF(F31&lt;=500, 30, IF(F31&lt;=1000, 35, F31*0.035)))),
0)))</f>
        <v>0</v>
      </c>
      <c r="H31" s="159">
        <f>IF(I31="مخالفات",50,Basic345678910111213[[#This Row],[قيمة الرسوم / العموله]]+Basic345678910111213[[#This Row],[قيمة الشحنه]])</f>
        <v>0</v>
      </c>
      <c r="I31" s="90"/>
      <c r="J31" s="142" t="str">
        <f t="shared" si="0"/>
        <v>20.5.2026</v>
      </c>
      <c r="L31" s="153">
        <v>20</v>
      </c>
      <c r="M31" s="92"/>
    </row>
    <row r="32" spans="1:21" ht="21.6" x14ac:dyDescent="0.65">
      <c r="A32" s="195"/>
      <c r="B32" s="140">
        <v>29</v>
      </c>
      <c r="C32" s="2"/>
      <c r="D32" s="1"/>
      <c r="E32" s="3"/>
      <c r="F32" s="1"/>
      <c r="G32" s="141">
        <f>IF(Basic345678910111213[[#This Row],[نوع الخدمة]]="مخالفات", 50,
IF(Basic345678910111213[[#This Row],[نوع الخدمة]]="كاش ان",
    IF(F32&lt;=100, 18, IF(F32&lt;=250, 23, IF(F32&lt;=500, 35, IF(F32&lt;=1000, 40, F32*0.04)))),
IF(Basic345678910111213[[#This Row],[نوع الخدمة]]="كاش اوت",
    IF(F32&lt;=100, 15, IF(F32&lt;=250, 20, IF(F32&lt;=500, 30, IF(F32&lt;=1000, 35, F32*0.035)))),
0)))</f>
        <v>0</v>
      </c>
      <c r="H32" s="159">
        <f>IF(I32="مخالفات",50,Basic345678910111213[[#This Row],[قيمة الرسوم / العموله]]+Basic345678910111213[[#This Row],[قيمة الشحنه]])</f>
        <v>0</v>
      </c>
      <c r="I32" s="90"/>
      <c r="J32" s="142" t="str">
        <f t="shared" si="0"/>
        <v>20.5.2026</v>
      </c>
      <c r="L32" s="153">
        <v>21</v>
      </c>
      <c r="M32" s="92"/>
    </row>
    <row r="33" spans="1:13" ht="21.6" x14ac:dyDescent="0.65">
      <c r="A33" s="195"/>
      <c r="B33" s="144">
        <v>30</v>
      </c>
      <c r="C33" s="2"/>
      <c r="D33" s="1"/>
      <c r="E33" s="3"/>
      <c r="F33" s="1"/>
      <c r="G33" s="141">
        <f>IF(Basic345678910111213[[#This Row],[نوع الخدمة]]="مخالفات", 50,
IF(Basic345678910111213[[#This Row],[نوع الخدمة]]="كاش ان",
    IF(F33&lt;=100, 18, IF(F33&lt;=250, 23, IF(F33&lt;=500, 35, IF(F33&lt;=1000, 40, F33*0.04)))),
IF(Basic345678910111213[[#This Row],[نوع الخدمة]]="كاش اوت",
    IF(F33&lt;=100, 15, IF(F33&lt;=250, 20, IF(F33&lt;=500, 30, IF(F33&lt;=1000, 35, F33*0.035)))),
0)))</f>
        <v>0</v>
      </c>
      <c r="H33" s="159">
        <f>IF(I33="مخالفات",50,Basic345678910111213[[#This Row],[قيمة الرسوم / العموله]]+Basic345678910111213[[#This Row],[قيمة الشحنه]])</f>
        <v>0</v>
      </c>
      <c r="I33" s="90"/>
      <c r="J33" s="142" t="str">
        <f t="shared" si="0"/>
        <v>20.5.2026</v>
      </c>
      <c r="L33" s="153">
        <v>22</v>
      </c>
      <c r="M33" s="92"/>
    </row>
    <row r="34" spans="1:13" ht="21.6" x14ac:dyDescent="0.65">
      <c r="A34" s="195"/>
      <c r="B34" s="140">
        <v>31</v>
      </c>
      <c r="C34" s="2"/>
      <c r="D34" s="1"/>
      <c r="E34" s="3"/>
      <c r="F34" s="1"/>
      <c r="G34" s="141">
        <f>IF(Basic345678910111213[[#This Row],[نوع الخدمة]]="مخالفات", 50,
IF(Basic345678910111213[[#This Row],[نوع الخدمة]]="كاش ان",
    IF(F34&lt;=100, 18, IF(F34&lt;=250, 23, IF(F34&lt;=500, 35, IF(F34&lt;=1000, 40, F34*0.04)))),
IF(Basic345678910111213[[#This Row],[نوع الخدمة]]="كاش اوت",
    IF(F34&lt;=100, 15, IF(F34&lt;=250, 20, IF(F34&lt;=500, 30, IF(F34&lt;=1000, 35, F34*0.035)))),
0)))</f>
        <v>0</v>
      </c>
      <c r="H34" s="159">
        <f>IF(I34="مخالفات",50,Basic345678910111213[[#This Row],[قيمة الرسوم / العموله]]+Basic345678910111213[[#This Row],[قيمة الشحنه]])</f>
        <v>0</v>
      </c>
      <c r="I34" s="90"/>
      <c r="J34" s="142" t="str">
        <f t="shared" si="0"/>
        <v>20.5.2026</v>
      </c>
      <c r="L34" s="153">
        <v>23</v>
      </c>
      <c r="M34" s="92"/>
    </row>
    <row r="35" spans="1:13" ht="21.6" x14ac:dyDescent="0.65">
      <c r="A35" s="195"/>
      <c r="B35" s="140">
        <v>32</v>
      </c>
      <c r="C35" s="2"/>
      <c r="D35" s="1"/>
      <c r="E35" s="3"/>
      <c r="F35" s="1"/>
      <c r="G35" s="141">
        <f>IF(Basic345678910111213[[#This Row],[نوع الخدمة]]="مخالفات", 50,
IF(Basic345678910111213[[#This Row],[نوع الخدمة]]="كاش ان",
    IF(F35&lt;=100, 18, IF(F35&lt;=250, 23, IF(F35&lt;=500, 35, IF(F35&lt;=1000, 40, F35*0.04)))),
IF(Basic345678910111213[[#This Row],[نوع الخدمة]]="كاش اوت",
    IF(F35&lt;=100, 15, IF(F35&lt;=250, 20, IF(F35&lt;=500, 30, IF(F35&lt;=1000, 35, F35*0.035)))),
0)))</f>
        <v>0</v>
      </c>
      <c r="H35" s="159">
        <f>IF(I35="مخالفات",50,Basic345678910111213[[#This Row],[قيمة الرسوم / العموله]]+Basic345678910111213[[#This Row],[قيمة الشحنه]])</f>
        <v>0</v>
      </c>
      <c r="I35" s="90"/>
      <c r="J35" s="142" t="str">
        <f t="shared" si="0"/>
        <v>20.5.2026</v>
      </c>
      <c r="L35" s="153">
        <v>24</v>
      </c>
      <c r="M35" s="92"/>
    </row>
    <row r="36" spans="1:13" ht="21.6" x14ac:dyDescent="0.65">
      <c r="A36" s="195"/>
      <c r="B36" s="140">
        <v>33</v>
      </c>
      <c r="C36" s="2"/>
      <c r="D36" s="1"/>
      <c r="E36" s="3"/>
      <c r="F36" s="1"/>
      <c r="G36" s="141">
        <f>IF(Basic345678910111213[[#This Row],[نوع الخدمة]]="مخالفات", 50,
IF(Basic345678910111213[[#This Row],[نوع الخدمة]]="كاش ان",
    IF(F36&lt;=100, 18, IF(F36&lt;=250, 23, IF(F36&lt;=500, 35, IF(F36&lt;=1000, 40, F36*0.04)))),
IF(Basic345678910111213[[#This Row],[نوع الخدمة]]="كاش اوت",
    IF(F36&lt;=100, 15, IF(F36&lt;=250, 20, IF(F36&lt;=500, 30, IF(F36&lt;=1000, 35, F36*0.035)))),
0)))</f>
        <v>0</v>
      </c>
      <c r="H36" s="159">
        <f>IF(I36="مخالفات",50,Basic345678910111213[[#This Row],[قيمة الرسوم / العموله]]+Basic345678910111213[[#This Row],[قيمة الشحنه]])</f>
        <v>0</v>
      </c>
      <c r="I36" s="90"/>
      <c r="J36" s="142" t="str">
        <f t="shared" si="0"/>
        <v>20.5.2026</v>
      </c>
      <c r="L36" s="153">
        <v>25</v>
      </c>
      <c r="M36" s="92"/>
    </row>
    <row r="37" spans="1:13" ht="21.6" x14ac:dyDescent="0.65">
      <c r="A37" s="195"/>
      <c r="B37" s="144">
        <v>34</v>
      </c>
      <c r="C37" s="2"/>
      <c r="D37" s="1"/>
      <c r="E37" s="3"/>
      <c r="F37" s="1"/>
      <c r="G37" s="141">
        <f>IF(Basic345678910111213[[#This Row],[نوع الخدمة]]="مخالفات", 50,
IF(Basic345678910111213[[#This Row],[نوع الخدمة]]="كاش ان",
    IF(F37&lt;=100, 18, IF(F37&lt;=250, 23, IF(F37&lt;=500, 35, IF(F37&lt;=1000, 40, F37*0.04)))),
IF(Basic345678910111213[[#This Row],[نوع الخدمة]]="كاش اوت",
    IF(F37&lt;=100, 15, IF(F37&lt;=250, 20, IF(F37&lt;=500, 30, IF(F37&lt;=1000, 35, F37*0.035)))),
0)))</f>
        <v>0</v>
      </c>
      <c r="H37" s="159">
        <f>IF(I37="مخالفات",50,Basic345678910111213[[#This Row],[قيمة الرسوم / العموله]]+Basic345678910111213[[#This Row],[قيمة الشحنه]])</f>
        <v>0</v>
      </c>
      <c r="I37" s="90"/>
      <c r="J37" s="142" t="str">
        <f t="shared" si="0"/>
        <v>20.5.2026</v>
      </c>
      <c r="L37" s="153">
        <v>26</v>
      </c>
      <c r="M37" s="92"/>
    </row>
    <row r="38" spans="1:13" ht="21.6" x14ac:dyDescent="0.65">
      <c r="A38" s="195"/>
      <c r="B38" s="140">
        <v>35</v>
      </c>
      <c r="C38" s="2"/>
      <c r="D38" s="1"/>
      <c r="E38" s="3"/>
      <c r="F38" s="1"/>
      <c r="G38" s="141">
        <f>IF(Basic345678910111213[[#This Row],[نوع الخدمة]]="مخالفات", 50,
IF(Basic345678910111213[[#This Row],[نوع الخدمة]]="كاش ان",
    IF(F38&lt;=100, 18, IF(F38&lt;=250, 23, IF(F38&lt;=500, 35, IF(F38&lt;=1000, 40, F38*0.04)))),
IF(Basic345678910111213[[#This Row],[نوع الخدمة]]="كاش اوت",
    IF(F38&lt;=100, 15, IF(F38&lt;=250, 20, IF(F38&lt;=500, 30, IF(F38&lt;=1000, 35, F38*0.035)))),
0)))</f>
        <v>0</v>
      </c>
      <c r="H38" s="159">
        <f>IF(I38="مخالفات",50,Basic345678910111213[[#This Row],[قيمة الرسوم / العموله]]+Basic345678910111213[[#This Row],[قيمة الشحنه]])</f>
        <v>0</v>
      </c>
      <c r="I38" s="90"/>
      <c r="J38" s="142" t="str">
        <f t="shared" si="0"/>
        <v>20.5.2026</v>
      </c>
      <c r="L38" s="153">
        <v>27</v>
      </c>
      <c r="M38" s="92"/>
    </row>
    <row r="39" spans="1:13" ht="21.6" x14ac:dyDescent="0.65">
      <c r="A39" s="195"/>
      <c r="B39" s="140">
        <v>36</v>
      </c>
      <c r="C39" s="2"/>
      <c r="D39" s="1"/>
      <c r="E39" s="3"/>
      <c r="F39" s="1"/>
      <c r="G39" s="141">
        <f>IF(Basic345678910111213[[#This Row],[نوع الخدمة]]="مخالفات", 50,
IF(Basic345678910111213[[#This Row],[نوع الخدمة]]="كاش ان",
    IF(F39&lt;=100, 18, IF(F39&lt;=250, 23, IF(F39&lt;=500, 35, IF(F39&lt;=1000, 40, F39*0.04)))),
IF(Basic345678910111213[[#This Row],[نوع الخدمة]]="كاش اوت",
    IF(F39&lt;=100, 15, IF(F39&lt;=250, 20, IF(F39&lt;=500, 30, IF(F39&lt;=1000, 35, F39*0.035)))),
0)))</f>
        <v>0</v>
      </c>
      <c r="H39" s="159">
        <f>IF(I39="مخالفات",50,Basic345678910111213[[#This Row],[قيمة الرسوم / العموله]]+Basic345678910111213[[#This Row],[قيمة الشحنه]])</f>
        <v>0</v>
      </c>
      <c r="I39" s="90"/>
      <c r="J39" s="142" t="str">
        <f t="shared" si="0"/>
        <v>20.5.2026</v>
      </c>
      <c r="L39" s="153">
        <v>28</v>
      </c>
      <c r="M39" s="92"/>
    </row>
    <row r="40" spans="1:13" ht="21.6" x14ac:dyDescent="0.65">
      <c r="A40" s="195"/>
      <c r="B40" s="140">
        <v>37</v>
      </c>
      <c r="C40" s="2"/>
      <c r="D40" s="1"/>
      <c r="E40" s="3"/>
      <c r="F40" s="1"/>
      <c r="G40" s="141">
        <f>IF(Basic345678910111213[[#This Row],[نوع الخدمة]]="مخالفات", 50,
IF(Basic345678910111213[[#This Row],[نوع الخدمة]]="كاش ان",
    IF(F40&lt;=100, 18, IF(F40&lt;=250, 23, IF(F40&lt;=500, 35, IF(F40&lt;=1000, 40, F40*0.04)))),
IF(Basic345678910111213[[#This Row],[نوع الخدمة]]="كاش اوت",
    IF(F40&lt;=100, 15, IF(F40&lt;=250, 20, IF(F40&lt;=500, 30, IF(F40&lt;=1000, 35, F40*0.035)))),
0)))</f>
        <v>0</v>
      </c>
      <c r="H40" s="159">
        <f>IF(I40="مخالفات",50,Basic345678910111213[[#This Row],[قيمة الرسوم / العموله]]+Basic345678910111213[[#This Row],[قيمة الشحنه]])</f>
        <v>0</v>
      </c>
      <c r="I40" s="90"/>
      <c r="J40" s="142" t="str">
        <f t="shared" si="0"/>
        <v>20.5.2026</v>
      </c>
      <c r="L40" s="153">
        <v>29</v>
      </c>
      <c r="M40" s="92"/>
    </row>
    <row r="41" spans="1:13" ht="21.6" x14ac:dyDescent="0.65">
      <c r="A41" s="195"/>
      <c r="B41" s="144">
        <v>38</v>
      </c>
      <c r="C41" s="2"/>
      <c r="D41" s="1"/>
      <c r="E41" s="3"/>
      <c r="F41" s="1"/>
      <c r="G41" s="141">
        <f>IF(Basic345678910111213[[#This Row],[نوع الخدمة]]="مخالفات", 50,
IF(Basic345678910111213[[#This Row],[نوع الخدمة]]="كاش ان",
    IF(F41&lt;=100, 18, IF(F41&lt;=250, 23, IF(F41&lt;=500, 35, IF(F41&lt;=1000, 40, F41*0.04)))),
IF(Basic345678910111213[[#This Row],[نوع الخدمة]]="كاش اوت",
    IF(F41&lt;=100, 15, IF(F41&lt;=250, 20, IF(F41&lt;=500, 30, IF(F41&lt;=1000, 35, F41*0.035)))),
0)))</f>
        <v>0</v>
      </c>
      <c r="H41" s="159">
        <f>IF(I41="مخالفات",50,Basic345678910111213[[#This Row],[قيمة الرسوم / العموله]]+Basic345678910111213[[#This Row],[قيمة الشحنه]])</f>
        <v>0</v>
      </c>
      <c r="I41" s="90"/>
      <c r="J41" s="142" t="str">
        <f t="shared" si="0"/>
        <v>20.5.2026</v>
      </c>
      <c r="L41" s="153">
        <v>30</v>
      </c>
      <c r="M41" s="92"/>
    </row>
    <row r="42" spans="1:13" ht="21.6" x14ac:dyDescent="0.65">
      <c r="A42" s="195"/>
      <c r="B42" s="140">
        <v>39</v>
      </c>
      <c r="C42" s="2"/>
      <c r="D42" s="1"/>
      <c r="E42" s="3"/>
      <c r="F42" s="1"/>
      <c r="G42" s="141">
        <f>IF(Basic345678910111213[[#This Row],[نوع الخدمة]]="مخالفات", 50,
IF(Basic345678910111213[[#This Row],[نوع الخدمة]]="كاش ان",
    IF(F42&lt;=100, 18, IF(F42&lt;=250, 23, IF(F42&lt;=500, 35, IF(F42&lt;=1000, 40, F42*0.04)))),
IF(Basic345678910111213[[#This Row],[نوع الخدمة]]="كاش اوت",
    IF(F42&lt;=100, 15, IF(F42&lt;=250, 20, IF(F42&lt;=500, 30, IF(F42&lt;=1000, 35, F42*0.035)))),
0)))</f>
        <v>0</v>
      </c>
      <c r="H42" s="159">
        <f>IF(I42="مخالفات",50,Basic345678910111213[[#This Row],[قيمة الرسوم / العموله]]+Basic345678910111213[[#This Row],[قيمة الشحنه]])</f>
        <v>0</v>
      </c>
      <c r="I42" s="90"/>
      <c r="J42" s="142" t="str">
        <f t="shared" si="0"/>
        <v>20.5.2026</v>
      </c>
      <c r="L42" s="153">
        <v>31</v>
      </c>
      <c r="M42" s="92"/>
    </row>
    <row r="43" spans="1:13" ht="21.6" x14ac:dyDescent="0.65">
      <c r="A43" s="195"/>
      <c r="B43" s="140">
        <v>40</v>
      </c>
      <c r="C43" s="2"/>
      <c r="D43" s="1"/>
      <c r="E43" s="3"/>
      <c r="F43" s="1"/>
      <c r="G43" s="141">
        <f>IF(Basic345678910111213[[#This Row],[نوع الخدمة]]="مخالفات", 50,
IF(Basic345678910111213[[#This Row],[نوع الخدمة]]="كاش ان",
    IF(F43&lt;=100, 18, IF(F43&lt;=250, 23, IF(F43&lt;=500, 35, IF(F43&lt;=1000, 40, F43*0.04)))),
IF(Basic345678910111213[[#This Row],[نوع الخدمة]]="كاش اوت",
    IF(F43&lt;=100, 15, IF(F43&lt;=250, 20, IF(F43&lt;=500, 30, IF(F43&lt;=1000, 35, F43*0.035)))),
0)))</f>
        <v>0</v>
      </c>
      <c r="H43" s="159">
        <f>IF(I43="مخالفات",50,Basic345678910111213[[#This Row],[قيمة الرسوم / العموله]]+Basic345678910111213[[#This Row],[قيمة الشحنه]])</f>
        <v>0</v>
      </c>
      <c r="I43" s="90"/>
      <c r="J43" s="142" t="str">
        <f t="shared" si="0"/>
        <v>20.5.2026</v>
      </c>
      <c r="L43" s="153">
        <v>32</v>
      </c>
      <c r="M43" s="92"/>
    </row>
    <row r="44" spans="1:13" ht="21.6" x14ac:dyDescent="0.65">
      <c r="A44" s="195"/>
      <c r="B44" s="140">
        <v>41</v>
      </c>
      <c r="C44" s="2"/>
      <c r="D44" s="1"/>
      <c r="E44" s="3"/>
      <c r="F44" s="1"/>
      <c r="G44" s="141">
        <f>IF(Basic345678910111213[[#This Row],[نوع الخدمة]]="مخالفات", 50,
IF(Basic345678910111213[[#This Row],[نوع الخدمة]]="كاش ان",
    IF(F44&lt;=100, 18, IF(F44&lt;=250, 23, IF(F44&lt;=500, 35, IF(F44&lt;=1000, 40, F44*0.04)))),
IF(Basic345678910111213[[#This Row],[نوع الخدمة]]="كاش اوت",
    IF(F44&lt;=100, 15, IF(F44&lt;=250, 20, IF(F44&lt;=500, 30, IF(F44&lt;=1000, 35, F44*0.035)))),
0)))</f>
        <v>0</v>
      </c>
      <c r="H44" s="159">
        <f>IF(I44="مخالفات",50,Basic345678910111213[[#This Row],[قيمة الرسوم / العموله]]+Basic345678910111213[[#This Row],[قيمة الشحنه]])</f>
        <v>0</v>
      </c>
      <c r="I44" s="90"/>
      <c r="J44" s="142" t="str">
        <f t="shared" si="0"/>
        <v>20.5.2026</v>
      </c>
      <c r="L44" s="153">
        <v>33</v>
      </c>
      <c r="M44" s="92"/>
    </row>
    <row r="45" spans="1:13" ht="21.6" x14ac:dyDescent="0.65">
      <c r="A45" s="195"/>
      <c r="B45" s="144">
        <v>42</v>
      </c>
      <c r="C45" s="2"/>
      <c r="D45" s="1"/>
      <c r="E45" s="3"/>
      <c r="F45" s="1"/>
      <c r="G45" s="141">
        <f>IF(Basic345678910111213[[#This Row],[نوع الخدمة]]="مخالفات", 50,
IF(Basic345678910111213[[#This Row],[نوع الخدمة]]="كاش ان",
    IF(F45&lt;=100, 18, IF(F45&lt;=250, 23, IF(F45&lt;=500, 35, IF(F45&lt;=1000, 40, F45*0.04)))),
IF(Basic345678910111213[[#This Row],[نوع الخدمة]]="كاش اوت",
    IF(F45&lt;=100, 15, IF(F45&lt;=250, 20, IF(F45&lt;=500, 30, IF(F45&lt;=1000, 35, F45*0.035)))),
0)))</f>
        <v>0</v>
      </c>
      <c r="H45" s="159">
        <f>IF(I45="مخالفات",50,Basic345678910111213[[#This Row],[قيمة الرسوم / العموله]]+Basic345678910111213[[#This Row],[قيمة الشحنه]])</f>
        <v>0</v>
      </c>
      <c r="I45" s="90"/>
      <c r="J45" s="142" t="str">
        <f t="shared" si="0"/>
        <v>20.5.2026</v>
      </c>
      <c r="L45" s="153">
        <v>34</v>
      </c>
      <c r="M45" s="92"/>
    </row>
    <row r="46" spans="1:13" ht="21.6" x14ac:dyDescent="0.65">
      <c r="A46" s="195"/>
      <c r="B46" s="140">
        <v>43</v>
      </c>
      <c r="C46" s="2"/>
      <c r="D46" s="1"/>
      <c r="E46" s="3"/>
      <c r="F46" s="1"/>
      <c r="G46" s="141">
        <f>IF(Basic345678910111213[[#This Row],[نوع الخدمة]]="مخالفات", 50,
IF(Basic345678910111213[[#This Row],[نوع الخدمة]]="كاش ان",
    IF(F46&lt;=100, 18, IF(F46&lt;=250, 23, IF(F46&lt;=500, 35, IF(F46&lt;=1000, 40, F46*0.04)))),
IF(Basic345678910111213[[#This Row],[نوع الخدمة]]="كاش اوت",
    IF(F46&lt;=100, 15, IF(F46&lt;=250, 20, IF(F46&lt;=500, 30, IF(F46&lt;=1000, 35, F46*0.035)))),
0)))</f>
        <v>0</v>
      </c>
      <c r="H46" s="159">
        <f>IF(I46="مخالفات",50,Basic345678910111213[[#This Row],[قيمة الرسوم / العموله]]+Basic345678910111213[[#This Row],[قيمة الشحنه]])</f>
        <v>0</v>
      </c>
      <c r="I46" s="90"/>
      <c r="J46" s="142" t="str">
        <f t="shared" si="0"/>
        <v>20.5.2026</v>
      </c>
      <c r="L46" s="153">
        <v>35</v>
      </c>
      <c r="M46" s="92"/>
    </row>
    <row r="47" spans="1:13" ht="21.6" x14ac:dyDescent="0.65">
      <c r="A47" s="195"/>
      <c r="B47" s="140">
        <v>44</v>
      </c>
      <c r="C47" s="2"/>
      <c r="D47" s="1"/>
      <c r="E47" s="3"/>
      <c r="F47" s="1"/>
      <c r="G47" s="141">
        <f>IF(Basic345678910111213[[#This Row],[نوع الخدمة]]="مخالفات", 50,
IF(Basic345678910111213[[#This Row],[نوع الخدمة]]="كاش ان",
    IF(F47&lt;=100, 18, IF(F47&lt;=250, 23, IF(F47&lt;=500, 35, IF(F47&lt;=1000, 40, F47*0.04)))),
IF(Basic345678910111213[[#This Row],[نوع الخدمة]]="كاش اوت",
    IF(F47&lt;=100, 15, IF(F47&lt;=250, 20, IF(F47&lt;=500, 30, IF(F47&lt;=1000, 35, F47*0.035)))),
0)))</f>
        <v>0</v>
      </c>
      <c r="H47" s="159">
        <f>IF(I47="مخالفات",50,Basic345678910111213[[#This Row],[قيمة الرسوم / العموله]]+Basic345678910111213[[#This Row],[قيمة الشحنه]])</f>
        <v>0</v>
      </c>
      <c r="I47" s="90"/>
      <c r="J47" s="142" t="str">
        <f t="shared" si="0"/>
        <v>20.5.2026</v>
      </c>
      <c r="L47" s="153">
        <v>36</v>
      </c>
      <c r="M47" s="92"/>
    </row>
    <row r="48" spans="1:13" ht="21.6" x14ac:dyDescent="0.65">
      <c r="A48" s="195"/>
      <c r="B48" s="140">
        <v>45</v>
      </c>
      <c r="C48" s="2"/>
      <c r="D48" s="1"/>
      <c r="E48" s="3"/>
      <c r="F48" s="1"/>
      <c r="G48" s="141">
        <f>IF(Basic345678910111213[[#This Row],[نوع الخدمة]]="مخالفات", 50,
IF(Basic345678910111213[[#This Row],[نوع الخدمة]]="كاش ان",
    IF(F48&lt;=100, 18, IF(F48&lt;=250, 23, IF(F48&lt;=500, 35, IF(F48&lt;=1000, 40, F48*0.04)))),
IF(Basic345678910111213[[#This Row],[نوع الخدمة]]="كاش اوت",
    IF(F48&lt;=100, 15, IF(F48&lt;=250, 20, IF(F48&lt;=500, 30, IF(F48&lt;=1000, 35, F48*0.035)))),
0)))</f>
        <v>0</v>
      </c>
      <c r="H48" s="159">
        <f>IF(I48="مخالفات",50,Basic345678910111213[[#This Row],[قيمة الرسوم / العموله]]+Basic345678910111213[[#This Row],[قيمة الشحنه]])</f>
        <v>0</v>
      </c>
      <c r="I48" s="90"/>
      <c r="J48" s="142" t="str">
        <f t="shared" si="0"/>
        <v>20.5.2026</v>
      </c>
      <c r="L48" s="153">
        <v>37</v>
      </c>
      <c r="M48" s="92"/>
    </row>
    <row r="49" spans="1:13" ht="21.6" x14ac:dyDescent="0.65">
      <c r="A49" s="195"/>
      <c r="B49" s="144">
        <v>46</v>
      </c>
      <c r="C49" s="2"/>
      <c r="D49" s="1"/>
      <c r="E49" s="3"/>
      <c r="F49" s="1"/>
      <c r="G49" s="141">
        <f>IF(Basic345678910111213[[#This Row],[نوع الخدمة]]="مخالفات", 50,
IF(Basic345678910111213[[#This Row],[نوع الخدمة]]="كاش ان",
    IF(F49&lt;=100, 18, IF(F49&lt;=250, 23, IF(F49&lt;=500, 35, IF(F49&lt;=1000, 40, F49*0.04)))),
IF(Basic345678910111213[[#This Row],[نوع الخدمة]]="كاش اوت",
    IF(F49&lt;=100, 15, IF(F49&lt;=250, 20, IF(F49&lt;=500, 30, IF(F49&lt;=1000, 35, F49*0.035)))),
0)))</f>
        <v>0</v>
      </c>
      <c r="H49" s="159">
        <f>IF(I49="مخالفات",50,Basic345678910111213[[#This Row],[قيمة الرسوم / العموله]]+Basic345678910111213[[#This Row],[قيمة الشحنه]])</f>
        <v>0</v>
      </c>
      <c r="I49" s="90"/>
      <c r="J49" s="142" t="str">
        <f t="shared" si="0"/>
        <v>20.5.2026</v>
      </c>
      <c r="L49" s="153">
        <v>38</v>
      </c>
      <c r="M49" s="92"/>
    </row>
    <row r="50" spans="1:13" ht="21.6" x14ac:dyDescent="0.65">
      <c r="A50" s="195"/>
      <c r="B50" s="140">
        <v>47</v>
      </c>
      <c r="C50" s="2"/>
      <c r="D50" s="1"/>
      <c r="E50" s="3"/>
      <c r="F50" s="1"/>
      <c r="G50" s="141">
        <f>IF(Basic345678910111213[[#This Row],[نوع الخدمة]]="مخالفات", 50,
IF(Basic345678910111213[[#This Row],[نوع الخدمة]]="كاش ان",
    IF(F50&lt;=100, 18, IF(F50&lt;=250, 23, IF(F50&lt;=500, 35, IF(F50&lt;=1000, 40, F50*0.04)))),
IF(Basic345678910111213[[#This Row],[نوع الخدمة]]="كاش اوت",
    IF(F50&lt;=100, 15, IF(F50&lt;=250, 20, IF(F50&lt;=500, 30, IF(F50&lt;=1000, 35, F50*0.035)))),
0)))</f>
        <v>0</v>
      </c>
      <c r="H50" s="159">
        <f>IF(I50="مخالفات",50,Basic345678910111213[[#This Row],[قيمة الرسوم / العموله]]+Basic345678910111213[[#This Row],[قيمة الشحنه]])</f>
        <v>0</v>
      </c>
      <c r="I50" s="90"/>
      <c r="J50" s="142" t="str">
        <f t="shared" si="0"/>
        <v>20.5.2026</v>
      </c>
      <c r="L50" s="153">
        <v>39</v>
      </c>
      <c r="M50" s="92"/>
    </row>
    <row r="51" spans="1:13" ht="21.6" x14ac:dyDescent="0.65">
      <c r="A51" s="195"/>
      <c r="B51" s="140">
        <v>48</v>
      </c>
      <c r="C51" s="2"/>
      <c r="D51" s="1"/>
      <c r="E51" s="3"/>
      <c r="F51" s="1"/>
      <c r="G51" s="141">
        <f>IF(Basic345678910111213[[#This Row],[نوع الخدمة]]="مخالفات", 50,
IF(Basic345678910111213[[#This Row],[نوع الخدمة]]="كاش ان",
    IF(F51&lt;=100, 18, IF(F51&lt;=250, 23, IF(F51&lt;=500, 35, IF(F51&lt;=1000, 40, F51*0.04)))),
IF(Basic345678910111213[[#This Row],[نوع الخدمة]]="كاش اوت",
    IF(F51&lt;=100, 15, IF(F51&lt;=250, 20, IF(F51&lt;=500, 30, IF(F51&lt;=1000, 35, F51*0.035)))),
0)))</f>
        <v>0</v>
      </c>
      <c r="H51" s="159">
        <f>IF(I51="مخالفات",50,Basic345678910111213[[#This Row],[قيمة الرسوم / العموله]]+Basic345678910111213[[#This Row],[قيمة الشحنه]])</f>
        <v>0</v>
      </c>
      <c r="I51" s="90"/>
      <c r="J51" s="142" t="str">
        <f t="shared" si="0"/>
        <v>20.5.2026</v>
      </c>
      <c r="L51" s="153">
        <v>40</v>
      </c>
      <c r="M51" s="92"/>
    </row>
    <row r="52" spans="1:13" ht="21.6" x14ac:dyDescent="0.65">
      <c r="A52" s="195"/>
      <c r="B52" s="140">
        <v>49</v>
      </c>
      <c r="C52" s="2"/>
      <c r="D52" s="1"/>
      <c r="E52" s="3"/>
      <c r="F52" s="1"/>
      <c r="G52" s="141">
        <f>IF(Basic345678910111213[[#This Row],[نوع الخدمة]]="مخالفات", 50,
IF(Basic345678910111213[[#This Row],[نوع الخدمة]]="كاش ان",
    IF(F52&lt;=100, 18, IF(F52&lt;=250, 23, IF(F52&lt;=500, 35, IF(F52&lt;=1000, 40, F52*0.04)))),
IF(Basic345678910111213[[#This Row],[نوع الخدمة]]="كاش اوت",
    IF(F52&lt;=100, 15, IF(F52&lt;=250, 20, IF(F52&lt;=500, 30, IF(F52&lt;=1000, 35, F52*0.035)))),
0)))</f>
        <v>0</v>
      </c>
      <c r="H52" s="159">
        <f>IF(I52="مخالفات",50,Basic345678910111213[[#This Row],[قيمة الرسوم / العموله]]+Basic345678910111213[[#This Row],[قيمة الشحنه]])</f>
        <v>0</v>
      </c>
      <c r="I52" s="90"/>
      <c r="J52" s="142" t="str">
        <f t="shared" si="0"/>
        <v>20.5.2026</v>
      </c>
      <c r="L52" s="153">
        <v>41</v>
      </c>
      <c r="M52" s="92"/>
    </row>
    <row r="53" spans="1:13" ht="21.6" x14ac:dyDescent="0.65">
      <c r="A53" s="195"/>
      <c r="B53" s="144">
        <v>50</v>
      </c>
      <c r="C53" s="2"/>
      <c r="D53" s="1"/>
      <c r="E53" s="3"/>
      <c r="F53" s="1"/>
      <c r="G53" s="141">
        <f>IF(Basic345678910111213[[#This Row],[نوع الخدمة]]="مخالفات", 50,
IF(Basic345678910111213[[#This Row],[نوع الخدمة]]="كاش ان",
    IF(F53&lt;=100, 18, IF(F53&lt;=250, 23, IF(F53&lt;=500, 35, IF(F53&lt;=1000, 40, F53*0.04)))),
IF(Basic345678910111213[[#This Row],[نوع الخدمة]]="كاش اوت",
    IF(F53&lt;=100, 15, IF(F53&lt;=250, 20, IF(F53&lt;=500, 30, IF(F53&lt;=1000, 35, F53*0.035)))),
0)))</f>
        <v>0</v>
      </c>
      <c r="H53" s="159">
        <f>IF(I53="مخالفات",50,Basic345678910111213[[#This Row],[قيمة الرسوم / العموله]]+Basic345678910111213[[#This Row],[قيمة الشحنه]])</f>
        <v>0</v>
      </c>
      <c r="I53" s="90"/>
      <c r="J53" s="142" t="str">
        <f t="shared" si="0"/>
        <v>20.5.2026</v>
      </c>
      <c r="L53" s="153">
        <v>42</v>
      </c>
      <c r="M53" s="92"/>
    </row>
    <row r="54" spans="1:13" ht="21.6" x14ac:dyDescent="0.65">
      <c r="A54" s="195"/>
      <c r="B54" s="140">
        <v>51</v>
      </c>
      <c r="C54" s="2"/>
      <c r="D54" s="1"/>
      <c r="E54" s="3"/>
      <c r="F54" s="1"/>
      <c r="G54" s="141">
        <f>IF(Basic345678910111213[[#This Row],[نوع الخدمة]]="مخالفات", 50,
IF(Basic345678910111213[[#This Row],[نوع الخدمة]]="كاش ان",
    IF(F54&lt;=100, 18, IF(F54&lt;=250, 23, IF(F54&lt;=500, 35, IF(F54&lt;=1000, 40, F54*0.04)))),
IF(Basic345678910111213[[#This Row],[نوع الخدمة]]="كاش اوت",
    IF(F54&lt;=100, 15, IF(F54&lt;=250, 20, IF(F54&lt;=500, 30, IF(F54&lt;=1000, 35, F54*0.035)))),
0)))</f>
        <v>0</v>
      </c>
      <c r="H54" s="159">
        <f>IF(I54="مخالفات",50,Basic345678910111213[[#This Row],[قيمة الرسوم / العموله]]+Basic345678910111213[[#This Row],[قيمة الشحنه]])</f>
        <v>0</v>
      </c>
      <c r="I54" s="90"/>
      <c r="J54" s="142" t="str">
        <f t="shared" si="0"/>
        <v>20.5.2026</v>
      </c>
      <c r="L54" s="153">
        <v>43</v>
      </c>
      <c r="M54" s="92"/>
    </row>
    <row r="55" spans="1:13" ht="21.6" x14ac:dyDescent="0.65">
      <c r="A55" s="195"/>
      <c r="B55" s="140">
        <v>52</v>
      </c>
      <c r="C55" s="2"/>
      <c r="D55" s="1"/>
      <c r="E55" s="3"/>
      <c r="F55" s="1"/>
      <c r="G55" s="141">
        <f>IF(Basic345678910111213[[#This Row],[نوع الخدمة]]="مخالفات", 50,
IF(Basic345678910111213[[#This Row],[نوع الخدمة]]="كاش ان",
    IF(F55&lt;=100, 18, IF(F55&lt;=250, 23, IF(F55&lt;=500, 35, IF(F55&lt;=1000, 40, F55*0.04)))),
IF(Basic345678910111213[[#This Row],[نوع الخدمة]]="كاش اوت",
    IF(F55&lt;=100, 15, IF(F55&lt;=250, 20, IF(F55&lt;=500, 30, IF(F55&lt;=1000, 35, F55*0.035)))),
0)))</f>
        <v>0</v>
      </c>
      <c r="H55" s="159">
        <f>IF(I55="مخالفات",50,Basic345678910111213[[#This Row],[قيمة الرسوم / العموله]]+Basic345678910111213[[#This Row],[قيمة الشحنه]])</f>
        <v>0</v>
      </c>
      <c r="I55" s="90"/>
      <c r="J55" s="142" t="str">
        <f t="shared" si="0"/>
        <v>20.5.2026</v>
      </c>
      <c r="L55" s="153">
        <v>44</v>
      </c>
      <c r="M55" s="92"/>
    </row>
    <row r="56" spans="1:13" ht="21.6" x14ac:dyDescent="0.65">
      <c r="A56" s="195"/>
      <c r="B56" s="140">
        <v>53</v>
      </c>
      <c r="C56" s="2"/>
      <c r="D56" s="1"/>
      <c r="E56" s="3"/>
      <c r="F56" s="1"/>
      <c r="G56" s="141">
        <f>IF(Basic345678910111213[[#This Row],[نوع الخدمة]]="مخالفات", 50,
IF(Basic345678910111213[[#This Row],[نوع الخدمة]]="كاش ان",
    IF(F56&lt;=100, 18, IF(F56&lt;=250, 23, IF(F56&lt;=500, 35, IF(F56&lt;=1000, 40, F56*0.04)))),
IF(Basic345678910111213[[#This Row],[نوع الخدمة]]="كاش اوت",
    IF(F56&lt;=100, 15, IF(F56&lt;=250, 20, IF(F56&lt;=500, 30, IF(F56&lt;=1000, 35, F56*0.035)))),
0)))</f>
        <v>0</v>
      </c>
      <c r="H56" s="159">
        <f>IF(I56="مخالفات",50,Basic345678910111213[[#This Row],[قيمة الرسوم / العموله]]+Basic345678910111213[[#This Row],[قيمة الشحنه]])</f>
        <v>0</v>
      </c>
      <c r="I56" s="90"/>
      <c r="J56" s="142" t="str">
        <f t="shared" si="0"/>
        <v>20.5.2026</v>
      </c>
      <c r="L56" s="153">
        <v>45</v>
      </c>
      <c r="M56" s="92"/>
    </row>
    <row r="57" spans="1:13" ht="21.6" x14ac:dyDescent="0.65">
      <c r="A57" s="195"/>
      <c r="B57" s="144">
        <v>54</v>
      </c>
      <c r="C57" s="2"/>
      <c r="D57" s="1"/>
      <c r="E57" s="3"/>
      <c r="F57" s="1"/>
      <c r="G57" s="141">
        <f>IF(Basic345678910111213[[#This Row],[نوع الخدمة]]="مخالفات", 50,
IF(Basic345678910111213[[#This Row],[نوع الخدمة]]="كاش ان",
    IF(F57&lt;=100, 18, IF(F57&lt;=250, 23, IF(F57&lt;=500, 35, IF(F57&lt;=1000, 40, F57*0.04)))),
IF(Basic345678910111213[[#This Row],[نوع الخدمة]]="كاش اوت",
    IF(F57&lt;=100, 15, IF(F57&lt;=250, 20, IF(F57&lt;=500, 30, IF(F57&lt;=1000, 35, F57*0.035)))),
0)))</f>
        <v>0</v>
      </c>
      <c r="H57" s="159">
        <f>IF(I57="مخالفات",50,Basic345678910111213[[#This Row],[قيمة الرسوم / العموله]]+Basic345678910111213[[#This Row],[قيمة الشحنه]])</f>
        <v>0</v>
      </c>
      <c r="I57" s="90"/>
      <c r="J57" s="142" t="str">
        <f t="shared" si="0"/>
        <v>20.5.2026</v>
      </c>
      <c r="L57" s="153">
        <v>46</v>
      </c>
      <c r="M57" s="92"/>
    </row>
    <row r="58" spans="1:13" ht="21.6" x14ac:dyDescent="0.65">
      <c r="A58" s="195"/>
      <c r="B58" s="140">
        <v>55</v>
      </c>
      <c r="C58" s="2"/>
      <c r="D58" s="1"/>
      <c r="E58" s="3"/>
      <c r="F58" s="1"/>
      <c r="G58" s="141">
        <f>IF(Basic345678910111213[[#This Row],[نوع الخدمة]]="مخالفات", 50,
IF(Basic345678910111213[[#This Row],[نوع الخدمة]]="كاش ان",
    IF(F58&lt;=100, 18, IF(F58&lt;=250, 23, IF(F58&lt;=500, 35, IF(F58&lt;=1000, 40, F58*0.04)))),
IF(Basic345678910111213[[#This Row],[نوع الخدمة]]="كاش اوت",
    IF(F58&lt;=100, 15, IF(F58&lt;=250, 20, IF(F58&lt;=500, 30, IF(F58&lt;=1000, 35, F58*0.035)))),
0)))</f>
        <v>0</v>
      </c>
      <c r="H58" s="159">
        <f>IF(I58="مخالفات",50,Basic345678910111213[[#This Row],[قيمة الرسوم / العموله]]+Basic345678910111213[[#This Row],[قيمة الشحنه]])</f>
        <v>0</v>
      </c>
      <c r="I58" s="90"/>
      <c r="J58" s="142" t="str">
        <f t="shared" si="0"/>
        <v>20.5.2026</v>
      </c>
      <c r="L58" s="153">
        <v>47</v>
      </c>
      <c r="M58" s="92"/>
    </row>
    <row r="59" spans="1:13" ht="21.6" x14ac:dyDescent="0.65">
      <c r="A59" s="195"/>
      <c r="B59" s="140">
        <v>56</v>
      </c>
      <c r="C59" s="2"/>
      <c r="D59" s="1"/>
      <c r="E59" s="3"/>
      <c r="F59" s="1"/>
      <c r="G59" s="141">
        <f>IF(Basic345678910111213[[#This Row],[نوع الخدمة]]="مخالفات", 50,
IF(Basic345678910111213[[#This Row],[نوع الخدمة]]="كاش ان",
    IF(F59&lt;=100, 18, IF(F59&lt;=250, 23, IF(F59&lt;=500, 35, IF(F59&lt;=1000, 40, F59*0.04)))),
IF(Basic345678910111213[[#This Row],[نوع الخدمة]]="كاش اوت",
    IF(F59&lt;=100, 15, IF(F59&lt;=250, 20, IF(F59&lt;=500, 30, IF(F59&lt;=1000, 35, F59*0.035)))),
0)))</f>
        <v>0</v>
      </c>
      <c r="H59" s="159">
        <f>IF(I59="مخالفات",50,Basic345678910111213[[#This Row],[قيمة الرسوم / العموله]]+Basic345678910111213[[#This Row],[قيمة الشحنه]])</f>
        <v>0</v>
      </c>
      <c r="I59" s="90"/>
      <c r="J59" s="142" t="str">
        <f t="shared" si="0"/>
        <v>20.5.2026</v>
      </c>
      <c r="L59" s="153">
        <v>48</v>
      </c>
      <c r="M59" s="92"/>
    </row>
    <row r="60" spans="1:13" ht="21.6" x14ac:dyDescent="0.65">
      <c r="A60" s="195"/>
      <c r="B60" s="140">
        <v>57</v>
      </c>
      <c r="C60" s="2"/>
      <c r="D60" s="1"/>
      <c r="E60" s="3"/>
      <c r="F60" s="1"/>
      <c r="G60" s="141">
        <f>IF(Basic345678910111213[[#This Row],[نوع الخدمة]]="مخالفات", 50,
IF(Basic345678910111213[[#This Row],[نوع الخدمة]]="كاش ان",
    IF(F60&lt;=100, 18, IF(F60&lt;=250, 23, IF(F60&lt;=500, 35, IF(F60&lt;=1000, 40, F60*0.04)))),
IF(Basic345678910111213[[#This Row],[نوع الخدمة]]="كاش اوت",
    IF(F60&lt;=100, 15, IF(F60&lt;=250, 20, IF(F60&lt;=500, 30, IF(F60&lt;=1000, 35, F60*0.035)))),
0)))</f>
        <v>0</v>
      </c>
      <c r="H60" s="159">
        <f>IF(I60="مخالفات",50,Basic345678910111213[[#This Row],[قيمة الرسوم / العموله]]+Basic345678910111213[[#This Row],[قيمة الشحنه]])</f>
        <v>0</v>
      </c>
      <c r="I60" s="90"/>
      <c r="J60" s="142" t="str">
        <f t="shared" si="0"/>
        <v>20.5.2026</v>
      </c>
      <c r="L60" s="153">
        <v>49</v>
      </c>
      <c r="M60" s="92"/>
    </row>
    <row r="61" spans="1:13" ht="21.6" x14ac:dyDescent="0.65">
      <c r="A61" s="195"/>
      <c r="B61" s="144">
        <v>58</v>
      </c>
      <c r="C61" s="2"/>
      <c r="D61" s="1"/>
      <c r="E61" s="3"/>
      <c r="F61" s="1"/>
      <c r="G61" s="141">
        <f>IF(Basic345678910111213[[#This Row],[نوع الخدمة]]="مخالفات", 50,
IF(Basic345678910111213[[#This Row],[نوع الخدمة]]="كاش ان",
    IF(F61&lt;=100, 18, IF(F61&lt;=250, 23, IF(F61&lt;=500, 35, IF(F61&lt;=1000, 40, F61*0.04)))),
IF(Basic345678910111213[[#This Row],[نوع الخدمة]]="كاش اوت",
    IF(F61&lt;=100, 15, IF(F61&lt;=250, 20, IF(F61&lt;=500, 30, IF(F61&lt;=1000, 35, F61*0.035)))),
0)))</f>
        <v>0</v>
      </c>
      <c r="H61" s="159">
        <f>IF(I61="مخالفات",50,Basic345678910111213[[#This Row],[قيمة الرسوم / العموله]]+Basic345678910111213[[#This Row],[قيمة الشحنه]])</f>
        <v>0</v>
      </c>
      <c r="I61" s="90"/>
      <c r="J61" s="142" t="str">
        <f t="shared" si="0"/>
        <v>20.5.2026</v>
      </c>
      <c r="L61" s="153">
        <v>50</v>
      </c>
      <c r="M61" s="92"/>
    </row>
    <row r="62" spans="1:13" ht="21.6" x14ac:dyDescent="0.65">
      <c r="A62" s="195"/>
      <c r="B62" s="140">
        <v>59</v>
      </c>
      <c r="C62" s="2"/>
      <c r="D62" s="1"/>
      <c r="E62" s="3"/>
      <c r="F62" s="1"/>
      <c r="G62" s="141">
        <f>IF(Basic345678910111213[[#This Row],[نوع الخدمة]]="مخالفات", 50,
IF(Basic345678910111213[[#This Row],[نوع الخدمة]]="كاش ان",
    IF(F62&lt;=100, 18, IF(F62&lt;=250, 23, IF(F62&lt;=500, 35, IF(F62&lt;=1000, 40, F62*0.04)))),
IF(Basic345678910111213[[#This Row],[نوع الخدمة]]="كاش اوت",
    IF(F62&lt;=100, 15, IF(F62&lt;=250, 20, IF(F62&lt;=500, 30, IF(F62&lt;=1000, 35, F62*0.035)))),
0)))</f>
        <v>0</v>
      </c>
      <c r="H62" s="159">
        <f>IF(I62="مخالفات",50,Basic345678910111213[[#This Row],[قيمة الرسوم / العموله]]+Basic345678910111213[[#This Row],[قيمة الشحنه]])</f>
        <v>0</v>
      </c>
      <c r="I62" s="90"/>
      <c r="J62" s="142" t="str">
        <f t="shared" si="0"/>
        <v>20.5.2026</v>
      </c>
      <c r="L62" s="153">
        <v>51</v>
      </c>
      <c r="M62" s="92"/>
    </row>
    <row r="63" spans="1:13" ht="21.6" x14ac:dyDescent="0.65">
      <c r="A63" s="195"/>
      <c r="B63" s="140">
        <v>60</v>
      </c>
      <c r="C63" s="2"/>
      <c r="D63" s="1"/>
      <c r="E63" s="3"/>
      <c r="F63" s="1"/>
      <c r="G63" s="141">
        <f>IF(Basic345678910111213[[#This Row],[نوع الخدمة]]="مخالفات", 50,
IF(Basic345678910111213[[#This Row],[نوع الخدمة]]="كاش ان",
    IF(F63&lt;=100, 18, IF(F63&lt;=250, 23, IF(F63&lt;=500, 35, IF(F63&lt;=1000, 40, F63*0.04)))),
IF(Basic345678910111213[[#This Row],[نوع الخدمة]]="كاش اوت",
    IF(F63&lt;=100, 15, IF(F63&lt;=250, 20, IF(F63&lt;=500, 30, IF(F63&lt;=1000, 35, F63*0.035)))),
0)))</f>
        <v>0</v>
      </c>
      <c r="H63" s="159">
        <f>IF(I63="مخالفات",50,Basic345678910111213[[#This Row],[قيمة الرسوم / العموله]]+Basic345678910111213[[#This Row],[قيمة الشحنه]])</f>
        <v>0</v>
      </c>
      <c r="I63" s="90"/>
      <c r="J63" s="142" t="str">
        <f t="shared" si="0"/>
        <v>20.5.2026</v>
      </c>
      <c r="L63" s="153">
        <v>52</v>
      </c>
      <c r="M63" s="92"/>
    </row>
    <row r="64" spans="1:13" ht="21.6" x14ac:dyDescent="0.65">
      <c r="A64" s="195"/>
      <c r="B64" s="140">
        <v>61</v>
      </c>
      <c r="C64" s="2"/>
      <c r="D64" s="1"/>
      <c r="E64" s="3"/>
      <c r="F64" s="1"/>
      <c r="G64" s="141">
        <f>IF(Basic345678910111213[[#This Row],[نوع الخدمة]]="مخالفات", 50,
IF(Basic345678910111213[[#This Row],[نوع الخدمة]]="كاش ان",
    IF(F64&lt;=100, 18, IF(F64&lt;=250, 23, IF(F64&lt;=500, 35, IF(F64&lt;=1000, 40, F64*0.04)))),
IF(Basic345678910111213[[#This Row],[نوع الخدمة]]="كاش اوت",
    IF(F64&lt;=100, 15, IF(F64&lt;=250, 20, IF(F64&lt;=500, 30, IF(F64&lt;=1000, 35, F64*0.035)))),
0)))</f>
        <v>0</v>
      </c>
      <c r="H64" s="159">
        <f>IF(I64="مخالفات",50,Basic345678910111213[[#This Row],[قيمة الرسوم / العموله]]+Basic345678910111213[[#This Row],[قيمة الشحنه]])</f>
        <v>0</v>
      </c>
      <c r="I64" s="90"/>
      <c r="J64" s="142" t="str">
        <f t="shared" si="0"/>
        <v>20.5.2026</v>
      </c>
      <c r="L64" s="153">
        <v>53</v>
      </c>
      <c r="M64" s="92"/>
    </row>
    <row r="65" spans="1:13" ht="21.6" x14ac:dyDescent="0.65">
      <c r="A65" s="195"/>
      <c r="B65" s="144">
        <v>62</v>
      </c>
      <c r="C65" s="2"/>
      <c r="D65" s="1"/>
      <c r="E65" s="3"/>
      <c r="F65" s="1"/>
      <c r="G65" s="141">
        <f>IF(Basic345678910111213[[#This Row],[نوع الخدمة]]="مخالفات", 50,
IF(Basic345678910111213[[#This Row],[نوع الخدمة]]="كاش ان",
    IF(F65&lt;=100, 18, IF(F65&lt;=250, 23, IF(F65&lt;=500, 35, IF(F65&lt;=1000, 40, F65*0.04)))),
IF(Basic345678910111213[[#This Row],[نوع الخدمة]]="كاش اوت",
    IF(F65&lt;=100, 15, IF(F65&lt;=250, 20, IF(F65&lt;=500, 30, IF(F65&lt;=1000, 35, F65*0.035)))),
0)))</f>
        <v>0</v>
      </c>
      <c r="H65" s="159">
        <f>IF(I65="مخالفات",50,Basic345678910111213[[#This Row],[قيمة الرسوم / العموله]]+Basic345678910111213[[#This Row],[قيمة الشحنه]])</f>
        <v>0</v>
      </c>
      <c r="I65" s="90"/>
      <c r="J65" s="142" t="str">
        <f t="shared" si="0"/>
        <v>20.5.2026</v>
      </c>
      <c r="L65" s="153">
        <v>54</v>
      </c>
      <c r="M65" s="92"/>
    </row>
    <row r="66" spans="1:13" ht="21.6" x14ac:dyDescent="0.65">
      <c r="A66" s="195"/>
      <c r="B66" s="140">
        <v>63</v>
      </c>
      <c r="C66" s="2"/>
      <c r="D66" s="1"/>
      <c r="E66" s="3"/>
      <c r="F66" s="1"/>
      <c r="G66" s="141">
        <f>IF(Basic345678910111213[[#This Row],[نوع الخدمة]]="مخالفات", 50,
IF(Basic345678910111213[[#This Row],[نوع الخدمة]]="كاش ان",
    IF(F66&lt;=100, 18, IF(F66&lt;=250, 23, IF(F66&lt;=500, 35, IF(F66&lt;=1000, 40, F66*0.04)))),
IF(Basic345678910111213[[#This Row],[نوع الخدمة]]="كاش اوت",
    IF(F66&lt;=100, 15, IF(F66&lt;=250, 20, IF(F66&lt;=500, 30, IF(F66&lt;=1000, 35, F66*0.035)))),
0)))</f>
        <v>0</v>
      </c>
      <c r="H66" s="159">
        <f>IF(I66="مخالفات",50,Basic345678910111213[[#This Row],[قيمة الرسوم / العموله]]+Basic345678910111213[[#This Row],[قيمة الشحنه]])</f>
        <v>0</v>
      </c>
      <c r="I66" s="90"/>
      <c r="J66" s="142" t="str">
        <f t="shared" si="0"/>
        <v>20.5.2026</v>
      </c>
      <c r="L66" s="153">
        <v>55</v>
      </c>
      <c r="M66" s="92"/>
    </row>
    <row r="67" spans="1:13" ht="21.6" x14ac:dyDescent="0.65">
      <c r="A67" s="195"/>
      <c r="B67" s="140">
        <v>64</v>
      </c>
      <c r="C67" s="2"/>
      <c r="D67" s="1"/>
      <c r="E67" s="3"/>
      <c r="F67" s="1"/>
      <c r="G67" s="141">
        <f>IF(Basic345678910111213[[#This Row],[نوع الخدمة]]="مخالفات", 50,
IF(Basic345678910111213[[#This Row],[نوع الخدمة]]="كاش ان",
    IF(F67&lt;=100, 18, IF(F67&lt;=250, 23, IF(F67&lt;=500, 35, IF(F67&lt;=1000, 40, F67*0.04)))),
IF(Basic345678910111213[[#This Row],[نوع الخدمة]]="كاش اوت",
    IF(F67&lt;=100, 15, IF(F67&lt;=250, 20, IF(F67&lt;=500, 30, IF(F67&lt;=1000, 35, F67*0.035)))),
0)))</f>
        <v>0</v>
      </c>
      <c r="H67" s="159">
        <f>IF(I67="مخالفات",50,Basic345678910111213[[#This Row],[قيمة الرسوم / العموله]]+Basic345678910111213[[#This Row],[قيمة الشحنه]])</f>
        <v>0</v>
      </c>
      <c r="I67" s="90"/>
      <c r="J67" s="142" t="str">
        <f t="shared" si="0"/>
        <v>20.5.2026</v>
      </c>
      <c r="L67" s="153">
        <v>56</v>
      </c>
      <c r="M67" s="92"/>
    </row>
    <row r="68" spans="1:13" ht="21.6" x14ac:dyDescent="0.65">
      <c r="A68" s="195"/>
      <c r="B68" s="140">
        <v>65</v>
      </c>
      <c r="C68" s="2"/>
      <c r="D68" s="1"/>
      <c r="E68" s="3"/>
      <c r="F68" s="1"/>
      <c r="G68" s="141">
        <f>IF(Basic345678910111213[[#This Row],[نوع الخدمة]]="مخالفات", 50,
IF(Basic345678910111213[[#This Row],[نوع الخدمة]]="كاش ان",
    IF(F68&lt;=100, 18, IF(F68&lt;=250, 23, IF(F68&lt;=500, 35, IF(F68&lt;=1000, 40, F68*0.04)))),
IF(Basic345678910111213[[#This Row],[نوع الخدمة]]="كاش اوت",
    IF(F68&lt;=100, 15, IF(F68&lt;=250, 20, IF(F68&lt;=500, 30, IF(F68&lt;=1000, 35, F68*0.035)))),
0)))</f>
        <v>0</v>
      </c>
      <c r="H68" s="159">
        <f>IF(I68="مخالفات",50,Basic345678910111213[[#This Row],[قيمة الرسوم / العموله]]+Basic345678910111213[[#This Row],[قيمة الشحنه]])</f>
        <v>0</v>
      </c>
      <c r="I68" s="90"/>
      <c r="J68" s="142" t="str">
        <f t="shared" ref="J68:J131" si="1">M$3</f>
        <v>20.5.2026</v>
      </c>
      <c r="L68" s="153">
        <v>57</v>
      </c>
      <c r="M68" s="92"/>
    </row>
    <row r="69" spans="1:13" ht="21.6" x14ac:dyDescent="0.65">
      <c r="A69" s="195"/>
      <c r="B69" s="144">
        <v>66</v>
      </c>
      <c r="C69" s="2"/>
      <c r="D69" s="1"/>
      <c r="E69" s="3"/>
      <c r="F69" s="1"/>
      <c r="G69" s="141">
        <f>IF(Basic345678910111213[[#This Row],[نوع الخدمة]]="مخالفات", 50,
IF(Basic345678910111213[[#This Row],[نوع الخدمة]]="كاش ان",
    IF(F69&lt;=100, 18, IF(F69&lt;=250, 23, IF(F69&lt;=500, 35, IF(F69&lt;=1000, 40, F69*0.04)))),
IF(Basic345678910111213[[#This Row],[نوع الخدمة]]="كاش اوت",
    IF(F69&lt;=100, 15, IF(F69&lt;=250, 20, IF(F69&lt;=500, 30, IF(F69&lt;=1000, 35, F69*0.035)))),
0)))</f>
        <v>0</v>
      </c>
      <c r="H69" s="159">
        <f>IF(I69="مخالفات",50,Basic345678910111213[[#This Row],[قيمة الرسوم / العموله]]+Basic345678910111213[[#This Row],[قيمة الشحنه]])</f>
        <v>0</v>
      </c>
      <c r="I69" s="90"/>
      <c r="J69" s="142" t="str">
        <f t="shared" si="1"/>
        <v>20.5.2026</v>
      </c>
      <c r="L69" s="153">
        <v>58</v>
      </c>
      <c r="M69" s="92"/>
    </row>
    <row r="70" spans="1:13" ht="21.6" x14ac:dyDescent="0.65">
      <c r="A70" s="195"/>
      <c r="B70" s="140">
        <v>67</v>
      </c>
      <c r="C70" s="2"/>
      <c r="D70" s="1"/>
      <c r="E70" s="3"/>
      <c r="F70" s="1"/>
      <c r="G70" s="141">
        <f>IF(Basic345678910111213[[#This Row],[نوع الخدمة]]="مخالفات", 50,
IF(Basic345678910111213[[#This Row],[نوع الخدمة]]="كاش ان",
    IF(F70&lt;=100, 18, IF(F70&lt;=250, 23, IF(F70&lt;=500, 35, IF(F70&lt;=1000, 40, F70*0.04)))),
IF(Basic345678910111213[[#This Row],[نوع الخدمة]]="كاش اوت",
    IF(F70&lt;=100, 15, IF(F70&lt;=250, 20, IF(F70&lt;=500, 30, IF(F70&lt;=1000, 35, F70*0.035)))),
0)))</f>
        <v>0</v>
      </c>
      <c r="H70" s="159">
        <f>IF(I70="مخالفات",50,Basic345678910111213[[#This Row],[قيمة الرسوم / العموله]]+Basic345678910111213[[#This Row],[قيمة الشحنه]])</f>
        <v>0</v>
      </c>
      <c r="I70" s="90"/>
      <c r="J70" s="142" t="str">
        <f t="shared" si="1"/>
        <v>20.5.2026</v>
      </c>
      <c r="L70" s="153">
        <v>59</v>
      </c>
      <c r="M70" s="92"/>
    </row>
    <row r="71" spans="1:13" ht="21.6" x14ac:dyDescent="0.65">
      <c r="A71" s="195"/>
      <c r="B71" s="140">
        <v>68</v>
      </c>
      <c r="C71" s="2"/>
      <c r="D71" s="1"/>
      <c r="E71" s="3"/>
      <c r="F71" s="1"/>
      <c r="G71" s="141">
        <f>IF(Basic345678910111213[[#This Row],[نوع الخدمة]]="مخالفات", 50,
IF(Basic345678910111213[[#This Row],[نوع الخدمة]]="كاش ان",
    IF(F71&lt;=100, 18, IF(F71&lt;=250, 23, IF(F71&lt;=500, 35, IF(F71&lt;=1000, 40, F71*0.04)))),
IF(Basic345678910111213[[#This Row],[نوع الخدمة]]="كاش اوت",
    IF(F71&lt;=100, 15, IF(F71&lt;=250, 20, IF(F71&lt;=500, 30, IF(F71&lt;=1000, 35, F71*0.035)))),
0)))</f>
        <v>0</v>
      </c>
      <c r="H71" s="159">
        <f>IF(I71="مخالفات",50,Basic345678910111213[[#This Row],[قيمة الرسوم / العموله]]+Basic345678910111213[[#This Row],[قيمة الشحنه]])</f>
        <v>0</v>
      </c>
      <c r="I71" s="90"/>
      <c r="J71" s="142" t="str">
        <f t="shared" si="1"/>
        <v>20.5.2026</v>
      </c>
      <c r="L71" s="153">
        <v>60</v>
      </c>
      <c r="M71" s="92"/>
    </row>
    <row r="72" spans="1:13" ht="21.6" x14ac:dyDescent="0.65">
      <c r="A72" s="195"/>
      <c r="B72" s="140">
        <v>69</v>
      </c>
      <c r="C72" s="2"/>
      <c r="D72" s="1"/>
      <c r="E72" s="3"/>
      <c r="F72" s="1"/>
      <c r="G72" s="141">
        <f>IF(Basic345678910111213[[#This Row],[نوع الخدمة]]="مخالفات", 50,
IF(Basic345678910111213[[#This Row],[نوع الخدمة]]="كاش ان",
    IF(F72&lt;=100, 18, IF(F72&lt;=250, 23, IF(F72&lt;=500, 35, IF(F72&lt;=1000, 40, F72*0.04)))),
IF(Basic345678910111213[[#This Row],[نوع الخدمة]]="كاش اوت",
    IF(F72&lt;=100, 15, IF(F72&lt;=250, 20, IF(F72&lt;=500, 30, IF(F72&lt;=1000, 35, F72*0.035)))),
0)))</f>
        <v>0</v>
      </c>
      <c r="H72" s="159">
        <f>IF(I72="مخالفات",50,Basic345678910111213[[#This Row],[قيمة الرسوم / العموله]]+Basic345678910111213[[#This Row],[قيمة الشحنه]])</f>
        <v>0</v>
      </c>
      <c r="I72" s="90"/>
      <c r="J72" s="142" t="str">
        <f t="shared" si="1"/>
        <v>20.5.2026</v>
      </c>
      <c r="L72" s="153">
        <v>61</v>
      </c>
      <c r="M72" s="92"/>
    </row>
    <row r="73" spans="1:13" ht="21.6" x14ac:dyDescent="0.65">
      <c r="A73" s="195"/>
      <c r="B73" s="144">
        <v>70</v>
      </c>
      <c r="C73" s="2"/>
      <c r="D73" s="1"/>
      <c r="E73" s="3"/>
      <c r="F73" s="1"/>
      <c r="G73" s="141">
        <f>IF(Basic345678910111213[[#This Row],[نوع الخدمة]]="مخالفات", 50,
IF(Basic345678910111213[[#This Row],[نوع الخدمة]]="كاش ان",
    IF(F73&lt;=100, 18, IF(F73&lt;=250, 23, IF(F73&lt;=500, 35, IF(F73&lt;=1000, 40, F73*0.04)))),
IF(Basic345678910111213[[#This Row],[نوع الخدمة]]="كاش اوت",
    IF(F73&lt;=100, 15, IF(F73&lt;=250, 20, IF(F73&lt;=500, 30, IF(F73&lt;=1000, 35, F73*0.035)))),
0)))</f>
        <v>0</v>
      </c>
      <c r="H73" s="159">
        <f>IF(I73="مخالفات",50,Basic345678910111213[[#This Row],[قيمة الرسوم / العموله]]+Basic345678910111213[[#This Row],[قيمة الشحنه]])</f>
        <v>0</v>
      </c>
      <c r="I73" s="90"/>
      <c r="J73" s="142" t="str">
        <f t="shared" si="1"/>
        <v>20.5.2026</v>
      </c>
      <c r="L73" s="153">
        <v>62</v>
      </c>
      <c r="M73" s="92"/>
    </row>
    <row r="74" spans="1:13" ht="21.6" x14ac:dyDescent="0.65">
      <c r="A74" s="195"/>
      <c r="B74" s="140">
        <v>71</v>
      </c>
      <c r="C74" s="2"/>
      <c r="D74" s="1"/>
      <c r="E74" s="3"/>
      <c r="F74" s="1"/>
      <c r="G74" s="141">
        <f>IF(Basic345678910111213[[#This Row],[نوع الخدمة]]="مخالفات", 50,
IF(Basic345678910111213[[#This Row],[نوع الخدمة]]="كاش ان",
    IF(F74&lt;=100, 18, IF(F74&lt;=250, 23, IF(F74&lt;=500, 35, IF(F74&lt;=1000, 40, F74*0.04)))),
IF(Basic345678910111213[[#This Row],[نوع الخدمة]]="كاش اوت",
    IF(F74&lt;=100, 15, IF(F74&lt;=250, 20, IF(F74&lt;=500, 30, IF(F74&lt;=1000, 35, F74*0.035)))),
0)))</f>
        <v>0</v>
      </c>
      <c r="H74" s="159">
        <f>IF(I74="مخالفات",50,Basic345678910111213[[#This Row],[قيمة الرسوم / العموله]]+Basic345678910111213[[#This Row],[قيمة الشحنه]])</f>
        <v>0</v>
      </c>
      <c r="I74" s="90"/>
      <c r="J74" s="142" t="str">
        <f t="shared" si="1"/>
        <v>20.5.2026</v>
      </c>
      <c r="L74" s="153">
        <v>63</v>
      </c>
      <c r="M74" s="92"/>
    </row>
    <row r="75" spans="1:13" ht="21.6" x14ac:dyDescent="0.65">
      <c r="A75" s="195"/>
      <c r="B75" s="140">
        <v>72</v>
      </c>
      <c r="C75" s="2"/>
      <c r="D75" s="1"/>
      <c r="E75" s="3"/>
      <c r="F75" s="1"/>
      <c r="G75" s="141">
        <f>IF(Basic345678910111213[[#This Row],[نوع الخدمة]]="مخالفات", 50,
IF(Basic345678910111213[[#This Row],[نوع الخدمة]]="كاش ان",
    IF(F75&lt;=100, 18, IF(F75&lt;=250, 23, IF(F75&lt;=500, 35, IF(F75&lt;=1000, 40, F75*0.04)))),
IF(Basic345678910111213[[#This Row],[نوع الخدمة]]="كاش اوت",
    IF(F75&lt;=100, 15, IF(F75&lt;=250, 20, IF(F75&lt;=500, 30, IF(F75&lt;=1000, 35, F75*0.035)))),
0)))</f>
        <v>0</v>
      </c>
      <c r="H75" s="159">
        <f>IF(I75="مخالفات",50,Basic345678910111213[[#This Row],[قيمة الرسوم / العموله]]+Basic345678910111213[[#This Row],[قيمة الشحنه]])</f>
        <v>0</v>
      </c>
      <c r="I75" s="90"/>
      <c r="J75" s="142" t="str">
        <f t="shared" si="1"/>
        <v>20.5.2026</v>
      </c>
      <c r="L75" s="153">
        <v>64</v>
      </c>
      <c r="M75" s="92"/>
    </row>
    <row r="76" spans="1:13" ht="21.6" x14ac:dyDescent="0.65">
      <c r="A76" s="195"/>
      <c r="B76" s="140">
        <v>73</v>
      </c>
      <c r="C76" s="2"/>
      <c r="D76" s="1"/>
      <c r="E76" s="3"/>
      <c r="F76" s="1"/>
      <c r="G76" s="141">
        <f>IF(Basic345678910111213[[#This Row],[نوع الخدمة]]="مخالفات", 50,
IF(Basic345678910111213[[#This Row],[نوع الخدمة]]="كاش ان",
    IF(F76&lt;=100, 18, IF(F76&lt;=250, 23, IF(F76&lt;=500, 35, IF(F76&lt;=1000, 40, F76*0.04)))),
IF(Basic345678910111213[[#This Row],[نوع الخدمة]]="كاش اوت",
    IF(F76&lt;=100, 15, IF(F76&lt;=250, 20, IF(F76&lt;=500, 30, IF(F76&lt;=1000, 35, F76*0.035)))),
0)))</f>
        <v>0</v>
      </c>
      <c r="H76" s="159">
        <f>IF(I76="مخالفات",50,Basic345678910111213[[#This Row],[قيمة الرسوم / العموله]]+Basic345678910111213[[#This Row],[قيمة الشحنه]])</f>
        <v>0</v>
      </c>
      <c r="I76" s="90"/>
      <c r="J76" s="142" t="str">
        <f t="shared" si="1"/>
        <v>20.5.2026</v>
      </c>
      <c r="L76" s="153">
        <v>65</v>
      </c>
      <c r="M76" s="92"/>
    </row>
    <row r="77" spans="1:13" ht="21.6" x14ac:dyDescent="0.65">
      <c r="A77" s="195"/>
      <c r="B77" s="144">
        <v>74</v>
      </c>
      <c r="C77" s="2"/>
      <c r="D77" s="1"/>
      <c r="E77" s="3"/>
      <c r="F77" s="1"/>
      <c r="G77" s="141">
        <f>IF(Basic345678910111213[[#This Row],[نوع الخدمة]]="مخالفات", 50,
IF(Basic345678910111213[[#This Row],[نوع الخدمة]]="كاش ان",
    IF(F77&lt;=100, 18, IF(F77&lt;=250, 23, IF(F77&lt;=500, 35, IF(F77&lt;=1000, 40, F77*0.04)))),
IF(Basic345678910111213[[#This Row],[نوع الخدمة]]="كاش اوت",
    IF(F77&lt;=100, 15, IF(F77&lt;=250, 20, IF(F77&lt;=500, 30, IF(F77&lt;=1000, 35, F77*0.035)))),
0)))</f>
        <v>0</v>
      </c>
      <c r="H77" s="159">
        <f>IF(I77="مخالفات",50,Basic345678910111213[[#This Row],[قيمة الرسوم / العموله]]+Basic345678910111213[[#This Row],[قيمة الشحنه]])</f>
        <v>0</v>
      </c>
      <c r="I77" s="90"/>
      <c r="J77" s="142" t="str">
        <f t="shared" si="1"/>
        <v>20.5.2026</v>
      </c>
      <c r="L77" s="153">
        <v>66</v>
      </c>
      <c r="M77" s="92"/>
    </row>
    <row r="78" spans="1:13" ht="21.6" x14ac:dyDescent="0.65">
      <c r="A78" s="195"/>
      <c r="B78" s="140">
        <v>75</v>
      </c>
      <c r="C78" s="2"/>
      <c r="D78" s="1"/>
      <c r="E78" s="3"/>
      <c r="F78" s="1"/>
      <c r="G78" s="141">
        <f>IF(Basic345678910111213[[#This Row],[نوع الخدمة]]="مخالفات", 50,
IF(Basic345678910111213[[#This Row],[نوع الخدمة]]="كاش ان",
    IF(F78&lt;=100, 18, IF(F78&lt;=250, 23, IF(F78&lt;=500, 35, IF(F78&lt;=1000, 40, F78*0.04)))),
IF(Basic345678910111213[[#This Row],[نوع الخدمة]]="كاش اوت",
    IF(F78&lt;=100, 15, IF(F78&lt;=250, 20, IF(F78&lt;=500, 30, IF(F78&lt;=1000, 35, F78*0.035)))),
0)))</f>
        <v>0</v>
      </c>
      <c r="H78" s="159">
        <f>IF(I78="مخالفات",50,Basic345678910111213[[#This Row],[قيمة الرسوم / العموله]]+Basic345678910111213[[#This Row],[قيمة الشحنه]])</f>
        <v>0</v>
      </c>
      <c r="I78" s="90"/>
      <c r="J78" s="142" t="str">
        <f t="shared" si="1"/>
        <v>20.5.2026</v>
      </c>
      <c r="L78" s="153">
        <v>67</v>
      </c>
      <c r="M78" s="92"/>
    </row>
    <row r="79" spans="1:13" ht="21.6" x14ac:dyDescent="0.65">
      <c r="A79" s="195"/>
      <c r="B79" s="140">
        <v>76</v>
      </c>
      <c r="C79" s="2"/>
      <c r="D79" s="1"/>
      <c r="E79" s="3"/>
      <c r="F79" s="1"/>
      <c r="G79" s="141">
        <f>IF(Basic345678910111213[[#This Row],[نوع الخدمة]]="مخالفات", 50,
IF(Basic345678910111213[[#This Row],[نوع الخدمة]]="كاش ان",
    IF(F79&lt;=100, 18, IF(F79&lt;=250, 23, IF(F79&lt;=500, 35, IF(F79&lt;=1000, 40, F79*0.04)))),
IF(Basic345678910111213[[#This Row],[نوع الخدمة]]="كاش اوت",
    IF(F79&lt;=100, 15, IF(F79&lt;=250, 20, IF(F79&lt;=500, 30, IF(F79&lt;=1000, 35, F79*0.035)))),
0)))</f>
        <v>0</v>
      </c>
      <c r="H79" s="159">
        <f>IF(I79="مخالفات",50,Basic345678910111213[[#This Row],[قيمة الرسوم / العموله]]+Basic345678910111213[[#This Row],[قيمة الشحنه]])</f>
        <v>0</v>
      </c>
      <c r="I79" s="90"/>
      <c r="J79" s="142" t="str">
        <f t="shared" si="1"/>
        <v>20.5.2026</v>
      </c>
      <c r="L79" s="153">
        <v>68</v>
      </c>
      <c r="M79" s="92"/>
    </row>
    <row r="80" spans="1:13" ht="21.6" x14ac:dyDescent="0.65">
      <c r="A80" s="195"/>
      <c r="B80" s="140">
        <v>77</v>
      </c>
      <c r="C80" s="2"/>
      <c r="D80" s="1"/>
      <c r="E80" s="3"/>
      <c r="F80" s="1"/>
      <c r="G80" s="141">
        <f>IF(Basic345678910111213[[#This Row],[نوع الخدمة]]="مخالفات", 50,
IF(Basic345678910111213[[#This Row],[نوع الخدمة]]="كاش ان",
    IF(F80&lt;=100, 18, IF(F80&lt;=250, 23, IF(F80&lt;=500, 35, IF(F80&lt;=1000, 40, F80*0.04)))),
IF(Basic345678910111213[[#This Row],[نوع الخدمة]]="كاش اوت",
    IF(F80&lt;=100, 15, IF(F80&lt;=250, 20, IF(F80&lt;=500, 30, IF(F80&lt;=1000, 35, F80*0.035)))),
0)))</f>
        <v>0</v>
      </c>
      <c r="H80" s="159">
        <f>IF(I80="مخالفات",50,Basic345678910111213[[#This Row],[قيمة الرسوم / العموله]]+Basic345678910111213[[#This Row],[قيمة الشحنه]])</f>
        <v>0</v>
      </c>
      <c r="I80" s="90"/>
      <c r="J80" s="142" t="str">
        <f t="shared" si="1"/>
        <v>20.5.2026</v>
      </c>
      <c r="L80" s="153">
        <v>69</v>
      </c>
      <c r="M80" s="92"/>
    </row>
    <row r="81" spans="1:13" ht="21.6" x14ac:dyDescent="0.65">
      <c r="A81" s="195"/>
      <c r="B81" s="144">
        <v>78</v>
      </c>
      <c r="C81" s="2"/>
      <c r="D81" s="1"/>
      <c r="E81" s="3"/>
      <c r="F81" s="1"/>
      <c r="G81" s="141">
        <f>IF(Basic345678910111213[[#This Row],[نوع الخدمة]]="مخالفات", 50,
IF(Basic345678910111213[[#This Row],[نوع الخدمة]]="كاش ان",
    IF(F81&lt;=100, 18, IF(F81&lt;=250, 23, IF(F81&lt;=500, 35, IF(F81&lt;=1000, 40, F81*0.04)))),
IF(Basic345678910111213[[#This Row],[نوع الخدمة]]="كاش اوت",
    IF(F81&lt;=100, 15, IF(F81&lt;=250, 20, IF(F81&lt;=500, 30, IF(F81&lt;=1000, 35, F81*0.035)))),
0)))</f>
        <v>0</v>
      </c>
      <c r="H81" s="159">
        <f>IF(I81="مخالفات",50,Basic345678910111213[[#This Row],[قيمة الرسوم / العموله]]+Basic345678910111213[[#This Row],[قيمة الشحنه]])</f>
        <v>0</v>
      </c>
      <c r="I81" s="90"/>
      <c r="J81" s="142" t="str">
        <f t="shared" si="1"/>
        <v>20.5.2026</v>
      </c>
      <c r="L81" s="153">
        <v>70</v>
      </c>
      <c r="M81" s="92"/>
    </row>
    <row r="82" spans="1:13" ht="21.6" x14ac:dyDescent="0.65">
      <c r="A82" s="195"/>
      <c r="B82" s="140">
        <v>79</v>
      </c>
      <c r="C82" s="2"/>
      <c r="D82" s="1"/>
      <c r="E82" s="3"/>
      <c r="F82" s="1"/>
      <c r="G82" s="141">
        <f>IF(Basic345678910111213[[#This Row],[نوع الخدمة]]="مخالفات", 50,
IF(Basic345678910111213[[#This Row],[نوع الخدمة]]="كاش ان",
    IF(F82&lt;=100, 18, IF(F82&lt;=250, 23, IF(F82&lt;=500, 35, IF(F82&lt;=1000, 40, F82*0.04)))),
IF(Basic345678910111213[[#This Row],[نوع الخدمة]]="كاش اوت",
    IF(F82&lt;=100, 15, IF(F82&lt;=250, 20, IF(F82&lt;=500, 30, IF(F82&lt;=1000, 35, F82*0.035)))),
0)))</f>
        <v>0</v>
      </c>
      <c r="H82" s="159">
        <f>IF(I82="مخالفات",50,Basic345678910111213[[#This Row],[قيمة الرسوم / العموله]]+Basic345678910111213[[#This Row],[قيمة الشحنه]])</f>
        <v>0</v>
      </c>
      <c r="I82" s="90"/>
      <c r="J82" s="142" t="str">
        <f t="shared" si="1"/>
        <v>20.5.2026</v>
      </c>
      <c r="L82" s="153">
        <v>71</v>
      </c>
      <c r="M82" s="92"/>
    </row>
    <row r="83" spans="1:13" ht="21.6" x14ac:dyDescent="0.65">
      <c r="A83" s="195"/>
      <c r="B83" s="140">
        <v>80</v>
      </c>
      <c r="C83" s="2"/>
      <c r="D83" s="1"/>
      <c r="E83" s="3"/>
      <c r="F83" s="1"/>
      <c r="G83" s="141">
        <f>IF(Basic345678910111213[[#This Row],[نوع الخدمة]]="مخالفات", 50,
IF(Basic345678910111213[[#This Row],[نوع الخدمة]]="كاش ان",
    IF(F83&lt;=100, 18, IF(F83&lt;=250, 23, IF(F83&lt;=500, 35, IF(F83&lt;=1000, 40, F83*0.04)))),
IF(Basic345678910111213[[#This Row],[نوع الخدمة]]="كاش اوت",
    IF(F83&lt;=100, 15, IF(F83&lt;=250, 20, IF(F83&lt;=500, 30, IF(F83&lt;=1000, 35, F83*0.035)))),
0)))</f>
        <v>0</v>
      </c>
      <c r="H83" s="159">
        <f>IF(I83="مخالفات",50,Basic345678910111213[[#This Row],[قيمة الرسوم / العموله]]+Basic345678910111213[[#This Row],[قيمة الشحنه]])</f>
        <v>0</v>
      </c>
      <c r="I83" s="90"/>
      <c r="J83" s="142" t="str">
        <f t="shared" si="1"/>
        <v>20.5.2026</v>
      </c>
      <c r="L83" s="153">
        <v>72</v>
      </c>
      <c r="M83" s="92"/>
    </row>
    <row r="84" spans="1:13" ht="21.6" x14ac:dyDescent="0.65">
      <c r="A84" s="195"/>
      <c r="B84" s="140">
        <v>81</v>
      </c>
      <c r="C84" s="2"/>
      <c r="D84" s="1"/>
      <c r="E84" s="3"/>
      <c r="F84" s="1"/>
      <c r="G84" s="141">
        <f>IF(Basic345678910111213[[#This Row],[نوع الخدمة]]="مخالفات", 50,
IF(Basic345678910111213[[#This Row],[نوع الخدمة]]="كاش ان",
    IF(F84&lt;=100, 18, IF(F84&lt;=250, 23, IF(F84&lt;=500, 35, IF(F84&lt;=1000, 40, F84*0.04)))),
IF(Basic345678910111213[[#This Row],[نوع الخدمة]]="كاش اوت",
    IF(F84&lt;=100, 15, IF(F84&lt;=250, 20, IF(F84&lt;=500, 30, IF(F84&lt;=1000, 35, F84*0.035)))),
0)))</f>
        <v>0</v>
      </c>
      <c r="H84" s="159">
        <f>IF(I84="مخالفات",50,Basic345678910111213[[#This Row],[قيمة الرسوم / العموله]]+Basic345678910111213[[#This Row],[قيمة الشحنه]])</f>
        <v>0</v>
      </c>
      <c r="I84" s="90"/>
      <c r="J84" s="142" t="str">
        <f t="shared" si="1"/>
        <v>20.5.2026</v>
      </c>
      <c r="L84" s="153">
        <v>73</v>
      </c>
      <c r="M84" s="92"/>
    </row>
    <row r="85" spans="1:13" ht="21.6" x14ac:dyDescent="0.65">
      <c r="A85" s="195"/>
      <c r="B85" s="144">
        <v>82</v>
      </c>
      <c r="C85" s="2"/>
      <c r="D85" s="1"/>
      <c r="E85" s="3"/>
      <c r="F85" s="1"/>
      <c r="G85" s="141">
        <f>IF(Basic345678910111213[[#This Row],[نوع الخدمة]]="مخالفات", 50,
IF(Basic345678910111213[[#This Row],[نوع الخدمة]]="كاش ان",
    IF(F85&lt;=100, 18, IF(F85&lt;=250, 23, IF(F85&lt;=500, 35, IF(F85&lt;=1000, 40, F85*0.04)))),
IF(Basic345678910111213[[#This Row],[نوع الخدمة]]="كاش اوت",
    IF(F85&lt;=100, 15, IF(F85&lt;=250, 20, IF(F85&lt;=500, 30, IF(F85&lt;=1000, 35, F85*0.035)))),
0)))</f>
        <v>0</v>
      </c>
      <c r="H85" s="159">
        <f>IF(I85="مخالفات",50,Basic345678910111213[[#This Row],[قيمة الرسوم / العموله]]+Basic345678910111213[[#This Row],[قيمة الشحنه]])</f>
        <v>0</v>
      </c>
      <c r="I85" s="90"/>
      <c r="J85" s="142" t="str">
        <f t="shared" si="1"/>
        <v>20.5.2026</v>
      </c>
      <c r="L85" s="153">
        <v>74</v>
      </c>
      <c r="M85" s="92"/>
    </row>
    <row r="86" spans="1:13" ht="21.6" x14ac:dyDescent="0.65">
      <c r="A86" s="195"/>
      <c r="B86" s="140">
        <v>83</v>
      </c>
      <c r="C86" s="2"/>
      <c r="D86" s="1"/>
      <c r="E86" s="3"/>
      <c r="F86" s="1"/>
      <c r="G86" s="141">
        <f>IF(Basic345678910111213[[#This Row],[نوع الخدمة]]="مخالفات", 50,
IF(Basic345678910111213[[#This Row],[نوع الخدمة]]="كاش ان",
    IF(F86&lt;=100, 18, IF(F86&lt;=250, 23, IF(F86&lt;=500, 35, IF(F86&lt;=1000, 40, F86*0.04)))),
IF(Basic345678910111213[[#This Row],[نوع الخدمة]]="كاش اوت",
    IF(F86&lt;=100, 15, IF(F86&lt;=250, 20, IF(F86&lt;=500, 30, IF(F86&lt;=1000, 35, F86*0.035)))),
0)))</f>
        <v>0</v>
      </c>
      <c r="H86" s="159">
        <f>IF(I86="مخالفات",50,Basic345678910111213[[#This Row],[قيمة الرسوم / العموله]]+Basic345678910111213[[#This Row],[قيمة الشحنه]])</f>
        <v>0</v>
      </c>
      <c r="I86" s="90"/>
      <c r="J86" s="142" t="str">
        <f t="shared" si="1"/>
        <v>20.5.2026</v>
      </c>
      <c r="L86" s="153">
        <v>75</v>
      </c>
      <c r="M86" s="92"/>
    </row>
    <row r="87" spans="1:13" ht="21.6" x14ac:dyDescent="0.65">
      <c r="A87" s="195"/>
      <c r="B87" s="140">
        <v>84</v>
      </c>
      <c r="C87" s="2"/>
      <c r="D87" s="1"/>
      <c r="E87" s="3"/>
      <c r="F87" s="1"/>
      <c r="G87" s="141">
        <f>IF(Basic345678910111213[[#This Row],[نوع الخدمة]]="مخالفات", 50,
IF(Basic345678910111213[[#This Row],[نوع الخدمة]]="كاش ان",
    IF(F87&lt;=100, 18, IF(F87&lt;=250, 23, IF(F87&lt;=500, 35, IF(F87&lt;=1000, 40, F87*0.04)))),
IF(Basic345678910111213[[#This Row],[نوع الخدمة]]="كاش اوت",
    IF(F87&lt;=100, 15, IF(F87&lt;=250, 20, IF(F87&lt;=500, 30, IF(F87&lt;=1000, 35, F87*0.035)))),
0)))</f>
        <v>0</v>
      </c>
      <c r="H87" s="159">
        <f>IF(I87="مخالفات",50,Basic345678910111213[[#This Row],[قيمة الرسوم / العموله]]+Basic345678910111213[[#This Row],[قيمة الشحنه]])</f>
        <v>0</v>
      </c>
      <c r="I87" s="90"/>
      <c r="J87" s="142" t="str">
        <f t="shared" si="1"/>
        <v>20.5.2026</v>
      </c>
      <c r="L87" s="153">
        <v>76</v>
      </c>
      <c r="M87" s="92"/>
    </row>
    <row r="88" spans="1:13" ht="21.6" x14ac:dyDescent="0.65">
      <c r="A88" s="195"/>
      <c r="B88" s="140">
        <v>85</v>
      </c>
      <c r="C88" s="2"/>
      <c r="D88" s="1"/>
      <c r="E88" s="3"/>
      <c r="F88" s="1"/>
      <c r="G88" s="141">
        <f>IF(Basic345678910111213[[#This Row],[نوع الخدمة]]="مخالفات", 50,
IF(Basic345678910111213[[#This Row],[نوع الخدمة]]="كاش ان",
    IF(F88&lt;=100, 18, IF(F88&lt;=250, 23, IF(F88&lt;=500, 35, IF(F88&lt;=1000, 40, F88*0.04)))),
IF(Basic345678910111213[[#This Row],[نوع الخدمة]]="كاش اوت",
    IF(F88&lt;=100, 15, IF(F88&lt;=250, 20, IF(F88&lt;=500, 30, IF(F88&lt;=1000, 35, F88*0.035)))),
0)))</f>
        <v>0</v>
      </c>
      <c r="H88" s="159">
        <f>IF(I88="مخالفات",50,Basic345678910111213[[#This Row],[قيمة الرسوم / العموله]]+Basic345678910111213[[#This Row],[قيمة الشحنه]])</f>
        <v>0</v>
      </c>
      <c r="I88" s="90"/>
      <c r="J88" s="142" t="str">
        <f t="shared" si="1"/>
        <v>20.5.2026</v>
      </c>
      <c r="L88" s="153">
        <v>77</v>
      </c>
      <c r="M88" s="92"/>
    </row>
    <row r="89" spans="1:13" ht="21.6" x14ac:dyDescent="0.65">
      <c r="A89" s="195"/>
      <c r="B89" s="144">
        <v>86</v>
      </c>
      <c r="C89" s="2"/>
      <c r="D89" s="1"/>
      <c r="E89" s="3"/>
      <c r="F89" s="1"/>
      <c r="G89" s="141">
        <f>IF(Basic345678910111213[[#This Row],[نوع الخدمة]]="مخالفات", 50,
IF(Basic345678910111213[[#This Row],[نوع الخدمة]]="كاش ان",
    IF(F89&lt;=100, 18, IF(F89&lt;=250, 23, IF(F89&lt;=500, 35, IF(F89&lt;=1000, 40, F89*0.04)))),
IF(Basic345678910111213[[#This Row],[نوع الخدمة]]="كاش اوت",
    IF(F89&lt;=100, 15, IF(F89&lt;=250, 20, IF(F89&lt;=500, 30, IF(F89&lt;=1000, 35, F89*0.035)))),
0)))</f>
        <v>0</v>
      </c>
      <c r="H89" s="159">
        <f>IF(I89="مخالفات",50,Basic345678910111213[[#This Row],[قيمة الرسوم / العموله]]+Basic345678910111213[[#This Row],[قيمة الشحنه]])</f>
        <v>0</v>
      </c>
      <c r="I89" s="90"/>
      <c r="J89" s="142" t="str">
        <f t="shared" si="1"/>
        <v>20.5.2026</v>
      </c>
      <c r="L89" s="153">
        <v>78</v>
      </c>
      <c r="M89" s="92"/>
    </row>
    <row r="90" spans="1:13" ht="21.6" x14ac:dyDescent="0.65">
      <c r="A90" s="195"/>
      <c r="B90" s="140">
        <v>87</v>
      </c>
      <c r="C90" s="2"/>
      <c r="D90" s="1"/>
      <c r="E90" s="3"/>
      <c r="F90" s="1"/>
      <c r="G90" s="141">
        <f>IF(Basic345678910111213[[#This Row],[نوع الخدمة]]="مخالفات", 50,
IF(Basic345678910111213[[#This Row],[نوع الخدمة]]="كاش ان",
    IF(F90&lt;=100, 18, IF(F90&lt;=250, 23, IF(F90&lt;=500, 35, IF(F90&lt;=1000, 40, F90*0.04)))),
IF(Basic345678910111213[[#This Row],[نوع الخدمة]]="كاش اوت",
    IF(F90&lt;=100, 15, IF(F90&lt;=250, 20, IF(F90&lt;=500, 30, IF(F90&lt;=1000, 35, F90*0.035)))),
0)))</f>
        <v>0</v>
      </c>
      <c r="H90" s="159">
        <f>IF(I90="مخالفات",50,Basic345678910111213[[#This Row],[قيمة الرسوم / العموله]]+Basic345678910111213[[#This Row],[قيمة الشحنه]])</f>
        <v>0</v>
      </c>
      <c r="I90" s="90"/>
      <c r="J90" s="142" t="str">
        <f t="shared" si="1"/>
        <v>20.5.2026</v>
      </c>
      <c r="L90" s="153">
        <v>79</v>
      </c>
      <c r="M90" s="92"/>
    </row>
    <row r="91" spans="1:13" ht="21.6" x14ac:dyDescent="0.65">
      <c r="A91" s="195"/>
      <c r="B91" s="140">
        <v>88</v>
      </c>
      <c r="C91" s="2"/>
      <c r="D91" s="1"/>
      <c r="E91" s="3"/>
      <c r="F91" s="1"/>
      <c r="G91" s="141">
        <f>IF(Basic345678910111213[[#This Row],[نوع الخدمة]]="مخالفات", 50,
IF(Basic345678910111213[[#This Row],[نوع الخدمة]]="كاش ان",
    IF(F91&lt;=100, 18, IF(F91&lt;=250, 23, IF(F91&lt;=500, 35, IF(F91&lt;=1000, 40, F91*0.04)))),
IF(Basic345678910111213[[#This Row],[نوع الخدمة]]="كاش اوت",
    IF(F91&lt;=100, 15, IF(F91&lt;=250, 20, IF(F91&lt;=500, 30, IF(F91&lt;=1000, 35, F91*0.035)))),
0)))</f>
        <v>0</v>
      </c>
      <c r="H91" s="159">
        <f>IF(I91="مخالفات",50,Basic345678910111213[[#This Row],[قيمة الرسوم / العموله]]+Basic345678910111213[[#This Row],[قيمة الشحنه]])</f>
        <v>0</v>
      </c>
      <c r="I91" s="90"/>
      <c r="J91" s="142" t="str">
        <f t="shared" si="1"/>
        <v>20.5.2026</v>
      </c>
      <c r="L91" s="153">
        <v>80</v>
      </c>
      <c r="M91" s="92"/>
    </row>
    <row r="92" spans="1:13" ht="21.6" x14ac:dyDescent="0.65">
      <c r="A92" s="195"/>
      <c r="B92" s="140">
        <v>89</v>
      </c>
      <c r="C92" s="2"/>
      <c r="D92" s="1"/>
      <c r="E92" s="3"/>
      <c r="F92" s="1"/>
      <c r="G92" s="141">
        <f>IF(Basic345678910111213[[#This Row],[نوع الخدمة]]="مخالفات", 50,
IF(Basic345678910111213[[#This Row],[نوع الخدمة]]="كاش ان",
    IF(F92&lt;=100, 18, IF(F92&lt;=250, 23, IF(F92&lt;=500, 35, IF(F92&lt;=1000, 40, F92*0.04)))),
IF(Basic345678910111213[[#This Row],[نوع الخدمة]]="كاش اوت",
    IF(F92&lt;=100, 15, IF(F92&lt;=250, 20, IF(F92&lt;=500, 30, IF(F92&lt;=1000, 35, F92*0.035)))),
0)))</f>
        <v>0</v>
      </c>
      <c r="H92" s="159">
        <f>IF(I92="مخالفات",50,Basic345678910111213[[#This Row],[قيمة الرسوم / العموله]]+Basic345678910111213[[#This Row],[قيمة الشحنه]])</f>
        <v>0</v>
      </c>
      <c r="I92" s="90"/>
      <c r="J92" s="142" t="str">
        <f t="shared" si="1"/>
        <v>20.5.2026</v>
      </c>
      <c r="L92" s="153">
        <v>81</v>
      </c>
      <c r="M92" s="92"/>
    </row>
    <row r="93" spans="1:13" ht="21.6" x14ac:dyDescent="0.65">
      <c r="A93" s="195"/>
      <c r="B93" s="144">
        <v>90</v>
      </c>
      <c r="C93" s="2"/>
      <c r="D93" s="1"/>
      <c r="E93" s="3"/>
      <c r="F93" s="1"/>
      <c r="G93" s="141">
        <f>IF(Basic345678910111213[[#This Row],[نوع الخدمة]]="مخالفات", 50,
IF(Basic345678910111213[[#This Row],[نوع الخدمة]]="كاش ان",
    IF(F93&lt;=100, 18, IF(F93&lt;=250, 23, IF(F93&lt;=500, 35, IF(F93&lt;=1000, 40, F93*0.04)))),
IF(Basic345678910111213[[#This Row],[نوع الخدمة]]="كاش اوت",
    IF(F93&lt;=100, 15, IF(F93&lt;=250, 20, IF(F93&lt;=500, 30, IF(F93&lt;=1000, 35, F93*0.035)))),
0)))</f>
        <v>0</v>
      </c>
      <c r="H93" s="159">
        <f>IF(I93="مخالفات",50,Basic345678910111213[[#This Row],[قيمة الرسوم / العموله]]+Basic345678910111213[[#This Row],[قيمة الشحنه]])</f>
        <v>0</v>
      </c>
      <c r="I93" s="90"/>
      <c r="J93" s="142" t="str">
        <f t="shared" si="1"/>
        <v>20.5.2026</v>
      </c>
      <c r="L93" s="153">
        <v>82</v>
      </c>
      <c r="M93" s="92"/>
    </row>
    <row r="94" spans="1:13" ht="21.6" x14ac:dyDescent="0.65">
      <c r="A94" s="195"/>
      <c r="B94" s="140">
        <v>91</v>
      </c>
      <c r="C94" s="2"/>
      <c r="D94" s="1"/>
      <c r="E94" s="3"/>
      <c r="F94" s="1"/>
      <c r="G94" s="141">
        <f>IF(Basic345678910111213[[#This Row],[نوع الخدمة]]="مخالفات", 50,
IF(Basic345678910111213[[#This Row],[نوع الخدمة]]="كاش ان",
    IF(F94&lt;=100, 18, IF(F94&lt;=250, 23, IF(F94&lt;=500, 35, IF(F94&lt;=1000, 40, F94*0.04)))),
IF(Basic345678910111213[[#This Row],[نوع الخدمة]]="كاش اوت",
    IF(F94&lt;=100, 15, IF(F94&lt;=250, 20, IF(F94&lt;=500, 30, IF(F94&lt;=1000, 35, F94*0.035)))),
0)))</f>
        <v>0</v>
      </c>
      <c r="H94" s="159">
        <f>IF(I94="مخالفات",50,Basic345678910111213[[#This Row],[قيمة الرسوم / العموله]]+Basic345678910111213[[#This Row],[قيمة الشحنه]])</f>
        <v>0</v>
      </c>
      <c r="I94" s="90"/>
      <c r="J94" s="142" t="str">
        <f t="shared" si="1"/>
        <v>20.5.2026</v>
      </c>
      <c r="L94" s="153">
        <v>83</v>
      </c>
      <c r="M94" s="92"/>
    </row>
    <row r="95" spans="1:13" ht="21.6" x14ac:dyDescent="0.65">
      <c r="A95" s="195"/>
      <c r="B95" s="140">
        <v>92</v>
      </c>
      <c r="C95" s="2"/>
      <c r="D95" s="1"/>
      <c r="E95" s="3"/>
      <c r="F95" s="1"/>
      <c r="G95" s="141">
        <f>IF(Basic345678910111213[[#This Row],[نوع الخدمة]]="مخالفات", 50,
IF(Basic345678910111213[[#This Row],[نوع الخدمة]]="كاش ان",
    IF(F95&lt;=100, 18, IF(F95&lt;=250, 23, IF(F95&lt;=500, 35, IF(F95&lt;=1000, 40, F95*0.04)))),
IF(Basic345678910111213[[#This Row],[نوع الخدمة]]="كاش اوت",
    IF(F95&lt;=100, 15, IF(F95&lt;=250, 20, IF(F95&lt;=500, 30, IF(F95&lt;=1000, 35, F95*0.035)))),
0)))</f>
        <v>0</v>
      </c>
      <c r="H95" s="159">
        <f>IF(I95="مخالفات",50,Basic345678910111213[[#This Row],[قيمة الرسوم / العموله]]+Basic345678910111213[[#This Row],[قيمة الشحنه]])</f>
        <v>0</v>
      </c>
      <c r="I95" s="90"/>
      <c r="J95" s="142" t="str">
        <f t="shared" si="1"/>
        <v>20.5.2026</v>
      </c>
      <c r="L95" s="153">
        <v>84</v>
      </c>
      <c r="M95" s="92"/>
    </row>
    <row r="96" spans="1:13" ht="21.6" x14ac:dyDescent="0.65">
      <c r="A96" s="195"/>
      <c r="B96" s="140">
        <v>93</v>
      </c>
      <c r="C96" s="2"/>
      <c r="D96" s="1"/>
      <c r="E96" s="3"/>
      <c r="F96" s="1"/>
      <c r="G96" s="141">
        <f>IF(Basic345678910111213[[#This Row],[نوع الخدمة]]="مخالفات", 50,
IF(Basic345678910111213[[#This Row],[نوع الخدمة]]="كاش ان",
    IF(F96&lt;=100, 18, IF(F96&lt;=250, 23, IF(F96&lt;=500, 35, IF(F96&lt;=1000, 40, F96*0.04)))),
IF(Basic345678910111213[[#This Row],[نوع الخدمة]]="كاش اوت",
    IF(F96&lt;=100, 15, IF(F96&lt;=250, 20, IF(F96&lt;=500, 30, IF(F96&lt;=1000, 35, F96*0.035)))),
0)))</f>
        <v>0</v>
      </c>
      <c r="H96" s="159">
        <f>IF(I96="مخالفات",50,Basic345678910111213[[#This Row],[قيمة الرسوم / العموله]]+Basic345678910111213[[#This Row],[قيمة الشحنه]])</f>
        <v>0</v>
      </c>
      <c r="I96" s="90"/>
      <c r="J96" s="142" t="str">
        <f t="shared" si="1"/>
        <v>20.5.2026</v>
      </c>
      <c r="L96" s="153">
        <v>85</v>
      </c>
      <c r="M96" s="92"/>
    </row>
    <row r="97" spans="1:13" ht="21.6" x14ac:dyDescent="0.65">
      <c r="A97" s="195"/>
      <c r="B97" s="144">
        <v>94</v>
      </c>
      <c r="C97" s="2"/>
      <c r="D97" s="1"/>
      <c r="E97" s="3"/>
      <c r="F97" s="1"/>
      <c r="G97" s="141">
        <f>IF(Basic345678910111213[[#This Row],[نوع الخدمة]]="مخالفات", 50,
IF(Basic345678910111213[[#This Row],[نوع الخدمة]]="كاش ان",
    IF(F97&lt;=100, 18, IF(F97&lt;=250, 23, IF(F97&lt;=500, 35, IF(F97&lt;=1000, 40, F97*0.04)))),
IF(Basic345678910111213[[#This Row],[نوع الخدمة]]="كاش اوت",
    IF(F97&lt;=100, 15, IF(F97&lt;=250, 20, IF(F97&lt;=500, 30, IF(F97&lt;=1000, 35, F97*0.035)))),
0)))</f>
        <v>0</v>
      </c>
      <c r="H97" s="159">
        <f>IF(I97="مخالفات",50,Basic345678910111213[[#This Row],[قيمة الرسوم / العموله]]+Basic345678910111213[[#This Row],[قيمة الشحنه]])</f>
        <v>0</v>
      </c>
      <c r="I97" s="90"/>
      <c r="J97" s="142" t="str">
        <f t="shared" si="1"/>
        <v>20.5.2026</v>
      </c>
      <c r="L97" s="153">
        <v>86</v>
      </c>
      <c r="M97" s="92"/>
    </row>
    <row r="98" spans="1:13" ht="21.6" x14ac:dyDescent="0.65">
      <c r="A98" s="195"/>
      <c r="B98" s="140">
        <v>95</v>
      </c>
      <c r="C98" s="2"/>
      <c r="D98" s="1"/>
      <c r="E98" s="3"/>
      <c r="F98" s="1"/>
      <c r="G98" s="141">
        <f>IF(Basic345678910111213[[#This Row],[نوع الخدمة]]="مخالفات", 50,
IF(Basic345678910111213[[#This Row],[نوع الخدمة]]="كاش ان",
    IF(F98&lt;=100, 18, IF(F98&lt;=250, 23, IF(F98&lt;=500, 35, IF(F98&lt;=1000, 40, F98*0.04)))),
IF(Basic345678910111213[[#This Row],[نوع الخدمة]]="كاش اوت",
    IF(F98&lt;=100, 15, IF(F98&lt;=250, 20, IF(F98&lt;=500, 30, IF(F98&lt;=1000, 35, F98*0.035)))),
0)))</f>
        <v>0</v>
      </c>
      <c r="H98" s="159">
        <f>IF(I98="مخالفات",50,Basic345678910111213[[#This Row],[قيمة الرسوم / العموله]]+Basic345678910111213[[#This Row],[قيمة الشحنه]])</f>
        <v>0</v>
      </c>
      <c r="I98" s="90"/>
      <c r="J98" s="142" t="str">
        <f t="shared" si="1"/>
        <v>20.5.2026</v>
      </c>
      <c r="L98" s="153">
        <v>87</v>
      </c>
      <c r="M98" s="92"/>
    </row>
    <row r="99" spans="1:13" ht="21.6" x14ac:dyDescent="0.65">
      <c r="A99" s="195"/>
      <c r="B99" s="140">
        <v>96</v>
      </c>
      <c r="C99" s="2"/>
      <c r="D99" s="1"/>
      <c r="E99" s="3"/>
      <c r="F99" s="1"/>
      <c r="G99" s="141">
        <f>IF(Basic345678910111213[[#This Row],[نوع الخدمة]]="مخالفات", 50,
IF(Basic345678910111213[[#This Row],[نوع الخدمة]]="كاش ان",
    IF(F99&lt;=100, 18, IF(F99&lt;=250, 23, IF(F99&lt;=500, 35, IF(F99&lt;=1000, 40, F99*0.04)))),
IF(Basic345678910111213[[#This Row],[نوع الخدمة]]="كاش اوت",
    IF(F99&lt;=100, 15, IF(F99&lt;=250, 20, IF(F99&lt;=500, 30, IF(F99&lt;=1000, 35, F99*0.035)))),
0)))</f>
        <v>0</v>
      </c>
      <c r="H99" s="159">
        <f>IF(I99="مخالفات",50,Basic345678910111213[[#This Row],[قيمة الرسوم / العموله]]+Basic345678910111213[[#This Row],[قيمة الشحنه]])</f>
        <v>0</v>
      </c>
      <c r="I99" s="90"/>
      <c r="J99" s="142" t="str">
        <f t="shared" si="1"/>
        <v>20.5.2026</v>
      </c>
      <c r="L99" s="153">
        <v>88</v>
      </c>
      <c r="M99" s="92"/>
    </row>
    <row r="100" spans="1:13" ht="21.6" x14ac:dyDescent="0.65">
      <c r="A100" s="195"/>
      <c r="B100" s="140">
        <v>97</v>
      </c>
      <c r="C100" s="2"/>
      <c r="D100" s="1"/>
      <c r="E100" s="3"/>
      <c r="F100" s="1"/>
      <c r="G100" s="141">
        <f>IF(Basic345678910111213[[#This Row],[نوع الخدمة]]="مخالفات", 50,
IF(Basic345678910111213[[#This Row],[نوع الخدمة]]="كاش ان",
    IF(F100&lt;=100, 18, IF(F100&lt;=250, 23, IF(F100&lt;=500, 35, IF(F100&lt;=1000, 40, F100*0.04)))),
IF(Basic345678910111213[[#This Row],[نوع الخدمة]]="كاش اوت",
    IF(F100&lt;=100, 15, IF(F100&lt;=250, 20, IF(F100&lt;=500, 30, IF(F100&lt;=1000, 35, F100*0.035)))),
0)))</f>
        <v>0</v>
      </c>
      <c r="H100" s="159">
        <f>IF(I100="مخالفات",50,Basic345678910111213[[#This Row],[قيمة الرسوم / العموله]]+Basic345678910111213[[#This Row],[قيمة الشحنه]])</f>
        <v>0</v>
      </c>
      <c r="I100" s="90"/>
      <c r="J100" s="142" t="str">
        <f t="shared" si="1"/>
        <v>20.5.2026</v>
      </c>
      <c r="L100" s="153">
        <v>89</v>
      </c>
      <c r="M100" s="92"/>
    </row>
    <row r="101" spans="1:13" ht="21.6" x14ac:dyDescent="0.65">
      <c r="A101" s="195"/>
      <c r="B101" s="144">
        <v>98</v>
      </c>
      <c r="C101" s="2"/>
      <c r="D101" s="1"/>
      <c r="E101" s="3"/>
      <c r="F101" s="1"/>
      <c r="G101" s="141">
        <f>IF(Basic345678910111213[[#This Row],[نوع الخدمة]]="مخالفات", 50,
IF(Basic345678910111213[[#This Row],[نوع الخدمة]]="كاش ان",
    IF(F101&lt;=100, 18, IF(F101&lt;=250, 23, IF(F101&lt;=500, 35, IF(F101&lt;=1000, 40, F101*0.04)))),
IF(Basic345678910111213[[#This Row],[نوع الخدمة]]="كاش اوت",
    IF(F101&lt;=100, 15, IF(F101&lt;=250, 20, IF(F101&lt;=500, 30, IF(F101&lt;=1000, 35, F101*0.035)))),
0)))</f>
        <v>0</v>
      </c>
      <c r="H101" s="159">
        <f>IF(I101="مخالفات",50,Basic345678910111213[[#This Row],[قيمة الرسوم / العموله]]+Basic345678910111213[[#This Row],[قيمة الشحنه]])</f>
        <v>0</v>
      </c>
      <c r="I101" s="90"/>
      <c r="J101" s="142" t="str">
        <f t="shared" si="1"/>
        <v>20.5.2026</v>
      </c>
      <c r="L101" s="153">
        <v>90</v>
      </c>
      <c r="M101" s="92"/>
    </row>
    <row r="102" spans="1:13" ht="21.6" x14ac:dyDescent="0.65">
      <c r="A102" s="195"/>
      <c r="B102" s="140">
        <v>99</v>
      </c>
      <c r="C102" s="2"/>
      <c r="D102" s="1"/>
      <c r="E102" s="3"/>
      <c r="F102" s="1"/>
      <c r="G102" s="141">
        <f>IF(Basic345678910111213[[#This Row],[نوع الخدمة]]="مخالفات", 50,
IF(Basic345678910111213[[#This Row],[نوع الخدمة]]="كاش ان",
    IF(F102&lt;=100, 18, IF(F102&lt;=250, 23, IF(F102&lt;=500, 35, IF(F102&lt;=1000, 40, F102*0.04)))),
IF(Basic345678910111213[[#This Row],[نوع الخدمة]]="كاش اوت",
    IF(F102&lt;=100, 15, IF(F102&lt;=250, 20, IF(F102&lt;=500, 30, IF(F102&lt;=1000, 35, F102*0.035)))),
0)))</f>
        <v>0</v>
      </c>
      <c r="H102" s="159">
        <f>IF(I102="مخالفات",50,Basic345678910111213[[#This Row],[قيمة الرسوم / العموله]]+Basic345678910111213[[#This Row],[قيمة الشحنه]])</f>
        <v>0</v>
      </c>
      <c r="I102" s="90"/>
      <c r="J102" s="142" t="str">
        <f t="shared" si="1"/>
        <v>20.5.2026</v>
      </c>
      <c r="L102" s="153">
        <v>91</v>
      </c>
      <c r="M102" s="92"/>
    </row>
    <row r="103" spans="1:13" ht="21.6" x14ac:dyDescent="0.65">
      <c r="A103" s="195"/>
      <c r="B103" s="140">
        <v>100</v>
      </c>
      <c r="C103" s="2"/>
      <c r="D103" s="1"/>
      <c r="E103" s="3"/>
      <c r="F103" s="1"/>
      <c r="G103" s="141">
        <f>IF(Basic345678910111213[[#This Row],[نوع الخدمة]]="مخالفات", 50,
IF(Basic345678910111213[[#This Row],[نوع الخدمة]]="كاش ان",
    IF(F103&lt;=100, 18, IF(F103&lt;=250, 23, IF(F103&lt;=500, 35, IF(F103&lt;=1000, 40, F103*0.04)))),
IF(Basic345678910111213[[#This Row],[نوع الخدمة]]="كاش اوت",
    IF(F103&lt;=100, 15, IF(F103&lt;=250, 20, IF(F103&lt;=500, 30, IF(F103&lt;=1000, 35, F103*0.035)))),
0)))</f>
        <v>0</v>
      </c>
      <c r="H103" s="159">
        <f>IF(I103="مخالفات",50,Basic345678910111213[[#This Row],[قيمة الرسوم / العموله]]+Basic345678910111213[[#This Row],[قيمة الشحنه]])</f>
        <v>0</v>
      </c>
      <c r="I103" s="90"/>
      <c r="J103" s="142" t="str">
        <f t="shared" si="1"/>
        <v>20.5.2026</v>
      </c>
      <c r="L103" s="153">
        <v>92</v>
      </c>
      <c r="M103" s="92"/>
    </row>
    <row r="104" spans="1:13" ht="21.6" x14ac:dyDescent="0.65">
      <c r="A104" s="195"/>
      <c r="B104" s="140">
        <v>101</v>
      </c>
      <c r="C104" s="2"/>
      <c r="D104" s="1"/>
      <c r="E104" s="3"/>
      <c r="F104" s="1"/>
      <c r="G104" s="141">
        <f>IF(Basic345678910111213[[#This Row],[نوع الخدمة]]="مخالفات", 50,
IF(Basic345678910111213[[#This Row],[نوع الخدمة]]="كاش ان",
    IF(F104&lt;=100, 18, IF(F104&lt;=250, 23, IF(F104&lt;=500, 35, IF(F104&lt;=1000, 40, F104*0.04)))),
IF(Basic345678910111213[[#This Row],[نوع الخدمة]]="كاش اوت",
    IF(F104&lt;=100, 15, IF(F104&lt;=250, 20, IF(F104&lt;=500, 30, IF(F104&lt;=1000, 35, F104*0.035)))),
0)))</f>
        <v>0</v>
      </c>
      <c r="H104" s="159">
        <f>IF(I104="مخالفات",50,Basic345678910111213[[#This Row],[قيمة الرسوم / العموله]]+Basic345678910111213[[#This Row],[قيمة الشحنه]])</f>
        <v>0</v>
      </c>
      <c r="I104" s="90"/>
      <c r="J104" s="142" t="str">
        <f t="shared" si="1"/>
        <v>20.5.2026</v>
      </c>
      <c r="L104" s="153">
        <v>93</v>
      </c>
      <c r="M104" s="92"/>
    </row>
    <row r="105" spans="1:13" ht="21.6" x14ac:dyDescent="0.65">
      <c r="A105" s="195"/>
      <c r="B105" s="144">
        <v>102</v>
      </c>
      <c r="C105" s="2"/>
      <c r="D105" s="1"/>
      <c r="E105" s="3"/>
      <c r="F105" s="1"/>
      <c r="G105" s="141">
        <f>IF(Basic345678910111213[[#This Row],[نوع الخدمة]]="مخالفات", 50,
IF(Basic345678910111213[[#This Row],[نوع الخدمة]]="كاش ان",
    IF(F105&lt;=100, 18, IF(F105&lt;=250, 23, IF(F105&lt;=500, 35, IF(F105&lt;=1000, 40, F105*0.04)))),
IF(Basic345678910111213[[#This Row],[نوع الخدمة]]="كاش اوت",
    IF(F105&lt;=100, 15, IF(F105&lt;=250, 20, IF(F105&lt;=500, 30, IF(F105&lt;=1000, 35, F105*0.035)))),
0)))</f>
        <v>0</v>
      </c>
      <c r="H105" s="159">
        <f>IF(I105="مخالفات",50,Basic345678910111213[[#This Row],[قيمة الرسوم / العموله]]+Basic345678910111213[[#This Row],[قيمة الشحنه]])</f>
        <v>0</v>
      </c>
      <c r="I105" s="90"/>
      <c r="J105" s="142" t="str">
        <f t="shared" si="1"/>
        <v>20.5.2026</v>
      </c>
      <c r="L105" s="153">
        <v>94</v>
      </c>
      <c r="M105" s="92"/>
    </row>
    <row r="106" spans="1:13" ht="21.6" x14ac:dyDescent="0.65">
      <c r="A106" s="195"/>
      <c r="B106" s="140">
        <v>103</v>
      </c>
      <c r="C106" s="2"/>
      <c r="D106" s="1"/>
      <c r="E106" s="3"/>
      <c r="F106" s="1"/>
      <c r="G106" s="141">
        <f>IF(Basic345678910111213[[#This Row],[نوع الخدمة]]="مخالفات", 50,
IF(Basic345678910111213[[#This Row],[نوع الخدمة]]="كاش ان",
    IF(F106&lt;=100, 18, IF(F106&lt;=250, 23, IF(F106&lt;=500, 35, IF(F106&lt;=1000, 40, F106*0.04)))),
IF(Basic345678910111213[[#This Row],[نوع الخدمة]]="كاش اوت",
    IF(F106&lt;=100, 15, IF(F106&lt;=250, 20, IF(F106&lt;=500, 30, IF(F106&lt;=1000, 35, F106*0.035)))),
0)))</f>
        <v>0</v>
      </c>
      <c r="H106" s="159">
        <f>IF(I106="مخالفات",50,Basic345678910111213[[#This Row],[قيمة الرسوم / العموله]]+Basic345678910111213[[#This Row],[قيمة الشحنه]])</f>
        <v>0</v>
      </c>
      <c r="I106" s="90"/>
      <c r="J106" s="142" t="str">
        <f t="shared" si="1"/>
        <v>20.5.2026</v>
      </c>
      <c r="L106" s="153">
        <v>95</v>
      </c>
      <c r="M106" s="92"/>
    </row>
    <row r="107" spans="1:13" ht="21.6" x14ac:dyDescent="0.65">
      <c r="A107" s="195"/>
      <c r="B107" s="140">
        <v>104</v>
      </c>
      <c r="C107" s="2"/>
      <c r="D107" s="1"/>
      <c r="E107" s="3"/>
      <c r="F107" s="1"/>
      <c r="G107" s="141">
        <f>IF(Basic345678910111213[[#This Row],[نوع الخدمة]]="مخالفات", 50,
IF(Basic345678910111213[[#This Row],[نوع الخدمة]]="كاش ان",
    IF(F107&lt;=100, 18, IF(F107&lt;=250, 23, IF(F107&lt;=500, 35, IF(F107&lt;=1000, 40, F107*0.04)))),
IF(Basic345678910111213[[#This Row],[نوع الخدمة]]="كاش اوت",
    IF(F107&lt;=100, 15, IF(F107&lt;=250, 20, IF(F107&lt;=500, 30, IF(F107&lt;=1000, 35, F107*0.035)))),
0)))</f>
        <v>0</v>
      </c>
      <c r="H107" s="159">
        <f>IF(I107="مخالفات",50,Basic345678910111213[[#This Row],[قيمة الرسوم / العموله]]+Basic345678910111213[[#This Row],[قيمة الشحنه]])</f>
        <v>0</v>
      </c>
      <c r="I107" s="90"/>
      <c r="J107" s="142" t="str">
        <f t="shared" si="1"/>
        <v>20.5.2026</v>
      </c>
      <c r="L107" s="153">
        <v>96</v>
      </c>
      <c r="M107" s="92"/>
    </row>
    <row r="108" spans="1:13" ht="21.6" x14ac:dyDescent="0.65">
      <c r="A108" s="195"/>
      <c r="B108" s="140">
        <v>105</v>
      </c>
      <c r="C108" s="2"/>
      <c r="D108" s="1"/>
      <c r="E108" s="3"/>
      <c r="F108" s="1"/>
      <c r="G108" s="141">
        <f>IF(Basic345678910111213[[#This Row],[نوع الخدمة]]="مخالفات", 50,
IF(Basic345678910111213[[#This Row],[نوع الخدمة]]="كاش ان",
    IF(F108&lt;=100, 18, IF(F108&lt;=250, 23, IF(F108&lt;=500, 35, IF(F108&lt;=1000, 40, F108*0.04)))),
IF(Basic345678910111213[[#This Row],[نوع الخدمة]]="كاش اوت",
    IF(F108&lt;=100, 15, IF(F108&lt;=250, 20, IF(F108&lt;=500, 30, IF(F108&lt;=1000, 35, F108*0.035)))),
0)))</f>
        <v>0</v>
      </c>
      <c r="H108" s="159">
        <f>IF(I108="مخالفات",50,Basic345678910111213[[#This Row],[قيمة الرسوم / العموله]]+Basic345678910111213[[#This Row],[قيمة الشحنه]])</f>
        <v>0</v>
      </c>
      <c r="I108" s="90"/>
      <c r="J108" s="142" t="str">
        <f t="shared" si="1"/>
        <v>20.5.2026</v>
      </c>
      <c r="L108" s="153">
        <v>97</v>
      </c>
      <c r="M108" s="92"/>
    </row>
    <row r="109" spans="1:13" ht="21.6" x14ac:dyDescent="0.65">
      <c r="A109" s="195"/>
      <c r="B109" s="144">
        <v>106</v>
      </c>
      <c r="C109" s="2"/>
      <c r="D109" s="1"/>
      <c r="E109" s="3"/>
      <c r="F109" s="1"/>
      <c r="G109" s="141">
        <f>IF(Basic345678910111213[[#This Row],[نوع الخدمة]]="مخالفات", 50,
IF(Basic345678910111213[[#This Row],[نوع الخدمة]]="كاش ان",
    IF(F109&lt;=100, 18, IF(F109&lt;=250, 23, IF(F109&lt;=500, 35, IF(F109&lt;=1000, 40, F109*0.04)))),
IF(Basic345678910111213[[#This Row],[نوع الخدمة]]="كاش اوت",
    IF(F109&lt;=100, 15, IF(F109&lt;=250, 20, IF(F109&lt;=500, 30, IF(F109&lt;=1000, 35, F109*0.035)))),
0)))</f>
        <v>0</v>
      </c>
      <c r="H109" s="159">
        <f>IF(I109="مخالفات",50,Basic345678910111213[[#This Row],[قيمة الرسوم / العموله]]+Basic345678910111213[[#This Row],[قيمة الشحنه]])</f>
        <v>0</v>
      </c>
      <c r="I109" s="90"/>
      <c r="J109" s="142" t="str">
        <f t="shared" si="1"/>
        <v>20.5.2026</v>
      </c>
      <c r="L109" s="153">
        <v>98</v>
      </c>
      <c r="M109" s="92"/>
    </row>
    <row r="110" spans="1:13" ht="21.6" x14ac:dyDescent="0.65">
      <c r="A110" s="195"/>
      <c r="B110" s="140">
        <v>107</v>
      </c>
      <c r="C110" s="2"/>
      <c r="D110" s="1"/>
      <c r="E110" s="3"/>
      <c r="F110" s="1"/>
      <c r="G110" s="141">
        <f>IF(Basic345678910111213[[#This Row],[نوع الخدمة]]="مخالفات", 50,
IF(Basic345678910111213[[#This Row],[نوع الخدمة]]="كاش ان",
    IF(F110&lt;=100, 18, IF(F110&lt;=250, 23, IF(F110&lt;=500, 35, IF(F110&lt;=1000, 40, F110*0.04)))),
IF(Basic345678910111213[[#This Row],[نوع الخدمة]]="كاش اوت",
    IF(F110&lt;=100, 15, IF(F110&lt;=250, 20, IF(F110&lt;=500, 30, IF(F110&lt;=1000, 35, F110*0.035)))),
0)))</f>
        <v>0</v>
      </c>
      <c r="H110" s="159">
        <f>IF(I110="مخالفات",50,Basic345678910111213[[#This Row],[قيمة الرسوم / العموله]]+Basic345678910111213[[#This Row],[قيمة الشحنه]])</f>
        <v>0</v>
      </c>
      <c r="I110" s="90"/>
      <c r="J110" s="142" t="str">
        <f t="shared" si="1"/>
        <v>20.5.2026</v>
      </c>
      <c r="L110" s="153">
        <v>99</v>
      </c>
      <c r="M110" s="92"/>
    </row>
    <row r="111" spans="1:13" ht="21.6" x14ac:dyDescent="0.65">
      <c r="A111" s="195"/>
      <c r="B111" s="140">
        <v>108</v>
      </c>
      <c r="C111" s="2"/>
      <c r="D111" s="1"/>
      <c r="E111" s="3"/>
      <c r="F111" s="1"/>
      <c r="G111" s="141">
        <f>IF(Basic345678910111213[[#This Row],[نوع الخدمة]]="مخالفات", 50,
IF(Basic345678910111213[[#This Row],[نوع الخدمة]]="كاش ان",
    IF(F111&lt;=100, 18, IF(F111&lt;=250, 23, IF(F111&lt;=500, 35, IF(F111&lt;=1000, 40, F111*0.04)))),
IF(Basic345678910111213[[#This Row],[نوع الخدمة]]="كاش اوت",
    IF(F111&lt;=100, 15, IF(F111&lt;=250, 20, IF(F111&lt;=500, 30, IF(F111&lt;=1000, 35, F111*0.035)))),
0)))</f>
        <v>0</v>
      </c>
      <c r="H111" s="159">
        <f>IF(I111="مخالفات",50,Basic345678910111213[[#This Row],[قيمة الرسوم / العموله]]+Basic345678910111213[[#This Row],[قيمة الشحنه]])</f>
        <v>0</v>
      </c>
      <c r="I111" s="90"/>
      <c r="J111" s="142" t="str">
        <f t="shared" si="1"/>
        <v>20.5.2026</v>
      </c>
      <c r="L111" s="153">
        <v>100</v>
      </c>
      <c r="M111" s="92"/>
    </row>
    <row r="112" spans="1:13" ht="21.6" x14ac:dyDescent="0.65">
      <c r="A112" s="195"/>
      <c r="B112" s="140">
        <v>109</v>
      </c>
      <c r="C112" s="2"/>
      <c r="D112" s="1"/>
      <c r="E112" s="3"/>
      <c r="F112" s="1"/>
      <c r="G112" s="141">
        <f>IF(Basic345678910111213[[#This Row],[نوع الخدمة]]="مخالفات", 50,
IF(Basic345678910111213[[#This Row],[نوع الخدمة]]="كاش ان",
    IF(F112&lt;=100, 18, IF(F112&lt;=250, 23, IF(F112&lt;=500, 35, IF(F112&lt;=1000, 40, F112*0.04)))),
IF(Basic345678910111213[[#This Row],[نوع الخدمة]]="كاش اوت",
    IF(F112&lt;=100, 15, IF(F112&lt;=250, 20, IF(F112&lt;=500, 30, IF(F112&lt;=1000, 35, F112*0.035)))),
0)))</f>
        <v>0</v>
      </c>
      <c r="H112" s="159">
        <f>IF(I112="مخالفات",50,Basic345678910111213[[#This Row],[قيمة الرسوم / العموله]]+Basic345678910111213[[#This Row],[قيمة الشحنه]])</f>
        <v>0</v>
      </c>
      <c r="I112" s="90"/>
      <c r="J112" s="142" t="str">
        <f t="shared" si="1"/>
        <v>20.5.2026</v>
      </c>
      <c r="L112" s="153">
        <v>101</v>
      </c>
      <c r="M112" s="92"/>
    </row>
    <row r="113" spans="1:13" ht="21.6" x14ac:dyDescent="0.65">
      <c r="A113" s="195"/>
      <c r="B113" s="144">
        <v>110</v>
      </c>
      <c r="C113" s="2"/>
      <c r="D113" s="1"/>
      <c r="E113" s="3"/>
      <c r="F113" s="1"/>
      <c r="G113" s="141">
        <f>IF(Basic345678910111213[[#This Row],[نوع الخدمة]]="مخالفات", 50,
IF(Basic345678910111213[[#This Row],[نوع الخدمة]]="كاش ان",
    IF(F113&lt;=100, 18, IF(F113&lt;=250, 23, IF(F113&lt;=500, 35, IF(F113&lt;=1000, 40, F113*0.04)))),
IF(Basic345678910111213[[#This Row],[نوع الخدمة]]="كاش اوت",
    IF(F113&lt;=100, 15, IF(F113&lt;=250, 20, IF(F113&lt;=500, 30, IF(F113&lt;=1000, 35, F113*0.035)))),
0)))</f>
        <v>0</v>
      </c>
      <c r="H113" s="159">
        <f>IF(I113="مخالفات",50,Basic345678910111213[[#This Row],[قيمة الرسوم / العموله]]+Basic345678910111213[[#This Row],[قيمة الشحنه]])</f>
        <v>0</v>
      </c>
      <c r="I113" s="90"/>
      <c r="J113" s="142" t="str">
        <f t="shared" si="1"/>
        <v>20.5.2026</v>
      </c>
      <c r="L113" s="153">
        <v>102</v>
      </c>
      <c r="M113" s="92"/>
    </row>
    <row r="114" spans="1:13" ht="21.6" x14ac:dyDescent="0.65">
      <c r="A114" s="195"/>
      <c r="B114" s="140">
        <v>111</v>
      </c>
      <c r="C114" s="2"/>
      <c r="D114" s="1"/>
      <c r="E114" s="3"/>
      <c r="F114" s="1"/>
      <c r="G114" s="141">
        <f>IF(Basic345678910111213[[#This Row],[نوع الخدمة]]="مخالفات", 50,
IF(Basic345678910111213[[#This Row],[نوع الخدمة]]="كاش ان",
    IF(F114&lt;=100, 18, IF(F114&lt;=250, 23, IF(F114&lt;=500, 35, IF(F114&lt;=1000, 40, F114*0.04)))),
IF(Basic345678910111213[[#This Row],[نوع الخدمة]]="كاش اوت",
    IF(F114&lt;=100, 15, IF(F114&lt;=250, 20, IF(F114&lt;=500, 30, IF(F114&lt;=1000, 35, F114*0.035)))),
0)))</f>
        <v>0</v>
      </c>
      <c r="H114" s="159">
        <f>IF(I114="مخالفات",50,Basic345678910111213[[#This Row],[قيمة الرسوم / العموله]]+Basic345678910111213[[#This Row],[قيمة الشحنه]])</f>
        <v>0</v>
      </c>
      <c r="I114" s="90"/>
      <c r="J114" s="142" t="str">
        <f t="shared" si="1"/>
        <v>20.5.2026</v>
      </c>
      <c r="L114" s="153">
        <v>103</v>
      </c>
      <c r="M114" s="92"/>
    </row>
    <row r="115" spans="1:13" ht="21.6" x14ac:dyDescent="0.65">
      <c r="A115" s="195"/>
      <c r="B115" s="140">
        <v>112</v>
      </c>
      <c r="C115" s="2"/>
      <c r="D115" s="1"/>
      <c r="E115" s="3"/>
      <c r="F115" s="1"/>
      <c r="G115" s="141">
        <f>IF(Basic345678910111213[[#This Row],[نوع الخدمة]]="مخالفات", 50,
IF(Basic345678910111213[[#This Row],[نوع الخدمة]]="كاش ان",
    IF(F115&lt;=100, 18, IF(F115&lt;=250, 23, IF(F115&lt;=500, 35, IF(F115&lt;=1000, 40, F115*0.04)))),
IF(Basic345678910111213[[#This Row],[نوع الخدمة]]="كاش اوت",
    IF(F115&lt;=100, 15, IF(F115&lt;=250, 20, IF(F115&lt;=500, 30, IF(F115&lt;=1000, 35, F115*0.035)))),
0)))</f>
        <v>0</v>
      </c>
      <c r="H115" s="159">
        <f>IF(I115="مخالفات",50,Basic345678910111213[[#This Row],[قيمة الرسوم / العموله]]+Basic345678910111213[[#This Row],[قيمة الشحنه]])</f>
        <v>0</v>
      </c>
      <c r="I115" s="90"/>
      <c r="J115" s="142" t="str">
        <f t="shared" si="1"/>
        <v>20.5.2026</v>
      </c>
      <c r="L115" s="153">
        <v>104</v>
      </c>
      <c r="M115" s="92"/>
    </row>
    <row r="116" spans="1:13" ht="21.6" x14ac:dyDescent="0.65">
      <c r="A116" s="195"/>
      <c r="B116" s="140">
        <v>113</v>
      </c>
      <c r="C116" s="2"/>
      <c r="D116" s="1"/>
      <c r="E116" s="3"/>
      <c r="F116" s="1"/>
      <c r="G116" s="141">
        <f>IF(Basic345678910111213[[#This Row],[نوع الخدمة]]="مخالفات", 50,
IF(Basic345678910111213[[#This Row],[نوع الخدمة]]="كاش ان",
    IF(F116&lt;=100, 18, IF(F116&lt;=250, 23, IF(F116&lt;=500, 35, IF(F116&lt;=1000, 40, F116*0.04)))),
IF(Basic345678910111213[[#This Row],[نوع الخدمة]]="كاش اوت",
    IF(F116&lt;=100, 15, IF(F116&lt;=250, 20, IF(F116&lt;=500, 30, IF(F116&lt;=1000, 35, F116*0.035)))),
0)))</f>
        <v>0</v>
      </c>
      <c r="H116" s="159">
        <f>IF(I116="مخالفات",50,Basic345678910111213[[#This Row],[قيمة الرسوم / العموله]]+Basic345678910111213[[#This Row],[قيمة الشحنه]])</f>
        <v>0</v>
      </c>
      <c r="I116" s="90"/>
      <c r="J116" s="142" t="str">
        <f t="shared" si="1"/>
        <v>20.5.2026</v>
      </c>
      <c r="L116" s="153">
        <v>105</v>
      </c>
      <c r="M116" s="92"/>
    </row>
    <row r="117" spans="1:13" ht="21.6" x14ac:dyDescent="0.65">
      <c r="A117" s="195"/>
      <c r="B117" s="144">
        <v>114</v>
      </c>
      <c r="C117" s="2"/>
      <c r="D117" s="1"/>
      <c r="E117" s="3"/>
      <c r="F117" s="1"/>
      <c r="G117" s="141">
        <f>IF(Basic345678910111213[[#This Row],[نوع الخدمة]]="مخالفات", 50,
IF(Basic345678910111213[[#This Row],[نوع الخدمة]]="كاش ان",
    IF(F117&lt;=100, 18, IF(F117&lt;=250, 23, IF(F117&lt;=500, 35, IF(F117&lt;=1000, 40, F117*0.04)))),
IF(Basic345678910111213[[#This Row],[نوع الخدمة]]="كاش اوت",
    IF(F117&lt;=100, 15, IF(F117&lt;=250, 20, IF(F117&lt;=500, 30, IF(F117&lt;=1000, 35, F117*0.035)))),
0)))</f>
        <v>0</v>
      </c>
      <c r="H117" s="159">
        <f>IF(I117="مخالفات",50,Basic345678910111213[[#This Row],[قيمة الرسوم / العموله]]+Basic345678910111213[[#This Row],[قيمة الشحنه]])</f>
        <v>0</v>
      </c>
      <c r="I117" s="90"/>
      <c r="J117" s="142" t="str">
        <f t="shared" si="1"/>
        <v>20.5.2026</v>
      </c>
      <c r="L117" s="153">
        <v>106</v>
      </c>
      <c r="M117" s="92"/>
    </row>
    <row r="118" spans="1:13" ht="21.6" x14ac:dyDescent="0.65">
      <c r="A118" s="195"/>
      <c r="B118" s="140">
        <v>115</v>
      </c>
      <c r="C118" s="2"/>
      <c r="D118" s="1"/>
      <c r="E118" s="3"/>
      <c r="F118" s="1"/>
      <c r="G118" s="141">
        <f>IF(Basic345678910111213[[#This Row],[نوع الخدمة]]="مخالفات", 50,
IF(Basic345678910111213[[#This Row],[نوع الخدمة]]="كاش ان",
    IF(F118&lt;=100, 18, IF(F118&lt;=250, 23, IF(F118&lt;=500, 35, IF(F118&lt;=1000, 40, F118*0.04)))),
IF(Basic345678910111213[[#This Row],[نوع الخدمة]]="كاش اوت",
    IF(F118&lt;=100, 15, IF(F118&lt;=250, 20, IF(F118&lt;=500, 30, IF(F118&lt;=1000, 35, F118*0.035)))),
0)))</f>
        <v>0</v>
      </c>
      <c r="H118" s="159">
        <f>IF(I118="مخالفات",50,Basic345678910111213[[#This Row],[قيمة الرسوم / العموله]]+Basic345678910111213[[#This Row],[قيمة الشحنه]])</f>
        <v>0</v>
      </c>
      <c r="I118" s="90"/>
      <c r="J118" s="142" t="str">
        <f t="shared" si="1"/>
        <v>20.5.2026</v>
      </c>
      <c r="L118" s="153">
        <v>107</v>
      </c>
      <c r="M118" s="92"/>
    </row>
    <row r="119" spans="1:13" ht="21.6" x14ac:dyDescent="0.65">
      <c r="A119" s="195"/>
      <c r="B119" s="140">
        <v>116</v>
      </c>
      <c r="C119" s="2"/>
      <c r="D119" s="1"/>
      <c r="E119" s="3"/>
      <c r="F119" s="1"/>
      <c r="G119" s="141">
        <f>IF(Basic345678910111213[[#This Row],[نوع الخدمة]]="مخالفات", 50,
IF(Basic345678910111213[[#This Row],[نوع الخدمة]]="كاش ان",
    IF(F119&lt;=100, 18, IF(F119&lt;=250, 23, IF(F119&lt;=500, 35, IF(F119&lt;=1000, 40, F119*0.04)))),
IF(Basic345678910111213[[#This Row],[نوع الخدمة]]="كاش اوت",
    IF(F119&lt;=100, 15, IF(F119&lt;=250, 20, IF(F119&lt;=500, 30, IF(F119&lt;=1000, 35, F119*0.035)))),
0)))</f>
        <v>0</v>
      </c>
      <c r="H119" s="159">
        <f>IF(I119="مخالفات",50,Basic345678910111213[[#This Row],[قيمة الرسوم / العموله]]+Basic345678910111213[[#This Row],[قيمة الشحنه]])</f>
        <v>0</v>
      </c>
      <c r="I119" s="90"/>
      <c r="J119" s="142" t="str">
        <f t="shared" si="1"/>
        <v>20.5.2026</v>
      </c>
      <c r="L119" s="153">
        <v>108</v>
      </c>
      <c r="M119" s="92"/>
    </row>
    <row r="120" spans="1:13" ht="21.6" x14ac:dyDescent="0.65">
      <c r="A120" s="195"/>
      <c r="B120" s="140">
        <v>117</v>
      </c>
      <c r="C120" s="2"/>
      <c r="D120" s="1"/>
      <c r="E120" s="3"/>
      <c r="F120" s="1"/>
      <c r="G120" s="141">
        <f>IF(Basic345678910111213[[#This Row],[نوع الخدمة]]="مخالفات", 50,
IF(Basic345678910111213[[#This Row],[نوع الخدمة]]="كاش ان",
    IF(F120&lt;=100, 18, IF(F120&lt;=250, 23, IF(F120&lt;=500, 35, IF(F120&lt;=1000, 40, F120*0.04)))),
IF(Basic345678910111213[[#This Row],[نوع الخدمة]]="كاش اوت",
    IF(F120&lt;=100, 15, IF(F120&lt;=250, 20, IF(F120&lt;=500, 30, IF(F120&lt;=1000, 35, F120*0.035)))),
0)))</f>
        <v>0</v>
      </c>
      <c r="H120" s="159">
        <f>IF(I120="مخالفات",50,Basic345678910111213[[#This Row],[قيمة الرسوم / العموله]]+Basic345678910111213[[#This Row],[قيمة الشحنه]])</f>
        <v>0</v>
      </c>
      <c r="I120" s="90"/>
      <c r="J120" s="142" t="str">
        <f t="shared" si="1"/>
        <v>20.5.2026</v>
      </c>
      <c r="L120" s="153">
        <v>109</v>
      </c>
      <c r="M120" s="92"/>
    </row>
    <row r="121" spans="1:13" ht="21.6" x14ac:dyDescent="0.65">
      <c r="A121" s="195"/>
      <c r="B121" s="144">
        <v>118</v>
      </c>
      <c r="C121" s="2"/>
      <c r="D121" s="1"/>
      <c r="E121" s="3"/>
      <c r="F121" s="1"/>
      <c r="G121" s="141">
        <f>IF(Basic345678910111213[[#This Row],[نوع الخدمة]]="مخالفات", 50,
IF(Basic345678910111213[[#This Row],[نوع الخدمة]]="كاش ان",
    IF(F121&lt;=100, 18, IF(F121&lt;=250, 23, IF(F121&lt;=500, 35, IF(F121&lt;=1000, 40, F121*0.04)))),
IF(Basic345678910111213[[#This Row],[نوع الخدمة]]="كاش اوت",
    IF(F121&lt;=100, 15, IF(F121&lt;=250, 20, IF(F121&lt;=500, 30, IF(F121&lt;=1000, 35, F121*0.035)))),
0)))</f>
        <v>0</v>
      </c>
      <c r="H121" s="159">
        <f>IF(I121="مخالفات",50,Basic345678910111213[[#This Row],[قيمة الرسوم / العموله]]+Basic345678910111213[[#This Row],[قيمة الشحنه]])</f>
        <v>0</v>
      </c>
      <c r="I121" s="90"/>
      <c r="J121" s="142" t="str">
        <f t="shared" si="1"/>
        <v>20.5.2026</v>
      </c>
      <c r="L121" s="153">
        <v>110</v>
      </c>
      <c r="M121" s="92"/>
    </row>
    <row r="122" spans="1:13" ht="21.6" x14ac:dyDescent="0.65">
      <c r="A122" s="195"/>
      <c r="B122" s="140">
        <v>119</v>
      </c>
      <c r="C122" s="2"/>
      <c r="D122" s="1"/>
      <c r="E122" s="3"/>
      <c r="F122" s="1"/>
      <c r="G122" s="141">
        <f>IF(Basic345678910111213[[#This Row],[نوع الخدمة]]="مخالفات", 50,
IF(Basic345678910111213[[#This Row],[نوع الخدمة]]="كاش ان",
    IF(F122&lt;=100, 18, IF(F122&lt;=250, 23, IF(F122&lt;=500, 35, IF(F122&lt;=1000, 40, F122*0.04)))),
IF(Basic345678910111213[[#This Row],[نوع الخدمة]]="كاش اوت",
    IF(F122&lt;=100, 15, IF(F122&lt;=250, 20, IF(F122&lt;=500, 30, IF(F122&lt;=1000, 35, F122*0.035)))),
0)))</f>
        <v>0</v>
      </c>
      <c r="H122" s="159">
        <f>IF(I122="مخالفات",50,Basic345678910111213[[#This Row],[قيمة الرسوم / العموله]]+Basic345678910111213[[#This Row],[قيمة الشحنه]])</f>
        <v>0</v>
      </c>
      <c r="I122" s="90"/>
      <c r="J122" s="142" t="str">
        <f t="shared" si="1"/>
        <v>20.5.2026</v>
      </c>
      <c r="L122" s="153">
        <v>111</v>
      </c>
      <c r="M122" s="92"/>
    </row>
    <row r="123" spans="1:13" ht="21.6" x14ac:dyDescent="0.65">
      <c r="A123" s="195"/>
      <c r="B123" s="140">
        <v>120</v>
      </c>
      <c r="C123" s="2"/>
      <c r="D123" s="1"/>
      <c r="E123" s="3"/>
      <c r="F123" s="1"/>
      <c r="G123" s="141">
        <f>IF(Basic345678910111213[[#This Row],[نوع الخدمة]]="مخالفات", 50,
IF(Basic345678910111213[[#This Row],[نوع الخدمة]]="كاش ان",
    IF(F123&lt;=100, 18, IF(F123&lt;=250, 23, IF(F123&lt;=500, 35, IF(F123&lt;=1000, 40, F123*0.04)))),
IF(Basic345678910111213[[#This Row],[نوع الخدمة]]="كاش اوت",
    IF(F123&lt;=100, 15, IF(F123&lt;=250, 20, IF(F123&lt;=500, 30, IF(F123&lt;=1000, 35, F123*0.035)))),
0)))</f>
        <v>0</v>
      </c>
      <c r="H123" s="159">
        <f>IF(I123="مخالفات",50,Basic345678910111213[[#This Row],[قيمة الرسوم / العموله]]+Basic345678910111213[[#This Row],[قيمة الشحنه]])</f>
        <v>0</v>
      </c>
      <c r="I123" s="90"/>
      <c r="J123" s="142" t="str">
        <f t="shared" si="1"/>
        <v>20.5.2026</v>
      </c>
      <c r="L123" s="153">
        <v>112</v>
      </c>
      <c r="M123" s="92"/>
    </row>
    <row r="124" spans="1:13" ht="21.6" x14ac:dyDescent="0.65">
      <c r="A124" s="195"/>
      <c r="B124" s="140">
        <v>121</v>
      </c>
      <c r="C124" s="2"/>
      <c r="D124" s="1"/>
      <c r="E124" s="3"/>
      <c r="F124" s="1"/>
      <c r="G124" s="141">
        <f>IF(Basic345678910111213[[#This Row],[نوع الخدمة]]="مخالفات", 50,
IF(Basic345678910111213[[#This Row],[نوع الخدمة]]="كاش ان",
    IF(F124&lt;=100, 18, IF(F124&lt;=250, 23, IF(F124&lt;=500, 35, IF(F124&lt;=1000, 40, F124*0.04)))),
IF(Basic345678910111213[[#This Row],[نوع الخدمة]]="كاش اوت",
    IF(F124&lt;=100, 15, IF(F124&lt;=250, 20, IF(F124&lt;=500, 30, IF(F124&lt;=1000, 35, F124*0.035)))),
0)))</f>
        <v>0</v>
      </c>
      <c r="H124" s="159">
        <f>IF(I124="مخالفات",50,Basic345678910111213[[#This Row],[قيمة الرسوم / العموله]]+Basic345678910111213[[#This Row],[قيمة الشحنه]])</f>
        <v>0</v>
      </c>
      <c r="I124" s="90"/>
      <c r="J124" s="142" t="str">
        <f t="shared" si="1"/>
        <v>20.5.2026</v>
      </c>
      <c r="L124" s="153">
        <v>113</v>
      </c>
      <c r="M124" s="92"/>
    </row>
    <row r="125" spans="1:13" ht="21.6" x14ac:dyDescent="0.65">
      <c r="A125" s="195"/>
      <c r="B125" s="144">
        <v>122</v>
      </c>
      <c r="C125" s="2"/>
      <c r="D125" s="1"/>
      <c r="E125" s="3"/>
      <c r="F125" s="1"/>
      <c r="G125" s="141">
        <f>IF(Basic345678910111213[[#This Row],[نوع الخدمة]]="مخالفات", 50,
IF(Basic345678910111213[[#This Row],[نوع الخدمة]]="كاش ان",
    IF(F125&lt;=100, 18, IF(F125&lt;=250, 23, IF(F125&lt;=500, 35, IF(F125&lt;=1000, 40, F125*0.04)))),
IF(Basic345678910111213[[#This Row],[نوع الخدمة]]="كاش اوت",
    IF(F125&lt;=100, 15, IF(F125&lt;=250, 20, IF(F125&lt;=500, 30, IF(F125&lt;=1000, 35, F125*0.035)))),
0)))</f>
        <v>0</v>
      </c>
      <c r="H125" s="159">
        <f>IF(I125="مخالفات",50,Basic345678910111213[[#This Row],[قيمة الرسوم / العموله]]+Basic345678910111213[[#This Row],[قيمة الشحنه]])</f>
        <v>0</v>
      </c>
      <c r="I125" s="90"/>
      <c r="J125" s="142" t="str">
        <f t="shared" si="1"/>
        <v>20.5.2026</v>
      </c>
      <c r="L125" s="153">
        <v>114</v>
      </c>
      <c r="M125" s="92"/>
    </row>
    <row r="126" spans="1:13" ht="21.6" x14ac:dyDescent="0.65">
      <c r="A126" s="195"/>
      <c r="B126" s="140">
        <v>123</v>
      </c>
      <c r="C126" s="2"/>
      <c r="D126" s="1"/>
      <c r="E126" s="3"/>
      <c r="F126" s="1"/>
      <c r="G126" s="141">
        <f>IF(Basic345678910111213[[#This Row],[نوع الخدمة]]="مخالفات", 50,
IF(Basic345678910111213[[#This Row],[نوع الخدمة]]="كاش ان",
    IF(F126&lt;=100, 18, IF(F126&lt;=250, 23, IF(F126&lt;=500, 35, IF(F126&lt;=1000, 40, F126*0.04)))),
IF(Basic345678910111213[[#This Row],[نوع الخدمة]]="كاش اوت",
    IF(F126&lt;=100, 15, IF(F126&lt;=250, 20, IF(F126&lt;=500, 30, IF(F126&lt;=1000, 35, F126*0.035)))),
0)))</f>
        <v>0</v>
      </c>
      <c r="H126" s="159">
        <f>IF(I126="مخالفات",50,Basic345678910111213[[#This Row],[قيمة الرسوم / العموله]]+Basic345678910111213[[#This Row],[قيمة الشحنه]])</f>
        <v>0</v>
      </c>
      <c r="I126" s="90"/>
      <c r="J126" s="142" t="str">
        <f t="shared" si="1"/>
        <v>20.5.2026</v>
      </c>
      <c r="L126" s="153">
        <v>115</v>
      </c>
      <c r="M126" s="92"/>
    </row>
    <row r="127" spans="1:13" ht="21.6" x14ac:dyDescent="0.65">
      <c r="A127" s="195"/>
      <c r="B127" s="140">
        <v>124</v>
      </c>
      <c r="C127" s="2"/>
      <c r="D127" s="1"/>
      <c r="E127" s="3"/>
      <c r="F127" s="1"/>
      <c r="G127" s="141">
        <f>IF(Basic345678910111213[[#This Row],[نوع الخدمة]]="مخالفات", 50,
IF(Basic345678910111213[[#This Row],[نوع الخدمة]]="كاش ان",
    IF(F127&lt;=100, 18, IF(F127&lt;=250, 23, IF(F127&lt;=500, 35, IF(F127&lt;=1000, 40, F127*0.04)))),
IF(Basic345678910111213[[#This Row],[نوع الخدمة]]="كاش اوت",
    IF(F127&lt;=100, 15, IF(F127&lt;=250, 20, IF(F127&lt;=500, 30, IF(F127&lt;=1000, 35, F127*0.035)))),
0)))</f>
        <v>0</v>
      </c>
      <c r="H127" s="159">
        <f>IF(I127="مخالفات",50,Basic345678910111213[[#This Row],[قيمة الرسوم / العموله]]+Basic345678910111213[[#This Row],[قيمة الشحنه]])</f>
        <v>0</v>
      </c>
      <c r="I127" s="90"/>
      <c r="J127" s="142" t="str">
        <f t="shared" si="1"/>
        <v>20.5.2026</v>
      </c>
      <c r="L127" s="153">
        <v>116</v>
      </c>
      <c r="M127" s="92"/>
    </row>
    <row r="128" spans="1:13" ht="21.6" x14ac:dyDescent="0.65">
      <c r="A128" s="195"/>
      <c r="B128" s="140">
        <v>125</v>
      </c>
      <c r="C128" s="2"/>
      <c r="D128" s="1"/>
      <c r="E128" s="3"/>
      <c r="F128" s="1"/>
      <c r="G128" s="141">
        <f>IF(Basic345678910111213[[#This Row],[نوع الخدمة]]="مخالفات", 50,
IF(Basic345678910111213[[#This Row],[نوع الخدمة]]="كاش ان",
    IF(F128&lt;=100, 18, IF(F128&lt;=250, 23, IF(F128&lt;=500, 35, IF(F128&lt;=1000, 40, F128*0.04)))),
IF(Basic345678910111213[[#This Row],[نوع الخدمة]]="كاش اوت",
    IF(F128&lt;=100, 15, IF(F128&lt;=250, 20, IF(F128&lt;=500, 30, IF(F128&lt;=1000, 35, F128*0.035)))),
0)))</f>
        <v>0</v>
      </c>
      <c r="H128" s="159">
        <f>IF(I128="مخالفات",50,Basic345678910111213[[#This Row],[قيمة الرسوم / العموله]]+Basic345678910111213[[#This Row],[قيمة الشحنه]])</f>
        <v>0</v>
      </c>
      <c r="I128" s="90"/>
      <c r="J128" s="142" t="str">
        <f t="shared" si="1"/>
        <v>20.5.2026</v>
      </c>
      <c r="L128" s="153">
        <v>117</v>
      </c>
      <c r="M128" s="92"/>
    </row>
    <row r="129" spans="1:13" ht="21.6" x14ac:dyDescent="0.65">
      <c r="A129" s="195"/>
      <c r="B129" s="144">
        <v>126</v>
      </c>
      <c r="C129" s="2"/>
      <c r="D129" s="1"/>
      <c r="E129" s="3"/>
      <c r="F129" s="1"/>
      <c r="G129" s="141">
        <f>IF(Basic345678910111213[[#This Row],[نوع الخدمة]]="مخالفات", 50,
IF(Basic345678910111213[[#This Row],[نوع الخدمة]]="كاش ان",
    IF(F129&lt;=100, 18, IF(F129&lt;=250, 23, IF(F129&lt;=500, 35, IF(F129&lt;=1000, 40, F129*0.04)))),
IF(Basic345678910111213[[#This Row],[نوع الخدمة]]="كاش اوت",
    IF(F129&lt;=100, 15, IF(F129&lt;=250, 20, IF(F129&lt;=500, 30, IF(F129&lt;=1000, 35, F129*0.035)))),
0)))</f>
        <v>0</v>
      </c>
      <c r="H129" s="159">
        <f>IF(I129="مخالفات",50,Basic345678910111213[[#This Row],[قيمة الرسوم / العموله]]+Basic345678910111213[[#This Row],[قيمة الشحنه]])</f>
        <v>0</v>
      </c>
      <c r="I129" s="90"/>
      <c r="J129" s="142" t="str">
        <f t="shared" si="1"/>
        <v>20.5.2026</v>
      </c>
      <c r="L129" s="153">
        <v>118</v>
      </c>
      <c r="M129" s="92"/>
    </row>
    <row r="130" spans="1:13" ht="21.6" x14ac:dyDescent="0.65">
      <c r="A130" s="195"/>
      <c r="B130" s="140">
        <v>127</v>
      </c>
      <c r="C130" s="2"/>
      <c r="D130" s="1"/>
      <c r="E130" s="3"/>
      <c r="F130" s="1"/>
      <c r="G130" s="141">
        <f>IF(Basic345678910111213[[#This Row],[نوع الخدمة]]="مخالفات", 50,
IF(Basic345678910111213[[#This Row],[نوع الخدمة]]="كاش ان",
    IF(F130&lt;=100, 18, IF(F130&lt;=250, 23, IF(F130&lt;=500, 35, IF(F130&lt;=1000, 40, F130*0.04)))),
IF(Basic345678910111213[[#This Row],[نوع الخدمة]]="كاش اوت",
    IF(F130&lt;=100, 15, IF(F130&lt;=250, 20, IF(F130&lt;=500, 30, IF(F130&lt;=1000, 35, F130*0.035)))),
0)))</f>
        <v>0</v>
      </c>
      <c r="H130" s="159">
        <f>IF(I130="مخالفات",50,Basic345678910111213[[#This Row],[قيمة الرسوم / العموله]]+Basic345678910111213[[#This Row],[قيمة الشحنه]])</f>
        <v>0</v>
      </c>
      <c r="I130" s="90"/>
      <c r="J130" s="142" t="str">
        <f t="shared" si="1"/>
        <v>20.5.2026</v>
      </c>
      <c r="L130" s="153">
        <v>119</v>
      </c>
      <c r="M130" s="92"/>
    </row>
    <row r="131" spans="1:13" ht="21.6" x14ac:dyDescent="0.65">
      <c r="A131" s="195"/>
      <c r="B131" s="140">
        <v>128</v>
      </c>
      <c r="C131" s="2"/>
      <c r="D131" s="1"/>
      <c r="E131" s="3"/>
      <c r="F131" s="1"/>
      <c r="G131" s="141">
        <f>IF(Basic345678910111213[[#This Row],[نوع الخدمة]]="مخالفات", 50,
IF(Basic345678910111213[[#This Row],[نوع الخدمة]]="كاش ان",
    IF(F131&lt;=100, 18, IF(F131&lt;=250, 23, IF(F131&lt;=500, 35, IF(F131&lt;=1000, 40, F131*0.04)))),
IF(Basic345678910111213[[#This Row],[نوع الخدمة]]="كاش اوت",
    IF(F131&lt;=100, 15, IF(F131&lt;=250, 20, IF(F131&lt;=500, 30, IF(F131&lt;=1000, 35, F131*0.035)))),
0)))</f>
        <v>0</v>
      </c>
      <c r="H131" s="159">
        <f>IF(I131="مخالفات",50,Basic345678910111213[[#This Row],[قيمة الرسوم / العموله]]+Basic345678910111213[[#This Row],[قيمة الشحنه]])</f>
        <v>0</v>
      </c>
      <c r="I131" s="90"/>
      <c r="J131" s="142" t="str">
        <f t="shared" si="1"/>
        <v>20.5.2026</v>
      </c>
      <c r="L131" s="153">
        <v>120</v>
      </c>
      <c r="M131" s="92"/>
    </row>
    <row r="132" spans="1:13" ht="21.6" x14ac:dyDescent="0.65">
      <c r="A132" s="195"/>
      <c r="B132" s="140">
        <v>129</v>
      </c>
      <c r="C132" s="2"/>
      <c r="D132" s="1"/>
      <c r="E132" s="3"/>
      <c r="F132" s="1"/>
      <c r="G132" s="141">
        <f>IF(Basic345678910111213[[#This Row],[نوع الخدمة]]="مخالفات", 50,
IF(Basic345678910111213[[#This Row],[نوع الخدمة]]="كاش ان",
    IF(F132&lt;=100, 18, IF(F132&lt;=250, 23, IF(F132&lt;=500, 35, IF(F132&lt;=1000, 40, F132*0.04)))),
IF(Basic345678910111213[[#This Row],[نوع الخدمة]]="كاش اوت",
    IF(F132&lt;=100, 15, IF(F132&lt;=250, 20, IF(F132&lt;=500, 30, IF(F132&lt;=1000, 35, F132*0.035)))),
0)))</f>
        <v>0</v>
      </c>
      <c r="H132" s="159">
        <f>IF(I132="مخالفات",50,Basic345678910111213[[#This Row],[قيمة الرسوم / العموله]]+Basic345678910111213[[#This Row],[قيمة الشحنه]])</f>
        <v>0</v>
      </c>
      <c r="I132" s="90"/>
      <c r="J132" s="142" t="str">
        <f t="shared" ref="J132:J195" si="2">M$3</f>
        <v>20.5.2026</v>
      </c>
      <c r="L132" s="153">
        <v>121</v>
      </c>
      <c r="M132" s="92"/>
    </row>
    <row r="133" spans="1:13" ht="21.6" x14ac:dyDescent="0.65">
      <c r="A133" s="195"/>
      <c r="B133" s="144">
        <v>130</v>
      </c>
      <c r="C133" s="2"/>
      <c r="D133" s="1"/>
      <c r="E133" s="3"/>
      <c r="F133" s="1"/>
      <c r="G133" s="141">
        <f>IF(Basic345678910111213[[#This Row],[نوع الخدمة]]="مخالفات", 50,
IF(Basic345678910111213[[#This Row],[نوع الخدمة]]="كاش ان",
    IF(F133&lt;=100, 18, IF(F133&lt;=250, 23, IF(F133&lt;=500, 35, IF(F133&lt;=1000, 40, F133*0.04)))),
IF(Basic345678910111213[[#This Row],[نوع الخدمة]]="كاش اوت",
    IF(F133&lt;=100, 15, IF(F133&lt;=250, 20, IF(F133&lt;=500, 30, IF(F133&lt;=1000, 35, F133*0.035)))),
0)))</f>
        <v>0</v>
      </c>
      <c r="H133" s="159">
        <f>IF(I133="مخالفات",50,Basic345678910111213[[#This Row],[قيمة الرسوم / العموله]]+Basic345678910111213[[#This Row],[قيمة الشحنه]])</f>
        <v>0</v>
      </c>
      <c r="I133" s="90"/>
      <c r="J133" s="142" t="str">
        <f t="shared" si="2"/>
        <v>20.5.2026</v>
      </c>
      <c r="L133" s="153">
        <v>122</v>
      </c>
      <c r="M133" s="92"/>
    </row>
    <row r="134" spans="1:13" ht="21.6" x14ac:dyDescent="0.65">
      <c r="A134" s="195"/>
      <c r="B134" s="140">
        <v>131</v>
      </c>
      <c r="C134" s="2"/>
      <c r="D134" s="1"/>
      <c r="E134" s="3"/>
      <c r="F134" s="1"/>
      <c r="G134" s="141">
        <f>IF(Basic345678910111213[[#This Row],[نوع الخدمة]]="مخالفات", 50,
IF(Basic345678910111213[[#This Row],[نوع الخدمة]]="كاش ان",
    IF(F134&lt;=100, 18, IF(F134&lt;=250, 23, IF(F134&lt;=500, 35, IF(F134&lt;=1000, 40, F134*0.04)))),
IF(Basic345678910111213[[#This Row],[نوع الخدمة]]="كاش اوت",
    IF(F134&lt;=100, 15, IF(F134&lt;=250, 20, IF(F134&lt;=500, 30, IF(F134&lt;=1000, 35, F134*0.035)))),
0)))</f>
        <v>0</v>
      </c>
      <c r="H134" s="159">
        <f>IF(I134="مخالفات",50,Basic345678910111213[[#This Row],[قيمة الرسوم / العموله]]+Basic345678910111213[[#This Row],[قيمة الشحنه]])</f>
        <v>0</v>
      </c>
      <c r="I134" s="90"/>
      <c r="J134" s="142" t="str">
        <f t="shared" si="2"/>
        <v>20.5.2026</v>
      </c>
      <c r="L134" s="153">
        <v>123</v>
      </c>
      <c r="M134" s="92"/>
    </row>
    <row r="135" spans="1:13" ht="21.6" x14ac:dyDescent="0.65">
      <c r="A135" s="195"/>
      <c r="B135" s="140">
        <v>132</v>
      </c>
      <c r="C135" s="2"/>
      <c r="D135" s="1"/>
      <c r="E135" s="3"/>
      <c r="F135" s="1"/>
      <c r="G135" s="141">
        <f>IF(Basic345678910111213[[#This Row],[نوع الخدمة]]="مخالفات", 50,
IF(Basic345678910111213[[#This Row],[نوع الخدمة]]="كاش ان",
    IF(F135&lt;=100, 18, IF(F135&lt;=250, 23, IF(F135&lt;=500, 35, IF(F135&lt;=1000, 40, F135*0.04)))),
IF(Basic345678910111213[[#This Row],[نوع الخدمة]]="كاش اوت",
    IF(F135&lt;=100, 15, IF(F135&lt;=250, 20, IF(F135&lt;=500, 30, IF(F135&lt;=1000, 35, F135*0.035)))),
0)))</f>
        <v>0</v>
      </c>
      <c r="H135" s="159">
        <f>IF(I135="مخالفات",50,Basic345678910111213[[#This Row],[قيمة الرسوم / العموله]]+Basic345678910111213[[#This Row],[قيمة الشحنه]])</f>
        <v>0</v>
      </c>
      <c r="I135" s="90"/>
      <c r="J135" s="142" t="str">
        <f t="shared" si="2"/>
        <v>20.5.2026</v>
      </c>
      <c r="L135" s="153">
        <v>124</v>
      </c>
      <c r="M135" s="92"/>
    </row>
    <row r="136" spans="1:13" ht="21.6" x14ac:dyDescent="0.65">
      <c r="A136" s="195"/>
      <c r="B136" s="140">
        <v>133</v>
      </c>
      <c r="C136" s="2"/>
      <c r="D136" s="1"/>
      <c r="E136" s="3"/>
      <c r="F136" s="1"/>
      <c r="G136" s="141">
        <f>IF(Basic345678910111213[[#This Row],[نوع الخدمة]]="مخالفات", 50,
IF(Basic345678910111213[[#This Row],[نوع الخدمة]]="كاش ان",
    IF(F136&lt;=100, 18, IF(F136&lt;=250, 23, IF(F136&lt;=500, 35, IF(F136&lt;=1000, 40, F136*0.04)))),
IF(Basic345678910111213[[#This Row],[نوع الخدمة]]="كاش اوت",
    IF(F136&lt;=100, 15, IF(F136&lt;=250, 20, IF(F136&lt;=500, 30, IF(F136&lt;=1000, 35, F136*0.035)))),
0)))</f>
        <v>0</v>
      </c>
      <c r="H136" s="159">
        <f>IF(I136="مخالفات",50,Basic345678910111213[[#This Row],[قيمة الرسوم / العموله]]+Basic345678910111213[[#This Row],[قيمة الشحنه]])</f>
        <v>0</v>
      </c>
      <c r="I136" s="90"/>
      <c r="J136" s="142" t="str">
        <f t="shared" si="2"/>
        <v>20.5.2026</v>
      </c>
      <c r="L136" s="153">
        <v>125</v>
      </c>
      <c r="M136" s="92"/>
    </row>
    <row r="137" spans="1:13" ht="21.6" x14ac:dyDescent="0.65">
      <c r="A137" s="195"/>
      <c r="B137" s="144">
        <v>134</v>
      </c>
      <c r="C137" s="2"/>
      <c r="D137" s="1"/>
      <c r="E137" s="3"/>
      <c r="F137" s="1"/>
      <c r="G137" s="141">
        <f>IF(Basic345678910111213[[#This Row],[نوع الخدمة]]="مخالفات", 50,
IF(Basic345678910111213[[#This Row],[نوع الخدمة]]="كاش ان",
    IF(F137&lt;=100, 18, IF(F137&lt;=250, 23, IF(F137&lt;=500, 35, IF(F137&lt;=1000, 40, F137*0.04)))),
IF(Basic345678910111213[[#This Row],[نوع الخدمة]]="كاش اوت",
    IF(F137&lt;=100, 15, IF(F137&lt;=250, 20, IF(F137&lt;=500, 30, IF(F137&lt;=1000, 35, F137*0.035)))),
0)))</f>
        <v>0</v>
      </c>
      <c r="H137" s="159">
        <f>IF(I137="مخالفات",50,Basic345678910111213[[#This Row],[قيمة الرسوم / العموله]]+Basic345678910111213[[#This Row],[قيمة الشحنه]])</f>
        <v>0</v>
      </c>
      <c r="I137" s="90"/>
      <c r="J137" s="142" t="str">
        <f t="shared" si="2"/>
        <v>20.5.2026</v>
      </c>
      <c r="L137" s="153">
        <v>126</v>
      </c>
      <c r="M137" s="92"/>
    </row>
    <row r="138" spans="1:13" ht="21.6" x14ac:dyDescent="0.65">
      <c r="A138" s="195"/>
      <c r="B138" s="140">
        <v>135</v>
      </c>
      <c r="C138" s="2"/>
      <c r="D138" s="1"/>
      <c r="E138" s="3"/>
      <c r="F138" s="1"/>
      <c r="G138" s="141">
        <f>IF(Basic345678910111213[[#This Row],[نوع الخدمة]]="مخالفات", 50,
IF(Basic345678910111213[[#This Row],[نوع الخدمة]]="كاش ان",
    IF(F138&lt;=100, 18, IF(F138&lt;=250, 23, IF(F138&lt;=500, 35, IF(F138&lt;=1000, 40, F138*0.04)))),
IF(Basic345678910111213[[#This Row],[نوع الخدمة]]="كاش اوت",
    IF(F138&lt;=100, 15, IF(F138&lt;=250, 20, IF(F138&lt;=500, 30, IF(F138&lt;=1000, 35, F138*0.035)))),
0)))</f>
        <v>0</v>
      </c>
      <c r="H138" s="159">
        <f>IF(I138="مخالفات",50,Basic345678910111213[[#This Row],[قيمة الرسوم / العموله]]+Basic345678910111213[[#This Row],[قيمة الشحنه]])</f>
        <v>0</v>
      </c>
      <c r="I138" s="90"/>
      <c r="J138" s="142" t="str">
        <f t="shared" si="2"/>
        <v>20.5.2026</v>
      </c>
      <c r="L138" s="153">
        <v>127</v>
      </c>
      <c r="M138" s="92"/>
    </row>
    <row r="139" spans="1:13" ht="21.6" x14ac:dyDescent="0.65">
      <c r="A139" s="195"/>
      <c r="B139" s="140">
        <v>136</v>
      </c>
      <c r="C139" s="2"/>
      <c r="D139" s="1"/>
      <c r="E139" s="3"/>
      <c r="F139" s="1"/>
      <c r="G139" s="141">
        <f>IF(Basic345678910111213[[#This Row],[نوع الخدمة]]="مخالفات", 50,
IF(Basic345678910111213[[#This Row],[نوع الخدمة]]="كاش ان",
    IF(F139&lt;=100, 18, IF(F139&lt;=250, 23, IF(F139&lt;=500, 35, IF(F139&lt;=1000, 40, F139*0.04)))),
IF(Basic345678910111213[[#This Row],[نوع الخدمة]]="كاش اوت",
    IF(F139&lt;=100, 15, IF(F139&lt;=250, 20, IF(F139&lt;=500, 30, IF(F139&lt;=1000, 35, F139*0.035)))),
0)))</f>
        <v>0</v>
      </c>
      <c r="H139" s="159">
        <f>IF(I139="مخالفات",50,Basic345678910111213[[#This Row],[قيمة الرسوم / العموله]]+Basic345678910111213[[#This Row],[قيمة الشحنه]])</f>
        <v>0</v>
      </c>
      <c r="I139" s="90"/>
      <c r="J139" s="142" t="str">
        <f t="shared" si="2"/>
        <v>20.5.2026</v>
      </c>
      <c r="L139" s="153">
        <v>128</v>
      </c>
      <c r="M139" s="92"/>
    </row>
    <row r="140" spans="1:13" ht="21.6" x14ac:dyDescent="0.65">
      <c r="A140" s="195"/>
      <c r="B140" s="140">
        <v>137</v>
      </c>
      <c r="C140" s="2"/>
      <c r="D140" s="1"/>
      <c r="E140" s="3"/>
      <c r="F140" s="1"/>
      <c r="G140" s="141">
        <f>IF(Basic345678910111213[[#This Row],[نوع الخدمة]]="مخالفات", 50,
IF(Basic345678910111213[[#This Row],[نوع الخدمة]]="كاش ان",
    IF(F140&lt;=100, 18, IF(F140&lt;=250, 23, IF(F140&lt;=500, 35, IF(F140&lt;=1000, 40, F140*0.04)))),
IF(Basic345678910111213[[#This Row],[نوع الخدمة]]="كاش اوت",
    IF(F140&lt;=100, 15, IF(F140&lt;=250, 20, IF(F140&lt;=500, 30, IF(F140&lt;=1000, 35, F140*0.035)))),
0)))</f>
        <v>0</v>
      </c>
      <c r="H140" s="159">
        <f>IF(I140="مخالفات",50,Basic345678910111213[[#This Row],[قيمة الرسوم / العموله]]+Basic345678910111213[[#This Row],[قيمة الشحنه]])</f>
        <v>0</v>
      </c>
      <c r="I140" s="90"/>
      <c r="J140" s="142" t="str">
        <f t="shared" si="2"/>
        <v>20.5.2026</v>
      </c>
      <c r="L140" s="153">
        <v>129</v>
      </c>
      <c r="M140" s="92"/>
    </row>
    <row r="141" spans="1:13" ht="21.6" x14ac:dyDescent="0.65">
      <c r="A141" s="195"/>
      <c r="B141" s="144">
        <v>138</v>
      </c>
      <c r="C141" s="2"/>
      <c r="D141" s="1"/>
      <c r="E141" s="3"/>
      <c r="F141" s="1"/>
      <c r="G141" s="141">
        <f>IF(Basic345678910111213[[#This Row],[نوع الخدمة]]="مخالفات", 50,
IF(Basic345678910111213[[#This Row],[نوع الخدمة]]="كاش ان",
    IF(F141&lt;=100, 18, IF(F141&lt;=250, 23, IF(F141&lt;=500, 35, IF(F141&lt;=1000, 40, F141*0.04)))),
IF(Basic345678910111213[[#This Row],[نوع الخدمة]]="كاش اوت",
    IF(F141&lt;=100, 15, IF(F141&lt;=250, 20, IF(F141&lt;=500, 30, IF(F141&lt;=1000, 35, F141*0.035)))),
0)))</f>
        <v>0</v>
      </c>
      <c r="H141" s="159">
        <f>IF(I141="مخالفات",50,Basic345678910111213[[#This Row],[قيمة الرسوم / العموله]]+Basic345678910111213[[#This Row],[قيمة الشحنه]])</f>
        <v>0</v>
      </c>
      <c r="I141" s="90"/>
      <c r="J141" s="142" t="str">
        <f t="shared" si="2"/>
        <v>20.5.2026</v>
      </c>
      <c r="L141" s="153">
        <v>130</v>
      </c>
      <c r="M141" s="92"/>
    </row>
    <row r="142" spans="1:13" ht="21.6" x14ac:dyDescent="0.65">
      <c r="A142" s="195"/>
      <c r="B142" s="140">
        <v>139</v>
      </c>
      <c r="C142" s="2"/>
      <c r="D142" s="1"/>
      <c r="E142" s="3"/>
      <c r="F142" s="1"/>
      <c r="G142" s="141">
        <f>IF(Basic345678910111213[[#This Row],[نوع الخدمة]]="مخالفات", 50,
IF(Basic345678910111213[[#This Row],[نوع الخدمة]]="كاش ان",
    IF(F142&lt;=100, 18, IF(F142&lt;=250, 23, IF(F142&lt;=500, 35, IF(F142&lt;=1000, 40, F142*0.04)))),
IF(Basic345678910111213[[#This Row],[نوع الخدمة]]="كاش اوت",
    IF(F142&lt;=100, 15, IF(F142&lt;=250, 20, IF(F142&lt;=500, 30, IF(F142&lt;=1000, 35, F142*0.035)))),
0)))</f>
        <v>0</v>
      </c>
      <c r="H142" s="159">
        <f>IF(I142="مخالفات",50,Basic345678910111213[[#This Row],[قيمة الرسوم / العموله]]+Basic345678910111213[[#This Row],[قيمة الشحنه]])</f>
        <v>0</v>
      </c>
      <c r="I142" s="90"/>
      <c r="J142" s="142" t="str">
        <f t="shared" si="2"/>
        <v>20.5.2026</v>
      </c>
      <c r="L142" s="153">
        <v>131</v>
      </c>
      <c r="M142" s="92"/>
    </row>
    <row r="143" spans="1:13" ht="21.6" x14ac:dyDescent="0.65">
      <c r="A143" s="195"/>
      <c r="B143" s="140">
        <v>140</v>
      </c>
      <c r="C143" s="2"/>
      <c r="D143" s="1"/>
      <c r="E143" s="3"/>
      <c r="F143" s="1"/>
      <c r="G143" s="141">
        <f>IF(Basic345678910111213[[#This Row],[نوع الخدمة]]="مخالفات", 50,
IF(Basic345678910111213[[#This Row],[نوع الخدمة]]="كاش ان",
    IF(F143&lt;=100, 18, IF(F143&lt;=250, 23, IF(F143&lt;=500, 35, IF(F143&lt;=1000, 40, F143*0.04)))),
IF(Basic345678910111213[[#This Row],[نوع الخدمة]]="كاش اوت",
    IF(F143&lt;=100, 15, IF(F143&lt;=250, 20, IF(F143&lt;=500, 30, IF(F143&lt;=1000, 35, F143*0.035)))),
0)))</f>
        <v>0</v>
      </c>
      <c r="H143" s="159">
        <f>IF(I143="مخالفات",50,Basic345678910111213[[#This Row],[قيمة الرسوم / العموله]]+Basic345678910111213[[#This Row],[قيمة الشحنه]])</f>
        <v>0</v>
      </c>
      <c r="I143" s="90"/>
      <c r="J143" s="142" t="str">
        <f t="shared" si="2"/>
        <v>20.5.2026</v>
      </c>
      <c r="L143" s="153">
        <v>132</v>
      </c>
      <c r="M143" s="92"/>
    </row>
    <row r="144" spans="1:13" ht="21.6" x14ac:dyDescent="0.65">
      <c r="A144" s="195"/>
      <c r="B144" s="140">
        <v>141</v>
      </c>
      <c r="C144" s="2"/>
      <c r="D144" s="1"/>
      <c r="E144" s="3"/>
      <c r="F144" s="1"/>
      <c r="G144" s="141">
        <f>IF(Basic345678910111213[[#This Row],[نوع الخدمة]]="مخالفات", 50,
IF(Basic345678910111213[[#This Row],[نوع الخدمة]]="كاش ان",
    IF(F144&lt;=100, 18, IF(F144&lt;=250, 23, IF(F144&lt;=500, 35, IF(F144&lt;=1000, 40, F144*0.04)))),
IF(Basic345678910111213[[#This Row],[نوع الخدمة]]="كاش اوت",
    IF(F144&lt;=100, 15, IF(F144&lt;=250, 20, IF(F144&lt;=500, 30, IF(F144&lt;=1000, 35, F144*0.035)))),
0)))</f>
        <v>0</v>
      </c>
      <c r="H144" s="159">
        <f>IF(I144="مخالفات",50,Basic345678910111213[[#This Row],[قيمة الرسوم / العموله]]+Basic345678910111213[[#This Row],[قيمة الشحنه]])</f>
        <v>0</v>
      </c>
      <c r="I144" s="90"/>
      <c r="J144" s="142" t="str">
        <f t="shared" si="2"/>
        <v>20.5.2026</v>
      </c>
      <c r="L144" s="153">
        <v>133</v>
      </c>
      <c r="M144" s="92"/>
    </row>
    <row r="145" spans="1:13" ht="21.6" x14ac:dyDescent="0.65">
      <c r="A145" s="195"/>
      <c r="B145" s="144">
        <v>142</v>
      </c>
      <c r="C145" s="2"/>
      <c r="D145" s="1"/>
      <c r="E145" s="3"/>
      <c r="F145" s="1"/>
      <c r="G145" s="141">
        <f>IF(Basic345678910111213[[#This Row],[نوع الخدمة]]="مخالفات", 50,
IF(Basic345678910111213[[#This Row],[نوع الخدمة]]="كاش ان",
    IF(F145&lt;=100, 18, IF(F145&lt;=250, 23, IF(F145&lt;=500, 35, IF(F145&lt;=1000, 40, F145*0.04)))),
IF(Basic345678910111213[[#This Row],[نوع الخدمة]]="كاش اوت",
    IF(F145&lt;=100, 15, IF(F145&lt;=250, 20, IF(F145&lt;=500, 30, IF(F145&lt;=1000, 35, F145*0.035)))),
0)))</f>
        <v>0</v>
      </c>
      <c r="H145" s="159">
        <f>IF(I145="مخالفات",50,Basic345678910111213[[#This Row],[قيمة الرسوم / العموله]]+Basic345678910111213[[#This Row],[قيمة الشحنه]])</f>
        <v>0</v>
      </c>
      <c r="I145" s="90"/>
      <c r="J145" s="142" t="str">
        <f t="shared" si="2"/>
        <v>20.5.2026</v>
      </c>
      <c r="L145" s="153">
        <v>134</v>
      </c>
      <c r="M145" s="92"/>
    </row>
    <row r="146" spans="1:13" ht="21.6" x14ac:dyDescent="0.65">
      <c r="A146" s="195"/>
      <c r="B146" s="140">
        <v>143</v>
      </c>
      <c r="C146" s="2"/>
      <c r="D146" s="1"/>
      <c r="E146" s="3"/>
      <c r="F146" s="1"/>
      <c r="G146" s="141">
        <f>IF(Basic345678910111213[[#This Row],[نوع الخدمة]]="مخالفات", 50,
IF(Basic345678910111213[[#This Row],[نوع الخدمة]]="كاش ان",
    IF(F146&lt;=100, 18, IF(F146&lt;=250, 23, IF(F146&lt;=500, 35, IF(F146&lt;=1000, 40, F146*0.04)))),
IF(Basic345678910111213[[#This Row],[نوع الخدمة]]="كاش اوت",
    IF(F146&lt;=100, 15, IF(F146&lt;=250, 20, IF(F146&lt;=500, 30, IF(F146&lt;=1000, 35, F146*0.035)))),
0)))</f>
        <v>0</v>
      </c>
      <c r="H146" s="159">
        <f>IF(I146="مخالفات",50,Basic345678910111213[[#This Row],[قيمة الرسوم / العموله]]+Basic345678910111213[[#This Row],[قيمة الشحنه]])</f>
        <v>0</v>
      </c>
      <c r="I146" s="90"/>
      <c r="J146" s="142" t="str">
        <f t="shared" si="2"/>
        <v>20.5.2026</v>
      </c>
      <c r="L146" s="153">
        <v>135</v>
      </c>
      <c r="M146" s="92"/>
    </row>
    <row r="147" spans="1:13" ht="21.6" x14ac:dyDescent="0.65">
      <c r="A147" s="195"/>
      <c r="B147" s="140">
        <v>144</v>
      </c>
      <c r="C147" s="2"/>
      <c r="D147" s="1"/>
      <c r="E147" s="3"/>
      <c r="F147" s="1"/>
      <c r="G147" s="141">
        <f>IF(Basic345678910111213[[#This Row],[نوع الخدمة]]="مخالفات", 50,
IF(Basic345678910111213[[#This Row],[نوع الخدمة]]="كاش ان",
    IF(F147&lt;=100, 18, IF(F147&lt;=250, 23, IF(F147&lt;=500, 35, IF(F147&lt;=1000, 40, F147*0.04)))),
IF(Basic345678910111213[[#This Row],[نوع الخدمة]]="كاش اوت",
    IF(F147&lt;=100, 15, IF(F147&lt;=250, 20, IF(F147&lt;=500, 30, IF(F147&lt;=1000, 35, F147*0.035)))),
0)))</f>
        <v>0</v>
      </c>
      <c r="H147" s="159">
        <f>IF(I147="مخالفات",50,Basic345678910111213[[#This Row],[قيمة الرسوم / العموله]]+Basic345678910111213[[#This Row],[قيمة الشحنه]])</f>
        <v>0</v>
      </c>
      <c r="I147" s="90"/>
      <c r="J147" s="142" t="str">
        <f t="shared" si="2"/>
        <v>20.5.2026</v>
      </c>
      <c r="L147" s="153">
        <v>136</v>
      </c>
      <c r="M147" s="92"/>
    </row>
    <row r="148" spans="1:13" ht="21.6" x14ac:dyDescent="0.65">
      <c r="A148" s="195"/>
      <c r="B148" s="140">
        <v>145</v>
      </c>
      <c r="C148" s="2"/>
      <c r="D148" s="1"/>
      <c r="E148" s="3"/>
      <c r="F148" s="1"/>
      <c r="G148" s="141">
        <f>IF(Basic345678910111213[[#This Row],[نوع الخدمة]]="مخالفات", 50,
IF(Basic345678910111213[[#This Row],[نوع الخدمة]]="كاش ان",
    IF(F148&lt;=100, 18, IF(F148&lt;=250, 23, IF(F148&lt;=500, 35, IF(F148&lt;=1000, 40, F148*0.04)))),
IF(Basic345678910111213[[#This Row],[نوع الخدمة]]="كاش اوت",
    IF(F148&lt;=100, 15, IF(F148&lt;=250, 20, IF(F148&lt;=500, 30, IF(F148&lt;=1000, 35, F148*0.035)))),
0)))</f>
        <v>0</v>
      </c>
      <c r="H148" s="159">
        <f>IF(I148="مخالفات",50,Basic345678910111213[[#This Row],[قيمة الرسوم / العموله]]+Basic345678910111213[[#This Row],[قيمة الشحنه]])</f>
        <v>0</v>
      </c>
      <c r="I148" s="90"/>
      <c r="J148" s="142" t="str">
        <f t="shared" si="2"/>
        <v>20.5.2026</v>
      </c>
      <c r="L148" s="153">
        <v>137</v>
      </c>
      <c r="M148" s="92"/>
    </row>
    <row r="149" spans="1:13" ht="21.6" x14ac:dyDescent="0.65">
      <c r="A149" s="195"/>
      <c r="B149" s="144">
        <v>146</v>
      </c>
      <c r="C149" s="2"/>
      <c r="D149" s="1"/>
      <c r="E149" s="3"/>
      <c r="F149" s="1"/>
      <c r="G149" s="141">
        <f>IF(Basic345678910111213[[#This Row],[نوع الخدمة]]="مخالفات", 50,
IF(Basic345678910111213[[#This Row],[نوع الخدمة]]="كاش ان",
    IF(F149&lt;=100, 18, IF(F149&lt;=250, 23, IF(F149&lt;=500, 35, IF(F149&lt;=1000, 40, F149*0.04)))),
IF(Basic345678910111213[[#This Row],[نوع الخدمة]]="كاش اوت",
    IF(F149&lt;=100, 15, IF(F149&lt;=250, 20, IF(F149&lt;=500, 30, IF(F149&lt;=1000, 35, F149*0.035)))),
0)))</f>
        <v>0</v>
      </c>
      <c r="H149" s="159">
        <f>IF(I149="مخالفات",50,Basic345678910111213[[#This Row],[قيمة الرسوم / العموله]]+Basic345678910111213[[#This Row],[قيمة الشحنه]])</f>
        <v>0</v>
      </c>
      <c r="I149" s="90"/>
      <c r="J149" s="142" t="str">
        <f t="shared" si="2"/>
        <v>20.5.2026</v>
      </c>
      <c r="L149" s="153">
        <v>138</v>
      </c>
      <c r="M149" s="92"/>
    </row>
    <row r="150" spans="1:13" ht="21.6" x14ac:dyDescent="0.65">
      <c r="A150" s="195"/>
      <c r="B150" s="140">
        <v>147</v>
      </c>
      <c r="C150" s="2"/>
      <c r="D150" s="1"/>
      <c r="E150" s="3"/>
      <c r="F150" s="1"/>
      <c r="G150" s="141">
        <f>IF(Basic345678910111213[[#This Row],[نوع الخدمة]]="مخالفات", 50,
IF(Basic345678910111213[[#This Row],[نوع الخدمة]]="كاش ان",
    IF(F150&lt;=100, 18, IF(F150&lt;=250, 23, IF(F150&lt;=500, 35, IF(F150&lt;=1000, 40, F150*0.04)))),
IF(Basic345678910111213[[#This Row],[نوع الخدمة]]="كاش اوت",
    IF(F150&lt;=100, 15, IF(F150&lt;=250, 20, IF(F150&lt;=500, 30, IF(F150&lt;=1000, 35, F150*0.035)))),
0)))</f>
        <v>0</v>
      </c>
      <c r="H150" s="159">
        <f>IF(I150="مخالفات",50,Basic345678910111213[[#This Row],[قيمة الرسوم / العموله]]+Basic345678910111213[[#This Row],[قيمة الشحنه]])</f>
        <v>0</v>
      </c>
      <c r="I150" s="90"/>
      <c r="J150" s="142" t="str">
        <f t="shared" si="2"/>
        <v>20.5.2026</v>
      </c>
      <c r="L150" s="153">
        <v>139</v>
      </c>
      <c r="M150" s="92"/>
    </row>
    <row r="151" spans="1:13" ht="21.6" x14ac:dyDescent="0.65">
      <c r="A151" s="195"/>
      <c r="B151" s="140">
        <v>148</v>
      </c>
      <c r="C151" s="2"/>
      <c r="D151" s="1"/>
      <c r="E151" s="3"/>
      <c r="F151" s="1"/>
      <c r="G151" s="141">
        <f>IF(Basic345678910111213[[#This Row],[نوع الخدمة]]="مخالفات", 50,
IF(Basic345678910111213[[#This Row],[نوع الخدمة]]="كاش ان",
    IF(F151&lt;=100, 18, IF(F151&lt;=250, 23, IF(F151&lt;=500, 35, IF(F151&lt;=1000, 40, F151*0.04)))),
IF(Basic345678910111213[[#This Row],[نوع الخدمة]]="كاش اوت",
    IF(F151&lt;=100, 15, IF(F151&lt;=250, 20, IF(F151&lt;=500, 30, IF(F151&lt;=1000, 35, F151*0.035)))),
0)))</f>
        <v>0</v>
      </c>
      <c r="H151" s="159">
        <f>IF(I151="مخالفات",50,Basic345678910111213[[#This Row],[قيمة الرسوم / العموله]]+Basic345678910111213[[#This Row],[قيمة الشحنه]])</f>
        <v>0</v>
      </c>
      <c r="I151" s="90"/>
      <c r="J151" s="142" t="str">
        <f t="shared" si="2"/>
        <v>20.5.2026</v>
      </c>
      <c r="L151" s="153">
        <v>140</v>
      </c>
      <c r="M151" s="92"/>
    </row>
    <row r="152" spans="1:13" ht="21.6" x14ac:dyDescent="0.65">
      <c r="A152" s="195"/>
      <c r="B152" s="140">
        <v>149</v>
      </c>
      <c r="C152" s="2"/>
      <c r="D152" s="1"/>
      <c r="E152" s="3"/>
      <c r="F152" s="1"/>
      <c r="G152" s="141">
        <f>IF(Basic345678910111213[[#This Row],[نوع الخدمة]]="مخالفات", 50,
IF(Basic345678910111213[[#This Row],[نوع الخدمة]]="كاش ان",
    IF(F152&lt;=100, 18, IF(F152&lt;=250, 23, IF(F152&lt;=500, 35, IF(F152&lt;=1000, 40, F152*0.04)))),
IF(Basic345678910111213[[#This Row],[نوع الخدمة]]="كاش اوت",
    IF(F152&lt;=100, 15, IF(F152&lt;=250, 20, IF(F152&lt;=500, 30, IF(F152&lt;=1000, 35, F152*0.035)))),
0)))</f>
        <v>0</v>
      </c>
      <c r="H152" s="159">
        <f>IF(I152="مخالفات",50,Basic345678910111213[[#This Row],[قيمة الرسوم / العموله]]+Basic345678910111213[[#This Row],[قيمة الشحنه]])</f>
        <v>0</v>
      </c>
      <c r="I152" s="90"/>
      <c r="J152" s="142" t="str">
        <f t="shared" si="2"/>
        <v>20.5.2026</v>
      </c>
      <c r="L152" s="153">
        <v>141</v>
      </c>
      <c r="M152" s="92"/>
    </row>
    <row r="153" spans="1:13" ht="21.6" x14ac:dyDescent="0.65">
      <c r="A153" s="195"/>
      <c r="B153" s="144">
        <v>150</v>
      </c>
      <c r="C153" s="2"/>
      <c r="D153" s="1"/>
      <c r="E153" s="3"/>
      <c r="F153" s="1"/>
      <c r="G153" s="141">
        <f>IF(Basic345678910111213[[#This Row],[نوع الخدمة]]="مخالفات", 50,
IF(Basic345678910111213[[#This Row],[نوع الخدمة]]="كاش ان",
    IF(F153&lt;=100, 18, IF(F153&lt;=250, 23, IF(F153&lt;=500, 35, IF(F153&lt;=1000, 40, F153*0.04)))),
IF(Basic345678910111213[[#This Row],[نوع الخدمة]]="كاش اوت",
    IF(F153&lt;=100, 15, IF(F153&lt;=250, 20, IF(F153&lt;=500, 30, IF(F153&lt;=1000, 35, F153*0.035)))),
0)))</f>
        <v>0</v>
      </c>
      <c r="H153" s="159">
        <f>IF(I153="مخالفات",50,Basic345678910111213[[#This Row],[قيمة الرسوم / العموله]]+Basic345678910111213[[#This Row],[قيمة الشحنه]])</f>
        <v>0</v>
      </c>
      <c r="I153" s="90"/>
      <c r="J153" s="142" t="str">
        <f t="shared" si="2"/>
        <v>20.5.2026</v>
      </c>
      <c r="L153" s="153">
        <v>142</v>
      </c>
      <c r="M153" s="92"/>
    </row>
    <row r="154" spans="1:13" ht="21.6" x14ac:dyDescent="0.65">
      <c r="A154" s="195"/>
      <c r="B154" s="140">
        <v>151</v>
      </c>
      <c r="C154" s="2"/>
      <c r="D154" s="1"/>
      <c r="E154" s="3"/>
      <c r="F154" s="1"/>
      <c r="G154" s="141">
        <f>IF(Basic345678910111213[[#This Row],[نوع الخدمة]]="مخالفات", 50,
IF(Basic345678910111213[[#This Row],[نوع الخدمة]]="كاش ان",
    IF(F154&lt;=100, 18, IF(F154&lt;=250, 23, IF(F154&lt;=500, 35, IF(F154&lt;=1000, 40, F154*0.04)))),
IF(Basic345678910111213[[#This Row],[نوع الخدمة]]="كاش اوت",
    IF(F154&lt;=100, 15, IF(F154&lt;=250, 20, IF(F154&lt;=500, 30, IF(F154&lt;=1000, 35, F154*0.035)))),
0)))</f>
        <v>0</v>
      </c>
      <c r="H154" s="159">
        <f>IF(I154="مخالفات",50,Basic345678910111213[[#This Row],[قيمة الرسوم / العموله]]+Basic345678910111213[[#This Row],[قيمة الشحنه]])</f>
        <v>0</v>
      </c>
      <c r="I154" s="90"/>
      <c r="J154" s="142" t="str">
        <f t="shared" si="2"/>
        <v>20.5.2026</v>
      </c>
      <c r="L154" s="153">
        <v>143</v>
      </c>
      <c r="M154" s="92"/>
    </row>
    <row r="155" spans="1:13" ht="21.6" x14ac:dyDescent="0.65">
      <c r="A155" s="195"/>
      <c r="B155" s="140">
        <v>152</v>
      </c>
      <c r="C155" s="2"/>
      <c r="D155" s="1"/>
      <c r="E155" s="3"/>
      <c r="F155" s="1"/>
      <c r="G155" s="141">
        <f>IF(Basic345678910111213[[#This Row],[نوع الخدمة]]="مخالفات", 50,
IF(Basic345678910111213[[#This Row],[نوع الخدمة]]="كاش ان",
    IF(F155&lt;=100, 18, IF(F155&lt;=250, 23, IF(F155&lt;=500, 35, IF(F155&lt;=1000, 40, F155*0.04)))),
IF(Basic345678910111213[[#This Row],[نوع الخدمة]]="كاش اوت",
    IF(F155&lt;=100, 15, IF(F155&lt;=250, 20, IF(F155&lt;=500, 30, IF(F155&lt;=1000, 35, F155*0.035)))),
0)))</f>
        <v>0</v>
      </c>
      <c r="H155" s="159">
        <f>IF(I155="مخالفات",50,Basic345678910111213[[#This Row],[قيمة الرسوم / العموله]]+Basic345678910111213[[#This Row],[قيمة الشحنه]])</f>
        <v>0</v>
      </c>
      <c r="I155" s="90"/>
      <c r="J155" s="142" t="str">
        <f t="shared" si="2"/>
        <v>20.5.2026</v>
      </c>
      <c r="L155" s="153">
        <v>144</v>
      </c>
      <c r="M155" s="92"/>
    </row>
    <row r="156" spans="1:13" ht="21.6" x14ac:dyDescent="0.65">
      <c r="A156" s="195"/>
      <c r="B156" s="140">
        <v>153</v>
      </c>
      <c r="C156" s="2"/>
      <c r="D156" s="1"/>
      <c r="E156" s="3"/>
      <c r="F156" s="1"/>
      <c r="G156" s="141">
        <f>IF(Basic345678910111213[[#This Row],[نوع الخدمة]]="مخالفات", 50,
IF(Basic345678910111213[[#This Row],[نوع الخدمة]]="كاش ان",
    IF(F156&lt;=100, 18, IF(F156&lt;=250, 23, IF(F156&lt;=500, 35, IF(F156&lt;=1000, 40, F156*0.04)))),
IF(Basic345678910111213[[#This Row],[نوع الخدمة]]="كاش اوت",
    IF(F156&lt;=100, 15, IF(F156&lt;=250, 20, IF(F156&lt;=500, 30, IF(F156&lt;=1000, 35, F156*0.035)))),
0)))</f>
        <v>0</v>
      </c>
      <c r="H156" s="159">
        <f>IF(I156="مخالفات",50,Basic345678910111213[[#This Row],[قيمة الرسوم / العموله]]+Basic345678910111213[[#This Row],[قيمة الشحنه]])</f>
        <v>0</v>
      </c>
      <c r="I156" s="90"/>
      <c r="J156" s="142" t="str">
        <f t="shared" si="2"/>
        <v>20.5.2026</v>
      </c>
      <c r="L156" s="153">
        <v>145</v>
      </c>
      <c r="M156" s="92"/>
    </row>
    <row r="157" spans="1:13" ht="21.6" x14ac:dyDescent="0.65">
      <c r="A157" s="195"/>
      <c r="B157" s="144">
        <v>154</v>
      </c>
      <c r="C157" s="2"/>
      <c r="D157" s="1"/>
      <c r="E157" s="3"/>
      <c r="F157" s="1"/>
      <c r="G157" s="141">
        <f>IF(Basic345678910111213[[#This Row],[نوع الخدمة]]="مخالفات", 50,
IF(Basic345678910111213[[#This Row],[نوع الخدمة]]="كاش ان",
    IF(F157&lt;=100, 18, IF(F157&lt;=250, 23, IF(F157&lt;=500, 35, IF(F157&lt;=1000, 40, F157*0.04)))),
IF(Basic345678910111213[[#This Row],[نوع الخدمة]]="كاش اوت",
    IF(F157&lt;=100, 15, IF(F157&lt;=250, 20, IF(F157&lt;=500, 30, IF(F157&lt;=1000, 35, F157*0.035)))),
0)))</f>
        <v>0</v>
      </c>
      <c r="H157" s="159">
        <f>IF(I157="مخالفات",50,Basic345678910111213[[#This Row],[قيمة الرسوم / العموله]]+Basic345678910111213[[#This Row],[قيمة الشحنه]])</f>
        <v>0</v>
      </c>
      <c r="I157" s="90"/>
      <c r="J157" s="142" t="str">
        <f t="shared" si="2"/>
        <v>20.5.2026</v>
      </c>
      <c r="L157" s="153">
        <v>146</v>
      </c>
      <c r="M157" s="92"/>
    </row>
    <row r="158" spans="1:13" ht="21.6" x14ac:dyDescent="0.65">
      <c r="A158" s="195"/>
      <c r="B158" s="140">
        <v>155</v>
      </c>
      <c r="C158" s="2"/>
      <c r="D158" s="1"/>
      <c r="E158" s="3"/>
      <c r="F158" s="1"/>
      <c r="G158" s="141">
        <f>IF(Basic345678910111213[[#This Row],[نوع الخدمة]]="مخالفات", 50,
IF(Basic345678910111213[[#This Row],[نوع الخدمة]]="كاش ان",
    IF(F158&lt;=100, 18, IF(F158&lt;=250, 23, IF(F158&lt;=500, 35, IF(F158&lt;=1000, 40, F158*0.04)))),
IF(Basic345678910111213[[#This Row],[نوع الخدمة]]="كاش اوت",
    IF(F158&lt;=100, 15, IF(F158&lt;=250, 20, IF(F158&lt;=500, 30, IF(F158&lt;=1000, 35, F158*0.035)))),
0)))</f>
        <v>0</v>
      </c>
      <c r="H158" s="159">
        <f>IF(I158="مخالفات",50,Basic345678910111213[[#This Row],[قيمة الرسوم / العموله]]+Basic345678910111213[[#This Row],[قيمة الشحنه]])</f>
        <v>0</v>
      </c>
      <c r="I158" s="90"/>
      <c r="J158" s="142" t="str">
        <f t="shared" si="2"/>
        <v>20.5.2026</v>
      </c>
      <c r="L158" s="153">
        <v>147</v>
      </c>
      <c r="M158" s="92"/>
    </row>
    <row r="159" spans="1:13" ht="21.6" x14ac:dyDescent="0.65">
      <c r="A159" s="195"/>
      <c r="B159" s="140">
        <v>156</v>
      </c>
      <c r="C159" s="2"/>
      <c r="D159" s="1"/>
      <c r="E159" s="3"/>
      <c r="F159" s="1"/>
      <c r="G159" s="141">
        <f>IF(Basic345678910111213[[#This Row],[نوع الخدمة]]="مخالفات", 50,
IF(Basic345678910111213[[#This Row],[نوع الخدمة]]="كاش ان",
    IF(F159&lt;=100, 18, IF(F159&lt;=250, 23, IF(F159&lt;=500, 35, IF(F159&lt;=1000, 40, F159*0.04)))),
IF(Basic345678910111213[[#This Row],[نوع الخدمة]]="كاش اوت",
    IF(F159&lt;=100, 15, IF(F159&lt;=250, 20, IF(F159&lt;=500, 30, IF(F159&lt;=1000, 35, F159*0.035)))),
0)))</f>
        <v>0</v>
      </c>
      <c r="H159" s="159">
        <f>IF(I159="مخالفات",50,Basic345678910111213[[#This Row],[قيمة الرسوم / العموله]]+Basic345678910111213[[#This Row],[قيمة الشحنه]])</f>
        <v>0</v>
      </c>
      <c r="I159" s="90"/>
      <c r="J159" s="142" t="str">
        <f t="shared" si="2"/>
        <v>20.5.2026</v>
      </c>
      <c r="L159" s="153">
        <v>148</v>
      </c>
      <c r="M159" s="92"/>
    </row>
    <row r="160" spans="1:13" ht="21.6" x14ac:dyDescent="0.65">
      <c r="A160" s="195"/>
      <c r="B160" s="140">
        <v>157</v>
      </c>
      <c r="C160" s="2"/>
      <c r="D160" s="1"/>
      <c r="E160" s="3"/>
      <c r="F160" s="1"/>
      <c r="G160" s="141">
        <f>IF(Basic345678910111213[[#This Row],[نوع الخدمة]]="مخالفات", 50,
IF(Basic345678910111213[[#This Row],[نوع الخدمة]]="كاش ان",
    IF(F160&lt;=100, 18, IF(F160&lt;=250, 23, IF(F160&lt;=500, 35, IF(F160&lt;=1000, 40, F160*0.04)))),
IF(Basic345678910111213[[#This Row],[نوع الخدمة]]="كاش اوت",
    IF(F160&lt;=100, 15, IF(F160&lt;=250, 20, IF(F160&lt;=500, 30, IF(F160&lt;=1000, 35, F160*0.035)))),
0)))</f>
        <v>0</v>
      </c>
      <c r="H160" s="159">
        <f>IF(I160="مخالفات",50,Basic345678910111213[[#This Row],[قيمة الرسوم / العموله]]+Basic345678910111213[[#This Row],[قيمة الشحنه]])</f>
        <v>0</v>
      </c>
      <c r="I160" s="90"/>
      <c r="J160" s="142" t="str">
        <f t="shared" si="2"/>
        <v>20.5.2026</v>
      </c>
      <c r="L160" s="153">
        <v>149</v>
      </c>
      <c r="M160" s="92"/>
    </row>
    <row r="161" spans="1:13" ht="21.6" x14ac:dyDescent="0.65">
      <c r="A161" s="195"/>
      <c r="B161" s="144">
        <v>158</v>
      </c>
      <c r="C161" s="2"/>
      <c r="D161" s="1"/>
      <c r="E161" s="3"/>
      <c r="F161" s="1"/>
      <c r="G161" s="141">
        <f>IF(Basic345678910111213[[#This Row],[نوع الخدمة]]="مخالفات", 50,
IF(Basic345678910111213[[#This Row],[نوع الخدمة]]="كاش ان",
    IF(F161&lt;=100, 18, IF(F161&lt;=250, 23, IF(F161&lt;=500, 35, IF(F161&lt;=1000, 40, F161*0.04)))),
IF(Basic345678910111213[[#This Row],[نوع الخدمة]]="كاش اوت",
    IF(F161&lt;=100, 15, IF(F161&lt;=250, 20, IF(F161&lt;=500, 30, IF(F161&lt;=1000, 35, F161*0.035)))),
0)))</f>
        <v>0</v>
      </c>
      <c r="H161" s="159">
        <f>IF(I161="مخالفات",50,Basic345678910111213[[#This Row],[قيمة الرسوم / العموله]]+Basic345678910111213[[#This Row],[قيمة الشحنه]])</f>
        <v>0</v>
      </c>
      <c r="I161" s="90"/>
      <c r="J161" s="142" t="str">
        <f t="shared" si="2"/>
        <v>20.5.2026</v>
      </c>
      <c r="L161" s="153">
        <v>150</v>
      </c>
      <c r="M161" s="92"/>
    </row>
    <row r="162" spans="1:13" ht="21.6" x14ac:dyDescent="0.65">
      <c r="A162" s="195"/>
      <c r="B162" s="140">
        <v>159</v>
      </c>
      <c r="C162" s="2"/>
      <c r="D162" s="1"/>
      <c r="E162" s="3"/>
      <c r="F162" s="1"/>
      <c r="G162" s="141">
        <f>IF(Basic345678910111213[[#This Row],[نوع الخدمة]]="مخالفات", 50,
IF(Basic345678910111213[[#This Row],[نوع الخدمة]]="كاش ان",
    IF(F162&lt;=100, 18, IF(F162&lt;=250, 23, IF(F162&lt;=500, 35, IF(F162&lt;=1000, 40, F162*0.04)))),
IF(Basic345678910111213[[#This Row],[نوع الخدمة]]="كاش اوت",
    IF(F162&lt;=100, 15, IF(F162&lt;=250, 20, IF(F162&lt;=500, 30, IF(F162&lt;=1000, 35, F162*0.035)))),
0)))</f>
        <v>0</v>
      </c>
      <c r="H162" s="159">
        <f>IF(I162="مخالفات",50,Basic345678910111213[[#This Row],[قيمة الرسوم / العموله]]+Basic345678910111213[[#This Row],[قيمة الشحنه]])</f>
        <v>0</v>
      </c>
      <c r="I162" s="90"/>
      <c r="J162" s="142" t="str">
        <f t="shared" si="2"/>
        <v>20.5.2026</v>
      </c>
      <c r="L162" s="153">
        <v>151</v>
      </c>
      <c r="M162" s="92"/>
    </row>
    <row r="163" spans="1:13" ht="21.6" x14ac:dyDescent="0.65">
      <c r="A163" s="195"/>
      <c r="B163" s="140">
        <v>160</v>
      </c>
      <c r="C163" s="2"/>
      <c r="D163" s="1"/>
      <c r="E163" s="3"/>
      <c r="F163" s="1"/>
      <c r="G163" s="141">
        <f>IF(Basic345678910111213[[#This Row],[نوع الخدمة]]="مخالفات", 50,
IF(Basic345678910111213[[#This Row],[نوع الخدمة]]="كاش ان",
    IF(F163&lt;=100, 18, IF(F163&lt;=250, 23, IF(F163&lt;=500, 35, IF(F163&lt;=1000, 40, F163*0.04)))),
IF(Basic345678910111213[[#This Row],[نوع الخدمة]]="كاش اوت",
    IF(F163&lt;=100, 15, IF(F163&lt;=250, 20, IF(F163&lt;=500, 30, IF(F163&lt;=1000, 35, F163*0.035)))),
0)))</f>
        <v>0</v>
      </c>
      <c r="H163" s="159">
        <f>IF(I163="مخالفات",50,Basic345678910111213[[#This Row],[قيمة الرسوم / العموله]]+Basic345678910111213[[#This Row],[قيمة الشحنه]])</f>
        <v>0</v>
      </c>
      <c r="I163" s="90"/>
      <c r="J163" s="142" t="str">
        <f t="shared" si="2"/>
        <v>20.5.2026</v>
      </c>
      <c r="L163" s="153">
        <v>152</v>
      </c>
      <c r="M163" s="92"/>
    </row>
    <row r="164" spans="1:13" ht="21.6" x14ac:dyDescent="0.65">
      <c r="A164" s="195"/>
      <c r="B164" s="140">
        <v>161</v>
      </c>
      <c r="C164" s="2"/>
      <c r="D164" s="1"/>
      <c r="E164" s="3"/>
      <c r="F164" s="1"/>
      <c r="G164" s="141">
        <f>IF(Basic345678910111213[[#This Row],[نوع الخدمة]]="مخالفات", 50,
IF(Basic345678910111213[[#This Row],[نوع الخدمة]]="كاش ان",
    IF(F164&lt;=100, 18, IF(F164&lt;=250, 23, IF(F164&lt;=500, 35, IF(F164&lt;=1000, 40, F164*0.04)))),
IF(Basic345678910111213[[#This Row],[نوع الخدمة]]="كاش اوت",
    IF(F164&lt;=100, 15, IF(F164&lt;=250, 20, IF(F164&lt;=500, 30, IF(F164&lt;=1000, 35, F164*0.035)))),
0)))</f>
        <v>0</v>
      </c>
      <c r="H164" s="159">
        <f>IF(I164="مخالفات",50,Basic345678910111213[[#This Row],[قيمة الرسوم / العموله]]+Basic345678910111213[[#This Row],[قيمة الشحنه]])</f>
        <v>0</v>
      </c>
      <c r="I164" s="90"/>
      <c r="J164" s="142" t="str">
        <f t="shared" si="2"/>
        <v>20.5.2026</v>
      </c>
      <c r="L164" s="153">
        <v>153</v>
      </c>
      <c r="M164" s="92"/>
    </row>
    <row r="165" spans="1:13" ht="21.6" x14ac:dyDescent="0.65">
      <c r="A165" s="195"/>
      <c r="B165" s="144">
        <v>162</v>
      </c>
      <c r="C165" s="2"/>
      <c r="D165" s="1"/>
      <c r="E165" s="3"/>
      <c r="F165" s="1"/>
      <c r="G165" s="141">
        <f>IF(Basic345678910111213[[#This Row],[نوع الخدمة]]="مخالفات", 50,
IF(Basic345678910111213[[#This Row],[نوع الخدمة]]="كاش ان",
    IF(F165&lt;=100, 18, IF(F165&lt;=250, 23, IF(F165&lt;=500, 35, IF(F165&lt;=1000, 40, F165*0.04)))),
IF(Basic345678910111213[[#This Row],[نوع الخدمة]]="كاش اوت",
    IF(F165&lt;=100, 15, IF(F165&lt;=250, 20, IF(F165&lt;=500, 30, IF(F165&lt;=1000, 35, F165*0.035)))),
0)))</f>
        <v>0</v>
      </c>
      <c r="H165" s="159">
        <f>IF(I165="مخالفات",50,Basic345678910111213[[#This Row],[قيمة الرسوم / العموله]]+Basic345678910111213[[#This Row],[قيمة الشحنه]])</f>
        <v>0</v>
      </c>
      <c r="I165" s="90"/>
      <c r="J165" s="142" t="str">
        <f t="shared" si="2"/>
        <v>20.5.2026</v>
      </c>
      <c r="L165" s="153">
        <v>154</v>
      </c>
      <c r="M165" s="92"/>
    </row>
    <row r="166" spans="1:13" ht="21.6" x14ac:dyDescent="0.65">
      <c r="A166" s="195"/>
      <c r="B166" s="140">
        <v>163</v>
      </c>
      <c r="C166" s="2"/>
      <c r="D166" s="1"/>
      <c r="E166" s="3"/>
      <c r="F166" s="1"/>
      <c r="G166" s="141">
        <f>IF(Basic345678910111213[[#This Row],[نوع الخدمة]]="مخالفات", 50,
IF(Basic345678910111213[[#This Row],[نوع الخدمة]]="كاش ان",
    IF(F166&lt;=100, 18, IF(F166&lt;=250, 23, IF(F166&lt;=500, 35, IF(F166&lt;=1000, 40, F166*0.04)))),
IF(Basic345678910111213[[#This Row],[نوع الخدمة]]="كاش اوت",
    IF(F166&lt;=100, 15, IF(F166&lt;=250, 20, IF(F166&lt;=500, 30, IF(F166&lt;=1000, 35, F166*0.035)))),
0)))</f>
        <v>0</v>
      </c>
      <c r="H166" s="159">
        <f>IF(I166="مخالفات",50,Basic345678910111213[[#This Row],[قيمة الرسوم / العموله]]+Basic345678910111213[[#This Row],[قيمة الشحنه]])</f>
        <v>0</v>
      </c>
      <c r="I166" s="90"/>
      <c r="J166" s="142" t="str">
        <f t="shared" si="2"/>
        <v>20.5.2026</v>
      </c>
      <c r="L166" s="153">
        <v>155</v>
      </c>
      <c r="M166" s="92"/>
    </row>
    <row r="167" spans="1:13" ht="21.6" x14ac:dyDescent="0.65">
      <c r="A167" s="195"/>
      <c r="B167" s="140">
        <v>164</v>
      </c>
      <c r="C167" s="2"/>
      <c r="D167" s="1"/>
      <c r="E167" s="3"/>
      <c r="F167" s="1"/>
      <c r="G167" s="141">
        <f>IF(Basic345678910111213[[#This Row],[نوع الخدمة]]="مخالفات", 50,
IF(Basic345678910111213[[#This Row],[نوع الخدمة]]="كاش ان",
    IF(F167&lt;=100, 18, IF(F167&lt;=250, 23, IF(F167&lt;=500, 35, IF(F167&lt;=1000, 40, F167*0.04)))),
IF(Basic345678910111213[[#This Row],[نوع الخدمة]]="كاش اوت",
    IF(F167&lt;=100, 15, IF(F167&lt;=250, 20, IF(F167&lt;=500, 30, IF(F167&lt;=1000, 35, F167*0.035)))),
0)))</f>
        <v>0</v>
      </c>
      <c r="H167" s="159">
        <f>IF(I167="مخالفات",50,Basic345678910111213[[#This Row],[قيمة الرسوم / العموله]]+Basic345678910111213[[#This Row],[قيمة الشحنه]])</f>
        <v>0</v>
      </c>
      <c r="I167" s="90"/>
      <c r="J167" s="142" t="str">
        <f t="shared" si="2"/>
        <v>20.5.2026</v>
      </c>
      <c r="L167" s="153">
        <v>156</v>
      </c>
      <c r="M167" s="92"/>
    </row>
    <row r="168" spans="1:13" ht="21.6" x14ac:dyDescent="0.65">
      <c r="A168" s="195"/>
      <c r="B168" s="140">
        <v>165</v>
      </c>
      <c r="C168" s="2"/>
      <c r="D168" s="1"/>
      <c r="E168" s="3"/>
      <c r="F168" s="1"/>
      <c r="G168" s="141">
        <f>IF(Basic345678910111213[[#This Row],[نوع الخدمة]]="مخالفات", 50,
IF(Basic345678910111213[[#This Row],[نوع الخدمة]]="كاش ان",
    IF(F168&lt;=100, 18, IF(F168&lt;=250, 23, IF(F168&lt;=500, 35, IF(F168&lt;=1000, 40, F168*0.04)))),
IF(Basic345678910111213[[#This Row],[نوع الخدمة]]="كاش اوت",
    IF(F168&lt;=100, 15, IF(F168&lt;=250, 20, IF(F168&lt;=500, 30, IF(F168&lt;=1000, 35, F168*0.035)))),
0)))</f>
        <v>0</v>
      </c>
      <c r="H168" s="159">
        <f>IF(I168="مخالفات",50,Basic345678910111213[[#This Row],[قيمة الرسوم / العموله]]+Basic345678910111213[[#This Row],[قيمة الشحنه]])</f>
        <v>0</v>
      </c>
      <c r="I168" s="90"/>
      <c r="J168" s="142" t="str">
        <f t="shared" si="2"/>
        <v>20.5.2026</v>
      </c>
      <c r="L168" s="153">
        <v>157</v>
      </c>
      <c r="M168" s="92"/>
    </row>
    <row r="169" spans="1:13" ht="21.6" x14ac:dyDescent="0.65">
      <c r="A169" s="195"/>
      <c r="B169" s="144">
        <v>166</v>
      </c>
      <c r="C169" s="2"/>
      <c r="D169" s="1"/>
      <c r="E169" s="3"/>
      <c r="F169" s="1"/>
      <c r="G169" s="141">
        <f>IF(Basic345678910111213[[#This Row],[نوع الخدمة]]="مخالفات", 50,
IF(Basic345678910111213[[#This Row],[نوع الخدمة]]="كاش ان",
    IF(F169&lt;=100, 18, IF(F169&lt;=250, 23, IF(F169&lt;=500, 35, IF(F169&lt;=1000, 40, F169*0.04)))),
IF(Basic345678910111213[[#This Row],[نوع الخدمة]]="كاش اوت",
    IF(F169&lt;=100, 15, IF(F169&lt;=250, 20, IF(F169&lt;=500, 30, IF(F169&lt;=1000, 35, F169*0.035)))),
0)))</f>
        <v>0</v>
      </c>
      <c r="H169" s="159">
        <f>IF(I169="مخالفات",50,Basic345678910111213[[#This Row],[قيمة الرسوم / العموله]]+Basic345678910111213[[#This Row],[قيمة الشحنه]])</f>
        <v>0</v>
      </c>
      <c r="I169" s="90"/>
      <c r="J169" s="142" t="str">
        <f t="shared" si="2"/>
        <v>20.5.2026</v>
      </c>
      <c r="L169" s="153">
        <v>158</v>
      </c>
      <c r="M169" s="92"/>
    </row>
    <row r="170" spans="1:13" ht="21.6" x14ac:dyDescent="0.65">
      <c r="A170" s="195"/>
      <c r="B170" s="140">
        <v>167</v>
      </c>
      <c r="C170" s="2"/>
      <c r="D170" s="1"/>
      <c r="E170" s="3"/>
      <c r="F170" s="1"/>
      <c r="G170" s="141">
        <f>IF(Basic345678910111213[[#This Row],[نوع الخدمة]]="مخالفات", 50,
IF(Basic345678910111213[[#This Row],[نوع الخدمة]]="كاش ان",
    IF(F170&lt;=100, 18, IF(F170&lt;=250, 23, IF(F170&lt;=500, 35, IF(F170&lt;=1000, 40, F170*0.04)))),
IF(Basic345678910111213[[#This Row],[نوع الخدمة]]="كاش اوت",
    IF(F170&lt;=100, 15, IF(F170&lt;=250, 20, IF(F170&lt;=500, 30, IF(F170&lt;=1000, 35, F170*0.035)))),
0)))</f>
        <v>0</v>
      </c>
      <c r="H170" s="159">
        <f>IF(I170="مخالفات",50,Basic345678910111213[[#This Row],[قيمة الرسوم / العموله]]+Basic345678910111213[[#This Row],[قيمة الشحنه]])</f>
        <v>0</v>
      </c>
      <c r="I170" s="90"/>
      <c r="J170" s="142" t="str">
        <f t="shared" si="2"/>
        <v>20.5.2026</v>
      </c>
      <c r="L170" s="153">
        <v>159</v>
      </c>
      <c r="M170" s="92"/>
    </row>
    <row r="171" spans="1:13" ht="21.6" x14ac:dyDescent="0.65">
      <c r="A171" s="195"/>
      <c r="B171" s="140">
        <v>168</v>
      </c>
      <c r="C171" s="2"/>
      <c r="D171" s="1"/>
      <c r="E171" s="3"/>
      <c r="F171" s="1"/>
      <c r="G171" s="141">
        <f>IF(Basic345678910111213[[#This Row],[نوع الخدمة]]="مخالفات", 50,
IF(Basic345678910111213[[#This Row],[نوع الخدمة]]="كاش ان",
    IF(F171&lt;=100, 18, IF(F171&lt;=250, 23, IF(F171&lt;=500, 35, IF(F171&lt;=1000, 40, F171*0.04)))),
IF(Basic345678910111213[[#This Row],[نوع الخدمة]]="كاش اوت",
    IF(F171&lt;=100, 15, IF(F171&lt;=250, 20, IF(F171&lt;=500, 30, IF(F171&lt;=1000, 35, F171*0.035)))),
0)))</f>
        <v>0</v>
      </c>
      <c r="H171" s="159">
        <f>IF(I171="مخالفات",50,Basic345678910111213[[#This Row],[قيمة الرسوم / العموله]]+Basic345678910111213[[#This Row],[قيمة الشحنه]])</f>
        <v>0</v>
      </c>
      <c r="I171" s="90"/>
      <c r="J171" s="142" t="str">
        <f t="shared" si="2"/>
        <v>20.5.2026</v>
      </c>
      <c r="L171" s="153">
        <v>160</v>
      </c>
      <c r="M171" s="92"/>
    </row>
    <row r="172" spans="1:13" ht="21.6" x14ac:dyDescent="0.65">
      <c r="A172" s="195"/>
      <c r="B172" s="140">
        <v>169</v>
      </c>
      <c r="C172" s="2"/>
      <c r="D172" s="1"/>
      <c r="E172" s="3"/>
      <c r="F172" s="1"/>
      <c r="G172" s="141">
        <f>IF(Basic345678910111213[[#This Row],[نوع الخدمة]]="مخالفات", 50,
IF(Basic345678910111213[[#This Row],[نوع الخدمة]]="كاش ان",
    IF(F172&lt;=100, 18, IF(F172&lt;=250, 23, IF(F172&lt;=500, 35, IF(F172&lt;=1000, 40, F172*0.04)))),
IF(Basic345678910111213[[#This Row],[نوع الخدمة]]="كاش اوت",
    IF(F172&lt;=100, 15, IF(F172&lt;=250, 20, IF(F172&lt;=500, 30, IF(F172&lt;=1000, 35, F172*0.035)))),
0)))</f>
        <v>0</v>
      </c>
      <c r="H172" s="159">
        <f>IF(I172="مخالفات",50,Basic345678910111213[[#This Row],[قيمة الرسوم / العموله]]+Basic345678910111213[[#This Row],[قيمة الشحنه]])</f>
        <v>0</v>
      </c>
      <c r="I172" s="90"/>
      <c r="J172" s="142" t="str">
        <f t="shared" si="2"/>
        <v>20.5.2026</v>
      </c>
      <c r="L172" s="153">
        <v>161</v>
      </c>
      <c r="M172" s="92"/>
    </row>
    <row r="173" spans="1:13" ht="21.6" x14ac:dyDescent="0.65">
      <c r="A173" s="195"/>
      <c r="B173" s="144">
        <v>170</v>
      </c>
      <c r="C173" s="2"/>
      <c r="D173" s="1"/>
      <c r="E173" s="3"/>
      <c r="F173" s="1"/>
      <c r="G173" s="141">
        <f>IF(Basic345678910111213[[#This Row],[نوع الخدمة]]="مخالفات", 50,
IF(Basic345678910111213[[#This Row],[نوع الخدمة]]="كاش ان",
    IF(F173&lt;=100, 18, IF(F173&lt;=250, 23, IF(F173&lt;=500, 35, IF(F173&lt;=1000, 40, F173*0.04)))),
IF(Basic345678910111213[[#This Row],[نوع الخدمة]]="كاش اوت",
    IF(F173&lt;=100, 15, IF(F173&lt;=250, 20, IF(F173&lt;=500, 30, IF(F173&lt;=1000, 35, F173*0.035)))),
0)))</f>
        <v>0</v>
      </c>
      <c r="H173" s="159">
        <f>IF(I173="مخالفات",50,Basic345678910111213[[#This Row],[قيمة الرسوم / العموله]]+Basic345678910111213[[#This Row],[قيمة الشحنه]])</f>
        <v>0</v>
      </c>
      <c r="I173" s="90"/>
      <c r="J173" s="142" t="str">
        <f t="shared" si="2"/>
        <v>20.5.2026</v>
      </c>
      <c r="L173" s="153">
        <v>162</v>
      </c>
      <c r="M173" s="92"/>
    </row>
    <row r="174" spans="1:13" ht="21.6" x14ac:dyDescent="0.65">
      <c r="A174" s="195"/>
      <c r="B174" s="140">
        <v>171</v>
      </c>
      <c r="C174" s="2"/>
      <c r="D174" s="1"/>
      <c r="E174" s="3"/>
      <c r="F174" s="1"/>
      <c r="G174" s="141">
        <f>IF(Basic345678910111213[[#This Row],[نوع الخدمة]]="مخالفات", 50,
IF(Basic345678910111213[[#This Row],[نوع الخدمة]]="كاش ان",
    IF(F174&lt;=100, 18, IF(F174&lt;=250, 23, IF(F174&lt;=500, 35, IF(F174&lt;=1000, 40, F174*0.04)))),
IF(Basic345678910111213[[#This Row],[نوع الخدمة]]="كاش اوت",
    IF(F174&lt;=100, 15, IF(F174&lt;=250, 20, IF(F174&lt;=500, 30, IF(F174&lt;=1000, 35, F174*0.035)))),
0)))</f>
        <v>0</v>
      </c>
      <c r="H174" s="159">
        <f>IF(I174="مخالفات",50,Basic345678910111213[[#This Row],[قيمة الرسوم / العموله]]+Basic345678910111213[[#This Row],[قيمة الشحنه]])</f>
        <v>0</v>
      </c>
      <c r="I174" s="90"/>
      <c r="J174" s="142" t="str">
        <f t="shared" si="2"/>
        <v>20.5.2026</v>
      </c>
      <c r="L174" s="153">
        <v>163</v>
      </c>
      <c r="M174" s="92"/>
    </row>
    <row r="175" spans="1:13" ht="21.6" x14ac:dyDescent="0.65">
      <c r="A175" s="195"/>
      <c r="B175" s="140">
        <v>172</v>
      </c>
      <c r="C175" s="2"/>
      <c r="D175" s="1"/>
      <c r="E175" s="3"/>
      <c r="F175" s="1"/>
      <c r="G175" s="141">
        <f>IF(Basic345678910111213[[#This Row],[نوع الخدمة]]="مخالفات", 50,
IF(Basic345678910111213[[#This Row],[نوع الخدمة]]="كاش ان",
    IF(F175&lt;=100, 18, IF(F175&lt;=250, 23, IF(F175&lt;=500, 35, IF(F175&lt;=1000, 40, F175*0.04)))),
IF(Basic345678910111213[[#This Row],[نوع الخدمة]]="كاش اوت",
    IF(F175&lt;=100, 15, IF(F175&lt;=250, 20, IF(F175&lt;=500, 30, IF(F175&lt;=1000, 35, F175*0.035)))),
0)))</f>
        <v>0</v>
      </c>
      <c r="H175" s="159">
        <f>IF(I175="مخالفات",50,Basic345678910111213[[#This Row],[قيمة الرسوم / العموله]]+Basic345678910111213[[#This Row],[قيمة الشحنه]])</f>
        <v>0</v>
      </c>
      <c r="I175" s="90"/>
      <c r="J175" s="142" t="str">
        <f t="shared" si="2"/>
        <v>20.5.2026</v>
      </c>
      <c r="L175" s="153">
        <v>164</v>
      </c>
      <c r="M175" s="92"/>
    </row>
    <row r="176" spans="1:13" ht="21.6" x14ac:dyDescent="0.65">
      <c r="A176" s="195"/>
      <c r="B176" s="140">
        <v>173</v>
      </c>
      <c r="C176" s="2"/>
      <c r="D176" s="1"/>
      <c r="E176" s="3"/>
      <c r="F176" s="1"/>
      <c r="G176" s="141">
        <f>IF(Basic345678910111213[[#This Row],[نوع الخدمة]]="مخالفات", 50,
IF(Basic345678910111213[[#This Row],[نوع الخدمة]]="كاش ان",
    IF(F176&lt;=100, 18, IF(F176&lt;=250, 23, IF(F176&lt;=500, 35, IF(F176&lt;=1000, 40, F176*0.04)))),
IF(Basic345678910111213[[#This Row],[نوع الخدمة]]="كاش اوت",
    IF(F176&lt;=100, 15, IF(F176&lt;=250, 20, IF(F176&lt;=500, 30, IF(F176&lt;=1000, 35, F176*0.035)))),
0)))</f>
        <v>0</v>
      </c>
      <c r="H176" s="159">
        <f>IF(I176="مخالفات",50,Basic345678910111213[[#This Row],[قيمة الرسوم / العموله]]+Basic345678910111213[[#This Row],[قيمة الشحنه]])</f>
        <v>0</v>
      </c>
      <c r="I176" s="90"/>
      <c r="J176" s="142" t="str">
        <f t="shared" si="2"/>
        <v>20.5.2026</v>
      </c>
      <c r="L176" s="153">
        <v>165</v>
      </c>
      <c r="M176" s="92"/>
    </row>
    <row r="177" spans="1:13" ht="21.6" x14ac:dyDescent="0.65">
      <c r="A177" s="195"/>
      <c r="B177" s="144">
        <v>174</v>
      </c>
      <c r="C177" s="2"/>
      <c r="D177" s="1"/>
      <c r="E177" s="3"/>
      <c r="F177" s="1"/>
      <c r="G177" s="141">
        <f>IF(Basic345678910111213[[#This Row],[نوع الخدمة]]="مخالفات", 50,
IF(Basic345678910111213[[#This Row],[نوع الخدمة]]="كاش ان",
    IF(F177&lt;=100, 18, IF(F177&lt;=250, 23, IF(F177&lt;=500, 35, IF(F177&lt;=1000, 40, F177*0.04)))),
IF(Basic345678910111213[[#This Row],[نوع الخدمة]]="كاش اوت",
    IF(F177&lt;=100, 15, IF(F177&lt;=250, 20, IF(F177&lt;=500, 30, IF(F177&lt;=1000, 35, F177*0.035)))),
0)))</f>
        <v>0</v>
      </c>
      <c r="H177" s="159">
        <f>IF(I177="مخالفات",50,Basic345678910111213[[#This Row],[قيمة الرسوم / العموله]]+Basic345678910111213[[#This Row],[قيمة الشحنه]])</f>
        <v>0</v>
      </c>
      <c r="I177" s="90"/>
      <c r="J177" s="142" t="str">
        <f t="shared" si="2"/>
        <v>20.5.2026</v>
      </c>
      <c r="L177" s="153">
        <v>166</v>
      </c>
      <c r="M177" s="92"/>
    </row>
    <row r="178" spans="1:13" ht="21.6" x14ac:dyDescent="0.65">
      <c r="A178" s="195"/>
      <c r="B178" s="140">
        <v>175</v>
      </c>
      <c r="C178" s="2"/>
      <c r="D178" s="1"/>
      <c r="E178" s="3"/>
      <c r="F178" s="1"/>
      <c r="G178" s="141">
        <f>IF(Basic345678910111213[[#This Row],[نوع الخدمة]]="مخالفات", 50,
IF(Basic345678910111213[[#This Row],[نوع الخدمة]]="كاش ان",
    IF(F178&lt;=100, 18, IF(F178&lt;=250, 23, IF(F178&lt;=500, 35, IF(F178&lt;=1000, 40, F178*0.04)))),
IF(Basic345678910111213[[#This Row],[نوع الخدمة]]="كاش اوت",
    IF(F178&lt;=100, 15, IF(F178&lt;=250, 20, IF(F178&lt;=500, 30, IF(F178&lt;=1000, 35, F178*0.035)))),
0)))</f>
        <v>0</v>
      </c>
      <c r="H178" s="159">
        <f>IF(I178="مخالفات",50,Basic345678910111213[[#This Row],[قيمة الرسوم / العموله]]+Basic345678910111213[[#This Row],[قيمة الشحنه]])</f>
        <v>0</v>
      </c>
      <c r="I178" s="90"/>
      <c r="J178" s="142" t="str">
        <f t="shared" si="2"/>
        <v>20.5.2026</v>
      </c>
      <c r="L178" s="153">
        <v>167</v>
      </c>
      <c r="M178" s="92"/>
    </row>
    <row r="179" spans="1:13" ht="21.6" x14ac:dyDescent="0.65">
      <c r="A179" s="195"/>
      <c r="B179" s="140">
        <v>176</v>
      </c>
      <c r="C179" s="2"/>
      <c r="D179" s="1"/>
      <c r="E179" s="3"/>
      <c r="F179" s="1"/>
      <c r="G179" s="141">
        <f>IF(Basic345678910111213[[#This Row],[نوع الخدمة]]="مخالفات", 50,
IF(Basic345678910111213[[#This Row],[نوع الخدمة]]="كاش ان",
    IF(F179&lt;=100, 18, IF(F179&lt;=250, 23, IF(F179&lt;=500, 35, IF(F179&lt;=1000, 40, F179*0.04)))),
IF(Basic345678910111213[[#This Row],[نوع الخدمة]]="كاش اوت",
    IF(F179&lt;=100, 15, IF(F179&lt;=250, 20, IF(F179&lt;=500, 30, IF(F179&lt;=1000, 35, F179*0.035)))),
0)))</f>
        <v>0</v>
      </c>
      <c r="H179" s="159">
        <f>IF(I179="مخالفات",50,Basic345678910111213[[#This Row],[قيمة الرسوم / العموله]]+Basic345678910111213[[#This Row],[قيمة الشحنه]])</f>
        <v>0</v>
      </c>
      <c r="I179" s="90"/>
      <c r="J179" s="142" t="str">
        <f t="shared" si="2"/>
        <v>20.5.2026</v>
      </c>
      <c r="L179" s="153">
        <v>168</v>
      </c>
      <c r="M179" s="92"/>
    </row>
    <row r="180" spans="1:13" ht="21.6" x14ac:dyDescent="0.65">
      <c r="A180" s="195"/>
      <c r="B180" s="140">
        <v>177</v>
      </c>
      <c r="C180" s="2"/>
      <c r="D180" s="1"/>
      <c r="E180" s="3"/>
      <c r="F180" s="1"/>
      <c r="G180" s="141">
        <f>IF(Basic345678910111213[[#This Row],[نوع الخدمة]]="مخالفات", 50,
IF(Basic345678910111213[[#This Row],[نوع الخدمة]]="كاش ان",
    IF(F180&lt;=100, 18, IF(F180&lt;=250, 23, IF(F180&lt;=500, 35, IF(F180&lt;=1000, 40, F180*0.04)))),
IF(Basic345678910111213[[#This Row],[نوع الخدمة]]="كاش اوت",
    IF(F180&lt;=100, 15, IF(F180&lt;=250, 20, IF(F180&lt;=500, 30, IF(F180&lt;=1000, 35, F180*0.035)))),
0)))</f>
        <v>0</v>
      </c>
      <c r="H180" s="159">
        <f>IF(I180="مخالفات",50,Basic345678910111213[[#This Row],[قيمة الرسوم / العموله]]+Basic345678910111213[[#This Row],[قيمة الشحنه]])</f>
        <v>0</v>
      </c>
      <c r="I180" s="90"/>
      <c r="J180" s="142" t="str">
        <f t="shared" si="2"/>
        <v>20.5.2026</v>
      </c>
      <c r="L180" s="153">
        <v>169</v>
      </c>
      <c r="M180" s="92"/>
    </row>
    <row r="181" spans="1:13" ht="21.6" x14ac:dyDescent="0.65">
      <c r="A181" s="195"/>
      <c r="B181" s="144">
        <v>178</v>
      </c>
      <c r="C181" s="2"/>
      <c r="D181" s="1"/>
      <c r="E181" s="3"/>
      <c r="F181" s="1"/>
      <c r="G181" s="141">
        <f>IF(Basic345678910111213[[#This Row],[نوع الخدمة]]="مخالفات", 50,
IF(Basic345678910111213[[#This Row],[نوع الخدمة]]="كاش ان",
    IF(F181&lt;=100, 18, IF(F181&lt;=250, 23, IF(F181&lt;=500, 35, IF(F181&lt;=1000, 40, F181*0.04)))),
IF(Basic345678910111213[[#This Row],[نوع الخدمة]]="كاش اوت",
    IF(F181&lt;=100, 15, IF(F181&lt;=250, 20, IF(F181&lt;=500, 30, IF(F181&lt;=1000, 35, F181*0.035)))),
0)))</f>
        <v>0</v>
      </c>
      <c r="H181" s="159">
        <f>IF(I181="مخالفات",50,Basic345678910111213[[#This Row],[قيمة الرسوم / العموله]]+Basic345678910111213[[#This Row],[قيمة الشحنه]])</f>
        <v>0</v>
      </c>
      <c r="I181" s="90"/>
      <c r="J181" s="142" t="str">
        <f t="shared" si="2"/>
        <v>20.5.2026</v>
      </c>
      <c r="L181" s="153">
        <v>170</v>
      </c>
      <c r="M181" s="92"/>
    </row>
    <row r="182" spans="1:13" ht="21.6" x14ac:dyDescent="0.65">
      <c r="A182" s="195"/>
      <c r="B182" s="140">
        <v>179</v>
      </c>
      <c r="C182" s="2"/>
      <c r="D182" s="1"/>
      <c r="E182" s="3"/>
      <c r="F182" s="1"/>
      <c r="G182" s="141">
        <f>IF(Basic345678910111213[[#This Row],[نوع الخدمة]]="مخالفات", 50,
IF(Basic345678910111213[[#This Row],[نوع الخدمة]]="كاش ان",
    IF(F182&lt;=100, 18, IF(F182&lt;=250, 23, IF(F182&lt;=500, 35, IF(F182&lt;=1000, 40, F182*0.04)))),
IF(Basic345678910111213[[#This Row],[نوع الخدمة]]="كاش اوت",
    IF(F182&lt;=100, 15, IF(F182&lt;=250, 20, IF(F182&lt;=500, 30, IF(F182&lt;=1000, 35, F182*0.035)))),
0)))</f>
        <v>0</v>
      </c>
      <c r="H182" s="159">
        <f>IF(I182="مخالفات",50,Basic345678910111213[[#This Row],[قيمة الرسوم / العموله]]+Basic345678910111213[[#This Row],[قيمة الشحنه]])</f>
        <v>0</v>
      </c>
      <c r="I182" s="90"/>
      <c r="J182" s="142" t="str">
        <f t="shared" si="2"/>
        <v>20.5.2026</v>
      </c>
      <c r="L182" s="153">
        <v>171</v>
      </c>
      <c r="M182" s="92"/>
    </row>
    <row r="183" spans="1:13" ht="21.6" x14ac:dyDescent="0.65">
      <c r="A183" s="195"/>
      <c r="B183" s="140">
        <v>180</v>
      </c>
      <c r="C183" s="2"/>
      <c r="D183" s="1"/>
      <c r="E183" s="3"/>
      <c r="F183" s="1"/>
      <c r="G183" s="141">
        <f>IF(Basic345678910111213[[#This Row],[نوع الخدمة]]="مخالفات", 50,
IF(Basic345678910111213[[#This Row],[نوع الخدمة]]="كاش ان",
    IF(F183&lt;=100, 18, IF(F183&lt;=250, 23, IF(F183&lt;=500, 35, IF(F183&lt;=1000, 40, F183*0.04)))),
IF(Basic345678910111213[[#This Row],[نوع الخدمة]]="كاش اوت",
    IF(F183&lt;=100, 15, IF(F183&lt;=250, 20, IF(F183&lt;=500, 30, IF(F183&lt;=1000, 35, F183*0.035)))),
0)))</f>
        <v>0</v>
      </c>
      <c r="H183" s="159">
        <f>IF(I183="مخالفات",50,Basic345678910111213[[#This Row],[قيمة الرسوم / العموله]]+Basic345678910111213[[#This Row],[قيمة الشحنه]])</f>
        <v>0</v>
      </c>
      <c r="I183" s="90"/>
      <c r="J183" s="142" t="str">
        <f t="shared" si="2"/>
        <v>20.5.2026</v>
      </c>
      <c r="L183" s="153">
        <v>172</v>
      </c>
      <c r="M183" s="92"/>
    </row>
    <row r="184" spans="1:13" ht="21.6" x14ac:dyDescent="0.65">
      <c r="A184" s="195"/>
      <c r="B184" s="140">
        <v>181</v>
      </c>
      <c r="C184" s="2"/>
      <c r="D184" s="1"/>
      <c r="E184" s="3"/>
      <c r="F184" s="1"/>
      <c r="G184" s="141">
        <f>IF(Basic345678910111213[[#This Row],[نوع الخدمة]]="مخالفات", 50,
IF(Basic345678910111213[[#This Row],[نوع الخدمة]]="كاش ان",
    IF(F184&lt;=100, 18, IF(F184&lt;=250, 23, IF(F184&lt;=500, 35, IF(F184&lt;=1000, 40, F184*0.04)))),
IF(Basic345678910111213[[#This Row],[نوع الخدمة]]="كاش اوت",
    IF(F184&lt;=100, 15, IF(F184&lt;=250, 20, IF(F184&lt;=500, 30, IF(F184&lt;=1000, 35, F184*0.035)))),
0)))</f>
        <v>0</v>
      </c>
      <c r="H184" s="159">
        <f>IF(I184="مخالفات",50,Basic345678910111213[[#This Row],[قيمة الرسوم / العموله]]+Basic345678910111213[[#This Row],[قيمة الشحنه]])</f>
        <v>0</v>
      </c>
      <c r="I184" s="90"/>
      <c r="J184" s="142" t="str">
        <f t="shared" si="2"/>
        <v>20.5.2026</v>
      </c>
      <c r="L184" s="153">
        <v>173</v>
      </c>
      <c r="M184" s="92"/>
    </row>
    <row r="185" spans="1:13" ht="21.6" x14ac:dyDescent="0.65">
      <c r="A185" s="195"/>
      <c r="B185" s="144">
        <v>182</v>
      </c>
      <c r="C185" s="2"/>
      <c r="D185" s="1"/>
      <c r="E185" s="3"/>
      <c r="F185" s="1"/>
      <c r="G185" s="141">
        <f>IF(Basic345678910111213[[#This Row],[نوع الخدمة]]="مخالفات", 50,
IF(Basic345678910111213[[#This Row],[نوع الخدمة]]="كاش ان",
    IF(F185&lt;=100, 18, IF(F185&lt;=250, 23, IF(F185&lt;=500, 35, IF(F185&lt;=1000, 40, F185*0.04)))),
IF(Basic345678910111213[[#This Row],[نوع الخدمة]]="كاش اوت",
    IF(F185&lt;=100, 15, IF(F185&lt;=250, 20, IF(F185&lt;=500, 30, IF(F185&lt;=1000, 35, F185*0.035)))),
0)))</f>
        <v>0</v>
      </c>
      <c r="H185" s="159">
        <f>IF(I185="مخالفات",50,Basic345678910111213[[#This Row],[قيمة الرسوم / العموله]]+Basic345678910111213[[#This Row],[قيمة الشحنه]])</f>
        <v>0</v>
      </c>
      <c r="I185" s="90"/>
      <c r="J185" s="142" t="str">
        <f t="shared" si="2"/>
        <v>20.5.2026</v>
      </c>
      <c r="L185" s="153">
        <v>174</v>
      </c>
      <c r="M185" s="92"/>
    </row>
    <row r="186" spans="1:13" ht="21.6" x14ac:dyDescent="0.65">
      <c r="A186" s="195"/>
      <c r="B186" s="140">
        <v>183</v>
      </c>
      <c r="C186" s="2"/>
      <c r="D186" s="1"/>
      <c r="E186" s="3"/>
      <c r="F186" s="1"/>
      <c r="G186" s="141">
        <f>IF(Basic345678910111213[[#This Row],[نوع الخدمة]]="مخالفات", 50,
IF(Basic345678910111213[[#This Row],[نوع الخدمة]]="كاش ان",
    IF(F186&lt;=100, 18, IF(F186&lt;=250, 23, IF(F186&lt;=500, 35, IF(F186&lt;=1000, 40, F186*0.04)))),
IF(Basic345678910111213[[#This Row],[نوع الخدمة]]="كاش اوت",
    IF(F186&lt;=100, 15, IF(F186&lt;=250, 20, IF(F186&lt;=500, 30, IF(F186&lt;=1000, 35, F186*0.035)))),
0)))</f>
        <v>0</v>
      </c>
      <c r="H186" s="159">
        <f>IF(I186="مخالفات",50,Basic345678910111213[[#This Row],[قيمة الرسوم / العموله]]+Basic345678910111213[[#This Row],[قيمة الشحنه]])</f>
        <v>0</v>
      </c>
      <c r="I186" s="90"/>
      <c r="J186" s="142" t="str">
        <f t="shared" si="2"/>
        <v>20.5.2026</v>
      </c>
      <c r="L186" s="153">
        <v>175</v>
      </c>
      <c r="M186" s="92"/>
    </row>
    <row r="187" spans="1:13" ht="21.6" x14ac:dyDescent="0.65">
      <c r="A187" s="195"/>
      <c r="B187" s="140">
        <v>184</v>
      </c>
      <c r="C187" s="2"/>
      <c r="D187" s="1"/>
      <c r="E187" s="3"/>
      <c r="F187" s="1"/>
      <c r="G187" s="141">
        <f>IF(Basic345678910111213[[#This Row],[نوع الخدمة]]="مخالفات", 50,
IF(Basic345678910111213[[#This Row],[نوع الخدمة]]="كاش ان",
    IF(F187&lt;=100, 18, IF(F187&lt;=250, 23, IF(F187&lt;=500, 35, IF(F187&lt;=1000, 40, F187*0.04)))),
IF(Basic345678910111213[[#This Row],[نوع الخدمة]]="كاش اوت",
    IF(F187&lt;=100, 15, IF(F187&lt;=250, 20, IF(F187&lt;=500, 30, IF(F187&lt;=1000, 35, F187*0.035)))),
0)))</f>
        <v>0</v>
      </c>
      <c r="H187" s="159">
        <f>IF(I187="مخالفات",50,Basic345678910111213[[#This Row],[قيمة الرسوم / العموله]]+Basic345678910111213[[#This Row],[قيمة الشحنه]])</f>
        <v>0</v>
      </c>
      <c r="I187" s="90"/>
      <c r="J187" s="142" t="str">
        <f t="shared" si="2"/>
        <v>20.5.2026</v>
      </c>
      <c r="L187" s="153">
        <v>176</v>
      </c>
      <c r="M187" s="92"/>
    </row>
    <row r="188" spans="1:13" ht="21.6" x14ac:dyDescent="0.65">
      <c r="A188" s="195"/>
      <c r="B188" s="140">
        <v>185</v>
      </c>
      <c r="C188" s="2"/>
      <c r="D188" s="1"/>
      <c r="E188" s="3"/>
      <c r="F188" s="1"/>
      <c r="G188" s="141">
        <f>IF(Basic345678910111213[[#This Row],[نوع الخدمة]]="مخالفات", 50,
IF(Basic345678910111213[[#This Row],[نوع الخدمة]]="كاش ان",
    IF(F188&lt;=100, 18, IF(F188&lt;=250, 23, IF(F188&lt;=500, 35, IF(F188&lt;=1000, 40, F188*0.04)))),
IF(Basic345678910111213[[#This Row],[نوع الخدمة]]="كاش اوت",
    IF(F188&lt;=100, 15, IF(F188&lt;=250, 20, IF(F188&lt;=500, 30, IF(F188&lt;=1000, 35, F188*0.035)))),
0)))</f>
        <v>0</v>
      </c>
      <c r="H188" s="159">
        <f>IF(I188="مخالفات",50,Basic345678910111213[[#This Row],[قيمة الرسوم / العموله]]+Basic345678910111213[[#This Row],[قيمة الشحنه]])</f>
        <v>0</v>
      </c>
      <c r="I188" s="90"/>
      <c r="J188" s="142" t="str">
        <f t="shared" si="2"/>
        <v>20.5.2026</v>
      </c>
      <c r="L188" s="153">
        <v>177</v>
      </c>
      <c r="M188" s="92"/>
    </row>
    <row r="189" spans="1:13" ht="21.6" x14ac:dyDescent="0.65">
      <c r="A189" s="195"/>
      <c r="B189" s="144">
        <v>186</v>
      </c>
      <c r="C189" s="2"/>
      <c r="D189" s="1"/>
      <c r="E189" s="3"/>
      <c r="F189" s="1"/>
      <c r="G189" s="141">
        <f>IF(Basic345678910111213[[#This Row],[نوع الخدمة]]="مخالفات", 50,
IF(Basic345678910111213[[#This Row],[نوع الخدمة]]="كاش ان",
    IF(F189&lt;=100, 18, IF(F189&lt;=250, 23, IF(F189&lt;=500, 35, IF(F189&lt;=1000, 40, F189*0.04)))),
IF(Basic345678910111213[[#This Row],[نوع الخدمة]]="كاش اوت",
    IF(F189&lt;=100, 15, IF(F189&lt;=250, 20, IF(F189&lt;=500, 30, IF(F189&lt;=1000, 35, F189*0.035)))),
0)))</f>
        <v>0</v>
      </c>
      <c r="H189" s="159">
        <f>IF(I189="مخالفات",50,Basic345678910111213[[#This Row],[قيمة الرسوم / العموله]]+Basic345678910111213[[#This Row],[قيمة الشحنه]])</f>
        <v>0</v>
      </c>
      <c r="I189" s="90"/>
      <c r="J189" s="142" t="str">
        <f t="shared" si="2"/>
        <v>20.5.2026</v>
      </c>
      <c r="L189" s="153">
        <v>178</v>
      </c>
      <c r="M189" s="92"/>
    </row>
    <row r="190" spans="1:13" ht="21.6" x14ac:dyDescent="0.65">
      <c r="A190" s="195"/>
      <c r="B190" s="140">
        <v>187</v>
      </c>
      <c r="C190" s="2"/>
      <c r="D190" s="1"/>
      <c r="E190" s="3"/>
      <c r="F190" s="1"/>
      <c r="G190" s="141">
        <f>IF(Basic345678910111213[[#This Row],[نوع الخدمة]]="مخالفات", 50,
IF(Basic345678910111213[[#This Row],[نوع الخدمة]]="كاش ان",
    IF(F190&lt;=100, 18, IF(F190&lt;=250, 23, IF(F190&lt;=500, 35, IF(F190&lt;=1000, 40, F190*0.04)))),
IF(Basic345678910111213[[#This Row],[نوع الخدمة]]="كاش اوت",
    IF(F190&lt;=100, 15, IF(F190&lt;=250, 20, IF(F190&lt;=500, 30, IF(F190&lt;=1000, 35, F190*0.035)))),
0)))</f>
        <v>0</v>
      </c>
      <c r="H190" s="159">
        <f>IF(I190="مخالفات",50,Basic345678910111213[[#This Row],[قيمة الرسوم / العموله]]+Basic345678910111213[[#This Row],[قيمة الشحنه]])</f>
        <v>0</v>
      </c>
      <c r="I190" s="90"/>
      <c r="J190" s="142" t="str">
        <f t="shared" si="2"/>
        <v>20.5.2026</v>
      </c>
      <c r="L190" s="153">
        <v>179</v>
      </c>
      <c r="M190" s="92"/>
    </row>
    <row r="191" spans="1:13" ht="21.6" x14ac:dyDescent="0.65">
      <c r="A191" s="195"/>
      <c r="B191" s="140">
        <v>188</v>
      </c>
      <c r="C191" s="2"/>
      <c r="D191" s="1"/>
      <c r="E191" s="3"/>
      <c r="F191" s="1"/>
      <c r="G191" s="141">
        <f>IF(Basic345678910111213[[#This Row],[نوع الخدمة]]="مخالفات", 50,
IF(Basic345678910111213[[#This Row],[نوع الخدمة]]="كاش ان",
    IF(F191&lt;=100, 18, IF(F191&lt;=250, 23, IF(F191&lt;=500, 35, IF(F191&lt;=1000, 40, F191*0.04)))),
IF(Basic345678910111213[[#This Row],[نوع الخدمة]]="كاش اوت",
    IF(F191&lt;=100, 15, IF(F191&lt;=250, 20, IF(F191&lt;=500, 30, IF(F191&lt;=1000, 35, F191*0.035)))),
0)))</f>
        <v>0</v>
      </c>
      <c r="H191" s="159">
        <f>IF(I191="مخالفات",50,Basic345678910111213[[#This Row],[قيمة الرسوم / العموله]]+Basic345678910111213[[#This Row],[قيمة الشحنه]])</f>
        <v>0</v>
      </c>
      <c r="I191" s="90"/>
      <c r="J191" s="142" t="str">
        <f t="shared" si="2"/>
        <v>20.5.2026</v>
      </c>
      <c r="L191" s="153">
        <v>180</v>
      </c>
      <c r="M191" s="92"/>
    </row>
    <row r="192" spans="1:13" ht="21.6" x14ac:dyDescent="0.65">
      <c r="A192" s="195"/>
      <c r="B192" s="140">
        <v>189</v>
      </c>
      <c r="C192" s="2"/>
      <c r="D192" s="1"/>
      <c r="E192" s="3"/>
      <c r="F192" s="1"/>
      <c r="G192" s="141">
        <f>IF(Basic345678910111213[[#This Row],[نوع الخدمة]]="مخالفات", 50,
IF(Basic345678910111213[[#This Row],[نوع الخدمة]]="كاش ان",
    IF(F192&lt;=100, 18, IF(F192&lt;=250, 23, IF(F192&lt;=500, 35, IF(F192&lt;=1000, 40, F192*0.04)))),
IF(Basic345678910111213[[#This Row],[نوع الخدمة]]="كاش اوت",
    IF(F192&lt;=100, 15, IF(F192&lt;=250, 20, IF(F192&lt;=500, 30, IF(F192&lt;=1000, 35, F192*0.035)))),
0)))</f>
        <v>0</v>
      </c>
      <c r="H192" s="159">
        <f>IF(I192="مخالفات",50,Basic345678910111213[[#This Row],[قيمة الرسوم / العموله]]+Basic345678910111213[[#This Row],[قيمة الشحنه]])</f>
        <v>0</v>
      </c>
      <c r="I192" s="90"/>
      <c r="J192" s="142" t="str">
        <f t="shared" si="2"/>
        <v>20.5.2026</v>
      </c>
      <c r="L192" s="153">
        <v>181</v>
      </c>
      <c r="M192" s="92"/>
    </row>
    <row r="193" spans="1:13" ht="21.6" x14ac:dyDescent="0.65">
      <c r="A193" s="195"/>
      <c r="B193" s="144">
        <v>190</v>
      </c>
      <c r="C193" s="2"/>
      <c r="D193" s="1"/>
      <c r="E193" s="3"/>
      <c r="F193" s="1"/>
      <c r="G193" s="141">
        <f>IF(Basic345678910111213[[#This Row],[نوع الخدمة]]="مخالفات", 50,
IF(Basic345678910111213[[#This Row],[نوع الخدمة]]="كاش ان",
    IF(F193&lt;=100, 18, IF(F193&lt;=250, 23, IF(F193&lt;=500, 35, IF(F193&lt;=1000, 40, F193*0.04)))),
IF(Basic345678910111213[[#This Row],[نوع الخدمة]]="كاش اوت",
    IF(F193&lt;=100, 15, IF(F193&lt;=250, 20, IF(F193&lt;=500, 30, IF(F193&lt;=1000, 35, F193*0.035)))),
0)))</f>
        <v>0</v>
      </c>
      <c r="H193" s="159">
        <f>IF(I193="مخالفات",50,Basic345678910111213[[#This Row],[قيمة الرسوم / العموله]]+Basic345678910111213[[#This Row],[قيمة الشحنه]])</f>
        <v>0</v>
      </c>
      <c r="I193" s="90"/>
      <c r="J193" s="142" t="str">
        <f t="shared" si="2"/>
        <v>20.5.2026</v>
      </c>
      <c r="L193" s="153">
        <v>182</v>
      </c>
      <c r="M193" s="92"/>
    </row>
    <row r="194" spans="1:13" ht="21.6" x14ac:dyDescent="0.65">
      <c r="A194" s="195"/>
      <c r="B194" s="140">
        <v>191</v>
      </c>
      <c r="C194" s="2"/>
      <c r="D194" s="1"/>
      <c r="E194" s="3"/>
      <c r="F194" s="1"/>
      <c r="G194" s="141">
        <f>IF(Basic345678910111213[[#This Row],[نوع الخدمة]]="مخالفات", 50,
IF(Basic345678910111213[[#This Row],[نوع الخدمة]]="كاش ان",
    IF(F194&lt;=100, 18, IF(F194&lt;=250, 23, IF(F194&lt;=500, 35, IF(F194&lt;=1000, 40, F194*0.04)))),
IF(Basic345678910111213[[#This Row],[نوع الخدمة]]="كاش اوت",
    IF(F194&lt;=100, 15, IF(F194&lt;=250, 20, IF(F194&lt;=500, 30, IF(F194&lt;=1000, 35, F194*0.035)))),
0)))</f>
        <v>0</v>
      </c>
      <c r="H194" s="159">
        <f>IF(I194="مخالفات",50,Basic345678910111213[[#This Row],[قيمة الرسوم / العموله]]+Basic345678910111213[[#This Row],[قيمة الشحنه]])</f>
        <v>0</v>
      </c>
      <c r="I194" s="90"/>
      <c r="J194" s="142" t="str">
        <f t="shared" si="2"/>
        <v>20.5.2026</v>
      </c>
      <c r="L194" s="153">
        <v>183</v>
      </c>
      <c r="M194" s="92"/>
    </row>
    <row r="195" spans="1:13" ht="21.6" x14ac:dyDescent="0.65">
      <c r="A195" s="195"/>
      <c r="B195" s="140">
        <v>192</v>
      </c>
      <c r="C195" s="2"/>
      <c r="D195" s="1"/>
      <c r="E195" s="3"/>
      <c r="F195" s="1"/>
      <c r="G195" s="141">
        <f>IF(Basic345678910111213[[#This Row],[نوع الخدمة]]="مخالفات", 50,
IF(Basic345678910111213[[#This Row],[نوع الخدمة]]="كاش ان",
    IF(F195&lt;=100, 18, IF(F195&lt;=250, 23, IF(F195&lt;=500, 35, IF(F195&lt;=1000, 40, F195*0.04)))),
IF(Basic345678910111213[[#This Row],[نوع الخدمة]]="كاش اوت",
    IF(F195&lt;=100, 15, IF(F195&lt;=250, 20, IF(F195&lt;=500, 30, IF(F195&lt;=1000, 35, F195*0.035)))),
0)))</f>
        <v>0</v>
      </c>
      <c r="H195" s="159">
        <f>IF(I195="مخالفات",50,Basic345678910111213[[#This Row],[قيمة الرسوم / العموله]]+Basic345678910111213[[#This Row],[قيمة الشحنه]])</f>
        <v>0</v>
      </c>
      <c r="I195" s="90"/>
      <c r="J195" s="142" t="str">
        <f t="shared" si="2"/>
        <v>20.5.2026</v>
      </c>
      <c r="L195" s="153">
        <v>184</v>
      </c>
      <c r="M195" s="92"/>
    </row>
    <row r="196" spans="1:13" ht="21.6" x14ac:dyDescent="0.65">
      <c r="A196" s="195"/>
      <c r="B196" s="140">
        <v>193</v>
      </c>
      <c r="C196" s="2"/>
      <c r="D196" s="1"/>
      <c r="E196" s="3"/>
      <c r="F196" s="1"/>
      <c r="G196" s="141">
        <f>IF(Basic345678910111213[[#This Row],[نوع الخدمة]]="مخالفات", 50,
IF(Basic345678910111213[[#This Row],[نوع الخدمة]]="كاش ان",
    IF(F196&lt;=100, 18, IF(F196&lt;=250, 23, IF(F196&lt;=500, 35, IF(F196&lt;=1000, 40, F196*0.04)))),
IF(Basic345678910111213[[#This Row],[نوع الخدمة]]="كاش اوت",
    IF(F196&lt;=100, 15, IF(F196&lt;=250, 20, IF(F196&lt;=500, 30, IF(F196&lt;=1000, 35, F196*0.035)))),
0)))</f>
        <v>0</v>
      </c>
      <c r="H196" s="159">
        <f>IF(I196="مخالفات",50,Basic345678910111213[[#This Row],[قيمة الرسوم / العموله]]+Basic345678910111213[[#This Row],[قيمة الشحنه]])</f>
        <v>0</v>
      </c>
      <c r="I196" s="90"/>
      <c r="J196" s="142" t="str">
        <f t="shared" ref="J196:J226" si="3">M$3</f>
        <v>20.5.2026</v>
      </c>
      <c r="L196" s="153">
        <v>185</v>
      </c>
      <c r="M196" s="92"/>
    </row>
    <row r="197" spans="1:13" ht="21.6" x14ac:dyDescent="0.65">
      <c r="A197" s="195"/>
      <c r="B197" s="144">
        <v>194</v>
      </c>
      <c r="C197" s="2"/>
      <c r="D197" s="1"/>
      <c r="E197" s="3"/>
      <c r="F197" s="1"/>
      <c r="G197" s="141">
        <f>IF(Basic345678910111213[[#This Row],[نوع الخدمة]]="مخالفات", 50,
IF(Basic345678910111213[[#This Row],[نوع الخدمة]]="كاش ان",
    IF(F197&lt;=100, 18, IF(F197&lt;=250, 23, IF(F197&lt;=500, 35, IF(F197&lt;=1000, 40, F197*0.04)))),
IF(Basic345678910111213[[#This Row],[نوع الخدمة]]="كاش اوت",
    IF(F197&lt;=100, 15, IF(F197&lt;=250, 20, IF(F197&lt;=500, 30, IF(F197&lt;=1000, 35, F197*0.035)))),
0)))</f>
        <v>0</v>
      </c>
      <c r="H197" s="159">
        <f>IF(I197="مخالفات",50,Basic345678910111213[[#This Row],[قيمة الرسوم / العموله]]+Basic345678910111213[[#This Row],[قيمة الشحنه]])</f>
        <v>0</v>
      </c>
      <c r="I197" s="90"/>
      <c r="J197" s="142" t="str">
        <f t="shared" si="3"/>
        <v>20.5.2026</v>
      </c>
      <c r="L197" s="153">
        <v>186</v>
      </c>
      <c r="M197" s="92"/>
    </row>
    <row r="198" spans="1:13" ht="21.6" x14ac:dyDescent="0.65">
      <c r="A198" s="195"/>
      <c r="B198" s="140">
        <v>195</v>
      </c>
      <c r="C198" s="2"/>
      <c r="D198" s="1"/>
      <c r="E198" s="3"/>
      <c r="F198" s="1"/>
      <c r="G198" s="141">
        <f>IF(Basic345678910111213[[#This Row],[نوع الخدمة]]="مخالفات", 50,
IF(Basic345678910111213[[#This Row],[نوع الخدمة]]="كاش ان",
    IF(F198&lt;=100, 18, IF(F198&lt;=250, 23, IF(F198&lt;=500, 35, IF(F198&lt;=1000, 40, F198*0.04)))),
IF(Basic345678910111213[[#This Row],[نوع الخدمة]]="كاش اوت",
    IF(F198&lt;=100, 15, IF(F198&lt;=250, 20, IF(F198&lt;=500, 30, IF(F198&lt;=1000, 35, F198*0.035)))),
0)))</f>
        <v>0</v>
      </c>
      <c r="H198" s="159">
        <f>IF(I198="مخالفات",50,Basic345678910111213[[#This Row],[قيمة الرسوم / العموله]]+Basic345678910111213[[#This Row],[قيمة الشحنه]])</f>
        <v>0</v>
      </c>
      <c r="I198" s="90"/>
      <c r="J198" s="142" t="str">
        <f t="shared" si="3"/>
        <v>20.5.2026</v>
      </c>
      <c r="L198" s="153">
        <v>187</v>
      </c>
      <c r="M198" s="92"/>
    </row>
    <row r="199" spans="1:13" ht="21.6" x14ac:dyDescent="0.65">
      <c r="A199" s="195"/>
      <c r="B199" s="140">
        <v>196</v>
      </c>
      <c r="C199" s="2"/>
      <c r="D199" s="1"/>
      <c r="E199" s="3"/>
      <c r="F199" s="1"/>
      <c r="G199" s="141">
        <f>IF(Basic345678910111213[[#This Row],[نوع الخدمة]]="مخالفات", 50,
IF(Basic345678910111213[[#This Row],[نوع الخدمة]]="كاش ان",
    IF(F199&lt;=100, 18, IF(F199&lt;=250, 23, IF(F199&lt;=500, 35, IF(F199&lt;=1000, 40, F199*0.04)))),
IF(Basic345678910111213[[#This Row],[نوع الخدمة]]="كاش اوت",
    IF(F199&lt;=100, 15, IF(F199&lt;=250, 20, IF(F199&lt;=500, 30, IF(F199&lt;=1000, 35, F199*0.035)))),
0)))</f>
        <v>0</v>
      </c>
      <c r="H199" s="159">
        <f>IF(I199="مخالفات",50,Basic345678910111213[[#This Row],[قيمة الرسوم / العموله]]+Basic345678910111213[[#This Row],[قيمة الشحنه]])</f>
        <v>0</v>
      </c>
      <c r="I199" s="90"/>
      <c r="J199" s="142" t="str">
        <f t="shared" si="3"/>
        <v>20.5.2026</v>
      </c>
      <c r="L199" s="153">
        <v>188</v>
      </c>
      <c r="M199" s="92"/>
    </row>
    <row r="200" spans="1:13" ht="21.6" x14ac:dyDescent="0.65">
      <c r="A200" s="195"/>
      <c r="B200" s="140">
        <v>197</v>
      </c>
      <c r="C200" s="2"/>
      <c r="D200" s="1"/>
      <c r="E200" s="3"/>
      <c r="F200" s="1"/>
      <c r="G200" s="141">
        <f>IF(Basic345678910111213[[#This Row],[نوع الخدمة]]="مخالفات", 50,
IF(Basic345678910111213[[#This Row],[نوع الخدمة]]="كاش ان",
    IF(F200&lt;=100, 18, IF(F200&lt;=250, 23, IF(F200&lt;=500, 35, IF(F200&lt;=1000, 40, F200*0.04)))),
IF(Basic345678910111213[[#This Row],[نوع الخدمة]]="كاش اوت",
    IF(F200&lt;=100, 15, IF(F200&lt;=250, 20, IF(F200&lt;=500, 30, IF(F200&lt;=1000, 35, F200*0.035)))),
0)))</f>
        <v>0</v>
      </c>
      <c r="H200" s="159">
        <f>IF(I200="مخالفات",50,Basic345678910111213[[#This Row],[قيمة الرسوم / العموله]]+Basic345678910111213[[#This Row],[قيمة الشحنه]])</f>
        <v>0</v>
      </c>
      <c r="I200" s="90"/>
      <c r="J200" s="142" t="str">
        <f t="shared" si="3"/>
        <v>20.5.2026</v>
      </c>
      <c r="L200" s="153">
        <v>189</v>
      </c>
      <c r="M200" s="92"/>
    </row>
    <row r="201" spans="1:13" ht="21.6" x14ac:dyDescent="0.65">
      <c r="A201" s="195"/>
      <c r="B201" s="144">
        <v>198</v>
      </c>
      <c r="C201" s="2"/>
      <c r="D201" s="1"/>
      <c r="E201" s="3"/>
      <c r="F201" s="1"/>
      <c r="G201" s="141">
        <f>IF(Basic345678910111213[[#This Row],[نوع الخدمة]]="مخالفات", 50,
IF(Basic345678910111213[[#This Row],[نوع الخدمة]]="كاش ان",
    IF(F201&lt;=100, 18, IF(F201&lt;=250, 23, IF(F201&lt;=500, 35, IF(F201&lt;=1000, 40, F201*0.04)))),
IF(Basic345678910111213[[#This Row],[نوع الخدمة]]="كاش اوت",
    IF(F201&lt;=100, 15, IF(F201&lt;=250, 20, IF(F201&lt;=500, 30, IF(F201&lt;=1000, 35, F201*0.035)))),
0)))</f>
        <v>0</v>
      </c>
      <c r="H201" s="159">
        <f>IF(I201="مخالفات",50,Basic345678910111213[[#This Row],[قيمة الرسوم / العموله]]+Basic345678910111213[[#This Row],[قيمة الشحنه]])</f>
        <v>0</v>
      </c>
      <c r="I201" s="90"/>
      <c r="J201" s="142" t="str">
        <f t="shared" si="3"/>
        <v>20.5.2026</v>
      </c>
      <c r="L201" s="153">
        <v>190</v>
      </c>
      <c r="M201" s="92"/>
    </row>
    <row r="202" spans="1:13" ht="21.6" x14ac:dyDescent="0.65">
      <c r="A202" s="195"/>
      <c r="B202" s="140">
        <v>199</v>
      </c>
      <c r="C202" s="2"/>
      <c r="D202" s="1"/>
      <c r="E202" s="3"/>
      <c r="F202" s="1"/>
      <c r="G202" s="141">
        <f>IF(Basic345678910111213[[#This Row],[نوع الخدمة]]="مخالفات", 50,
IF(Basic345678910111213[[#This Row],[نوع الخدمة]]="كاش ان",
    IF(F202&lt;=100, 18, IF(F202&lt;=250, 23, IF(F202&lt;=500, 35, IF(F202&lt;=1000, 40, F202*0.04)))),
IF(Basic345678910111213[[#This Row],[نوع الخدمة]]="كاش اوت",
    IF(F202&lt;=100, 15, IF(F202&lt;=250, 20, IF(F202&lt;=500, 30, IF(F202&lt;=1000, 35, F202*0.035)))),
0)))</f>
        <v>0</v>
      </c>
      <c r="H202" s="159">
        <f>IF(I202="مخالفات",50,Basic345678910111213[[#This Row],[قيمة الرسوم / العموله]]+Basic345678910111213[[#This Row],[قيمة الشحنه]])</f>
        <v>0</v>
      </c>
      <c r="I202" s="90"/>
      <c r="J202" s="142" t="str">
        <f t="shared" si="3"/>
        <v>20.5.2026</v>
      </c>
      <c r="L202" s="153">
        <v>191</v>
      </c>
      <c r="M202" s="92"/>
    </row>
    <row r="203" spans="1:13" ht="21.6" x14ac:dyDescent="0.65">
      <c r="A203" s="195"/>
      <c r="B203" s="140">
        <v>200</v>
      </c>
      <c r="C203" s="2"/>
      <c r="D203" s="1"/>
      <c r="E203" s="3"/>
      <c r="F203" s="1"/>
      <c r="G203" s="141">
        <f>IF(Basic345678910111213[[#This Row],[نوع الخدمة]]="مخالفات", 50,
IF(Basic345678910111213[[#This Row],[نوع الخدمة]]="كاش ان",
    IF(F203&lt;=100, 18, IF(F203&lt;=250, 23, IF(F203&lt;=500, 35, IF(F203&lt;=1000, 40, F203*0.04)))),
IF(Basic345678910111213[[#This Row],[نوع الخدمة]]="كاش اوت",
    IF(F203&lt;=100, 15, IF(F203&lt;=250, 20, IF(F203&lt;=500, 30, IF(F203&lt;=1000, 35, F203*0.035)))),
0)))</f>
        <v>0</v>
      </c>
      <c r="H203" s="159">
        <f>IF(I203="مخالفات",50,Basic345678910111213[[#This Row],[قيمة الرسوم / العموله]]+Basic345678910111213[[#This Row],[قيمة الشحنه]])</f>
        <v>0</v>
      </c>
      <c r="I203" s="90"/>
      <c r="J203" s="142" t="str">
        <f t="shared" si="3"/>
        <v>20.5.2026</v>
      </c>
      <c r="L203" s="153">
        <v>192</v>
      </c>
      <c r="M203" s="92"/>
    </row>
    <row r="204" spans="1:13" ht="21.6" x14ac:dyDescent="0.65">
      <c r="A204" s="195"/>
      <c r="B204" s="140">
        <v>201</v>
      </c>
      <c r="C204" s="2"/>
      <c r="D204" s="1"/>
      <c r="E204" s="3"/>
      <c r="F204" s="1"/>
      <c r="G204" s="141">
        <f>IF(Basic345678910111213[[#This Row],[نوع الخدمة]]="مخالفات", 50,
IF(Basic345678910111213[[#This Row],[نوع الخدمة]]="كاش ان",
    IF(F204&lt;=100, 18, IF(F204&lt;=250, 23, IF(F204&lt;=500, 35, IF(F204&lt;=1000, 40, F204*0.04)))),
IF(Basic345678910111213[[#This Row],[نوع الخدمة]]="كاش اوت",
    IF(F204&lt;=100, 15, IF(F204&lt;=250, 20, IF(F204&lt;=500, 30, IF(F204&lt;=1000, 35, F204*0.035)))),
0)))</f>
        <v>0</v>
      </c>
      <c r="H204" s="159">
        <f>IF(I204="مخالفات",50,Basic345678910111213[[#This Row],[قيمة الرسوم / العموله]]+Basic345678910111213[[#This Row],[قيمة الشحنه]])</f>
        <v>0</v>
      </c>
      <c r="I204" s="90"/>
      <c r="J204" s="142" t="str">
        <f t="shared" si="3"/>
        <v>20.5.2026</v>
      </c>
      <c r="L204" s="153">
        <v>193</v>
      </c>
      <c r="M204" s="92"/>
    </row>
    <row r="205" spans="1:13" ht="21.6" x14ac:dyDescent="0.65">
      <c r="A205" s="195"/>
      <c r="B205" s="144">
        <v>202</v>
      </c>
      <c r="C205" s="2"/>
      <c r="D205" s="1"/>
      <c r="E205" s="3"/>
      <c r="F205" s="1"/>
      <c r="G205" s="141">
        <f>IF(Basic345678910111213[[#This Row],[نوع الخدمة]]="مخالفات", 50,
IF(Basic345678910111213[[#This Row],[نوع الخدمة]]="كاش ان",
    IF(F205&lt;=100, 18, IF(F205&lt;=250, 23, IF(F205&lt;=500, 35, IF(F205&lt;=1000, 40, F205*0.04)))),
IF(Basic345678910111213[[#This Row],[نوع الخدمة]]="كاش اوت",
    IF(F205&lt;=100, 15, IF(F205&lt;=250, 20, IF(F205&lt;=500, 30, IF(F205&lt;=1000, 35, F205*0.035)))),
0)))</f>
        <v>0</v>
      </c>
      <c r="H205" s="159">
        <f>IF(I205="مخالفات",50,Basic345678910111213[[#This Row],[قيمة الرسوم / العموله]]+Basic345678910111213[[#This Row],[قيمة الشحنه]])</f>
        <v>0</v>
      </c>
      <c r="I205" s="90"/>
      <c r="J205" s="142" t="str">
        <f t="shared" si="3"/>
        <v>20.5.2026</v>
      </c>
      <c r="L205" s="153">
        <v>194</v>
      </c>
      <c r="M205" s="92"/>
    </row>
    <row r="206" spans="1:13" ht="21.6" x14ac:dyDescent="0.65">
      <c r="A206" s="195"/>
      <c r="B206" s="140">
        <v>203</v>
      </c>
      <c r="C206" s="2"/>
      <c r="D206" s="1"/>
      <c r="E206" s="3"/>
      <c r="F206" s="1"/>
      <c r="G206" s="141">
        <f>IF(Basic345678910111213[[#This Row],[نوع الخدمة]]="مخالفات", 50,
IF(Basic345678910111213[[#This Row],[نوع الخدمة]]="كاش ان",
    IF(F206&lt;=100, 18, IF(F206&lt;=250, 23, IF(F206&lt;=500, 35, IF(F206&lt;=1000, 40, F206*0.04)))),
IF(Basic345678910111213[[#This Row],[نوع الخدمة]]="كاش اوت",
    IF(F206&lt;=100, 15, IF(F206&lt;=250, 20, IF(F206&lt;=500, 30, IF(F206&lt;=1000, 35, F206*0.035)))),
0)))</f>
        <v>0</v>
      </c>
      <c r="H206" s="159">
        <f>IF(I206="مخالفات",50,Basic345678910111213[[#This Row],[قيمة الرسوم / العموله]]+Basic345678910111213[[#This Row],[قيمة الشحنه]])</f>
        <v>0</v>
      </c>
      <c r="I206" s="90"/>
      <c r="J206" s="142" t="str">
        <f t="shared" si="3"/>
        <v>20.5.2026</v>
      </c>
      <c r="L206" s="153">
        <v>195</v>
      </c>
      <c r="M206" s="92"/>
    </row>
    <row r="207" spans="1:13" ht="21.6" x14ac:dyDescent="0.65">
      <c r="A207" s="195"/>
      <c r="B207" s="140">
        <v>204</v>
      </c>
      <c r="C207" s="2"/>
      <c r="D207" s="1"/>
      <c r="E207" s="3"/>
      <c r="F207" s="1"/>
      <c r="G207" s="141">
        <f>IF(Basic345678910111213[[#This Row],[نوع الخدمة]]="مخالفات", 50,
IF(Basic345678910111213[[#This Row],[نوع الخدمة]]="كاش ان",
    IF(F207&lt;=100, 18, IF(F207&lt;=250, 23, IF(F207&lt;=500, 35, IF(F207&lt;=1000, 40, F207*0.04)))),
IF(Basic345678910111213[[#This Row],[نوع الخدمة]]="كاش اوت",
    IF(F207&lt;=100, 15, IF(F207&lt;=250, 20, IF(F207&lt;=500, 30, IF(F207&lt;=1000, 35, F207*0.035)))),
0)))</f>
        <v>0</v>
      </c>
      <c r="H207" s="159">
        <f>IF(I207="مخالفات",50,Basic345678910111213[[#This Row],[قيمة الرسوم / العموله]]+Basic345678910111213[[#This Row],[قيمة الشحنه]])</f>
        <v>0</v>
      </c>
      <c r="I207" s="90"/>
      <c r="J207" s="142" t="str">
        <f t="shared" si="3"/>
        <v>20.5.2026</v>
      </c>
      <c r="L207" s="153">
        <v>196</v>
      </c>
      <c r="M207" s="92"/>
    </row>
    <row r="208" spans="1:13" ht="21.6" x14ac:dyDescent="0.65">
      <c r="A208" s="195"/>
      <c r="B208" s="140">
        <v>205</v>
      </c>
      <c r="C208" s="2"/>
      <c r="D208" s="1"/>
      <c r="E208" s="3"/>
      <c r="F208" s="1"/>
      <c r="G208" s="141">
        <f>IF(Basic345678910111213[[#This Row],[نوع الخدمة]]="مخالفات", 50,
IF(Basic345678910111213[[#This Row],[نوع الخدمة]]="كاش ان",
    IF(F208&lt;=100, 18, IF(F208&lt;=250, 23, IF(F208&lt;=500, 35, IF(F208&lt;=1000, 40, F208*0.04)))),
IF(Basic345678910111213[[#This Row],[نوع الخدمة]]="كاش اوت",
    IF(F208&lt;=100, 15, IF(F208&lt;=250, 20, IF(F208&lt;=500, 30, IF(F208&lt;=1000, 35, F208*0.035)))),
0)))</f>
        <v>0</v>
      </c>
      <c r="H208" s="159">
        <f>IF(I208="مخالفات",50,Basic345678910111213[[#This Row],[قيمة الرسوم / العموله]]+Basic345678910111213[[#This Row],[قيمة الشحنه]])</f>
        <v>0</v>
      </c>
      <c r="I208" s="90"/>
      <c r="J208" s="142" t="str">
        <f t="shared" si="3"/>
        <v>20.5.2026</v>
      </c>
      <c r="L208" s="153">
        <v>197</v>
      </c>
      <c r="M208" s="92"/>
    </row>
    <row r="209" spans="1:13" ht="21.6" x14ac:dyDescent="0.65">
      <c r="A209" s="195"/>
      <c r="B209" s="144">
        <v>206</v>
      </c>
      <c r="C209" s="2"/>
      <c r="D209" s="1"/>
      <c r="E209" s="3"/>
      <c r="F209" s="1"/>
      <c r="G209" s="141">
        <f>IF(Basic345678910111213[[#This Row],[نوع الخدمة]]="مخالفات", 50,
IF(Basic345678910111213[[#This Row],[نوع الخدمة]]="كاش ان",
    IF(F209&lt;=100, 18, IF(F209&lt;=250, 23, IF(F209&lt;=500, 35, IF(F209&lt;=1000, 40, F209*0.04)))),
IF(Basic345678910111213[[#This Row],[نوع الخدمة]]="كاش اوت",
    IF(F209&lt;=100, 15, IF(F209&lt;=250, 20, IF(F209&lt;=500, 30, IF(F209&lt;=1000, 35, F209*0.035)))),
0)))</f>
        <v>0</v>
      </c>
      <c r="H209" s="159">
        <f>IF(I209="مخالفات",50,Basic345678910111213[[#This Row],[قيمة الرسوم / العموله]]+Basic345678910111213[[#This Row],[قيمة الشحنه]])</f>
        <v>0</v>
      </c>
      <c r="I209" s="90"/>
      <c r="J209" s="142" t="str">
        <f t="shared" si="3"/>
        <v>20.5.2026</v>
      </c>
      <c r="L209" s="153">
        <v>198</v>
      </c>
      <c r="M209" s="92"/>
    </row>
    <row r="210" spans="1:13" ht="21.6" x14ac:dyDescent="0.65">
      <c r="A210" s="195"/>
      <c r="B210" s="140">
        <v>207</v>
      </c>
      <c r="C210" s="2"/>
      <c r="D210" s="1"/>
      <c r="E210" s="3"/>
      <c r="F210" s="1"/>
      <c r="G210" s="141">
        <f>IF(Basic345678910111213[[#This Row],[نوع الخدمة]]="مخالفات", 50,
IF(Basic345678910111213[[#This Row],[نوع الخدمة]]="كاش ان",
    IF(F210&lt;=100, 18, IF(F210&lt;=250, 23, IF(F210&lt;=500, 35, IF(F210&lt;=1000, 40, F210*0.04)))),
IF(Basic345678910111213[[#This Row],[نوع الخدمة]]="كاش اوت",
    IF(F210&lt;=100, 15, IF(F210&lt;=250, 20, IF(F210&lt;=500, 30, IF(F210&lt;=1000, 35, F210*0.035)))),
0)))</f>
        <v>0</v>
      </c>
      <c r="H210" s="159">
        <f>IF(I210="مخالفات",50,Basic345678910111213[[#This Row],[قيمة الرسوم / العموله]]+Basic345678910111213[[#This Row],[قيمة الشحنه]])</f>
        <v>0</v>
      </c>
      <c r="I210" s="90"/>
      <c r="J210" s="142" t="str">
        <f t="shared" si="3"/>
        <v>20.5.2026</v>
      </c>
      <c r="L210" s="153">
        <v>199</v>
      </c>
      <c r="M210" s="92"/>
    </row>
    <row r="211" spans="1:13" ht="21.6" x14ac:dyDescent="0.65">
      <c r="A211" s="195"/>
      <c r="B211" s="140">
        <v>208</v>
      </c>
      <c r="C211" s="2"/>
      <c r="D211" s="1"/>
      <c r="E211" s="3"/>
      <c r="F211" s="1"/>
      <c r="G211" s="141">
        <f>IF(Basic345678910111213[[#This Row],[نوع الخدمة]]="مخالفات", 50,
IF(Basic345678910111213[[#This Row],[نوع الخدمة]]="كاش ان",
    IF(F211&lt;=100, 18, IF(F211&lt;=250, 23, IF(F211&lt;=500, 35, IF(F211&lt;=1000, 40, F211*0.04)))),
IF(Basic345678910111213[[#This Row],[نوع الخدمة]]="كاش اوت",
    IF(F211&lt;=100, 15, IF(F211&lt;=250, 20, IF(F211&lt;=500, 30, IF(F211&lt;=1000, 35, F211*0.035)))),
0)))</f>
        <v>0</v>
      </c>
      <c r="H211" s="159">
        <f>IF(I211="مخالفات",50,Basic345678910111213[[#This Row],[قيمة الرسوم / العموله]]+Basic345678910111213[[#This Row],[قيمة الشحنه]])</f>
        <v>0</v>
      </c>
      <c r="I211" s="90"/>
      <c r="J211" s="142" t="str">
        <f t="shared" si="3"/>
        <v>20.5.2026</v>
      </c>
      <c r="L211" s="153">
        <v>200</v>
      </c>
      <c r="M211" s="92"/>
    </row>
    <row r="212" spans="1:13" ht="21.6" x14ac:dyDescent="0.65">
      <c r="A212" s="195"/>
      <c r="B212" s="140">
        <v>209</v>
      </c>
      <c r="C212" s="2"/>
      <c r="D212" s="1"/>
      <c r="E212" s="3"/>
      <c r="F212" s="1"/>
      <c r="G212" s="141">
        <f>IF(Basic345678910111213[[#This Row],[نوع الخدمة]]="مخالفات", 50,
IF(Basic345678910111213[[#This Row],[نوع الخدمة]]="كاش ان",
    IF(F212&lt;=100, 18, IF(F212&lt;=250, 23, IF(F212&lt;=500, 35, IF(F212&lt;=1000, 40, F212*0.04)))),
IF(Basic345678910111213[[#This Row],[نوع الخدمة]]="كاش اوت",
    IF(F212&lt;=100, 15, IF(F212&lt;=250, 20, IF(F212&lt;=500, 30, IF(F212&lt;=1000, 35, F212*0.035)))),
0)))</f>
        <v>0</v>
      </c>
      <c r="H212" s="159">
        <f>IF(I212="مخالفات",50,Basic345678910111213[[#This Row],[قيمة الرسوم / العموله]]+Basic345678910111213[[#This Row],[قيمة الشحنه]])</f>
        <v>0</v>
      </c>
      <c r="I212" s="90"/>
      <c r="J212" s="142" t="str">
        <f t="shared" si="3"/>
        <v>20.5.2026</v>
      </c>
      <c r="L212" s="153">
        <v>201</v>
      </c>
      <c r="M212" s="92"/>
    </row>
    <row r="213" spans="1:13" ht="21.6" x14ac:dyDescent="0.65">
      <c r="A213" s="195"/>
      <c r="B213" s="144">
        <v>210</v>
      </c>
      <c r="C213" s="2"/>
      <c r="D213" s="1"/>
      <c r="E213" s="3"/>
      <c r="F213" s="1"/>
      <c r="G213" s="141">
        <f>IF(Basic345678910111213[[#This Row],[نوع الخدمة]]="مخالفات", 50,
IF(Basic345678910111213[[#This Row],[نوع الخدمة]]="كاش ان",
    IF(F213&lt;=100, 18, IF(F213&lt;=250, 23, IF(F213&lt;=500, 35, IF(F213&lt;=1000, 40, F213*0.04)))),
IF(Basic345678910111213[[#This Row],[نوع الخدمة]]="كاش اوت",
    IF(F213&lt;=100, 15, IF(F213&lt;=250, 20, IF(F213&lt;=500, 30, IF(F213&lt;=1000, 35, F213*0.035)))),
0)))</f>
        <v>0</v>
      </c>
      <c r="H213" s="159">
        <f>IF(I213="مخالفات",50,Basic345678910111213[[#This Row],[قيمة الرسوم / العموله]]+Basic345678910111213[[#This Row],[قيمة الشحنه]])</f>
        <v>0</v>
      </c>
      <c r="I213" s="90"/>
      <c r="J213" s="142" t="str">
        <f t="shared" si="3"/>
        <v>20.5.2026</v>
      </c>
      <c r="L213" s="153">
        <v>202</v>
      </c>
      <c r="M213" s="92"/>
    </row>
    <row r="214" spans="1:13" ht="21.6" x14ac:dyDescent="0.65">
      <c r="A214" s="195"/>
      <c r="B214" s="140">
        <v>211</v>
      </c>
      <c r="C214" s="2"/>
      <c r="D214" s="1"/>
      <c r="E214" s="3"/>
      <c r="F214" s="1"/>
      <c r="G214" s="141">
        <f>IF(Basic345678910111213[[#This Row],[نوع الخدمة]]="مخالفات", 50,
IF(Basic345678910111213[[#This Row],[نوع الخدمة]]="كاش ان",
    IF(F214&lt;=100, 18, IF(F214&lt;=250, 23, IF(F214&lt;=500, 35, IF(F214&lt;=1000, 40, F214*0.04)))),
IF(Basic345678910111213[[#This Row],[نوع الخدمة]]="كاش اوت",
    IF(F214&lt;=100, 15, IF(F214&lt;=250, 20, IF(F214&lt;=500, 30, IF(F214&lt;=1000, 35, F214*0.035)))),
0)))</f>
        <v>0</v>
      </c>
      <c r="H214" s="159">
        <f>IF(I214="مخالفات",50,Basic345678910111213[[#This Row],[قيمة الرسوم / العموله]]+Basic345678910111213[[#This Row],[قيمة الشحنه]])</f>
        <v>0</v>
      </c>
      <c r="I214" s="90"/>
      <c r="J214" s="142" t="str">
        <f t="shared" si="3"/>
        <v>20.5.2026</v>
      </c>
      <c r="L214" s="153">
        <v>203</v>
      </c>
      <c r="M214" s="92"/>
    </row>
    <row r="215" spans="1:13" ht="21.6" x14ac:dyDescent="0.65">
      <c r="A215" s="195"/>
      <c r="B215" s="140">
        <v>212</v>
      </c>
      <c r="C215" s="2"/>
      <c r="D215" s="1"/>
      <c r="E215" s="3"/>
      <c r="F215" s="1"/>
      <c r="G215" s="141">
        <f>IF(Basic345678910111213[[#This Row],[نوع الخدمة]]="مخالفات", 50,
IF(Basic345678910111213[[#This Row],[نوع الخدمة]]="كاش ان",
    IF(F215&lt;=100, 18, IF(F215&lt;=250, 23, IF(F215&lt;=500, 35, IF(F215&lt;=1000, 40, F215*0.04)))),
IF(Basic345678910111213[[#This Row],[نوع الخدمة]]="كاش اوت",
    IF(F215&lt;=100, 15, IF(F215&lt;=250, 20, IF(F215&lt;=500, 30, IF(F215&lt;=1000, 35, F215*0.035)))),
0)))</f>
        <v>0</v>
      </c>
      <c r="H215" s="159">
        <f>IF(I215="مخالفات",50,Basic345678910111213[[#This Row],[قيمة الرسوم / العموله]]+Basic345678910111213[[#This Row],[قيمة الشحنه]])</f>
        <v>0</v>
      </c>
      <c r="I215" s="90"/>
      <c r="J215" s="142" t="str">
        <f t="shared" si="3"/>
        <v>20.5.2026</v>
      </c>
      <c r="L215" s="153">
        <v>204</v>
      </c>
      <c r="M215" s="92"/>
    </row>
    <row r="216" spans="1:13" ht="21.6" x14ac:dyDescent="0.65">
      <c r="A216" s="195"/>
      <c r="B216" s="140">
        <v>213</v>
      </c>
      <c r="C216" s="2"/>
      <c r="D216" s="1"/>
      <c r="E216" s="3"/>
      <c r="F216" s="1"/>
      <c r="G216" s="141">
        <f>IF(Basic345678910111213[[#This Row],[نوع الخدمة]]="مخالفات", 50,
IF(Basic345678910111213[[#This Row],[نوع الخدمة]]="كاش ان",
    IF(F216&lt;=100, 18, IF(F216&lt;=250, 23, IF(F216&lt;=500, 35, IF(F216&lt;=1000, 40, F216*0.04)))),
IF(Basic345678910111213[[#This Row],[نوع الخدمة]]="كاش اوت",
    IF(F216&lt;=100, 15, IF(F216&lt;=250, 20, IF(F216&lt;=500, 30, IF(F216&lt;=1000, 35, F216*0.035)))),
0)))</f>
        <v>0</v>
      </c>
      <c r="H216" s="159">
        <f>IF(I216="مخالفات",50,Basic345678910111213[[#This Row],[قيمة الرسوم / العموله]]+Basic345678910111213[[#This Row],[قيمة الشحنه]])</f>
        <v>0</v>
      </c>
      <c r="I216" s="90"/>
      <c r="J216" s="142" t="str">
        <f t="shared" si="3"/>
        <v>20.5.2026</v>
      </c>
      <c r="L216" s="153">
        <v>205</v>
      </c>
      <c r="M216" s="92"/>
    </row>
    <row r="217" spans="1:13" ht="21.6" x14ac:dyDescent="0.65">
      <c r="A217" s="195"/>
      <c r="B217" s="144">
        <v>214</v>
      </c>
      <c r="C217" s="2"/>
      <c r="D217" s="1"/>
      <c r="E217" s="3"/>
      <c r="F217" s="1"/>
      <c r="G217" s="141">
        <f>IF(Basic345678910111213[[#This Row],[نوع الخدمة]]="مخالفات", 50,
IF(Basic345678910111213[[#This Row],[نوع الخدمة]]="كاش ان",
    IF(F217&lt;=100, 18, IF(F217&lt;=250, 23, IF(F217&lt;=500, 35, IF(F217&lt;=1000, 40, F217*0.04)))),
IF(Basic345678910111213[[#This Row],[نوع الخدمة]]="كاش اوت",
    IF(F217&lt;=100, 15, IF(F217&lt;=250, 20, IF(F217&lt;=500, 30, IF(F217&lt;=1000, 35, F217*0.035)))),
0)))</f>
        <v>0</v>
      </c>
      <c r="H217" s="159">
        <f>IF(I217="مخالفات",50,Basic345678910111213[[#This Row],[قيمة الرسوم / العموله]]+Basic345678910111213[[#This Row],[قيمة الشحنه]])</f>
        <v>0</v>
      </c>
      <c r="I217" s="90"/>
      <c r="J217" s="142" t="str">
        <f t="shared" si="3"/>
        <v>20.5.2026</v>
      </c>
      <c r="L217" s="153">
        <v>206</v>
      </c>
      <c r="M217" s="92"/>
    </row>
    <row r="218" spans="1:13" ht="21.6" x14ac:dyDescent="0.65">
      <c r="A218" s="195"/>
      <c r="B218" s="140">
        <v>215</v>
      </c>
      <c r="C218" s="2"/>
      <c r="D218" s="1"/>
      <c r="E218" s="3"/>
      <c r="F218" s="1"/>
      <c r="G218" s="141">
        <f>IF(Basic345678910111213[[#This Row],[نوع الخدمة]]="مخالفات", 50,
IF(Basic345678910111213[[#This Row],[نوع الخدمة]]="كاش ان",
    IF(F218&lt;=100, 18, IF(F218&lt;=250, 23, IF(F218&lt;=500, 35, IF(F218&lt;=1000, 40, F218*0.04)))),
IF(Basic345678910111213[[#This Row],[نوع الخدمة]]="كاش اوت",
    IF(F218&lt;=100, 15, IF(F218&lt;=250, 20, IF(F218&lt;=500, 30, IF(F218&lt;=1000, 35, F218*0.035)))),
0)))</f>
        <v>0</v>
      </c>
      <c r="H218" s="159">
        <f>IF(I218="مخالفات",50,Basic345678910111213[[#This Row],[قيمة الرسوم / العموله]]+Basic345678910111213[[#This Row],[قيمة الشحنه]])</f>
        <v>0</v>
      </c>
      <c r="I218" s="90"/>
      <c r="J218" s="142" t="str">
        <f t="shared" si="3"/>
        <v>20.5.2026</v>
      </c>
      <c r="L218" s="153">
        <v>207</v>
      </c>
      <c r="M218" s="92"/>
    </row>
    <row r="219" spans="1:13" ht="21.6" x14ac:dyDescent="0.65">
      <c r="A219" s="195"/>
      <c r="B219" s="140">
        <v>216</v>
      </c>
      <c r="C219" s="2"/>
      <c r="D219" s="1"/>
      <c r="E219" s="3"/>
      <c r="F219" s="1"/>
      <c r="G219" s="141">
        <f>IF(Basic345678910111213[[#This Row],[نوع الخدمة]]="مخالفات", 50,
IF(Basic345678910111213[[#This Row],[نوع الخدمة]]="كاش ان",
    IF(F219&lt;=100, 18, IF(F219&lt;=250, 23, IF(F219&lt;=500, 35, IF(F219&lt;=1000, 40, F219*0.04)))),
IF(Basic345678910111213[[#This Row],[نوع الخدمة]]="كاش اوت",
    IF(F219&lt;=100, 15, IF(F219&lt;=250, 20, IF(F219&lt;=500, 30, IF(F219&lt;=1000, 35, F219*0.035)))),
0)))</f>
        <v>0</v>
      </c>
      <c r="H219" s="159">
        <f>IF(I219="مخالفات",50,Basic345678910111213[[#This Row],[قيمة الرسوم / العموله]]+Basic345678910111213[[#This Row],[قيمة الشحنه]])</f>
        <v>0</v>
      </c>
      <c r="I219" s="90"/>
      <c r="J219" s="142" t="str">
        <f t="shared" si="3"/>
        <v>20.5.2026</v>
      </c>
      <c r="L219" s="153">
        <v>208</v>
      </c>
      <c r="M219" s="92"/>
    </row>
    <row r="220" spans="1:13" ht="21.6" x14ac:dyDescent="0.65">
      <c r="A220" s="195"/>
      <c r="B220" s="140">
        <v>217</v>
      </c>
      <c r="C220" s="2"/>
      <c r="D220" s="1"/>
      <c r="E220" s="3"/>
      <c r="F220" s="1"/>
      <c r="G220" s="141">
        <f>IF(Basic345678910111213[[#This Row],[نوع الخدمة]]="مخالفات", 50,
IF(Basic345678910111213[[#This Row],[نوع الخدمة]]="كاش ان",
    IF(F220&lt;=100, 18, IF(F220&lt;=250, 23, IF(F220&lt;=500, 35, IF(F220&lt;=1000, 40, F220*0.04)))),
IF(Basic345678910111213[[#This Row],[نوع الخدمة]]="كاش اوت",
    IF(F220&lt;=100, 15, IF(F220&lt;=250, 20, IF(F220&lt;=500, 30, IF(F220&lt;=1000, 35, F220*0.035)))),
0)))</f>
        <v>0</v>
      </c>
      <c r="H220" s="159">
        <f>IF(I220="مخالفات",50,Basic345678910111213[[#This Row],[قيمة الرسوم / العموله]]+Basic345678910111213[[#This Row],[قيمة الشحنه]])</f>
        <v>0</v>
      </c>
      <c r="I220" s="90"/>
      <c r="J220" s="142" t="str">
        <f t="shared" si="3"/>
        <v>20.5.2026</v>
      </c>
      <c r="L220" s="153">
        <v>209</v>
      </c>
      <c r="M220" s="92"/>
    </row>
    <row r="221" spans="1:13" ht="21.6" x14ac:dyDescent="0.65">
      <c r="A221" s="195"/>
      <c r="B221" s="144">
        <v>218</v>
      </c>
      <c r="C221" s="2"/>
      <c r="D221" s="1"/>
      <c r="E221" s="3"/>
      <c r="F221" s="1"/>
      <c r="G221" s="141">
        <f>IF(Basic345678910111213[[#This Row],[نوع الخدمة]]="مخالفات", 50,
IF(Basic345678910111213[[#This Row],[نوع الخدمة]]="كاش ان",
    IF(F221&lt;=100, 18, IF(F221&lt;=250, 23, IF(F221&lt;=500, 35, IF(F221&lt;=1000, 40, F221*0.04)))),
IF(Basic345678910111213[[#This Row],[نوع الخدمة]]="كاش اوت",
    IF(F221&lt;=100, 15, IF(F221&lt;=250, 20, IF(F221&lt;=500, 30, IF(F221&lt;=1000, 35, F221*0.035)))),
0)))</f>
        <v>0</v>
      </c>
      <c r="H221" s="159">
        <f>IF(I221="مخالفات",50,Basic345678910111213[[#This Row],[قيمة الرسوم / العموله]]+Basic345678910111213[[#This Row],[قيمة الشحنه]])</f>
        <v>0</v>
      </c>
      <c r="I221" s="90"/>
      <c r="J221" s="142" t="str">
        <f t="shared" si="3"/>
        <v>20.5.2026</v>
      </c>
      <c r="L221" s="153">
        <v>210</v>
      </c>
      <c r="M221" s="92"/>
    </row>
    <row r="222" spans="1:13" ht="21.6" x14ac:dyDescent="0.65">
      <c r="A222" s="195"/>
      <c r="B222" s="140">
        <v>219</v>
      </c>
      <c r="C222" s="2"/>
      <c r="D222" s="1"/>
      <c r="E222" s="3"/>
      <c r="F222" s="1"/>
      <c r="G222" s="141">
        <f>IF(Basic345678910111213[[#This Row],[نوع الخدمة]]="مخالفات", 50,
IF(Basic345678910111213[[#This Row],[نوع الخدمة]]="كاش ان",
    IF(F222&lt;=100, 18, IF(F222&lt;=250, 23, IF(F222&lt;=500, 35, IF(F222&lt;=1000, 40, F222*0.04)))),
IF(Basic345678910111213[[#This Row],[نوع الخدمة]]="كاش اوت",
    IF(F222&lt;=100, 15, IF(F222&lt;=250, 20, IF(F222&lt;=500, 30, IF(F222&lt;=1000, 35, F222*0.035)))),
0)))</f>
        <v>0</v>
      </c>
      <c r="H222" s="159">
        <f>IF(I222="مخالفات",50,Basic345678910111213[[#This Row],[قيمة الرسوم / العموله]]+Basic345678910111213[[#This Row],[قيمة الشحنه]])</f>
        <v>0</v>
      </c>
      <c r="I222" s="90"/>
      <c r="J222" s="142" t="str">
        <f t="shared" si="3"/>
        <v>20.5.2026</v>
      </c>
      <c r="L222" s="153">
        <v>211</v>
      </c>
      <c r="M222" s="92"/>
    </row>
    <row r="223" spans="1:13" ht="21.6" x14ac:dyDescent="0.65">
      <c r="A223" s="195"/>
      <c r="B223" s="140">
        <v>220</v>
      </c>
      <c r="C223" s="2"/>
      <c r="D223" s="1"/>
      <c r="E223" s="3"/>
      <c r="F223" s="1"/>
      <c r="G223" s="141">
        <f>IF(Basic345678910111213[[#This Row],[نوع الخدمة]]="مخالفات", 50,
IF(Basic345678910111213[[#This Row],[نوع الخدمة]]="كاش ان",
    IF(F223&lt;=100, 18, IF(F223&lt;=250, 23, IF(F223&lt;=500, 35, IF(F223&lt;=1000, 40, F223*0.04)))),
IF(Basic345678910111213[[#This Row],[نوع الخدمة]]="كاش اوت",
    IF(F223&lt;=100, 15, IF(F223&lt;=250, 20, IF(F223&lt;=500, 30, IF(F223&lt;=1000, 35, F223*0.035)))),
0)))</f>
        <v>0</v>
      </c>
      <c r="H223" s="159">
        <f>IF(I223="مخالفات",50,Basic345678910111213[[#This Row],[قيمة الرسوم / العموله]]+Basic345678910111213[[#This Row],[قيمة الشحنه]])</f>
        <v>0</v>
      </c>
      <c r="I223" s="90"/>
      <c r="J223" s="142" t="str">
        <f t="shared" si="3"/>
        <v>20.5.2026</v>
      </c>
      <c r="L223" s="153">
        <v>212</v>
      </c>
      <c r="M223" s="92"/>
    </row>
    <row r="224" spans="1:13" ht="21.6" x14ac:dyDescent="0.65">
      <c r="A224" s="195"/>
      <c r="B224" s="140">
        <v>221</v>
      </c>
      <c r="C224" s="2"/>
      <c r="D224" s="1"/>
      <c r="E224" s="3"/>
      <c r="F224" s="1"/>
      <c r="G224" s="141">
        <f>IF(Basic345678910111213[[#This Row],[نوع الخدمة]]="مخالفات", 50,
IF(Basic345678910111213[[#This Row],[نوع الخدمة]]="كاش ان",
    IF(F224&lt;=100, 18, IF(F224&lt;=250, 23, IF(F224&lt;=500, 35, IF(F224&lt;=1000, 40, F224*0.04)))),
IF(Basic345678910111213[[#This Row],[نوع الخدمة]]="كاش اوت",
    IF(F224&lt;=100, 15, IF(F224&lt;=250, 20, IF(F224&lt;=500, 30, IF(F224&lt;=1000, 35, F224*0.035)))),
0)))</f>
        <v>0</v>
      </c>
      <c r="H224" s="159">
        <f>IF(I224="مخالفات",50,Basic345678910111213[[#This Row],[قيمة الرسوم / العموله]]+Basic345678910111213[[#This Row],[قيمة الشحنه]])</f>
        <v>0</v>
      </c>
      <c r="I224" s="90"/>
      <c r="J224" s="142" t="str">
        <f t="shared" si="3"/>
        <v>20.5.2026</v>
      </c>
      <c r="L224" s="153">
        <v>213</v>
      </c>
      <c r="M224" s="92"/>
    </row>
    <row r="225" spans="1:13" ht="21.6" x14ac:dyDescent="0.65">
      <c r="A225" s="195"/>
      <c r="B225" s="144">
        <v>222</v>
      </c>
      <c r="C225" s="2"/>
      <c r="D225" s="1"/>
      <c r="E225" s="3"/>
      <c r="F225" s="1"/>
      <c r="G225" s="141">
        <f>IF(Basic345678910111213[[#This Row],[نوع الخدمة]]="مخالفات", 50,
IF(Basic345678910111213[[#This Row],[نوع الخدمة]]="كاش ان",
    IF(F225&lt;=100, 18, IF(F225&lt;=250, 23, IF(F225&lt;=500, 35, IF(F225&lt;=1000, 40, F225*0.04)))),
IF(Basic345678910111213[[#This Row],[نوع الخدمة]]="كاش اوت",
    IF(F225&lt;=100, 15, IF(F225&lt;=250, 20, IF(F225&lt;=500, 30, IF(F225&lt;=1000, 35, F225*0.035)))),
0)))</f>
        <v>0</v>
      </c>
      <c r="H225" s="159">
        <f>IF(I225="مخالفات",50,Basic345678910111213[[#This Row],[قيمة الرسوم / العموله]]+Basic345678910111213[[#This Row],[قيمة الشحنه]])</f>
        <v>0</v>
      </c>
      <c r="I225" s="90"/>
      <c r="J225" s="142" t="str">
        <f t="shared" si="3"/>
        <v>20.5.2026</v>
      </c>
      <c r="L225" s="153">
        <v>214</v>
      </c>
      <c r="M225" s="92"/>
    </row>
    <row r="226" spans="1:13" ht="21.6" x14ac:dyDescent="0.65">
      <c r="A226" s="195"/>
      <c r="B226" s="140">
        <v>223</v>
      </c>
      <c r="C226" s="4"/>
      <c r="D226" s="5"/>
      <c r="E226" s="6"/>
      <c r="F226" s="5"/>
      <c r="G226" s="141">
        <f>IF(Basic345678910111213[[#This Row],[نوع الخدمة]]="مخالفات", 50,
IF(Basic345678910111213[[#This Row],[نوع الخدمة]]="كاش ان",
    IF(F226&lt;=100, 18, IF(F226&lt;=250, 23, IF(F226&lt;=500, 35, IF(F226&lt;=1000, 40, F226*0.04)))),
IF(Basic345678910111213[[#This Row],[نوع الخدمة]]="كاش اوت",
    IF(F226&lt;=100, 15, IF(F226&lt;=250, 20, IF(F226&lt;=500, 30, IF(F226&lt;=1000, 35, F226*0.035)))),
0)))</f>
        <v>0</v>
      </c>
      <c r="H226" s="160">
        <f>IF(I226="مخالفات",50,Basic345678910111213[[#This Row],[قيمة الرسوم / العموله]]+Basic345678910111213[[#This Row],[قيمة الشحنه]])</f>
        <v>0</v>
      </c>
      <c r="I226" s="90"/>
      <c r="J226" s="142" t="str">
        <f t="shared" si="3"/>
        <v>20.5.2026</v>
      </c>
      <c r="L226" s="156">
        <v>215</v>
      </c>
      <c r="M226" s="93"/>
    </row>
  </sheetData>
  <sheetProtection algorithmName="SHA-512" hashValue="how423u/CLAYigKBUSyakQ8pwqX0rvbhGw6xN4EsOO+Jang4YGDrnTV4VzSzzFIaGMcyn9jwV52gBhCRE/PJnA==" saltValue="ptapkluKdsMZfqU8sF0HNA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47" priority="12" operator="equal">
      <formula>$BH$10</formula>
    </cfRule>
    <cfRule type="cellIs" dxfId="46" priority="13" operator="equal">
      <formula>$BH$9</formula>
    </cfRule>
    <cfRule type="cellIs" dxfId="45" priority="14" operator="equal">
      <formula>$BH$8</formula>
    </cfRule>
  </conditionalFormatting>
  <conditionalFormatting sqref="P11">
    <cfRule type="cellIs" dxfId="44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{95950EC8-D443-4EE3-95C7-16AB6B964C61}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{0F07CB63-73CC-4AEC-BC13-D246ED8A685D}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{7DD3C43D-EBE1-484E-A0C6-B863155F57FB}</x14:id>
        </ext>
      </extLst>
    </cfRule>
  </conditionalFormatting>
  <dataValidations count="2">
    <dataValidation type="textLength" operator="equal" allowBlank="1" showInputMessage="1" showErrorMessage="1" errorTitle="يجب إخال رقم IPN صحيح 13 رقم" sqref="C1:C1048576" xr:uid="{00000000-0002-0000-1300-000000000000}">
      <formula1>13</formula1>
    </dataValidation>
    <dataValidation type="list" allowBlank="1" showInputMessage="1" showErrorMessage="1" sqref="I4:I226" xr:uid="{00000000-0002-0000-1300-000001000000}">
      <formula1>$BH$8:$BH$10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5950EC8-D443-4EE3-95C7-16AB6B964C61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0F07CB63-73CC-4AEC-BC13-D246ED8A685D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7DD3C43D-EBE1-484E-A0C6-B863155F57FB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H226"/>
  <sheetViews>
    <sheetView showGridLines="0" showRowColHeaders="0" rightToLeft="1" topLeftCell="D1" zoomScale="80" zoomScaleNormal="80" workbookViewId="0">
      <selection activeCell="P12" sqref="P12"/>
    </sheetView>
  </sheetViews>
  <sheetFormatPr defaultColWidth="9.109375" defaultRowHeight="14.4" x14ac:dyDescent="0.3"/>
  <cols>
    <col min="1" max="1" width="4.109375" style="124" customWidth="1"/>
    <col min="2" max="2" width="6.5546875" style="125" bestFit="1" customWidth="1"/>
    <col min="3" max="3" width="28" style="126" customWidth="1"/>
    <col min="4" max="4" width="15.6640625" style="124" customWidth="1"/>
    <col min="5" max="5" width="17.5546875" style="157" customWidth="1"/>
    <col min="6" max="6" width="12.88671875" style="124" bestFit="1" customWidth="1"/>
    <col min="7" max="7" width="19" style="124" bestFit="1" customWidth="1"/>
    <col min="8" max="8" width="19" style="124" customWidth="1"/>
    <col min="9" max="9" width="12.44140625" style="128" bestFit="1" customWidth="1"/>
    <col min="10" max="10" width="17.5546875" style="129" customWidth="1"/>
    <col min="11" max="11" width="3.5546875" style="124" customWidth="1"/>
    <col min="12" max="12" width="8.5546875" style="124" bestFit="1" customWidth="1"/>
    <col min="13" max="13" width="23" style="124" customWidth="1"/>
    <col min="14" max="14" width="8.33203125" style="124" bestFit="1" customWidth="1"/>
    <col min="15" max="15" width="26.5546875" style="124" bestFit="1" customWidth="1"/>
    <col min="16" max="16" width="14.6640625" style="124" customWidth="1"/>
    <col min="17" max="17" width="3.5546875" style="124" customWidth="1"/>
    <col min="18" max="19" width="16.6640625" style="124" customWidth="1"/>
    <col min="20" max="20" width="12.6640625" style="124" customWidth="1"/>
    <col min="21" max="22" width="12" style="124" customWidth="1"/>
    <col min="23" max="23" width="8" style="124" customWidth="1"/>
    <col min="24" max="24" width="12.6640625" style="124" customWidth="1"/>
    <col min="25" max="16384" width="9.109375" style="124"/>
  </cols>
  <sheetData>
    <row r="1" spans="1:60" x14ac:dyDescent="0.3">
      <c r="E1" s="127">
        <f>Total!F5</f>
        <v>69</v>
      </c>
      <c r="F1" s="192" t="str">
        <f>Total!G5</f>
        <v>العبور</v>
      </c>
      <c r="G1" s="192"/>
      <c r="H1" s="192"/>
    </row>
    <row r="3" spans="1:60" ht="15.6" x14ac:dyDescent="0.3">
      <c r="B3" s="130" t="s">
        <v>0</v>
      </c>
      <c r="C3" s="131" t="s">
        <v>1</v>
      </c>
      <c r="D3" s="132" t="s">
        <v>2</v>
      </c>
      <c r="E3" s="133" t="s">
        <v>3</v>
      </c>
      <c r="F3" s="132" t="s">
        <v>4</v>
      </c>
      <c r="G3" s="132" t="s">
        <v>5</v>
      </c>
      <c r="H3" s="132" t="s">
        <v>76</v>
      </c>
      <c r="I3" s="132" t="s">
        <v>6</v>
      </c>
      <c r="J3" s="134" t="s">
        <v>7</v>
      </c>
      <c r="L3" s="135" t="s">
        <v>7</v>
      </c>
      <c r="M3" s="7" t="s">
        <v>104</v>
      </c>
      <c r="O3" s="137" t="s">
        <v>17</v>
      </c>
      <c r="P3" s="138">
        <f>M5+M6</f>
        <v>0</v>
      </c>
      <c r="T3" s="139"/>
      <c r="U3" s="139"/>
      <c r="V3" s="139"/>
      <c r="W3" s="139"/>
      <c r="X3" s="139"/>
    </row>
    <row r="4" spans="1:60" ht="21.6" x14ac:dyDescent="0.65">
      <c r="A4" s="195"/>
      <c r="B4" s="140">
        <v>1</v>
      </c>
      <c r="C4" s="8"/>
      <c r="D4" s="9"/>
      <c r="E4" s="10"/>
      <c r="F4" s="9"/>
      <c r="G4" s="141">
        <f>IF(Basic3456789101112[[#This Row],[نوع الخدمة]]="مخالفات", 50,
IF(Basic3456789101112[[#This Row],[نوع الخدمة]]="كاش ان",
    IF(F4&lt;=100, 18, IF(F4&lt;=250, 23, IF(F4&lt;=500, 35, IF(F4&lt;=1000, 40, F4*0.04)))),
IF(Basic3456789101112[[#This Row],[نوع الخدمة]]="كاش اوت",
    IF(F4&lt;=100, 15, IF(F4&lt;=250, 20, IF(F4&lt;=500, 30, IF(F4&lt;=1000, 35, F4*0.035)))),
0)))</f>
        <v>0</v>
      </c>
      <c r="H4" s="141">
        <f>IF(I4="مخالفات",50,Basic3456789101112[[#This Row],[قيمة الرسوم / العموله]]+Basic3456789101112[[#This Row],[قيمة الشحنه]])</f>
        <v>0</v>
      </c>
      <c r="I4" s="90"/>
      <c r="J4" s="142" t="str">
        <f t="shared" ref="J4:J67" si="0">M$3</f>
        <v>21.5.2026</v>
      </c>
      <c r="L4" s="135" t="s">
        <v>26</v>
      </c>
      <c r="M4" s="90">
        <v>0</v>
      </c>
      <c r="O4" s="137" t="s">
        <v>18</v>
      </c>
      <c r="P4" s="138">
        <f>M4</f>
        <v>0</v>
      </c>
      <c r="S4" s="143" t="s">
        <v>22</v>
      </c>
      <c r="T4" s="143" t="s">
        <v>23</v>
      </c>
      <c r="U4" s="139"/>
      <c r="V4" s="139"/>
      <c r="W4" s="139"/>
      <c r="X4" s="139"/>
    </row>
    <row r="5" spans="1:60" ht="21.6" x14ac:dyDescent="0.65">
      <c r="A5" s="195"/>
      <c r="B5" s="144">
        <v>2</v>
      </c>
      <c r="C5" s="8"/>
      <c r="D5" s="9"/>
      <c r="E5" s="10"/>
      <c r="F5" s="9"/>
      <c r="G5" s="141">
        <f>IF(Basic3456789101112[[#This Row],[نوع الخدمة]]="مخالفات", 50,
IF(Basic3456789101112[[#This Row],[نوع الخدمة]]="كاش ان",
    IF(F5&lt;=100, 18, IF(F5&lt;=250, 23, IF(F5&lt;=500, 35, IF(F5&lt;=1000, 40, F5*0.04)))),
IF(Basic3456789101112[[#This Row],[نوع الخدمة]]="كاش اوت",
    IF(F5&lt;=100, 15, IF(F5&lt;=250, 20, IF(F5&lt;=500, 30, IF(F5&lt;=1000, 35, F5*0.035)))),
0)))</f>
        <v>0</v>
      </c>
      <c r="H5" s="141">
        <f>IF(I5="مخالفات",50,Basic3456789101112[[#This Row],[قيمة الرسوم / العموله]]+Basic3456789101112[[#This Row],[قيمة الشحنه]])</f>
        <v>0</v>
      </c>
      <c r="I5" s="90"/>
      <c r="J5" s="142" t="str">
        <f t="shared" si="0"/>
        <v>21.5.2026</v>
      </c>
      <c r="L5" s="135" t="s">
        <v>27</v>
      </c>
      <c r="M5" s="90"/>
      <c r="O5" s="137" t="s">
        <v>19</v>
      </c>
      <c r="P5" s="138">
        <f>SUMIF(Basic3456789101112[نوع الخدمة],"كاش ان",Basic3456789101112[قيمة الشحنه])</f>
        <v>0</v>
      </c>
      <c r="S5" s="145">
        <f>P5+P9+P12+P7</f>
        <v>0</v>
      </c>
      <c r="T5" s="145">
        <f>P3</f>
        <v>0</v>
      </c>
    </row>
    <row r="6" spans="1:60" ht="21.6" x14ac:dyDescent="0.65">
      <c r="A6" s="195"/>
      <c r="B6" s="140">
        <v>3</v>
      </c>
      <c r="C6" s="8"/>
      <c r="D6" s="9"/>
      <c r="E6" s="10"/>
      <c r="F6" s="9"/>
      <c r="G6" s="141">
        <f>IF(Basic3456789101112[[#This Row],[نوع الخدمة]]="مخالفات", 50,
IF(Basic3456789101112[[#This Row],[نوع الخدمة]]="كاش ان",
    IF(F6&lt;=100, 18, IF(F6&lt;=250, 23, IF(F6&lt;=500, 35, IF(F6&lt;=1000, 40, F6*0.04)))),
IF(Basic3456789101112[[#This Row],[نوع الخدمة]]="كاش اوت",
    IF(F6&lt;=100, 15, IF(F6&lt;=250, 20, IF(F6&lt;=500, 30, IF(F6&lt;=1000, 35, F6*0.035)))),
0)))</f>
        <v>0</v>
      </c>
      <c r="H6" s="141">
        <f>IF(I6="مخالفات",50,Basic3456789101112[[#This Row],[قيمة الرسوم / العموله]]+Basic3456789101112[[#This Row],[قيمة الشحنه]])</f>
        <v>0</v>
      </c>
      <c r="I6" s="90"/>
      <c r="J6" s="142" t="str">
        <f t="shared" si="0"/>
        <v>21.5.2026</v>
      </c>
      <c r="L6" s="135" t="s">
        <v>28</v>
      </c>
      <c r="M6" s="90"/>
      <c r="O6" s="146" t="s">
        <v>12</v>
      </c>
      <c r="P6" s="138">
        <f>P3*150</f>
        <v>0</v>
      </c>
    </row>
    <row r="7" spans="1:60" ht="21.6" x14ac:dyDescent="0.65">
      <c r="A7" s="195"/>
      <c r="B7" s="140">
        <v>4</v>
      </c>
      <c r="C7" s="8"/>
      <c r="D7" s="9"/>
      <c r="E7" s="10"/>
      <c r="F7" s="9"/>
      <c r="G7" s="141">
        <f>IF(Basic3456789101112[[#This Row],[نوع الخدمة]]="مخالفات", 50,
IF(Basic3456789101112[[#This Row],[نوع الخدمة]]="كاش ان",
    IF(F7&lt;=100, 18, IF(F7&lt;=250, 23, IF(F7&lt;=500, 35, IF(F7&lt;=1000, 40, F7*0.04)))),
IF(Basic3456789101112[[#This Row],[نوع الخدمة]]="كاش اوت",
    IF(F7&lt;=100, 15, IF(F7&lt;=250, 20, IF(F7&lt;=500, 30, IF(F7&lt;=1000, 35, F7*0.035)))),
0)))</f>
        <v>0</v>
      </c>
      <c r="H7" s="141">
        <f>IF(I7="مخالفات",50,Basic3456789101112[[#This Row],[قيمة الرسوم / العموله]]+Basic3456789101112[[#This Row],[قيمة الشحنه]])</f>
        <v>0</v>
      </c>
      <c r="I7" s="90"/>
      <c r="J7" s="142" t="str">
        <f t="shared" si="0"/>
        <v>21.5.2026</v>
      </c>
      <c r="L7" s="137" t="s">
        <v>11</v>
      </c>
      <c r="M7" s="165"/>
      <c r="O7" s="146" t="s">
        <v>75</v>
      </c>
      <c r="P7" s="138">
        <f>SUMIF(Basic3456789101112[نوع الخدمة],"مخالفات",Basic3456789101112[الاجمــــــــــالي])</f>
        <v>0</v>
      </c>
      <c r="R7" s="139"/>
      <c r="S7" s="139"/>
    </row>
    <row r="8" spans="1:60" ht="21.6" x14ac:dyDescent="0.65">
      <c r="A8" s="195"/>
      <c r="B8" s="140">
        <v>5</v>
      </c>
      <c r="C8" s="8"/>
      <c r="D8" s="9"/>
      <c r="E8" s="10"/>
      <c r="F8" s="9"/>
      <c r="G8" s="141">
        <f>IF(Basic3456789101112[[#This Row],[نوع الخدمة]]="مخالفات", 50,
IF(Basic3456789101112[[#This Row],[نوع الخدمة]]="كاش ان",
    IF(F8&lt;=100, 18, IF(F8&lt;=250, 23, IF(F8&lt;=500, 35, IF(F8&lt;=1000, 40, F8*0.04)))),
IF(Basic3456789101112[[#This Row],[نوع الخدمة]]="كاش اوت",
    IF(F8&lt;=100, 15, IF(F8&lt;=250, 20, IF(F8&lt;=500, 30, IF(F8&lt;=1000, 35, F8*0.035)))),
0)))</f>
        <v>0</v>
      </c>
      <c r="H8" s="141">
        <f>IF(I8="مخالفات",50,Basic3456789101112[[#This Row],[قيمة الرسوم / العموله]]+Basic3456789101112[[#This Row],[قيمة الشحنه]])</f>
        <v>0</v>
      </c>
      <c r="I8" s="90"/>
      <c r="J8" s="142" t="str">
        <f t="shared" si="0"/>
        <v>21.5.2026</v>
      </c>
      <c r="L8" s="166" t="s">
        <v>79</v>
      </c>
      <c r="M8" s="167">
        <v>0</v>
      </c>
      <c r="O8" s="137" t="s">
        <v>11</v>
      </c>
      <c r="P8" s="138">
        <f>M7</f>
        <v>0</v>
      </c>
      <c r="R8" s="143" t="s">
        <v>72</v>
      </c>
      <c r="S8" s="143" t="s">
        <v>25</v>
      </c>
      <c r="T8" s="143" t="s">
        <v>24</v>
      </c>
      <c r="U8" s="143" t="s">
        <v>73</v>
      </c>
      <c r="V8" s="143" t="s">
        <v>25</v>
      </c>
      <c r="W8" s="143" t="s">
        <v>24</v>
      </c>
      <c r="BH8" s="148" t="s">
        <v>8</v>
      </c>
    </row>
    <row r="9" spans="1:60" ht="18" customHeight="1" x14ac:dyDescent="0.65">
      <c r="A9" s="195"/>
      <c r="B9" s="144">
        <v>6</v>
      </c>
      <c r="C9" s="8"/>
      <c r="D9" s="9"/>
      <c r="E9" s="10"/>
      <c r="F9" s="9"/>
      <c r="G9" s="141">
        <f>IF(Basic3456789101112[[#This Row],[نوع الخدمة]]="مخالفات", 50,
IF(Basic3456789101112[[#This Row],[نوع الخدمة]]="كاش ان",
    IF(F9&lt;=100, 18, IF(F9&lt;=250, 23, IF(F9&lt;=500, 35, IF(F9&lt;=1000, 40, F9*0.04)))),
IF(Basic3456789101112[[#This Row],[نوع الخدمة]]="كاش اوت",
    IF(F9&lt;=100, 15, IF(F9&lt;=250, 20, IF(F9&lt;=500, 30, IF(F9&lt;=1000, 35, F9*0.035)))),
0)))</f>
        <v>0</v>
      </c>
      <c r="H9" s="141">
        <f>IF(I9="مخالفات",50,Basic3456789101112[[#This Row],[قيمة الرسوم / العموله]]+Basic3456789101112[[#This Row],[قيمة الشحنه]])</f>
        <v>0</v>
      </c>
      <c r="I9" s="90"/>
      <c r="J9" s="142" t="str">
        <f t="shared" si="0"/>
        <v>21.5.2026</v>
      </c>
      <c r="L9" s="166" t="s">
        <v>80</v>
      </c>
      <c r="M9" s="167">
        <v>0</v>
      </c>
      <c r="O9" s="137" t="s">
        <v>20</v>
      </c>
      <c r="P9" s="138">
        <f>SUMIF(Basic3456789101112[نوع الخدمة],"كاش ان",Basic3456789101112[قيمة الرسوم / العموله])</f>
        <v>0</v>
      </c>
      <c r="R9" s="182">
        <f>Total!H5/24</f>
        <v>29166.666666666668</v>
      </c>
      <c r="S9" s="182">
        <f>S5</f>
        <v>0</v>
      </c>
      <c r="T9" s="183">
        <f>S9/R9</f>
        <v>0</v>
      </c>
      <c r="U9" s="182">
        <f>Total!K5/24</f>
        <v>2.9166666666666665</v>
      </c>
      <c r="V9" s="182">
        <f>T5</f>
        <v>0</v>
      </c>
      <c r="W9" s="183">
        <f>V9/U9</f>
        <v>0</v>
      </c>
      <c r="BH9" s="148" t="s">
        <v>9</v>
      </c>
    </row>
    <row r="10" spans="1:60" ht="21.6" x14ac:dyDescent="0.65">
      <c r="A10" s="195"/>
      <c r="B10" s="140">
        <v>7</v>
      </c>
      <c r="C10" s="8"/>
      <c r="D10" s="9"/>
      <c r="E10" s="10"/>
      <c r="F10" s="9"/>
      <c r="G10" s="141">
        <f>IF(Basic3456789101112[[#This Row],[نوع الخدمة]]="مخالفات", 50,
IF(Basic3456789101112[[#This Row],[نوع الخدمة]]="كاش ان",
    IF(F10&lt;=100, 18, IF(F10&lt;=250, 23, IF(F10&lt;=500, 35, IF(F10&lt;=1000, 40, F10*0.04)))),
IF(Basic3456789101112[[#This Row],[نوع الخدمة]]="كاش اوت",
    IF(F10&lt;=100, 15, IF(F10&lt;=250, 20, IF(F10&lt;=500, 30, IF(F10&lt;=1000, 35, F10*0.035)))),
0)))</f>
        <v>0</v>
      </c>
      <c r="H10" s="141">
        <f>IF(I10="مخالفات",50,Basic3456789101112[[#This Row],[قيمة الرسوم / العموله]]+Basic3456789101112[[#This Row],[قيمة الشحنه]])</f>
        <v>0</v>
      </c>
      <c r="I10" s="90"/>
      <c r="J10" s="142" t="str">
        <f t="shared" si="0"/>
        <v>21.5.2026</v>
      </c>
      <c r="O10" s="137" t="s">
        <v>16</v>
      </c>
      <c r="P10" s="138">
        <f>SUMIF(Basic3456789101112[نوع الخدمة],"كاش اوت",Basic3456789101112[قيمة الشحنه])</f>
        <v>0</v>
      </c>
      <c r="R10" s="211">
        <f>(W9+T9)/2</f>
        <v>0</v>
      </c>
      <c r="S10" s="211"/>
      <c r="T10" s="211"/>
      <c r="U10" s="211"/>
      <c r="V10" s="211"/>
      <c r="W10" s="211"/>
      <c r="BH10" s="148" t="s">
        <v>10</v>
      </c>
    </row>
    <row r="11" spans="1:60" ht="21.6" x14ac:dyDescent="0.65">
      <c r="A11" s="195"/>
      <c r="B11" s="140">
        <v>8</v>
      </c>
      <c r="C11" s="8"/>
      <c r="D11" s="9"/>
      <c r="E11" s="10"/>
      <c r="F11" s="9"/>
      <c r="G11" s="141">
        <f>IF(Basic3456789101112[[#This Row],[نوع الخدمة]]="مخالفات", 50,
IF(Basic3456789101112[[#This Row],[نوع الخدمة]]="كاش ان",
    IF(F11&lt;=100, 18, IF(F11&lt;=250, 23, IF(F11&lt;=500, 35, IF(F11&lt;=1000, 40, F11*0.04)))),
IF(Basic3456789101112[[#This Row],[نوع الخدمة]]="كاش اوت",
    IF(F11&lt;=100, 15, IF(F11&lt;=250, 20, IF(F11&lt;=500, 30, IF(F11&lt;=1000, 35, F11*0.035)))),
0)))</f>
        <v>0</v>
      </c>
      <c r="H11" s="141">
        <f>IF(I11="مخالفات",50,Basic3456789101112[[#This Row],[قيمة الرسوم / العموله]]+Basic3456789101112[[#This Row],[قيمة الشحنه]])</f>
        <v>0</v>
      </c>
      <c r="I11" s="90"/>
      <c r="J11" s="142" t="str">
        <f t="shared" si="0"/>
        <v>21.5.2026</v>
      </c>
      <c r="L11" s="169" t="s">
        <v>77</v>
      </c>
      <c r="M11" s="168" t="s">
        <v>78</v>
      </c>
      <c r="O11" s="151" t="s">
        <v>21</v>
      </c>
      <c r="P11" s="152">
        <f>(P5+P6+P9+P7+P4)-P10-P8</f>
        <v>0</v>
      </c>
      <c r="T11" s="139"/>
    </row>
    <row r="12" spans="1:60" ht="21.6" x14ac:dyDescent="0.65">
      <c r="A12" s="195"/>
      <c r="B12" s="140">
        <v>9</v>
      </c>
      <c r="C12" s="8"/>
      <c r="D12" s="9"/>
      <c r="E12" s="10"/>
      <c r="F12" s="9"/>
      <c r="G12" s="141">
        <f>IF(Basic3456789101112[[#This Row],[نوع الخدمة]]="مخالفات", 50,
IF(Basic3456789101112[[#This Row],[نوع الخدمة]]="كاش ان",
    IF(F12&lt;=100, 18, IF(F12&lt;=250, 23, IF(F12&lt;=500, 35, IF(F12&lt;=1000, 40, F12*0.04)))),
IF(Basic3456789101112[[#This Row],[نوع الخدمة]]="كاش اوت",
    IF(F12&lt;=100, 15, IF(F12&lt;=250, 20, IF(F12&lt;=500, 30, IF(F12&lt;=1000, 35, F12*0.035)))),
0)))</f>
        <v>0</v>
      </c>
      <c r="H12" s="141">
        <f>IF(I12="مخالفات",50,Basic3456789101112[[#This Row],[قيمة الرسوم / العموله]]+Basic3456789101112[[#This Row],[قيمة الشحنه]])</f>
        <v>0</v>
      </c>
      <c r="I12" s="90"/>
      <c r="J12" s="142" t="str">
        <f t="shared" si="0"/>
        <v>21.5.2026</v>
      </c>
      <c r="L12" s="153">
        <v>1</v>
      </c>
      <c r="M12" s="91"/>
      <c r="O12" s="137" t="s">
        <v>29</v>
      </c>
      <c r="P12" s="138">
        <f>SUMIF(Basic3456789101112[نوع الخدمة],"كاش اوت",Basic3456789101112[الاجمــــــــــالي])</f>
        <v>0</v>
      </c>
    </row>
    <row r="13" spans="1:60" ht="21.6" x14ac:dyDescent="0.65">
      <c r="A13" s="195"/>
      <c r="B13" s="144">
        <v>10</v>
      </c>
      <c r="C13" s="8"/>
      <c r="D13" s="9"/>
      <c r="E13" s="10"/>
      <c r="F13" s="9"/>
      <c r="G13" s="141">
        <f>IF(Basic3456789101112[[#This Row],[نوع الخدمة]]="مخالفات", 50,
IF(Basic3456789101112[[#This Row],[نوع الخدمة]]="كاش ان",
    IF(F13&lt;=100, 18, IF(F13&lt;=250, 23, IF(F13&lt;=500, 35, IF(F13&lt;=1000, 40, F13*0.04)))),
IF(Basic3456789101112[[#This Row],[نوع الخدمة]]="كاش اوت",
    IF(F13&lt;=100, 15, IF(F13&lt;=250, 20, IF(F13&lt;=500, 30, IF(F13&lt;=1000, 35, F13*0.035)))),
0)))</f>
        <v>0</v>
      </c>
      <c r="H13" s="141">
        <f>IF(I13="مخالفات",50,Basic3456789101112[[#This Row],[قيمة الرسوم / العموله]]+Basic3456789101112[[#This Row],[قيمة الشحنه]])</f>
        <v>0</v>
      </c>
      <c r="I13" s="90"/>
      <c r="J13" s="142" t="str">
        <f t="shared" si="0"/>
        <v>21.5.2026</v>
      </c>
      <c r="L13" s="153">
        <v>2</v>
      </c>
      <c r="M13" s="92"/>
    </row>
    <row r="14" spans="1:60" ht="21.6" x14ac:dyDescent="0.65">
      <c r="A14" s="195"/>
      <c r="B14" s="140">
        <v>11</v>
      </c>
      <c r="C14" s="2"/>
      <c r="D14" s="1"/>
      <c r="E14" s="3"/>
      <c r="F14" s="1"/>
      <c r="G14" s="141">
        <f>IF(Basic3456789101112[[#This Row],[نوع الخدمة]]="مخالفات", 50,
IF(Basic3456789101112[[#This Row],[نوع الخدمة]]="كاش ان",
    IF(F14&lt;=100, 18, IF(F14&lt;=250, 23, IF(F14&lt;=500, 35, IF(F14&lt;=1000, 40, F14*0.04)))),
IF(Basic3456789101112[[#This Row],[نوع الخدمة]]="كاش اوت",
    IF(F14&lt;=100, 15, IF(F14&lt;=250, 20, IF(F14&lt;=500, 30, IF(F14&lt;=1000, 35, F14*0.035)))),
0)))</f>
        <v>0</v>
      </c>
      <c r="H14" s="159">
        <f>IF(I14="مخالفات",50,Basic3456789101112[[#This Row],[قيمة الرسوم / العموله]]+Basic3456789101112[[#This Row],[قيمة الشحنه]])</f>
        <v>0</v>
      </c>
      <c r="I14" s="90"/>
      <c r="J14" s="142" t="str">
        <f t="shared" si="0"/>
        <v>21.5.2026</v>
      </c>
      <c r="L14" s="153">
        <v>3</v>
      </c>
      <c r="M14" s="92"/>
    </row>
    <row r="15" spans="1:60" ht="21.6" x14ac:dyDescent="0.65">
      <c r="A15" s="195"/>
      <c r="B15" s="140">
        <v>12</v>
      </c>
      <c r="C15" s="2"/>
      <c r="D15" s="1"/>
      <c r="E15" s="3"/>
      <c r="F15" s="1"/>
      <c r="G15" s="141">
        <f>IF(Basic3456789101112[[#This Row],[نوع الخدمة]]="مخالفات", 50,
IF(Basic3456789101112[[#This Row],[نوع الخدمة]]="كاش ان",
    IF(F15&lt;=100, 18, IF(F15&lt;=250, 23, IF(F15&lt;=500, 35, IF(F15&lt;=1000, 40, F15*0.04)))),
IF(Basic3456789101112[[#This Row],[نوع الخدمة]]="كاش اوت",
    IF(F15&lt;=100, 15, IF(F15&lt;=250, 20, IF(F15&lt;=500, 30, IF(F15&lt;=1000, 35, F15*0.035)))),
0)))</f>
        <v>0</v>
      </c>
      <c r="H15" s="159">
        <f>IF(I15="مخالفات",50,Basic3456789101112[[#This Row],[قيمة الرسوم / العموله]]+Basic3456789101112[[#This Row],[قيمة الشحنه]])</f>
        <v>0</v>
      </c>
      <c r="I15" s="90"/>
      <c r="J15" s="142" t="str">
        <f t="shared" si="0"/>
        <v>21.5.2026</v>
      </c>
      <c r="L15" s="153">
        <v>4</v>
      </c>
      <c r="M15" s="92"/>
      <c r="O15" s="154" t="s">
        <v>10</v>
      </c>
      <c r="P15" s="155">
        <f>COUNTIF(Basic3456789101112[نوع الخدمة],"مخالفات")</f>
        <v>0</v>
      </c>
    </row>
    <row r="16" spans="1:60" ht="21.6" x14ac:dyDescent="0.65">
      <c r="A16" s="195"/>
      <c r="B16" s="140">
        <v>13</v>
      </c>
      <c r="C16" s="2"/>
      <c r="D16" s="1"/>
      <c r="E16" s="3"/>
      <c r="F16" s="1"/>
      <c r="G16" s="141">
        <f>IF(Basic3456789101112[[#This Row],[نوع الخدمة]]="مخالفات", 50,
IF(Basic3456789101112[[#This Row],[نوع الخدمة]]="كاش ان",
    IF(F16&lt;=100, 18, IF(F16&lt;=250, 23, IF(F16&lt;=500, 35, IF(F16&lt;=1000, 40, F16*0.04)))),
IF(Basic3456789101112[[#This Row],[نوع الخدمة]]="كاش اوت",
    IF(F16&lt;=100, 15, IF(F16&lt;=250, 20, IF(F16&lt;=500, 30, IF(F16&lt;=1000, 35, F16*0.035)))),
0)))</f>
        <v>0</v>
      </c>
      <c r="H16" s="159">
        <f>IF(I16="مخالفات",50,Basic3456789101112[[#This Row],[قيمة الرسوم / العموله]]+Basic3456789101112[[#This Row],[قيمة الشحنه]])</f>
        <v>0</v>
      </c>
      <c r="I16" s="90"/>
      <c r="J16" s="142" t="str">
        <f t="shared" si="0"/>
        <v>21.5.2026</v>
      </c>
      <c r="L16" s="153">
        <v>5</v>
      </c>
      <c r="M16" s="92"/>
      <c r="O16" s="154" t="s">
        <v>13</v>
      </c>
      <c r="P16" s="155">
        <f>COUNTIF(Basic3456789101112[نوع الخدمة],"كاش ان")</f>
        <v>0</v>
      </c>
    </row>
    <row r="17" spans="1:21" ht="21.6" x14ac:dyDescent="0.65">
      <c r="A17" s="195"/>
      <c r="B17" s="144">
        <v>14</v>
      </c>
      <c r="C17" s="2"/>
      <c r="D17" s="1"/>
      <c r="E17" s="3"/>
      <c r="F17" s="1"/>
      <c r="G17" s="141">
        <f>IF(Basic3456789101112[[#This Row],[نوع الخدمة]]="مخالفات", 50,
IF(Basic3456789101112[[#This Row],[نوع الخدمة]]="كاش ان",
    IF(F17&lt;=100, 18, IF(F17&lt;=250, 23, IF(F17&lt;=500, 35, IF(F17&lt;=1000, 40, F17*0.04)))),
IF(Basic3456789101112[[#This Row],[نوع الخدمة]]="كاش اوت",
    IF(F17&lt;=100, 15, IF(F17&lt;=250, 20, IF(F17&lt;=500, 30, IF(F17&lt;=1000, 35, F17*0.035)))),
0)))</f>
        <v>0</v>
      </c>
      <c r="H17" s="159">
        <f>IF(I17="مخالفات",50,Basic3456789101112[[#This Row],[قيمة الرسوم / العموله]]+Basic3456789101112[[#This Row],[قيمة الشحنه]])</f>
        <v>0</v>
      </c>
      <c r="I17" s="90"/>
      <c r="J17" s="142" t="str">
        <f t="shared" si="0"/>
        <v>21.5.2026</v>
      </c>
      <c r="L17" s="153">
        <v>6</v>
      </c>
      <c r="M17" s="92"/>
      <c r="O17" s="154" t="s">
        <v>14</v>
      </c>
      <c r="P17" s="155">
        <f>COUNTIF(Basic3456789101112[نوع الخدمة],"كاش اوت")</f>
        <v>0</v>
      </c>
    </row>
    <row r="18" spans="1:21" ht="21.6" x14ac:dyDescent="0.65">
      <c r="A18" s="195"/>
      <c r="B18" s="140">
        <v>15</v>
      </c>
      <c r="C18" s="2"/>
      <c r="D18" s="1"/>
      <c r="E18" s="3"/>
      <c r="F18" s="1"/>
      <c r="G18" s="141">
        <f>IF(Basic3456789101112[[#This Row],[نوع الخدمة]]="مخالفات", 50,
IF(Basic3456789101112[[#This Row],[نوع الخدمة]]="كاش ان",
    IF(F18&lt;=100, 18, IF(F18&lt;=250, 23, IF(F18&lt;=500, 35, IF(F18&lt;=1000, 40, F18*0.04)))),
IF(Basic3456789101112[[#This Row],[نوع الخدمة]]="كاش اوت",
    IF(F18&lt;=100, 15, IF(F18&lt;=250, 20, IF(F18&lt;=500, 30, IF(F18&lt;=1000, 35, F18*0.035)))),
0)))</f>
        <v>0</v>
      </c>
      <c r="H18" s="159">
        <f>IF(I18="مخالفات",50,Basic3456789101112[[#This Row],[قيمة الرسوم / العموله]]+Basic3456789101112[[#This Row],[قيمة الشحنه]])</f>
        <v>0</v>
      </c>
      <c r="I18" s="90"/>
      <c r="J18" s="142" t="str">
        <f t="shared" si="0"/>
        <v>21.5.2026</v>
      </c>
      <c r="L18" s="153">
        <v>7</v>
      </c>
      <c r="M18" s="92"/>
      <c r="O18" s="154" t="s">
        <v>15</v>
      </c>
      <c r="P18" s="155">
        <f>P16+P17</f>
        <v>0</v>
      </c>
    </row>
    <row r="19" spans="1:21" ht="21.6" x14ac:dyDescent="0.65">
      <c r="A19" s="195"/>
      <c r="B19" s="140">
        <v>16</v>
      </c>
      <c r="C19" s="2"/>
      <c r="D19" s="1"/>
      <c r="E19" s="3"/>
      <c r="F19" s="1"/>
      <c r="G19" s="141">
        <f>IF(Basic3456789101112[[#This Row],[نوع الخدمة]]="مخالفات", 50,
IF(Basic3456789101112[[#This Row],[نوع الخدمة]]="كاش ان",
    IF(F19&lt;=100, 18, IF(F19&lt;=250, 23, IF(F19&lt;=500, 35, IF(F19&lt;=1000, 40, F19*0.04)))),
IF(Basic3456789101112[[#This Row],[نوع الخدمة]]="كاش اوت",
    IF(F19&lt;=100, 15, IF(F19&lt;=250, 20, IF(F19&lt;=500, 30, IF(F19&lt;=1000, 35, F19*0.035)))),
0)))</f>
        <v>0</v>
      </c>
      <c r="H19" s="159">
        <f>IF(I19="مخالفات",50,Basic3456789101112[[#This Row],[قيمة الرسوم / العموله]]+Basic3456789101112[[#This Row],[قيمة الشحنه]])</f>
        <v>0</v>
      </c>
      <c r="I19" s="90"/>
      <c r="J19" s="142" t="str">
        <f t="shared" si="0"/>
        <v>21.5.2026</v>
      </c>
      <c r="L19" s="153">
        <v>8</v>
      </c>
      <c r="M19" s="92"/>
    </row>
    <row r="20" spans="1:21" ht="21.6" x14ac:dyDescent="0.65">
      <c r="A20" s="195"/>
      <c r="B20" s="140">
        <v>17</v>
      </c>
      <c r="C20" s="2"/>
      <c r="D20" s="1"/>
      <c r="E20" s="3"/>
      <c r="F20" s="1"/>
      <c r="G20" s="141">
        <f>IF(Basic3456789101112[[#This Row],[نوع الخدمة]]="مخالفات", 50,
IF(Basic3456789101112[[#This Row],[نوع الخدمة]]="كاش ان",
    IF(F20&lt;=100, 18, IF(F20&lt;=250, 23, IF(F20&lt;=500, 35, IF(F20&lt;=1000, 40, F20*0.04)))),
IF(Basic3456789101112[[#This Row],[نوع الخدمة]]="كاش اوت",
    IF(F20&lt;=100, 15, IF(F20&lt;=250, 20, IF(F20&lt;=500, 30, IF(F20&lt;=1000, 35, F20*0.035)))),
0)))</f>
        <v>0</v>
      </c>
      <c r="H20" s="159">
        <f>IF(I20="مخالفات",50,Basic3456789101112[[#This Row],[قيمة الرسوم / العموله]]+Basic3456789101112[[#This Row],[قيمة الشحنه]])</f>
        <v>0</v>
      </c>
      <c r="I20" s="90"/>
      <c r="J20" s="142" t="str">
        <f t="shared" si="0"/>
        <v>21.5.2026</v>
      </c>
      <c r="L20" s="153">
        <v>9</v>
      </c>
      <c r="M20" s="92"/>
      <c r="O20" s="193" t="s">
        <v>30</v>
      </c>
      <c r="P20" s="194"/>
    </row>
    <row r="21" spans="1:21" ht="21.6" x14ac:dyDescent="0.65">
      <c r="A21" s="195"/>
      <c r="B21" s="144">
        <v>18</v>
      </c>
      <c r="C21" s="2"/>
      <c r="D21" s="1"/>
      <c r="E21" s="3"/>
      <c r="F21" s="1"/>
      <c r="G21" s="141">
        <f>IF(Basic3456789101112[[#This Row],[نوع الخدمة]]="مخالفات", 50,
IF(Basic3456789101112[[#This Row],[نوع الخدمة]]="كاش ان",
    IF(F21&lt;=100, 18, IF(F21&lt;=250, 23, IF(F21&lt;=500, 35, IF(F21&lt;=1000, 40, F21*0.04)))),
IF(Basic3456789101112[[#This Row],[نوع الخدمة]]="كاش اوت",
    IF(F21&lt;=100, 15, IF(F21&lt;=250, 20, IF(F21&lt;=500, 30, IF(F21&lt;=1000, 35, F21*0.035)))),
0)))</f>
        <v>0</v>
      </c>
      <c r="H21" s="159">
        <f>IF(I21="مخالفات",50,Basic3456789101112[[#This Row],[قيمة الرسوم / العموله]]+Basic3456789101112[[#This Row],[قيمة الشحنه]])</f>
        <v>0</v>
      </c>
      <c r="I21" s="90"/>
      <c r="J21" s="142" t="str">
        <f t="shared" si="0"/>
        <v>21.5.2026</v>
      </c>
      <c r="L21" s="153">
        <v>10</v>
      </c>
      <c r="M21" s="92"/>
      <c r="O21" s="196" t="s">
        <v>31</v>
      </c>
      <c r="P21" s="197"/>
    </row>
    <row r="22" spans="1:21" ht="21.6" x14ac:dyDescent="0.65">
      <c r="A22" s="195"/>
      <c r="B22" s="140">
        <v>19</v>
      </c>
      <c r="C22" s="2"/>
      <c r="D22" s="1"/>
      <c r="E22" s="3"/>
      <c r="F22" s="1"/>
      <c r="G22" s="141">
        <f>IF(Basic3456789101112[[#This Row],[نوع الخدمة]]="مخالفات", 50,
IF(Basic3456789101112[[#This Row],[نوع الخدمة]]="كاش ان",
    IF(F22&lt;=100, 18, IF(F22&lt;=250, 23, IF(F22&lt;=500, 35, IF(F22&lt;=1000, 40, F22*0.04)))),
IF(Basic3456789101112[[#This Row],[نوع الخدمة]]="كاش اوت",
    IF(F22&lt;=100, 15, IF(F22&lt;=250, 20, IF(F22&lt;=500, 30, IF(F22&lt;=1000, 35, F22*0.035)))),
0)))</f>
        <v>0</v>
      </c>
      <c r="H22" s="159">
        <f>IF(I22="مخالفات",50,Basic3456789101112[[#This Row],[قيمة الرسوم / العموله]]+Basic3456789101112[[#This Row],[قيمة الشحنه]])</f>
        <v>0</v>
      </c>
      <c r="I22" s="90"/>
      <c r="J22" s="142" t="str">
        <f t="shared" si="0"/>
        <v>21.5.2026</v>
      </c>
      <c r="L22" s="153">
        <v>11</v>
      </c>
      <c r="M22" s="92"/>
      <c r="O22" s="147" t="s">
        <v>27</v>
      </c>
      <c r="P22" s="135">
        <f>M8+'20'!P28</f>
        <v>-4</v>
      </c>
    </row>
    <row r="23" spans="1:21" ht="21.6" x14ac:dyDescent="0.65">
      <c r="A23" s="195"/>
      <c r="B23" s="140">
        <v>20</v>
      </c>
      <c r="C23" s="2"/>
      <c r="D23" s="1"/>
      <c r="E23" s="3"/>
      <c r="F23" s="1"/>
      <c r="G23" s="141">
        <f>IF(Basic3456789101112[[#This Row],[نوع الخدمة]]="مخالفات", 50,
IF(Basic3456789101112[[#This Row],[نوع الخدمة]]="كاش ان",
    IF(F23&lt;=100, 18, IF(F23&lt;=250, 23, IF(F23&lt;=500, 35, IF(F23&lt;=1000, 40, F23*0.04)))),
IF(Basic3456789101112[[#This Row],[نوع الخدمة]]="كاش اوت",
    IF(F23&lt;=100, 15, IF(F23&lt;=250, 20, IF(F23&lt;=500, 30, IF(F23&lt;=1000, 35, F23*0.035)))),
0)))</f>
        <v>0</v>
      </c>
      <c r="H23" s="159">
        <f>IF(I23="مخالفات",50,Basic3456789101112[[#This Row],[قيمة الرسوم / العموله]]+Basic3456789101112[[#This Row],[قيمة الشحنه]])</f>
        <v>0</v>
      </c>
      <c r="I23" s="90"/>
      <c r="J23" s="142" t="str">
        <f t="shared" si="0"/>
        <v>21.5.2026</v>
      </c>
      <c r="L23" s="153">
        <v>12</v>
      </c>
      <c r="M23" s="92"/>
      <c r="O23" s="147" t="s">
        <v>28</v>
      </c>
      <c r="P23" s="135">
        <f>M9+'20'!P29</f>
        <v>0</v>
      </c>
      <c r="T23" s="139"/>
      <c r="U23" s="139"/>
    </row>
    <row r="24" spans="1:21" ht="21.6" x14ac:dyDescent="0.65">
      <c r="A24" s="195"/>
      <c r="B24" s="140">
        <v>21</v>
      </c>
      <c r="C24" s="2"/>
      <c r="D24" s="1"/>
      <c r="E24" s="3"/>
      <c r="F24" s="1"/>
      <c r="G24" s="141">
        <f>IF(Basic3456789101112[[#This Row],[نوع الخدمة]]="مخالفات", 50,
IF(Basic3456789101112[[#This Row],[نوع الخدمة]]="كاش ان",
    IF(F24&lt;=100, 18, IF(F24&lt;=250, 23, IF(F24&lt;=500, 35, IF(F24&lt;=1000, 40, F24*0.04)))),
IF(Basic3456789101112[[#This Row],[نوع الخدمة]]="كاش اوت",
    IF(F24&lt;=100, 15, IF(F24&lt;=250, 20, IF(F24&lt;=500, 30, IF(F24&lt;=1000, 35, F24*0.035)))),
0)))</f>
        <v>0</v>
      </c>
      <c r="H24" s="159">
        <f>IF(I24="مخالفات",50,Basic3456789101112[[#This Row],[قيمة الرسوم / العموله]]+Basic3456789101112[[#This Row],[قيمة الشحنه]])</f>
        <v>0</v>
      </c>
      <c r="I24" s="90"/>
      <c r="J24" s="142" t="str">
        <f t="shared" si="0"/>
        <v>21.5.2026</v>
      </c>
      <c r="L24" s="153">
        <v>13</v>
      </c>
      <c r="M24" s="92"/>
      <c r="O24" s="196" t="s">
        <v>32</v>
      </c>
      <c r="P24" s="197"/>
    </row>
    <row r="25" spans="1:21" ht="21.6" x14ac:dyDescent="0.65">
      <c r="A25" s="195"/>
      <c r="B25" s="144">
        <v>22</v>
      </c>
      <c r="C25" s="2"/>
      <c r="D25" s="1"/>
      <c r="E25" s="3"/>
      <c r="F25" s="1"/>
      <c r="G25" s="141">
        <f>IF(Basic3456789101112[[#This Row],[نوع الخدمة]]="مخالفات", 50,
IF(Basic3456789101112[[#This Row],[نوع الخدمة]]="كاش ان",
    IF(F25&lt;=100, 18, IF(F25&lt;=250, 23, IF(F25&lt;=500, 35, IF(F25&lt;=1000, 40, F25*0.04)))),
IF(Basic3456789101112[[#This Row],[نوع الخدمة]]="كاش اوت",
    IF(F25&lt;=100, 15, IF(F25&lt;=250, 20, IF(F25&lt;=500, 30, IF(F25&lt;=1000, 35, F25*0.035)))),
0)))</f>
        <v>0</v>
      </c>
      <c r="H25" s="159">
        <f>IF(I25="مخالفات",50,Basic3456789101112[[#This Row],[قيمة الرسوم / العموله]]+Basic3456789101112[[#This Row],[قيمة الشحنه]])</f>
        <v>0</v>
      </c>
      <c r="I25" s="90"/>
      <c r="J25" s="142" t="str">
        <f t="shared" si="0"/>
        <v>21.5.2026</v>
      </c>
      <c r="L25" s="153">
        <v>14</v>
      </c>
      <c r="M25" s="92"/>
      <c r="O25" s="147" t="s">
        <v>27</v>
      </c>
      <c r="P25" s="135">
        <f>M5</f>
        <v>0</v>
      </c>
    </row>
    <row r="26" spans="1:21" ht="21.6" x14ac:dyDescent="0.65">
      <c r="A26" s="195"/>
      <c r="B26" s="140">
        <v>23</v>
      </c>
      <c r="C26" s="2"/>
      <c r="D26" s="1"/>
      <c r="E26" s="3"/>
      <c r="F26" s="1"/>
      <c r="G26" s="141">
        <f>IF(Basic3456789101112[[#This Row],[نوع الخدمة]]="مخالفات", 50,
IF(Basic3456789101112[[#This Row],[نوع الخدمة]]="كاش ان",
    IF(F26&lt;=100, 18, IF(F26&lt;=250, 23, IF(F26&lt;=500, 35, IF(F26&lt;=1000, 40, F26*0.04)))),
IF(Basic3456789101112[[#This Row],[نوع الخدمة]]="كاش اوت",
    IF(F26&lt;=100, 15, IF(F26&lt;=250, 20, IF(F26&lt;=500, 30, IF(F26&lt;=1000, 35, F26*0.035)))),
0)))</f>
        <v>0</v>
      </c>
      <c r="H26" s="159">
        <f>IF(I26="مخالفات",50,Basic3456789101112[[#This Row],[قيمة الرسوم / العموله]]+Basic3456789101112[[#This Row],[قيمة الشحنه]])</f>
        <v>0</v>
      </c>
      <c r="I26" s="90"/>
      <c r="J26" s="142" t="str">
        <f t="shared" si="0"/>
        <v>21.5.2026</v>
      </c>
      <c r="L26" s="153">
        <v>15</v>
      </c>
      <c r="M26" s="92"/>
      <c r="O26" s="147" t="s">
        <v>28</v>
      </c>
      <c r="P26" s="135">
        <f>M6</f>
        <v>0</v>
      </c>
    </row>
    <row r="27" spans="1:21" ht="21.6" x14ac:dyDescent="0.65">
      <c r="A27" s="195"/>
      <c r="B27" s="140">
        <v>24</v>
      </c>
      <c r="C27" s="2"/>
      <c r="D27" s="1"/>
      <c r="E27" s="3"/>
      <c r="F27" s="1"/>
      <c r="G27" s="141">
        <f>IF(Basic3456789101112[[#This Row],[نوع الخدمة]]="مخالفات", 50,
IF(Basic3456789101112[[#This Row],[نوع الخدمة]]="كاش ان",
    IF(F27&lt;=100, 18, IF(F27&lt;=250, 23, IF(F27&lt;=500, 35, IF(F27&lt;=1000, 40, F27*0.04)))),
IF(Basic3456789101112[[#This Row],[نوع الخدمة]]="كاش اوت",
    IF(F27&lt;=100, 15, IF(F27&lt;=250, 20, IF(F27&lt;=500, 30, IF(F27&lt;=1000, 35, F27*0.035)))),
0)))</f>
        <v>0</v>
      </c>
      <c r="H27" s="159">
        <f>IF(I27="مخالفات",50,Basic3456789101112[[#This Row],[قيمة الرسوم / العموله]]+Basic3456789101112[[#This Row],[قيمة الشحنه]])</f>
        <v>0</v>
      </c>
      <c r="I27" s="90"/>
      <c r="J27" s="142" t="str">
        <f t="shared" si="0"/>
        <v>21.5.2026</v>
      </c>
      <c r="L27" s="153">
        <v>16</v>
      </c>
      <c r="M27" s="92"/>
      <c r="O27" s="196" t="s">
        <v>33</v>
      </c>
      <c r="P27" s="197"/>
    </row>
    <row r="28" spans="1:21" ht="21.6" x14ac:dyDescent="0.65">
      <c r="A28" s="195"/>
      <c r="B28" s="140">
        <v>25</v>
      </c>
      <c r="C28" s="2"/>
      <c r="D28" s="1"/>
      <c r="E28" s="3"/>
      <c r="F28" s="1"/>
      <c r="G28" s="141">
        <f>IF(Basic3456789101112[[#This Row],[نوع الخدمة]]="مخالفات", 50,
IF(Basic3456789101112[[#This Row],[نوع الخدمة]]="كاش ان",
    IF(F28&lt;=100, 18, IF(F28&lt;=250, 23, IF(F28&lt;=500, 35, IF(F28&lt;=1000, 40, F28*0.04)))),
IF(Basic3456789101112[[#This Row],[نوع الخدمة]]="كاش اوت",
    IF(F28&lt;=100, 15, IF(F28&lt;=250, 20, IF(F28&lt;=500, 30, IF(F28&lt;=1000, 35, F28*0.035)))),
0)))</f>
        <v>0</v>
      </c>
      <c r="H28" s="159">
        <f>IF(I28="مخالفات",50,Basic3456789101112[[#This Row],[قيمة الرسوم / العموله]]+Basic3456789101112[[#This Row],[قيمة الشحنه]])</f>
        <v>0</v>
      </c>
      <c r="I28" s="90"/>
      <c r="J28" s="142" t="str">
        <f t="shared" si="0"/>
        <v>21.5.2026</v>
      </c>
      <c r="L28" s="153">
        <v>17</v>
      </c>
      <c r="M28" s="92"/>
      <c r="O28" s="147" t="s">
        <v>27</v>
      </c>
      <c r="P28" s="135">
        <f>P22-P25</f>
        <v>-4</v>
      </c>
    </row>
    <row r="29" spans="1:21" ht="21.6" x14ac:dyDescent="0.65">
      <c r="A29" s="195"/>
      <c r="B29" s="144">
        <v>26</v>
      </c>
      <c r="C29" s="2"/>
      <c r="D29" s="1"/>
      <c r="E29" s="3"/>
      <c r="F29" s="1"/>
      <c r="G29" s="141">
        <f>IF(Basic3456789101112[[#This Row],[نوع الخدمة]]="مخالفات", 50,
IF(Basic3456789101112[[#This Row],[نوع الخدمة]]="كاش ان",
    IF(F29&lt;=100, 18, IF(F29&lt;=250, 23, IF(F29&lt;=500, 35, IF(F29&lt;=1000, 40, F29*0.04)))),
IF(Basic3456789101112[[#This Row],[نوع الخدمة]]="كاش اوت",
    IF(F29&lt;=100, 15, IF(F29&lt;=250, 20, IF(F29&lt;=500, 30, IF(F29&lt;=1000, 35, F29*0.035)))),
0)))</f>
        <v>0</v>
      </c>
      <c r="H29" s="159">
        <f>IF(I29="مخالفات",50,Basic3456789101112[[#This Row],[قيمة الرسوم / العموله]]+Basic3456789101112[[#This Row],[قيمة الشحنه]])</f>
        <v>0</v>
      </c>
      <c r="I29" s="90"/>
      <c r="J29" s="142" t="str">
        <f t="shared" si="0"/>
        <v>21.5.2026</v>
      </c>
      <c r="L29" s="153">
        <v>18</v>
      </c>
      <c r="M29" s="92"/>
      <c r="O29" s="147" t="s">
        <v>28</v>
      </c>
      <c r="P29" s="135">
        <f>P23-P26</f>
        <v>0</v>
      </c>
    </row>
    <row r="30" spans="1:21" ht="21.6" x14ac:dyDescent="0.65">
      <c r="A30" s="195"/>
      <c r="B30" s="140">
        <v>27</v>
      </c>
      <c r="C30" s="2"/>
      <c r="D30" s="1"/>
      <c r="E30" s="3"/>
      <c r="F30" s="1"/>
      <c r="G30" s="141">
        <f>IF(Basic3456789101112[[#This Row],[نوع الخدمة]]="مخالفات", 50,
IF(Basic3456789101112[[#This Row],[نوع الخدمة]]="كاش ان",
    IF(F30&lt;=100, 18, IF(F30&lt;=250, 23, IF(F30&lt;=500, 35, IF(F30&lt;=1000, 40, F30*0.04)))),
IF(Basic3456789101112[[#This Row],[نوع الخدمة]]="كاش اوت",
    IF(F30&lt;=100, 15, IF(F30&lt;=250, 20, IF(F30&lt;=500, 30, IF(F30&lt;=1000, 35, F30*0.035)))),
0)))</f>
        <v>0</v>
      </c>
      <c r="H30" s="159">
        <f>IF(I30="مخالفات",50,Basic3456789101112[[#This Row],[قيمة الرسوم / العموله]]+Basic3456789101112[[#This Row],[قيمة الشحنه]])</f>
        <v>0</v>
      </c>
      <c r="I30" s="90"/>
      <c r="J30" s="142" t="str">
        <f t="shared" si="0"/>
        <v>21.5.2026</v>
      </c>
      <c r="L30" s="153">
        <v>19</v>
      </c>
      <c r="M30" s="92"/>
    </row>
    <row r="31" spans="1:21" ht="21.6" x14ac:dyDescent="0.65">
      <c r="A31" s="195"/>
      <c r="B31" s="140">
        <v>28</v>
      </c>
      <c r="C31" s="2"/>
      <c r="D31" s="1"/>
      <c r="E31" s="3"/>
      <c r="F31" s="1"/>
      <c r="G31" s="141">
        <f>IF(Basic3456789101112[[#This Row],[نوع الخدمة]]="مخالفات", 50,
IF(Basic3456789101112[[#This Row],[نوع الخدمة]]="كاش ان",
    IF(F31&lt;=100, 18, IF(F31&lt;=250, 23, IF(F31&lt;=500, 35, IF(F31&lt;=1000, 40, F31*0.04)))),
IF(Basic3456789101112[[#This Row],[نوع الخدمة]]="كاش اوت",
    IF(F31&lt;=100, 15, IF(F31&lt;=250, 20, IF(F31&lt;=500, 30, IF(F31&lt;=1000, 35, F31*0.035)))),
0)))</f>
        <v>0</v>
      </c>
      <c r="H31" s="159">
        <f>IF(I31="مخالفات",50,Basic3456789101112[[#This Row],[قيمة الرسوم / العموله]]+Basic3456789101112[[#This Row],[قيمة الشحنه]])</f>
        <v>0</v>
      </c>
      <c r="I31" s="90"/>
      <c r="J31" s="142" t="str">
        <f t="shared" si="0"/>
        <v>21.5.2026</v>
      </c>
      <c r="L31" s="153">
        <v>20</v>
      </c>
      <c r="M31" s="92"/>
    </row>
    <row r="32" spans="1:21" ht="21.6" x14ac:dyDescent="0.65">
      <c r="A32" s="195"/>
      <c r="B32" s="140">
        <v>29</v>
      </c>
      <c r="C32" s="2"/>
      <c r="D32" s="1"/>
      <c r="E32" s="3"/>
      <c r="F32" s="1"/>
      <c r="G32" s="141">
        <f>IF(Basic3456789101112[[#This Row],[نوع الخدمة]]="مخالفات", 50,
IF(Basic3456789101112[[#This Row],[نوع الخدمة]]="كاش ان",
    IF(F32&lt;=100, 18, IF(F32&lt;=250, 23, IF(F32&lt;=500, 35, IF(F32&lt;=1000, 40, F32*0.04)))),
IF(Basic3456789101112[[#This Row],[نوع الخدمة]]="كاش اوت",
    IF(F32&lt;=100, 15, IF(F32&lt;=250, 20, IF(F32&lt;=500, 30, IF(F32&lt;=1000, 35, F32*0.035)))),
0)))</f>
        <v>0</v>
      </c>
      <c r="H32" s="159">
        <f>IF(I32="مخالفات",50,Basic3456789101112[[#This Row],[قيمة الرسوم / العموله]]+Basic3456789101112[[#This Row],[قيمة الشحنه]])</f>
        <v>0</v>
      </c>
      <c r="I32" s="90"/>
      <c r="J32" s="142" t="str">
        <f t="shared" si="0"/>
        <v>21.5.2026</v>
      </c>
      <c r="L32" s="153">
        <v>21</v>
      </c>
      <c r="M32" s="92"/>
    </row>
    <row r="33" spans="1:13" ht="21.6" x14ac:dyDescent="0.65">
      <c r="A33" s="195"/>
      <c r="B33" s="144">
        <v>30</v>
      </c>
      <c r="C33" s="2"/>
      <c r="D33" s="1"/>
      <c r="E33" s="3"/>
      <c r="F33" s="1"/>
      <c r="G33" s="141">
        <f>IF(Basic3456789101112[[#This Row],[نوع الخدمة]]="مخالفات", 50,
IF(Basic3456789101112[[#This Row],[نوع الخدمة]]="كاش ان",
    IF(F33&lt;=100, 18, IF(F33&lt;=250, 23, IF(F33&lt;=500, 35, IF(F33&lt;=1000, 40, F33*0.04)))),
IF(Basic3456789101112[[#This Row],[نوع الخدمة]]="كاش اوت",
    IF(F33&lt;=100, 15, IF(F33&lt;=250, 20, IF(F33&lt;=500, 30, IF(F33&lt;=1000, 35, F33*0.035)))),
0)))</f>
        <v>0</v>
      </c>
      <c r="H33" s="159">
        <f>IF(I33="مخالفات",50,Basic3456789101112[[#This Row],[قيمة الرسوم / العموله]]+Basic3456789101112[[#This Row],[قيمة الشحنه]])</f>
        <v>0</v>
      </c>
      <c r="I33" s="90"/>
      <c r="J33" s="142" t="str">
        <f t="shared" si="0"/>
        <v>21.5.2026</v>
      </c>
      <c r="L33" s="153">
        <v>22</v>
      </c>
      <c r="M33" s="92"/>
    </row>
    <row r="34" spans="1:13" ht="21.6" x14ac:dyDescent="0.65">
      <c r="A34" s="195"/>
      <c r="B34" s="140">
        <v>31</v>
      </c>
      <c r="C34" s="2"/>
      <c r="D34" s="1"/>
      <c r="E34" s="3"/>
      <c r="F34" s="1"/>
      <c r="G34" s="141">
        <f>IF(Basic3456789101112[[#This Row],[نوع الخدمة]]="مخالفات", 50,
IF(Basic3456789101112[[#This Row],[نوع الخدمة]]="كاش ان",
    IF(F34&lt;=100, 18, IF(F34&lt;=250, 23, IF(F34&lt;=500, 35, IF(F34&lt;=1000, 40, F34*0.04)))),
IF(Basic3456789101112[[#This Row],[نوع الخدمة]]="كاش اوت",
    IF(F34&lt;=100, 15, IF(F34&lt;=250, 20, IF(F34&lt;=500, 30, IF(F34&lt;=1000, 35, F34*0.035)))),
0)))</f>
        <v>0</v>
      </c>
      <c r="H34" s="159">
        <f>IF(I34="مخالفات",50,Basic3456789101112[[#This Row],[قيمة الرسوم / العموله]]+Basic3456789101112[[#This Row],[قيمة الشحنه]])</f>
        <v>0</v>
      </c>
      <c r="I34" s="90"/>
      <c r="J34" s="142" t="str">
        <f t="shared" si="0"/>
        <v>21.5.2026</v>
      </c>
      <c r="L34" s="153">
        <v>23</v>
      </c>
      <c r="M34" s="92"/>
    </row>
    <row r="35" spans="1:13" ht="21.6" x14ac:dyDescent="0.65">
      <c r="A35" s="195"/>
      <c r="B35" s="140">
        <v>32</v>
      </c>
      <c r="C35" s="2"/>
      <c r="D35" s="1"/>
      <c r="E35" s="3"/>
      <c r="F35" s="1"/>
      <c r="G35" s="141">
        <f>IF(Basic3456789101112[[#This Row],[نوع الخدمة]]="مخالفات", 50,
IF(Basic3456789101112[[#This Row],[نوع الخدمة]]="كاش ان",
    IF(F35&lt;=100, 18, IF(F35&lt;=250, 23, IF(F35&lt;=500, 35, IF(F35&lt;=1000, 40, F35*0.04)))),
IF(Basic3456789101112[[#This Row],[نوع الخدمة]]="كاش اوت",
    IF(F35&lt;=100, 15, IF(F35&lt;=250, 20, IF(F35&lt;=500, 30, IF(F35&lt;=1000, 35, F35*0.035)))),
0)))</f>
        <v>0</v>
      </c>
      <c r="H35" s="159">
        <f>IF(I35="مخالفات",50,Basic3456789101112[[#This Row],[قيمة الرسوم / العموله]]+Basic3456789101112[[#This Row],[قيمة الشحنه]])</f>
        <v>0</v>
      </c>
      <c r="I35" s="90"/>
      <c r="J35" s="142" t="str">
        <f t="shared" si="0"/>
        <v>21.5.2026</v>
      </c>
      <c r="L35" s="153">
        <v>24</v>
      </c>
      <c r="M35" s="92"/>
    </row>
    <row r="36" spans="1:13" ht="21.6" x14ac:dyDescent="0.65">
      <c r="A36" s="195"/>
      <c r="B36" s="140">
        <v>33</v>
      </c>
      <c r="C36" s="2"/>
      <c r="D36" s="1"/>
      <c r="E36" s="3"/>
      <c r="F36" s="1"/>
      <c r="G36" s="141">
        <f>IF(Basic3456789101112[[#This Row],[نوع الخدمة]]="مخالفات", 50,
IF(Basic3456789101112[[#This Row],[نوع الخدمة]]="كاش ان",
    IF(F36&lt;=100, 18, IF(F36&lt;=250, 23, IF(F36&lt;=500, 35, IF(F36&lt;=1000, 40, F36*0.04)))),
IF(Basic3456789101112[[#This Row],[نوع الخدمة]]="كاش اوت",
    IF(F36&lt;=100, 15, IF(F36&lt;=250, 20, IF(F36&lt;=500, 30, IF(F36&lt;=1000, 35, F36*0.035)))),
0)))</f>
        <v>0</v>
      </c>
      <c r="H36" s="159">
        <f>IF(I36="مخالفات",50,Basic3456789101112[[#This Row],[قيمة الرسوم / العموله]]+Basic3456789101112[[#This Row],[قيمة الشحنه]])</f>
        <v>0</v>
      </c>
      <c r="I36" s="90"/>
      <c r="J36" s="142" t="str">
        <f t="shared" si="0"/>
        <v>21.5.2026</v>
      </c>
      <c r="L36" s="153">
        <v>25</v>
      </c>
      <c r="M36" s="92"/>
    </row>
    <row r="37" spans="1:13" ht="21.6" x14ac:dyDescent="0.65">
      <c r="A37" s="195"/>
      <c r="B37" s="144">
        <v>34</v>
      </c>
      <c r="C37" s="2"/>
      <c r="D37" s="1"/>
      <c r="E37" s="3"/>
      <c r="F37" s="1"/>
      <c r="G37" s="141">
        <f>IF(Basic3456789101112[[#This Row],[نوع الخدمة]]="مخالفات", 50,
IF(Basic3456789101112[[#This Row],[نوع الخدمة]]="كاش ان",
    IF(F37&lt;=100, 18, IF(F37&lt;=250, 23, IF(F37&lt;=500, 35, IF(F37&lt;=1000, 40, F37*0.04)))),
IF(Basic3456789101112[[#This Row],[نوع الخدمة]]="كاش اوت",
    IF(F37&lt;=100, 15, IF(F37&lt;=250, 20, IF(F37&lt;=500, 30, IF(F37&lt;=1000, 35, F37*0.035)))),
0)))</f>
        <v>0</v>
      </c>
      <c r="H37" s="159">
        <f>IF(I37="مخالفات",50,Basic3456789101112[[#This Row],[قيمة الرسوم / العموله]]+Basic3456789101112[[#This Row],[قيمة الشحنه]])</f>
        <v>0</v>
      </c>
      <c r="I37" s="90"/>
      <c r="J37" s="142" t="str">
        <f t="shared" si="0"/>
        <v>21.5.2026</v>
      </c>
      <c r="L37" s="153">
        <v>26</v>
      </c>
      <c r="M37" s="92"/>
    </row>
    <row r="38" spans="1:13" ht="21.6" x14ac:dyDescent="0.65">
      <c r="A38" s="195"/>
      <c r="B38" s="140">
        <v>35</v>
      </c>
      <c r="C38" s="2"/>
      <c r="D38" s="1"/>
      <c r="E38" s="3"/>
      <c r="F38" s="1"/>
      <c r="G38" s="141">
        <f>IF(Basic3456789101112[[#This Row],[نوع الخدمة]]="مخالفات", 50,
IF(Basic3456789101112[[#This Row],[نوع الخدمة]]="كاش ان",
    IF(F38&lt;=100, 18, IF(F38&lt;=250, 23, IF(F38&lt;=500, 35, IF(F38&lt;=1000, 40, F38*0.04)))),
IF(Basic3456789101112[[#This Row],[نوع الخدمة]]="كاش اوت",
    IF(F38&lt;=100, 15, IF(F38&lt;=250, 20, IF(F38&lt;=500, 30, IF(F38&lt;=1000, 35, F38*0.035)))),
0)))</f>
        <v>0</v>
      </c>
      <c r="H38" s="159">
        <f>IF(I38="مخالفات",50,Basic3456789101112[[#This Row],[قيمة الرسوم / العموله]]+Basic3456789101112[[#This Row],[قيمة الشحنه]])</f>
        <v>0</v>
      </c>
      <c r="I38" s="90"/>
      <c r="J38" s="142" t="str">
        <f t="shared" si="0"/>
        <v>21.5.2026</v>
      </c>
      <c r="L38" s="153">
        <v>27</v>
      </c>
      <c r="M38" s="92"/>
    </row>
    <row r="39" spans="1:13" ht="21.6" x14ac:dyDescent="0.65">
      <c r="A39" s="195"/>
      <c r="B39" s="140">
        <v>36</v>
      </c>
      <c r="C39" s="2"/>
      <c r="D39" s="1"/>
      <c r="E39" s="3"/>
      <c r="F39" s="1"/>
      <c r="G39" s="141">
        <f>IF(Basic3456789101112[[#This Row],[نوع الخدمة]]="مخالفات", 50,
IF(Basic3456789101112[[#This Row],[نوع الخدمة]]="كاش ان",
    IF(F39&lt;=100, 18, IF(F39&lt;=250, 23, IF(F39&lt;=500, 35, IF(F39&lt;=1000, 40, F39*0.04)))),
IF(Basic3456789101112[[#This Row],[نوع الخدمة]]="كاش اوت",
    IF(F39&lt;=100, 15, IF(F39&lt;=250, 20, IF(F39&lt;=500, 30, IF(F39&lt;=1000, 35, F39*0.035)))),
0)))</f>
        <v>0</v>
      </c>
      <c r="H39" s="159">
        <f>IF(I39="مخالفات",50,Basic3456789101112[[#This Row],[قيمة الرسوم / العموله]]+Basic3456789101112[[#This Row],[قيمة الشحنه]])</f>
        <v>0</v>
      </c>
      <c r="I39" s="90"/>
      <c r="J39" s="142" t="str">
        <f t="shared" si="0"/>
        <v>21.5.2026</v>
      </c>
      <c r="L39" s="153">
        <v>28</v>
      </c>
      <c r="M39" s="92"/>
    </row>
    <row r="40" spans="1:13" ht="21.6" x14ac:dyDescent="0.65">
      <c r="A40" s="195"/>
      <c r="B40" s="140">
        <v>37</v>
      </c>
      <c r="C40" s="2"/>
      <c r="D40" s="1"/>
      <c r="E40" s="3"/>
      <c r="F40" s="1"/>
      <c r="G40" s="141">
        <f>IF(Basic3456789101112[[#This Row],[نوع الخدمة]]="مخالفات", 50,
IF(Basic3456789101112[[#This Row],[نوع الخدمة]]="كاش ان",
    IF(F40&lt;=100, 18, IF(F40&lt;=250, 23, IF(F40&lt;=500, 35, IF(F40&lt;=1000, 40, F40*0.04)))),
IF(Basic3456789101112[[#This Row],[نوع الخدمة]]="كاش اوت",
    IF(F40&lt;=100, 15, IF(F40&lt;=250, 20, IF(F40&lt;=500, 30, IF(F40&lt;=1000, 35, F40*0.035)))),
0)))</f>
        <v>0</v>
      </c>
      <c r="H40" s="159">
        <f>IF(I40="مخالفات",50,Basic3456789101112[[#This Row],[قيمة الرسوم / العموله]]+Basic3456789101112[[#This Row],[قيمة الشحنه]])</f>
        <v>0</v>
      </c>
      <c r="I40" s="90"/>
      <c r="J40" s="142" t="str">
        <f t="shared" si="0"/>
        <v>21.5.2026</v>
      </c>
      <c r="L40" s="153">
        <v>29</v>
      </c>
      <c r="M40" s="92"/>
    </row>
    <row r="41" spans="1:13" ht="21.6" x14ac:dyDescent="0.65">
      <c r="A41" s="195"/>
      <c r="B41" s="144">
        <v>38</v>
      </c>
      <c r="C41" s="2"/>
      <c r="D41" s="1"/>
      <c r="E41" s="3"/>
      <c r="F41" s="1"/>
      <c r="G41" s="141">
        <f>IF(Basic3456789101112[[#This Row],[نوع الخدمة]]="مخالفات", 50,
IF(Basic3456789101112[[#This Row],[نوع الخدمة]]="كاش ان",
    IF(F41&lt;=100, 18, IF(F41&lt;=250, 23, IF(F41&lt;=500, 35, IF(F41&lt;=1000, 40, F41*0.04)))),
IF(Basic3456789101112[[#This Row],[نوع الخدمة]]="كاش اوت",
    IF(F41&lt;=100, 15, IF(F41&lt;=250, 20, IF(F41&lt;=500, 30, IF(F41&lt;=1000, 35, F41*0.035)))),
0)))</f>
        <v>0</v>
      </c>
      <c r="H41" s="159">
        <f>IF(I41="مخالفات",50,Basic3456789101112[[#This Row],[قيمة الرسوم / العموله]]+Basic3456789101112[[#This Row],[قيمة الشحنه]])</f>
        <v>0</v>
      </c>
      <c r="I41" s="90"/>
      <c r="J41" s="142" t="str">
        <f t="shared" si="0"/>
        <v>21.5.2026</v>
      </c>
      <c r="L41" s="153">
        <v>30</v>
      </c>
      <c r="M41" s="92"/>
    </row>
    <row r="42" spans="1:13" ht="21.6" x14ac:dyDescent="0.65">
      <c r="A42" s="195"/>
      <c r="B42" s="140">
        <v>39</v>
      </c>
      <c r="C42" s="2"/>
      <c r="D42" s="1"/>
      <c r="E42" s="3"/>
      <c r="F42" s="1"/>
      <c r="G42" s="141">
        <f>IF(Basic3456789101112[[#This Row],[نوع الخدمة]]="مخالفات", 50,
IF(Basic3456789101112[[#This Row],[نوع الخدمة]]="كاش ان",
    IF(F42&lt;=100, 18, IF(F42&lt;=250, 23, IF(F42&lt;=500, 35, IF(F42&lt;=1000, 40, F42*0.04)))),
IF(Basic3456789101112[[#This Row],[نوع الخدمة]]="كاش اوت",
    IF(F42&lt;=100, 15, IF(F42&lt;=250, 20, IF(F42&lt;=500, 30, IF(F42&lt;=1000, 35, F42*0.035)))),
0)))</f>
        <v>0</v>
      </c>
      <c r="H42" s="159">
        <f>IF(I42="مخالفات",50,Basic3456789101112[[#This Row],[قيمة الرسوم / العموله]]+Basic3456789101112[[#This Row],[قيمة الشحنه]])</f>
        <v>0</v>
      </c>
      <c r="I42" s="90"/>
      <c r="J42" s="142" t="str">
        <f t="shared" si="0"/>
        <v>21.5.2026</v>
      </c>
      <c r="L42" s="153">
        <v>31</v>
      </c>
      <c r="M42" s="92"/>
    </row>
    <row r="43" spans="1:13" ht="21.6" x14ac:dyDescent="0.65">
      <c r="A43" s="195"/>
      <c r="B43" s="140">
        <v>40</v>
      </c>
      <c r="C43" s="2"/>
      <c r="D43" s="1"/>
      <c r="E43" s="3"/>
      <c r="F43" s="1"/>
      <c r="G43" s="141">
        <f>IF(Basic3456789101112[[#This Row],[نوع الخدمة]]="مخالفات", 50,
IF(Basic3456789101112[[#This Row],[نوع الخدمة]]="كاش ان",
    IF(F43&lt;=100, 18, IF(F43&lt;=250, 23, IF(F43&lt;=500, 35, IF(F43&lt;=1000, 40, F43*0.04)))),
IF(Basic3456789101112[[#This Row],[نوع الخدمة]]="كاش اوت",
    IF(F43&lt;=100, 15, IF(F43&lt;=250, 20, IF(F43&lt;=500, 30, IF(F43&lt;=1000, 35, F43*0.035)))),
0)))</f>
        <v>0</v>
      </c>
      <c r="H43" s="159">
        <f>IF(I43="مخالفات",50,Basic3456789101112[[#This Row],[قيمة الرسوم / العموله]]+Basic3456789101112[[#This Row],[قيمة الشحنه]])</f>
        <v>0</v>
      </c>
      <c r="I43" s="90"/>
      <c r="J43" s="142" t="str">
        <f t="shared" si="0"/>
        <v>21.5.2026</v>
      </c>
      <c r="L43" s="153">
        <v>32</v>
      </c>
      <c r="M43" s="92"/>
    </row>
    <row r="44" spans="1:13" ht="21.6" x14ac:dyDescent="0.65">
      <c r="A44" s="195"/>
      <c r="B44" s="140">
        <v>41</v>
      </c>
      <c r="C44" s="2"/>
      <c r="D44" s="1"/>
      <c r="E44" s="3"/>
      <c r="F44" s="1"/>
      <c r="G44" s="141">
        <f>IF(Basic3456789101112[[#This Row],[نوع الخدمة]]="مخالفات", 50,
IF(Basic3456789101112[[#This Row],[نوع الخدمة]]="كاش ان",
    IF(F44&lt;=100, 18, IF(F44&lt;=250, 23, IF(F44&lt;=500, 35, IF(F44&lt;=1000, 40, F44*0.04)))),
IF(Basic3456789101112[[#This Row],[نوع الخدمة]]="كاش اوت",
    IF(F44&lt;=100, 15, IF(F44&lt;=250, 20, IF(F44&lt;=500, 30, IF(F44&lt;=1000, 35, F44*0.035)))),
0)))</f>
        <v>0</v>
      </c>
      <c r="H44" s="159">
        <f>IF(I44="مخالفات",50,Basic3456789101112[[#This Row],[قيمة الرسوم / العموله]]+Basic3456789101112[[#This Row],[قيمة الشحنه]])</f>
        <v>0</v>
      </c>
      <c r="I44" s="90"/>
      <c r="J44" s="142" t="str">
        <f t="shared" si="0"/>
        <v>21.5.2026</v>
      </c>
      <c r="L44" s="153">
        <v>33</v>
      </c>
      <c r="M44" s="92"/>
    </row>
    <row r="45" spans="1:13" ht="21.6" x14ac:dyDescent="0.65">
      <c r="A45" s="195"/>
      <c r="B45" s="144">
        <v>42</v>
      </c>
      <c r="C45" s="2"/>
      <c r="D45" s="1"/>
      <c r="E45" s="3"/>
      <c r="F45" s="1"/>
      <c r="G45" s="141">
        <f>IF(Basic3456789101112[[#This Row],[نوع الخدمة]]="مخالفات", 50,
IF(Basic3456789101112[[#This Row],[نوع الخدمة]]="كاش ان",
    IF(F45&lt;=100, 18, IF(F45&lt;=250, 23, IF(F45&lt;=500, 35, IF(F45&lt;=1000, 40, F45*0.04)))),
IF(Basic3456789101112[[#This Row],[نوع الخدمة]]="كاش اوت",
    IF(F45&lt;=100, 15, IF(F45&lt;=250, 20, IF(F45&lt;=500, 30, IF(F45&lt;=1000, 35, F45*0.035)))),
0)))</f>
        <v>0</v>
      </c>
      <c r="H45" s="159">
        <f>IF(I45="مخالفات",50,Basic3456789101112[[#This Row],[قيمة الرسوم / العموله]]+Basic3456789101112[[#This Row],[قيمة الشحنه]])</f>
        <v>0</v>
      </c>
      <c r="I45" s="90"/>
      <c r="J45" s="142" t="str">
        <f t="shared" si="0"/>
        <v>21.5.2026</v>
      </c>
      <c r="L45" s="153">
        <v>34</v>
      </c>
      <c r="M45" s="92"/>
    </row>
    <row r="46" spans="1:13" ht="21.6" x14ac:dyDescent="0.65">
      <c r="A46" s="195"/>
      <c r="B46" s="140">
        <v>43</v>
      </c>
      <c r="C46" s="2"/>
      <c r="D46" s="1"/>
      <c r="E46" s="3"/>
      <c r="F46" s="1"/>
      <c r="G46" s="141">
        <f>IF(Basic3456789101112[[#This Row],[نوع الخدمة]]="مخالفات", 50,
IF(Basic3456789101112[[#This Row],[نوع الخدمة]]="كاش ان",
    IF(F46&lt;=100, 18, IF(F46&lt;=250, 23, IF(F46&lt;=500, 35, IF(F46&lt;=1000, 40, F46*0.04)))),
IF(Basic3456789101112[[#This Row],[نوع الخدمة]]="كاش اوت",
    IF(F46&lt;=100, 15, IF(F46&lt;=250, 20, IF(F46&lt;=500, 30, IF(F46&lt;=1000, 35, F46*0.035)))),
0)))</f>
        <v>0</v>
      </c>
      <c r="H46" s="159">
        <f>IF(I46="مخالفات",50,Basic3456789101112[[#This Row],[قيمة الرسوم / العموله]]+Basic3456789101112[[#This Row],[قيمة الشحنه]])</f>
        <v>0</v>
      </c>
      <c r="I46" s="90"/>
      <c r="J46" s="142" t="str">
        <f t="shared" si="0"/>
        <v>21.5.2026</v>
      </c>
      <c r="L46" s="153">
        <v>35</v>
      </c>
      <c r="M46" s="92"/>
    </row>
    <row r="47" spans="1:13" ht="21.6" x14ac:dyDescent="0.65">
      <c r="A47" s="195"/>
      <c r="B47" s="140">
        <v>44</v>
      </c>
      <c r="C47" s="2"/>
      <c r="D47" s="1"/>
      <c r="E47" s="3"/>
      <c r="F47" s="1"/>
      <c r="G47" s="141">
        <f>IF(Basic3456789101112[[#This Row],[نوع الخدمة]]="مخالفات", 50,
IF(Basic3456789101112[[#This Row],[نوع الخدمة]]="كاش ان",
    IF(F47&lt;=100, 18, IF(F47&lt;=250, 23, IF(F47&lt;=500, 35, IF(F47&lt;=1000, 40, F47*0.04)))),
IF(Basic3456789101112[[#This Row],[نوع الخدمة]]="كاش اوت",
    IF(F47&lt;=100, 15, IF(F47&lt;=250, 20, IF(F47&lt;=500, 30, IF(F47&lt;=1000, 35, F47*0.035)))),
0)))</f>
        <v>0</v>
      </c>
      <c r="H47" s="159">
        <f>IF(I47="مخالفات",50,Basic3456789101112[[#This Row],[قيمة الرسوم / العموله]]+Basic3456789101112[[#This Row],[قيمة الشحنه]])</f>
        <v>0</v>
      </c>
      <c r="I47" s="90"/>
      <c r="J47" s="142" t="str">
        <f t="shared" si="0"/>
        <v>21.5.2026</v>
      </c>
      <c r="L47" s="153">
        <v>36</v>
      </c>
      <c r="M47" s="92"/>
    </row>
    <row r="48" spans="1:13" ht="21.6" x14ac:dyDescent="0.65">
      <c r="A48" s="195"/>
      <c r="B48" s="140">
        <v>45</v>
      </c>
      <c r="C48" s="2"/>
      <c r="D48" s="1"/>
      <c r="E48" s="3"/>
      <c r="F48" s="1"/>
      <c r="G48" s="141">
        <f>IF(Basic3456789101112[[#This Row],[نوع الخدمة]]="مخالفات", 50,
IF(Basic3456789101112[[#This Row],[نوع الخدمة]]="كاش ان",
    IF(F48&lt;=100, 18, IF(F48&lt;=250, 23, IF(F48&lt;=500, 35, IF(F48&lt;=1000, 40, F48*0.04)))),
IF(Basic3456789101112[[#This Row],[نوع الخدمة]]="كاش اوت",
    IF(F48&lt;=100, 15, IF(F48&lt;=250, 20, IF(F48&lt;=500, 30, IF(F48&lt;=1000, 35, F48*0.035)))),
0)))</f>
        <v>0</v>
      </c>
      <c r="H48" s="159">
        <f>IF(I48="مخالفات",50,Basic3456789101112[[#This Row],[قيمة الرسوم / العموله]]+Basic3456789101112[[#This Row],[قيمة الشحنه]])</f>
        <v>0</v>
      </c>
      <c r="I48" s="90"/>
      <c r="J48" s="142" t="str">
        <f t="shared" si="0"/>
        <v>21.5.2026</v>
      </c>
      <c r="L48" s="153">
        <v>37</v>
      </c>
      <c r="M48" s="92"/>
    </row>
    <row r="49" spans="1:13" ht="21.6" x14ac:dyDescent="0.65">
      <c r="A49" s="195"/>
      <c r="B49" s="144">
        <v>46</v>
      </c>
      <c r="C49" s="2"/>
      <c r="D49" s="1"/>
      <c r="E49" s="3"/>
      <c r="F49" s="1"/>
      <c r="G49" s="141">
        <f>IF(Basic3456789101112[[#This Row],[نوع الخدمة]]="مخالفات", 50,
IF(Basic3456789101112[[#This Row],[نوع الخدمة]]="كاش ان",
    IF(F49&lt;=100, 18, IF(F49&lt;=250, 23, IF(F49&lt;=500, 35, IF(F49&lt;=1000, 40, F49*0.04)))),
IF(Basic3456789101112[[#This Row],[نوع الخدمة]]="كاش اوت",
    IF(F49&lt;=100, 15, IF(F49&lt;=250, 20, IF(F49&lt;=500, 30, IF(F49&lt;=1000, 35, F49*0.035)))),
0)))</f>
        <v>0</v>
      </c>
      <c r="H49" s="159">
        <f>IF(I49="مخالفات",50,Basic3456789101112[[#This Row],[قيمة الرسوم / العموله]]+Basic3456789101112[[#This Row],[قيمة الشحنه]])</f>
        <v>0</v>
      </c>
      <c r="I49" s="90"/>
      <c r="J49" s="142" t="str">
        <f t="shared" si="0"/>
        <v>21.5.2026</v>
      </c>
      <c r="L49" s="153">
        <v>38</v>
      </c>
      <c r="M49" s="92"/>
    </row>
    <row r="50" spans="1:13" ht="21.6" x14ac:dyDescent="0.65">
      <c r="A50" s="195"/>
      <c r="B50" s="140">
        <v>47</v>
      </c>
      <c r="C50" s="2"/>
      <c r="D50" s="1"/>
      <c r="E50" s="3"/>
      <c r="F50" s="1"/>
      <c r="G50" s="141">
        <f>IF(Basic3456789101112[[#This Row],[نوع الخدمة]]="مخالفات", 50,
IF(Basic3456789101112[[#This Row],[نوع الخدمة]]="كاش ان",
    IF(F50&lt;=100, 18, IF(F50&lt;=250, 23, IF(F50&lt;=500, 35, IF(F50&lt;=1000, 40, F50*0.04)))),
IF(Basic3456789101112[[#This Row],[نوع الخدمة]]="كاش اوت",
    IF(F50&lt;=100, 15, IF(F50&lt;=250, 20, IF(F50&lt;=500, 30, IF(F50&lt;=1000, 35, F50*0.035)))),
0)))</f>
        <v>0</v>
      </c>
      <c r="H50" s="159">
        <f>IF(I50="مخالفات",50,Basic3456789101112[[#This Row],[قيمة الرسوم / العموله]]+Basic3456789101112[[#This Row],[قيمة الشحنه]])</f>
        <v>0</v>
      </c>
      <c r="I50" s="90"/>
      <c r="J50" s="142" t="str">
        <f t="shared" si="0"/>
        <v>21.5.2026</v>
      </c>
      <c r="L50" s="153">
        <v>39</v>
      </c>
      <c r="M50" s="92"/>
    </row>
    <row r="51" spans="1:13" ht="21.6" x14ac:dyDescent="0.65">
      <c r="A51" s="195"/>
      <c r="B51" s="140">
        <v>48</v>
      </c>
      <c r="C51" s="2"/>
      <c r="D51" s="1"/>
      <c r="E51" s="3"/>
      <c r="F51" s="1"/>
      <c r="G51" s="141">
        <f>IF(Basic3456789101112[[#This Row],[نوع الخدمة]]="مخالفات", 50,
IF(Basic3456789101112[[#This Row],[نوع الخدمة]]="كاش ان",
    IF(F51&lt;=100, 18, IF(F51&lt;=250, 23, IF(F51&lt;=500, 35, IF(F51&lt;=1000, 40, F51*0.04)))),
IF(Basic3456789101112[[#This Row],[نوع الخدمة]]="كاش اوت",
    IF(F51&lt;=100, 15, IF(F51&lt;=250, 20, IF(F51&lt;=500, 30, IF(F51&lt;=1000, 35, F51*0.035)))),
0)))</f>
        <v>0</v>
      </c>
      <c r="H51" s="159">
        <f>IF(I51="مخالفات",50,Basic3456789101112[[#This Row],[قيمة الرسوم / العموله]]+Basic3456789101112[[#This Row],[قيمة الشحنه]])</f>
        <v>0</v>
      </c>
      <c r="I51" s="90"/>
      <c r="J51" s="142" t="str">
        <f t="shared" si="0"/>
        <v>21.5.2026</v>
      </c>
      <c r="L51" s="153">
        <v>40</v>
      </c>
      <c r="M51" s="92"/>
    </row>
    <row r="52" spans="1:13" ht="21.6" x14ac:dyDescent="0.65">
      <c r="A52" s="195"/>
      <c r="B52" s="140">
        <v>49</v>
      </c>
      <c r="C52" s="2"/>
      <c r="D52" s="1"/>
      <c r="E52" s="3"/>
      <c r="F52" s="1"/>
      <c r="G52" s="141">
        <f>IF(Basic3456789101112[[#This Row],[نوع الخدمة]]="مخالفات", 50,
IF(Basic3456789101112[[#This Row],[نوع الخدمة]]="كاش ان",
    IF(F52&lt;=100, 18, IF(F52&lt;=250, 23, IF(F52&lt;=500, 35, IF(F52&lt;=1000, 40, F52*0.04)))),
IF(Basic3456789101112[[#This Row],[نوع الخدمة]]="كاش اوت",
    IF(F52&lt;=100, 15, IF(F52&lt;=250, 20, IF(F52&lt;=500, 30, IF(F52&lt;=1000, 35, F52*0.035)))),
0)))</f>
        <v>0</v>
      </c>
      <c r="H52" s="159">
        <f>IF(I52="مخالفات",50,Basic3456789101112[[#This Row],[قيمة الرسوم / العموله]]+Basic3456789101112[[#This Row],[قيمة الشحنه]])</f>
        <v>0</v>
      </c>
      <c r="I52" s="90"/>
      <c r="J52" s="142" t="str">
        <f t="shared" si="0"/>
        <v>21.5.2026</v>
      </c>
      <c r="L52" s="153">
        <v>41</v>
      </c>
      <c r="M52" s="92"/>
    </row>
    <row r="53" spans="1:13" ht="21.6" x14ac:dyDescent="0.65">
      <c r="A53" s="195"/>
      <c r="B53" s="144">
        <v>50</v>
      </c>
      <c r="C53" s="2"/>
      <c r="D53" s="1"/>
      <c r="E53" s="3"/>
      <c r="F53" s="1"/>
      <c r="G53" s="141">
        <f>IF(Basic3456789101112[[#This Row],[نوع الخدمة]]="مخالفات", 50,
IF(Basic3456789101112[[#This Row],[نوع الخدمة]]="كاش ان",
    IF(F53&lt;=100, 18, IF(F53&lt;=250, 23, IF(F53&lt;=500, 35, IF(F53&lt;=1000, 40, F53*0.04)))),
IF(Basic3456789101112[[#This Row],[نوع الخدمة]]="كاش اوت",
    IF(F53&lt;=100, 15, IF(F53&lt;=250, 20, IF(F53&lt;=500, 30, IF(F53&lt;=1000, 35, F53*0.035)))),
0)))</f>
        <v>0</v>
      </c>
      <c r="H53" s="159">
        <f>IF(I53="مخالفات",50,Basic3456789101112[[#This Row],[قيمة الرسوم / العموله]]+Basic3456789101112[[#This Row],[قيمة الشحنه]])</f>
        <v>0</v>
      </c>
      <c r="I53" s="90"/>
      <c r="J53" s="142" t="str">
        <f t="shared" si="0"/>
        <v>21.5.2026</v>
      </c>
      <c r="L53" s="153">
        <v>42</v>
      </c>
      <c r="M53" s="92"/>
    </row>
    <row r="54" spans="1:13" ht="21.6" x14ac:dyDescent="0.65">
      <c r="A54" s="195"/>
      <c r="B54" s="140">
        <v>51</v>
      </c>
      <c r="C54" s="2"/>
      <c r="D54" s="1"/>
      <c r="E54" s="3"/>
      <c r="F54" s="1"/>
      <c r="G54" s="141">
        <f>IF(Basic3456789101112[[#This Row],[نوع الخدمة]]="مخالفات", 50,
IF(Basic3456789101112[[#This Row],[نوع الخدمة]]="كاش ان",
    IF(F54&lt;=100, 18, IF(F54&lt;=250, 23, IF(F54&lt;=500, 35, IF(F54&lt;=1000, 40, F54*0.04)))),
IF(Basic3456789101112[[#This Row],[نوع الخدمة]]="كاش اوت",
    IF(F54&lt;=100, 15, IF(F54&lt;=250, 20, IF(F54&lt;=500, 30, IF(F54&lt;=1000, 35, F54*0.035)))),
0)))</f>
        <v>0</v>
      </c>
      <c r="H54" s="159">
        <f>IF(I54="مخالفات",50,Basic3456789101112[[#This Row],[قيمة الرسوم / العموله]]+Basic3456789101112[[#This Row],[قيمة الشحنه]])</f>
        <v>0</v>
      </c>
      <c r="I54" s="90"/>
      <c r="J54" s="142" t="str">
        <f t="shared" si="0"/>
        <v>21.5.2026</v>
      </c>
      <c r="L54" s="153">
        <v>43</v>
      </c>
      <c r="M54" s="92"/>
    </row>
    <row r="55" spans="1:13" ht="21.6" x14ac:dyDescent="0.65">
      <c r="A55" s="195"/>
      <c r="B55" s="140">
        <v>52</v>
      </c>
      <c r="C55" s="2"/>
      <c r="D55" s="1"/>
      <c r="E55" s="3"/>
      <c r="F55" s="1"/>
      <c r="G55" s="141">
        <f>IF(Basic3456789101112[[#This Row],[نوع الخدمة]]="مخالفات", 50,
IF(Basic3456789101112[[#This Row],[نوع الخدمة]]="كاش ان",
    IF(F55&lt;=100, 18, IF(F55&lt;=250, 23, IF(F55&lt;=500, 35, IF(F55&lt;=1000, 40, F55*0.04)))),
IF(Basic3456789101112[[#This Row],[نوع الخدمة]]="كاش اوت",
    IF(F55&lt;=100, 15, IF(F55&lt;=250, 20, IF(F55&lt;=500, 30, IF(F55&lt;=1000, 35, F55*0.035)))),
0)))</f>
        <v>0</v>
      </c>
      <c r="H55" s="159">
        <f>IF(I55="مخالفات",50,Basic3456789101112[[#This Row],[قيمة الرسوم / العموله]]+Basic3456789101112[[#This Row],[قيمة الشحنه]])</f>
        <v>0</v>
      </c>
      <c r="I55" s="90"/>
      <c r="J55" s="142" t="str">
        <f t="shared" si="0"/>
        <v>21.5.2026</v>
      </c>
      <c r="L55" s="153">
        <v>44</v>
      </c>
      <c r="M55" s="92"/>
    </row>
    <row r="56" spans="1:13" ht="21.6" x14ac:dyDescent="0.65">
      <c r="A56" s="195"/>
      <c r="B56" s="140">
        <v>53</v>
      </c>
      <c r="C56" s="2"/>
      <c r="D56" s="1"/>
      <c r="E56" s="3"/>
      <c r="F56" s="1"/>
      <c r="G56" s="141">
        <f>IF(Basic3456789101112[[#This Row],[نوع الخدمة]]="مخالفات", 50,
IF(Basic3456789101112[[#This Row],[نوع الخدمة]]="كاش ان",
    IF(F56&lt;=100, 18, IF(F56&lt;=250, 23, IF(F56&lt;=500, 35, IF(F56&lt;=1000, 40, F56*0.04)))),
IF(Basic3456789101112[[#This Row],[نوع الخدمة]]="كاش اوت",
    IF(F56&lt;=100, 15, IF(F56&lt;=250, 20, IF(F56&lt;=500, 30, IF(F56&lt;=1000, 35, F56*0.035)))),
0)))</f>
        <v>0</v>
      </c>
      <c r="H56" s="159">
        <f>IF(I56="مخالفات",50,Basic3456789101112[[#This Row],[قيمة الرسوم / العموله]]+Basic3456789101112[[#This Row],[قيمة الشحنه]])</f>
        <v>0</v>
      </c>
      <c r="I56" s="90"/>
      <c r="J56" s="142" t="str">
        <f t="shared" si="0"/>
        <v>21.5.2026</v>
      </c>
      <c r="L56" s="153">
        <v>45</v>
      </c>
      <c r="M56" s="92"/>
    </row>
    <row r="57" spans="1:13" ht="21.6" x14ac:dyDescent="0.65">
      <c r="A57" s="195"/>
      <c r="B57" s="144">
        <v>54</v>
      </c>
      <c r="C57" s="2"/>
      <c r="D57" s="1"/>
      <c r="E57" s="3"/>
      <c r="F57" s="1"/>
      <c r="G57" s="141">
        <f>IF(Basic3456789101112[[#This Row],[نوع الخدمة]]="مخالفات", 50,
IF(Basic3456789101112[[#This Row],[نوع الخدمة]]="كاش ان",
    IF(F57&lt;=100, 18, IF(F57&lt;=250, 23, IF(F57&lt;=500, 35, IF(F57&lt;=1000, 40, F57*0.04)))),
IF(Basic3456789101112[[#This Row],[نوع الخدمة]]="كاش اوت",
    IF(F57&lt;=100, 15, IF(F57&lt;=250, 20, IF(F57&lt;=500, 30, IF(F57&lt;=1000, 35, F57*0.035)))),
0)))</f>
        <v>0</v>
      </c>
      <c r="H57" s="159">
        <f>IF(I57="مخالفات",50,Basic3456789101112[[#This Row],[قيمة الرسوم / العموله]]+Basic3456789101112[[#This Row],[قيمة الشحنه]])</f>
        <v>0</v>
      </c>
      <c r="I57" s="90"/>
      <c r="J57" s="142" t="str">
        <f t="shared" si="0"/>
        <v>21.5.2026</v>
      </c>
      <c r="L57" s="153">
        <v>46</v>
      </c>
      <c r="M57" s="92"/>
    </row>
    <row r="58" spans="1:13" ht="21.6" x14ac:dyDescent="0.65">
      <c r="A58" s="195"/>
      <c r="B58" s="140">
        <v>55</v>
      </c>
      <c r="C58" s="2"/>
      <c r="D58" s="1"/>
      <c r="E58" s="3"/>
      <c r="F58" s="1"/>
      <c r="G58" s="141">
        <f>IF(Basic3456789101112[[#This Row],[نوع الخدمة]]="مخالفات", 50,
IF(Basic3456789101112[[#This Row],[نوع الخدمة]]="كاش ان",
    IF(F58&lt;=100, 18, IF(F58&lt;=250, 23, IF(F58&lt;=500, 35, IF(F58&lt;=1000, 40, F58*0.04)))),
IF(Basic3456789101112[[#This Row],[نوع الخدمة]]="كاش اوت",
    IF(F58&lt;=100, 15, IF(F58&lt;=250, 20, IF(F58&lt;=500, 30, IF(F58&lt;=1000, 35, F58*0.035)))),
0)))</f>
        <v>0</v>
      </c>
      <c r="H58" s="159">
        <f>IF(I58="مخالفات",50,Basic3456789101112[[#This Row],[قيمة الرسوم / العموله]]+Basic3456789101112[[#This Row],[قيمة الشحنه]])</f>
        <v>0</v>
      </c>
      <c r="I58" s="90"/>
      <c r="J58" s="142" t="str">
        <f t="shared" si="0"/>
        <v>21.5.2026</v>
      </c>
      <c r="L58" s="153">
        <v>47</v>
      </c>
      <c r="M58" s="92"/>
    </row>
    <row r="59" spans="1:13" ht="21.6" x14ac:dyDescent="0.65">
      <c r="A59" s="195"/>
      <c r="B59" s="140">
        <v>56</v>
      </c>
      <c r="C59" s="2"/>
      <c r="D59" s="1"/>
      <c r="E59" s="3"/>
      <c r="F59" s="1"/>
      <c r="G59" s="141">
        <f>IF(Basic3456789101112[[#This Row],[نوع الخدمة]]="مخالفات", 50,
IF(Basic3456789101112[[#This Row],[نوع الخدمة]]="كاش ان",
    IF(F59&lt;=100, 18, IF(F59&lt;=250, 23, IF(F59&lt;=500, 35, IF(F59&lt;=1000, 40, F59*0.04)))),
IF(Basic3456789101112[[#This Row],[نوع الخدمة]]="كاش اوت",
    IF(F59&lt;=100, 15, IF(F59&lt;=250, 20, IF(F59&lt;=500, 30, IF(F59&lt;=1000, 35, F59*0.035)))),
0)))</f>
        <v>0</v>
      </c>
      <c r="H59" s="159">
        <f>IF(I59="مخالفات",50,Basic3456789101112[[#This Row],[قيمة الرسوم / العموله]]+Basic3456789101112[[#This Row],[قيمة الشحنه]])</f>
        <v>0</v>
      </c>
      <c r="I59" s="90"/>
      <c r="J59" s="142" t="str">
        <f t="shared" si="0"/>
        <v>21.5.2026</v>
      </c>
      <c r="L59" s="153">
        <v>48</v>
      </c>
      <c r="M59" s="92"/>
    </row>
    <row r="60" spans="1:13" ht="21.6" x14ac:dyDescent="0.65">
      <c r="A60" s="195"/>
      <c r="B60" s="140">
        <v>57</v>
      </c>
      <c r="C60" s="2"/>
      <c r="D60" s="1"/>
      <c r="E60" s="3"/>
      <c r="F60" s="1"/>
      <c r="G60" s="141">
        <f>IF(Basic3456789101112[[#This Row],[نوع الخدمة]]="مخالفات", 50,
IF(Basic3456789101112[[#This Row],[نوع الخدمة]]="كاش ان",
    IF(F60&lt;=100, 18, IF(F60&lt;=250, 23, IF(F60&lt;=500, 35, IF(F60&lt;=1000, 40, F60*0.04)))),
IF(Basic3456789101112[[#This Row],[نوع الخدمة]]="كاش اوت",
    IF(F60&lt;=100, 15, IF(F60&lt;=250, 20, IF(F60&lt;=500, 30, IF(F60&lt;=1000, 35, F60*0.035)))),
0)))</f>
        <v>0</v>
      </c>
      <c r="H60" s="159">
        <f>IF(I60="مخالفات",50,Basic3456789101112[[#This Row],[قيمة الرسوم / العموله]]+Basic3456789101112[[#This Row],[قيمة الشحنه]])</f>
        <v>0</v>
      </c>
      <c r="I60" s="90"/>
      <c r="J60" s="142" t="str">
        <f t="shared" si="0"/>
        <v>21.5.2026</v>
      </c>
      <c r="L60" s="153">
        <v>49</v>
      </c>
      <c r="M60" s="92"/>
    </row>
    <row r="61" spans="1:13" ht="21.6" x14ac:dyDescent="0.65">
      <c r="A61" s="195"/>
      <c r="B61" s="144">
        <v>58</v>
      </c>
      <c r="C61" s="2"/>
      <c r="D61" s="1"/>
      <c r="E61" s="3"/>
      <c r="F61" s="1"/>
      <c r="G61" s="141">
        <f>IF(Basic3456789101112[[#This Row],[نوع الخدمة]]="مخالفات", 50,
IF(Basic3456789101112[[#This Row],[نوع الخدمة]]="كاش ان",
    IF(F61&lt;=100, 18, IF(F61&lt;=250, 23, IF(F61&lt;=500, 35, IF(F61&lt;=1000, 40, F61*0.04)))),
IF(Basic3456789101112[[#This Row],[نوع الخدمة]]="كاش اوت",
    IF(F61&lt;=100, 15, IF(F61&lt;=250, 20, IF(F61&lt;=500, 30, IF(F61&lt;=1000, 35, F61*0.035)))),
0)))</f>
        <v>0</v>
      </c>
      <c r="H61" s="159">
        <f>IF(I61="مخالفات",50,Basic3456789101112[[#This Row],[قيمة الرسوم / العموله]]+Basic3456789101112[[#This Row],[قيمة الشحنه]])</f>
        <v>0</v>
      </c>
      <c r="I61" s="90"/>
      <c r="J61" s="142" t="str">
        <f t="shared" si="0"/>
        <v>21.5.2026</v>
      </c>
      <c r="L61" s="153">
        <v>50</v>
      </c>
      <c r="M61" s="92"/>
    </row>
    <row r="62" spans="1:13" ht="21.6" x14ac:dyDescent="0.65">
      <c r="A62" s="195"/>
      <c r="B62" s="140">
        <v>59</v>
      </c>
      <c r="C62" s="2"/>
      <c r="D62" s="1"/>
      <c r="E62" s="3"/>
      <c r="F62" s="1"/>
      <c r="G62" s="141">
        <f>IF(Basic3456789101112[[#This Row],[نوع الخدمة]]="مخالفات", 50,
IF(Basic3456789101112[[#This Row],[نوع الخدمة]]="كاش ان",
    IF(F62&lt;=100, 18, IF(F62&lt;=250, 23, IF(F62&lt;=500, 35, IF(F62&lt;=1000, 40, F62*0.04)))),
IF(Basic3456789101112[[#This Row],[نوع الخدمة]]="كاش اوت",
    IF(F62&lt;=100, 15, IF(F62&lt;=250, 20, IF(F62&lt;=500, 30, IF(F62&lt;=1000, 35, F62*0.035)))),
0)))</f>
        <v>0</v>
      </c>
      <c r="H62" s="159">
        <f>IF(I62="مخالفات",50,Basic3456789101112[[#This Row],[قيمة الرسوم / العموله]]+Basic3456789101112[[#This Row],[قيمة الشحنه]])</f>
        <v>0</v>
      </c>
      <c r="I62" s="90"/>
      <c r="J62" s="142" t="str">
        <f t="shared" si="0"/>
        <v>21.5.2026</v>
      </c>
      <c r="L62" s="153">
        <v>51</v>
      </c>
      <c r="M62" s="92"/>
    </row>
    <row r="63" spans="1:13" ht="21.6" x14ac:dyDescent="0.65">
      <c r="A63" s="195"/>
      <c r="B63" s="140">
        <v>60</v>
      </c>
      <c r="C63" s="2"/>
      <c r="D63" s="1"/>
      <c r="E63" s="3"/>
      <c r="F63" s="1"/>
      <c r="G63" s="141">
        <f>IF(Basic3456789101112[[#This Row],[نوع الخدمة]]="مخالفات", 50,
IF(Basic3456789101112[[#This Row],[نوع الخدمة]]="كاش ان",
    IF(F63&lt;=100, 18, IF(F63&lt;=250, 23, IF(F63&lt;=500, 35, IF(F63&lt;=1000, 40, F63*0.04)))),
IF(Basic3456789101112[[#This Row],[نوع الخدمة]]="كاش اوت",
    IF(F63&lt;=100, 15, IF(F63&lt;=250, 20, IF(F63&lt;=500, 30, IF(F63&lt;=1000, 35, F63*0.035)))),
0)))</f>
        <v>0</v>
      </c>
      <c r="H63" s="159">
        <f>IF(I63="مخالفات",50,Basic3456789101112[[#This Row],[قيمة الرسوم / العموله]]+Basic3456789101112[[#This Row],[قيمة الشحنه]])</f>
        <v>0</v>
      </c>
      <c r="I63" s="90"/>
      <c r="J63" s="142" t="str">
        <f t="shared" si="0"/>
        <v>21.5.2026</v>
      </c>
      <c r="L63" s="153">
        <v>52</v>
      </c>
      <c r="M63" s="92"/>
    </row>
    <row r="64" spans="1:13" ht="21.6" x14ac:dyDescent="0.65">
      <c r="A64" s="195"/>
      <c r="B64" s="140">
        <v>61</v>
      </c>
      <c r="C64" s="2"/>
      <c r="D64" s="1"/>
      <c r="E64" s="3"/>
      <c r="F64" s="1"/>
      <c r="G64" s="141">
        <f>IF(Basic3456789101112[[#This Row],[نوع الخدمة]]="مخالفات", 50,
IF(Basic3456789101112[[#This Row],[نوع الخدمة]]="كاش ان",
    IF(F64&lt;=100, 18, IF(F64&lt;=250, 23, IF(F64&lt;=500, 35, IF(F64&lt;=1000, 40, F64*0.04)))),
IF(Basic3456789101112[[#This Row],[نوع الخدمة]]="كاش اوت",
    IF(F64&lt;=100, 15, IF(F64&lt;=250, 20, IF(F64&lt;=500, 30, IF(F64&lt;=1000, 35, F64*0.035)))),
0)))</f>
        <v>0</v>
      </c>
      <c r="H64" s="159">
        <f>IF(I64="مخالفات",50,Basic3456789101112[[#This Row],[قيمة الرسوم / العموله]]+Basic3456789101112[[#This Row],[قيمة الشحنه]])</f>
        <v>0</v>
      </c>
      <c r="I64" s="90"/>
      <c r="J64" s="142" t="str">
        <f t="shared" si="0"/>
        <v>21.5.2026</v>
      </c>
      <c r="L64" s="153">
        <v>53</v>
      </c>
      <c r="M64" s="92"/>
    </row>
    <row r="65" spans="1:13" ht="21.6" x14ac:dyDescent="0.65">
      <c r="A65" s="195"/>
      <c r="B65" s="144">
        <v>62</v>
      </c>
      <c r="C65" s="2"/>
      <c r="D65" s="1"/>
      <c r="E65" s="3"/>
      <c r="F65" s="1"/>
      <c r="G65" s="141">
        <f>IF(Basic3456789101112[[#This Row],[نوع الخدمة]]="مخالفات", 50,
IF(Basic3456789101112[[#This Row],[نوع الخدمة]]="كاش ان",
    IF(F65&lt;=100, 18, IF(F65&lt;=250, 23, IF(F65&lt;=500, 35, IF(F65&lt;=1000, 40, F65*0.04)))),
IF(Basic3456789101112[[#This Row],[نوع الخدمة]]="كاش اوت",
    IF(F65&lt;=100, 15, IF(F65&lt;=250, 20, IF(F65&lt;=500, 30, IF(F65&lt;=1000, 35, F65*0.035)))),
0)))</f>
        <v>0</v>
      </c>
      <c r="H65" s="159">
        <f>IF(I65="مخالفات",50,Basic3456789101112[[#This Row],[قيمة الرسوم / العموله]]+Basic3456789101112[[#This Row],[قيمة الشحنه]])</f>
        <v>0</v>
      </c>
      <c r="I65" s="90"/>
      <c r="J65" s="142" t="str">
        <f t="shared" si="0"/>
        <v>21.5.2026</v>
      </c>
      <c r="L65" s="153">
        <v>54</v>
      </c>
      <c r="M65" s="92"/>
    </row>
    <row r="66" spans="1:13" ht="21.6" x14ac:dyDescent="0.65">
      <c r="A66" s="195"/>
      <c r="B66" s="140">
        <v>63</v>
      </c>
      <c r="C66" s="2"/>
      <c r="D66" s="1"/>
      <c r="E66" s="3"/>
      <c r="F66" s="1"/>
      <c r="G66" s="141">
        <f>IF(Basic3456789101112[[#This Row],[نوع الخدمة]]="مخالفات", 50,
IF(Basic3456789101112[[#This Row],[نوع الخدمة]]="كاش ان",
    IF(F66&lt;=100, 18, IF(F66&lt;=250, 23, IF(F66&lt;=500, 35, IF(F66&lt;=1000, 40, F66*0.04)))),
IF(Basic3456789101112[[#This Row],[نوع الخدمة]]="كاش اوت",
    IF(F66&lt;=100, 15, IF(F66&lt;=250, 20, IF(F66&lt;=500, 30, IF(F66&lt;=1000, 35, F66*0.035)))),
0)))</f>
        <v>0</v>
      </c>
      <c r="H66" s="159">
        <f>IF(I66="مخالفات",50,Basic3456789101112[[#This Row],[قيمة الرسوم / العموله]]+Basic3456789101112[[#This Row],[قيمة الشحنه]])</f>
        <v>0</v>
      </c>
      <c r="I66" s="90"/>
      <c r="J66" s="142" t="str">
        <f t="shared" si="0"/>
        <v>21.5.2026</v>
      </c>
      <c r="L66" s="153">
        <v>55</v>
      </c>
      <c r="M66" s="92"/>
    </row>
    <row r="67" spans="1:13" ht="21.6" x14ac:dyDescent="0.65">
      <c r="A67" s="195"/>
      <c r="B67" s="140">
        <v>64</v>
      </c>
      <c r="C67" s="2"/>
      <c r="D67" s="1"/>
      <c r="E67" s="3"/>
      <c r="F67" s="1"/>
      <c r="G67" s="141">
        <f>IF(Basic3456789101112[[#This Row],[نوع الخدمة]]="مخالفات", 50,
IF(Basic3456789101112[[#This Row],[نوع الخدمة]]="كاش ان",
    IF(F67&lt;=100, 18, IF(F67&lt;=250, 23, IF(F67&lt;=500, 35, IF(F67&lt;=1000, 40, F67*0.04)))),
IF(Basic3456789101112[[#This Row],[نوع الخدمة]]="كاش اوت",
    IF(F67&lt;=100, 15, IF(F67&lt;=250, 20, IF(F67&lt;=500, 30, IF(F67&lt;=1000, 35, F67*0.035)))),
0)))</f>
        <v>0</v>
      </c>
      <c r="H67" s="159">
        <f>IF(I67="مخالفات",50,Basic3456789101112[[#This Row],[قيمة الرسوم / العموله]]+Basic3456789101112[[#This Row],[قيمة الشحنه]])</f>
        <v>0</v>
      </c>
      <c r="I67" s="90"/>
      <c r="J67" s="142" t="str">
        <f t="shared" si="0"/>
        <v>21.5.2026</v>
      </c>
      <c r="L67" s="153">
        <v>56</v>
      </c>
      <c r="M67" s="92"/>
    </row>
    <row r="68" spans="1:13" ht="21.6" x14ac:dyDescent="0.65">
      <c r="A68" s="195"/>
      <c r="B68" s="140">
        <v>65</v>
      </c>
      <c r="C68" s="2"/>
      <c r="D68" s="1"/>
      <c r="E68" s="3"/>
      <c r="F68" s="1"/>
      <c r="G68" s="141">
        <f>IF(Basic3456789101112[[#This Row],[نوع الخدمة]]="مخالفات", 50,
IF(Basic3456789101112[[#This Row],[نوع الخدمة]]="كاش ان",
    IF(F68&lt;=100, 18, IF(F68&lt;=250, 23, IF(F68&lt;=500, 35, IF(F68&lt;=1000, 40, F68*0.04)))),
IF(Basic3456789101112[[#This Row],[نوع الخدمة]]="كاش اوت",
    IF(F68&lt;=100, 15, IF(F68&lt;=250, 20, IF(F68&lt;=500, 30, IF(F68&lt;=1000, 35, F68*0.035)))),
0)))</f>
        <v>0</v>
      </c>
      <c r="H68" s="159">
        <f>IF(I68="مخالفات",50,Basic3456789101112[[#This Row],[قيمة الرسوم / العموله]]+Basic3456789101112[[#This Row],[قيمة الشحنه]])</f>
        <v>0</v>
      </c>
      <c r="I68" s="90"/>
      <c r="J68" s="142" t="str">
        <f t="shared" ref="J68:J131" si="1">M$3</f>
        <v>21.5.2026</v>
      </c>
      <c r="L68" s="153">
        <v>57</v>
      </c>
      <c r="M68" s="92"/>
    </row>
    <row r="69" spans="1:13" ht="21.6" x14ac:dyDescent="0.65">
      <c r="A69" s="195"/>
      <c r="B69" s="144">
        <v>66</v>
      </c>
      <c r="C69" s="2"/>
      <c r="D69" s="1"/>
      <c r="E69" s="3"/>
      <c r="F69" s="1"/>
      <c r="G69" s="141">
        <f>IF(Basic3456789101112[[#This Row],[نوع الخدمة]]="مخالفات", 50,
IF(Basic3456789101112[[#This Row],[نوع الخدمة]]="كاش ان",
    IF(F69&lt;=100, 18, IF(F69&lt;=250, 23, IF(F69&lt;=500, 35, IF(F69&lt;=1000, 40, F69*0.04)))),
IF(Basic3456789101112[[#This Row],[نوع الخدمة]]="كاش اوت",
    IF(F69&lt;=100, 15, IF(F69&lt;=250, 20, IF(F69&lt;=500, 30, IF(F69&lt;=1000, 35, F69*0.035)))),
0)))</f>
        <v>0</v>
      </c>
      <c r="H69" s="159">
        <f>IF(I69="مخالفات",50,Basic3456789101112[[#This Row],[قيمة الرسوم / العموله]]+Basic3456789101112[[#This Row],[قيمة الشحنه]])</f>
        <v>0</v>
      </c>
      <c r="I69" s="90"/>
      <c r="J69" s="142" t="str">
        <f t="shared" si="1"/>
        <v>21.5.2026</v>
      </c>
      <c r="L69" s="153">
        <v>58</v>
      </c>
      <c r="M69" s="92"/>
    </row>
    <row r="70" spans="1:13" ht="21.6" x14ac:dyDescent="0.65">
      <c r="A70" s="195"/>
      <c r="B70" s="140">
        <v>67</v>
      </c>
      <c r="C70" s="2"/>
      <c r="D70" s="1"/>
      <c r="E70" s="3"/>
      <c r="F70" s="1"/>
      <c r="G70" s="141">
        <f>IF(Basic3456789101112[[#This Row],[نوع الخدمة]]="مخالفات", 50,
IF(Basic3456789101112[[#This Row],[نوع الخدمة]]="كاش ان",
    IF(F70&lt;=100, 18, IF(F70&lt;=250, 23, IF(F70&lt;=500, 35, IF(F70&lt;=1000, 40, F70*0.04)))),
IF(Basic3456789101112[[#This Row],[نوع الخدمة]]="كاش اوت",
    IF(F70&lt;=100, 15, IF(F70&lt;=250, 20, IF(F70&lt;=500, 30, IF(F70&lt;=1000, 35, F70*0.035)))),
0)))</f>
        <v>0</v>
      </c>
      <c r="H70" s="159">
        <f>IF(I70="مخالفات",50,Basic3456789101112[[#This Row],[قيمة الرسوم / العموله]]+Basic3456789101112[[#This Row],[قيمة الشحنه]])</f>
        <v>0</v>
      </c>
      <c r="I70" s="90"/>
      <c r="J70" s="142" t="str">
        <f t="shared" si="1"/>
        <v>21.5.2026</v>
      </c>
      <c r="L70" s="153">
        <v>59</v>
      </c>
      <c r="M70" s="92"/>
    </row>
    <row r="71" spans="1:13" ht="21.6" x14ac:dyDescent="0.65">
      <c r="A71" s="195"/>
      <c r="B71" s="140">
        <v>68</v>
      </c>
      <c r="C71" s="2"/>
      <c r="D71" s="1"/>
      <c r="E71" s="3"/>
      <c r="F71" s="1"/>
      <c r="G71" s="141">
        <f>IF(Basic3456789101112[[#This Row],[نوع الخدمة]]="مخالفات", 50,
IF(Basic3456789101112[[#This Row],[نوع الخدمة]]="كاش ان",
    IF(F71&lt;=100, 18, IF(F71&lt;=250, 23, IF(F71&lt;=500, 35, IF(F71&lt;=1000, 40, F71*0.04)))),
IF(Basic3456789101112[[#This Row],[نوع الخدمة]]="كاش اوت",
    IF(F71&lt;=100, 15, IF(F71&lt;=250, 20, IF(F71&lt;=500, 30, IF(F71&lt;=1000, 35, F71*0.035)))),
0)))</f>
        <v>0</v>
      </c>
      <c r="H71" s="159">
        <f>IF(I71="مخالفات",50,Basic3456789101112[[#This Row],[قيمة الرسوم / العموله]]+Basic3456789101112[[#This Row],[قيمة الشحنه]])</f>
        <v>0</v>
      </c>
      <c r="I71" s="90"/>
      <c r="J71" s="142" t="str">
        <f t="shared" si="1"/>
        <v>21.5.2026</v>
      </c>
      <c r="L71" s="153">
        <v>60</v>
      </c>
      <c r="M71" s="92"/>
    </row>
    <row r="72" spans="1:13" ht="21.6" x14ac:dyDescent="0.65">
      <c r="A72" s="195"/>
      <c r="B72" s="140">
        <v>69</v>
      </c>
      <c r="C72" s="2"/>
      <c r="D72" s="1"/>
      <c r="E72" s="3"/>
      <c r="F72" s="1"/>
      <c r="G72" s="141">
        <f>IF(Basic3456789101112[[#This Row],[نوع الخدمة]]="مخالفات", 50,
IF(Basic3456789101112[[#This Row],[نوع الخدمة]]="كاش ان",
    IF(F72&lt;=100, 18, IF(F72&lt;=250, 23, IF(F72&lt;=500, 35, IF(F72&lt;=1000, 40, F72*0.04)))),
IF(Basic3456789101112[[#This Row],[نوع الخدمة]]="كاش اوت",
    IF(F72&lt;=100, 15, IF(F72&lt;=250, 20, IF(F72&lt;=500, 30, IF(F72&lt;=1000, 35, F72*0.035)))),
0)))</f>
        <v>0</v>
      </c>
      <c r="H72" s="159">
        <f>IF(I72="مخالفات",50,Basic3456789101112[[#This Row],[قيمة الرسوم / العموله]]+Basic3456789101112[[#This Row],[قيمة الشحنه]])</f>
        <v>0</v>
      </c>
      <c r="I72" s="90"/>
      <c r="J72" s="142" t="str">
        <f t="shared" si="1"/>
        <v>21.5.2026</v>
      </c>
      <c r="L72" s="153">
        <v>61</v>
      </c>
      <c r="M72" s="92"/>
    </row>
    <row r="73" spans="1:13" ht="21.6" x14ac:dyDescent="0.65">
      <c r="A73" s="195"/>
      <c r="B73" s="144">
        <v>70</v>
      </c>
      <c r="C73" s="2"/>
      <c r="D73" s="1"/>
      <c r="E73" s="3"/>
      <c r="F73" s="1"/>
      <c r="G73" s="141">
        <f>IF(Basic3456789101112[[#This Row],[نوع الخدمة]]="مخالفات", 50,
IF(Basic3456789101112[[#This Row],[نوع الخدمة]]="كاش ان",
    IF(F73&lt;=100, 18, IF(F73&lt;=250, 23, IF(F73&lt;=500, 35, IF(F73&lt;=1000, 40, F73*0.04)))),
IF(Basic3456789101112[[#This Row],[نوع الخدمة]]="كاش اوت",
    IF(F73&lt;=100, 15, IF(F73&lt;=250, 20, IF(F73&lt;=500, 30, IF(F73&lt;=1000, 35, F73*0.035)))),
0)))</f>
        <v>0</v>
      </c>
      <c r="H73" s="159">
        <f>IF(I73="مخالفات",50,Basic3456789101112[[#This Row],[قيمة الرسوم / العموله]]+Basic3456789101112[[#This Row],[قيمة الشحنه]])</f>
        <v>0</v>
      </c>
      <c r="I73" s="90"/>
      <c r="J73" s="142" t="str">
        <f t="shared" si="1"/>
        <v>21.5.2026</v>
      </c>
      <c r="L73" s="153">
        <v>62</v>
      </c>
      <c r="M73" s="92"/>
    </row>
    <row r="74" spans="1:13" ht="21.6" x14ac:dyDescent="0.65">
      <c r="A74" s="195"/>
      <c r="B74" s="140">
        <v>71</v>
      </c>
      <c r="C74" s="2"/>
      <c r="D74" s="1"/>
      <c r="E74" s="3"/>
      <c r="F74" s="1"/>
      <c r="G74" s="141">
        <f>IF(Basic3456789101112[[#This Row],[نوع الخدمة]]="مخالفات", 50,
IF(Basic3456789101112[[#This Row],[نوع الخدمة]]="كاش ان",
    IF(F74&lt;=100, 18, IF(F74&lt;=250, 23, IF(F74&lt;=500, 35, IF(F74&lt;=1000, 40, F74*0.04)))),
IF(Basic3456789101112[[#This Row],[نوع الخدمة]]="كاش اوت",
    IF(F74&lt;=100, 15, IF(F74&lt;=250, 20, IF(F74&lt;=500, 30, IF(F74&lt;=1000, 35, F74*0.035)))),
0)))</f>
        <v>0</v>
      </c>
      <c r="H74" s="159">
        <f>IF(I74="مخالفات",50,Basic3456789101112[[#This Row],[قيمة الرسوم / العموله]]+Basic3456789101112[[#This Row],[قيمة الشحنه]])</f>
        <v>0</v>
      </c>
      <c r="I74" s="90"/>
      <c r="J74" s="142" t="str">
        <f t="shared" si="1"/>
        <v>21.5.2026</v>
      </c>
      <c r="L74" s="153">
        <v>63</v>
      </c>
      <c r="M74" s="92"/>
    </row>
    <row r="75" spans="1:13" ht="21.6" x14ac:dyDescent="0.65">
      <c r="A75" s="195"/>
      <c r="B75" s="140">
        <v>72</v>
      </c>
      <c r="C75" s="2"/>
      <c r="D75" s="1"/>
      <c r="E75" s="3"/>
      <c r="F75" s="1"/>
      <c r="G75" s="141">
        <f>IF(Basic3456789101112[[#This Row],[نوع الخدمة]]="مخالفات", 50,
IF(Basic3456789101112[[#This Row],[نوع الخدمة]]="كاش ان",
    IF(F75&lt;=100, 18, IF(F75&lt;=250, 23, IF(F75&lt;=500, 35, IF(F75&lt;=1000, 40, F75*0.04)))),
IF(Basic3456789101112[[#This Row],[نوع الخدمة]]="كاش اوت",
    IF(F75&lt;=100, 15, IF(F75&lt;=250, 20, IF(F75&lt;=500, 30, IF(F75&lt;=1000, 35, F75*0.035)))),
0)))</f>
        <v>0</v>
      </c>
      <c r="H75" s="159">
        <f>IF(I75="مخالفات",50,Basic3456789101112[[#This Row],[قيمة الرسوم / العموله]]+Basic3456789101112[[#This Row],[قيمة الشحنه]])</f>
        <v>0</v>
      </c>
      <c r="I75" s="90"/>
      <c r="J75" s="142" t="str">
        <f t="shared" si="1"/>
        <v>21.5.2026</v>
      </c>
      <c r="L75" s="153">
        <v>64</v>
      </c>
      <c r="M75" s="92"/>
    </row>
    <row r="76" spans="1:13" ht="21.6" x14ac:dyDescent="0.65">
      <c r="A76" s="195"/>
      <c r="B76" s="140">
        <v>73</v>
      </c>
      <c r="C76" s="2"/>
      <c r="D76" s="1"/>
      <c r="E76" s="3"/>
      <c r="F76" s="1"/>
      <c r="G76" s="141">
        <f>IF(Basic3456789101112[[#This Row],[نوع الخدمة]]="مخالفات", 50,
IF(Basic3456789101112[[#This Row],[نوع الخدمة]]="كاش ان",
    IF(F76&lt;=100, 18, IF(F76&lt;=250, 23, IF(F76&lt;=500, 35, IF(F76&lt;=1000, 40, F76*0.04)))),
IF(Basic3456789101112[[#This Row],[نوع الخدمة]]="كاش اوت",
    IF(F76&lt;=100, 15, IF(F76&lt;=250, 20, IF(F76&lt;=500, 30, IF(F76&lt;=1000, 35, F76*0.035)))),
0)))</f>
        <v>0</v>
      </c>
      <c r="H76" s="159">
        <f>IF(I76="مخالفات",50,Basic3456789101112[[#This Row],[قيمة الرسوم / العموله]]+Basic3456789101112[[#This Row],[قيمة الشحنه]])</f>
        <v>0</v>
      </c>
      <c r="I76" s="90"/>
      <c r="J76" s="142" t="str">
        <f t="shared" si="1"/>
        <v>21.5.2026</v>
      </c>
      <c r="L76" s="153">
        <v>65</v>
      </c>
      <c r="M76" s="92"/>
    </row>
    <row r="77" spans="1:13" ht="21.6" x14ac:dyDescent="0.65">
      <c r="A77" s="195"/>
      <c r="B77" s="144">
        <v>74</v>
      </c>
      <c r="C77" s="2"/>
      <c r="D77" s="1"/>
      <c r="E77" s="3"/>
      <c r="F77" s="1"/>
      <c r="G77" s="141">
        <f>IF(Basic3456789101112[[#This Row],[نوع الخدمة]]="مخالفات", 50,
IF(Basic3456789101112[[#This Row],[نوع الخدمة]]="كاش ان",
    IF(F77&lt;=100, 18, IF(F77&lt;=250, 23, IF(F77&lt;=500, 35, IF(F77&lt;=1000, 40, F77*0.04)))),
IF(Basic3456789101112[[#This Row],[نوع الخدمة]]="كاش اوت",
    IF(F77&lt;=100, 15, IF(F77&lt;=250, 20, IF(F77&lt;=500, 30, IF(F77&lt;=1000, 35, F77*0.035)))),
0)))</f>
        <v>0</v>
      </c>
      <c r="H77" s="159">
        <f>IF(I77="مخالفات",50,Basic3456789101112[[#This Row],[قيمة الرسوم / العموله]]+Basic3456789101112[[#This Row],[قيمة الشحنه]])</f>
        <v>0</v>
      </c>
      <c r="I77" s="90"/>
      <c r="J77" s="142" t="str">
        <f t="shared" si="1"/>
        <v>21.5.2026</v>
      </c>
      <c r="L77" s="153">
        <v>66</v>
      </c>
      <c r="M77" s="92"/>
    </row>
    <row r="78" spans="1:13" ht="21.6" x14ac:dyDescent="0.65">
      <c r="A78" s="195"/>
      <c r="B78" s="140">
        <v>75</v>
      </c>
      <c r="C78" s="2"/>
      <c r="D78" s="1"/>
      <c r="E78" s="3"/>
      <c r="F78" s="1"/>
      <c r="G78" s="141">
        <f>IF(Basic3456789101112[[#This Row],[نوع الخدمة]]="مخالفات", 50,
IF(Basic3456789101112[[#This Row],[نوع الخدمة]]="كاش ان",
    IF(F78&lt;=100, 18, IF(F78&lt;=250, 23, IF(F78&lt;=500, 35, IF(F78&lt;=1000, 40, F78*0.04)))),
IF(Basic3456789101112[[#This Row],[نوع الخدمة]]="كاش اوت",
    IF(F78&lt;=100, 15, IF(F78&lt;=250, 20, IF(F78&lt;=500, 30, IF(F78&lt;=1000, 35, F78*0.035)))),
0)))</f>
        <v>0</v>
      </c>
      <c r="H78" s="159">
        <f>IF(I78="مخالفات",50,Basic3456789101112[[#This Row],[قيمة الرسوم / العموله]]+Basic3456789101112[[#This Row],[قيمة الشحنه]])</f>
        <v>0</v>
      </c>
      <c r="I78" s="90"/>
      <c r="J78" s="142" t="str">
        <f t="shared" si="1"/>
        <v>21.5.2026</v>
      </c>
      <c r="L78" s="153">
        <v>67</v>
      </c>
      <c r="M78" s="92"/>
    </row>
    <row r="79" spans="1:13" ht="21.6" x14ac:dyDescent="0.65">
      <c r="A79" s="195"/>
      <c r="B79" s="140">
        <v>76</v>
      </c>
      <c r="C79" s="2"/>
      <c r="D79" s="1"/>
      <c r="E79" s="3"/>
      <c r="F79" s="1"/>
      <c r="G79" s="141">
        <f>IF(Basic3456789101112[[#This Row],[نوع الخدمة]]="مخالفات", 50,
IF(Basic3456789101112[[#This Row],[نوع الخدمة]]="كاش ان",
    IF(F79&lt;=100, 18, IF(F79&lt;=250, 23, IF(F79&lt;=500, 35, IF(F79&lt;=1000, 40, F79*0.04)))),
IF(Basic3456789101112[[#This Row],[نوع الخدمة]]="كاش اوت",
    IF(F79&lt;=100, 15, IF(F79&lt;=250, 20, IF(F79&lt;=500, 30, IF(F79&lt;=1000, 35, F79*0.035)))),
0)))</f>
        <v>0</v>
      </c>
      <c r="H79" s="159">
        <f>IF(I79="مخالفات",50,Basic3456789101112[[#This Row],[قيمة الرسوم / العموله]]+Basic3456789101112[[#This Row],[قيمة الشحنه]])</f>
        <v>0</v>
      </c>
      <c r="I79" s="90"/>
      <c r="J79" s="142" t="str">
        <f t="shared" si="1"/>
        <v>21.5.2026</v>
      </c>
      <c r="L79" s="153">
        <v>68</v>
      </c>
      <c r="M79" s="92"/>
    </row>
    <row r="80" spans="1:13" ht="21.6" x14ac:dyDescent="0.65">
      <c r="A80" s="195"/>
      <c r="B80" s="140">
        <v>77</v>
      </c>
      <c r="C80" s="2"/>
      <c r="D80" s="1"/>
      <c r="E80" s="3"/>
      <c r="F80" s="1"/>
      <c r="G80" s="141">
        <f>IF(Basic3456789101112[[#This Row],[نوع الخدمة]]="مخالفات", 50,
IF(Basic3456789101112[[#This Row],[نوع الخدمة]]="كاش ان",
    IF(F80&lt;=100, 18, IF(F80&lt;=250, 23, IF(F80&lt;=500, 35, IF(F80&lt;=1000, 40, F80*0.04)))),
IF(Basic3456789101112[[#This Row],[نوع الخدمة]]="كاش اوت",
    IF(F80&lt;=100, 15, IF(F80&lt;=250, 20, IF(F80&lt;=500, 30, IF(F80&lt;=1000, 35, F80*0.035)))),
0)))</f>
        <v>0</v>
      </c>
      <c r="H80" s="159">
        <f>IF(I80="مخالفات",50,Basic3456789101112[[#This Row],[قيمة الرسوم / العموله]]+Basic3456789101112[[#This Row],[قيمة الشحنه]])</f>
        <v>0</v>
      </c>
      <c r="I80" s="90"/>
      <c r="J80" s="142" t="str">
        <f t="shared" si="1"/>
        <v>21.5.2026</v>
      </c>
      <c r="L80" s="153">
        <v>69</v>
      </c>
      <c r="M80" s="92"/>
    </row>
    <row r="81" spans="1:13" ht="21.6" x14ac:dyDescent="0.65">
      <c r="A81" s="195"/>
      <c r="B81" s="144">
        <v>78</v>
      </c>
      <c r="C81" s="2"/>
      <c r="D81" s="1"/>
      <c r="E81" s="3"/>
      <c r="F81" s="1"/>
      <c r="G81" s="141">
        <f>IF(Basic3456789101112[[#This Row],[نوع الخدمة]]="مخالفات", 50,
IF(Basic3456789101112[[#This Row],[نوع الخدمة]]="كاش ان",
    IF(F81&lt;=100, 18, IF(F81&lt;=250, 23, IF(F81&lt;=500, 35, IF(F81&lt;=1000, 40, F81*0.04)))),
IF(Basic3456789101112[[#This Row],[نوع الخدمة]]="كاش اوت",
    IF(F81&lt;=100, 15, IF(F81&lt;=250, 20, IF(F81&lt;=500, 30, IF(F81&lt;=1000, 35, F81*0.035)))),
0)))</f>
        <v>0</v>
      </c>
      <c r="H81" s="159">
        <f>IF(I81="مخالفات",50,Basic3456789101112[[#This Row],[قيمة الرسوم / العموله]]+Basic3456789101112[[#This Row],[قيمة الشحنه]])</f>
        <v>0</v>
      </c>
      <c r="I81" s="90"/>
      <c r="J81" s="142" t="str">
        <f t="shared" si="1"/>
        <v>21.5.2026</v>
      </c>
      <c r="L81" s="153">
        <v>70</v>
      </c>
      <c r="M81" s="92"/>
    </row>
    <row r="82" spans="1:13" ht="21.6" x14ac:dyDescent="0.65">
      <c r="A82" s="195"/>
      <c r="B82" s="140">
        <v>79</v>
      </c>
      <c r="C82" s="2"/>
      <c r="D82" s="1"/>
      <c r="E82" s="3"/>
      <c r="F82" s="1"/>
      <c r="G82" s="141">
        <f>IF(Basic3456789101112[[#This Row],[نوع الخدمة]]="مخالفات", 50,
IF(Basic3456789101112[[#This Row],[نوع الخدمة]]="كاش ان",
    IF(F82&lt;=100, 18, IF(F82&lt;=250, 23, IF(F82&lt;=500, 35, IF(F82&lt;=1000, 40, F82*0.04)))),
IF(Basic3456789101112[[#This Row],[نوع الخدمة]]="كاش اوت",
    IF(F82&lt;=100, 15, IF(F82&lt;=250, 20, IF(F82&lt;=500, 30, IF(F82&lt;=1000, 35, F82*0.035)))),
0)))</f>
        <v>0</v>
      </c>
      <c r="H82" s="159">
        <f>IF(I82="مخالفات",50,Basic3456789101112[[#This Row],[قيمة الرسوم / العموله]]+Basic3456789101112[[#This Row],[قيمة الشحنه]])</f>
        <v>0</v>
      </c>
      <c r="I82" s="90"/>
      <c r="J82" s="142" t="str">
        <f t="shared" si="1"/>
        <v>21.5.2026</v>
      </c>
      <c r="L82" s="153">
        <v>71</v>
      </c>
      <c r="M82" s="92"/>
    </row>
    <row r="83" spans="1:13" ht="21.6" x14ac:dyDescent="0.65">
      <c r="A83" s="195"/>
      <c r="B83" s="140">
        <v>80</v>
      </c>
      <c r="C83" s="2"/>
      <c r="D83" s="1"/>
      <c r="E83" s="3"/>
      <c r="F83" s="1"/>
      <c r="G83" s="141">
        <f>IF(Basic3456789101112[[#This Row],[نوع الخدمة]]="مخالفات", 50,
IF(Basic3456789101112[[#This Row],[نوع الخدمة]]="كاش ان",
    IF(F83&lt;=100, 18, IF(F83&lt;=250, 23, IF(F83&lt;=500, 35, IF(F83&lt;=1000, 40, F83*0.04)))),
IF(Basic3456789101112[[#This Row],[نوع الخدمة]]="كاش اوت",
    IF(F83&lt;=100, 15, IF(F83&lt;=250, 20, IF(F83&lt;=500, 30, IF(F83&lt;=1000, 35, F83*0.035)))),
0)))</f>
        <v>0</v>
      </c>
      <c r="H83" s="159">
        <f>IF(I83="مخالفات",50,Basic3456789101112[[#This Row],[قيمة الرسوم / العموله]]+Basic3456789101112[[#This Row],[قيمة الشحنه]])</f>
        <v>0</v>
      </c>
      <c r="I83" s="90"/>
      <c r="J83" s="142" t="str">
        <f t="shared" si="1"/>
        <v>21.5.2026</v>
      </c>
      <c r="L83" s="153">
        <v>72</v>
      </c>
      <c r="M83" s="92"/>
    </row>
    <row r="84" spans="1:13" ht="21.6" x14ac:dyDescent="0.65">
      <c r="A84" s="195"/>
      <c r="B84" s="140">
        <v>81</v>
      </c>
      <c r="C84" s="2"/>
      <c r="D84" s="1"/>
      <c r="E84" s="3"/>
      <c r="F84" s="1"/>
      <c r="G84" s="141">
        <f>IF(Basic3456789101112[[#This Row],[نوع الخدمة]]="مخالفات", 50,
IF(Basic3456789101112[[#This Row],[نوع الخدمة]]="كاش ان",
    IF(F84&lt;=100, 18, IF(F84&lt;=250, 23, IF(F84&lt;=500, 35, IF(F84&lt;=1000, 40, F84*0.04)))),
IF(Basic3456789101112[[#This Row],[نوع الخدمة]]="كاش اوت",
    IF(F84&lt;=100, 15, IF(F84&lt;=250, 20, IF(F84&lt;=500, 30, IF(F84&lt;=1000, 35, F84*0.035)))),
0)))</f>
        <v>0</v>
      </c>
      <c r="H84" s="159">
        <f>IF(I84="مخالفات",50,Basic3456789101112[[#This Row],[قيمة الرسوم / العموله]]+Basic3456789101112[[#This Row],[قيمة الشحنه]])</f>
        <v>0</v>
      </c>
      <c r="I84" s="90"/>
      <c r="J84" s="142" t="str">
        <f t="shared" si="1"/>
        <v>21.5.2026</v>
      </c>
      <c r="L84" s="153">
        <v>73</v>
      </c>
      <c r="M84" s="92"/>
    </row>
    <row r="85" spans="1:13" ht="21.6" x14ac:dyDescent="0.65">
      <c r="A85" s="195"/>
      <c r="B85" s="144">
        <v>82</v>
      </c>
      <c r="C85" s="2"/>
      <c r="D85" s="1"/>
      <c r="E85" s="3"/>
      <c r="F85" s="1"/>
      <c r="G85" s="141">
        <f>IF(Basic3456789101112[[#This Row],[نوع الخدمة]]="مخالفات", 50,
IF(Basic3456789101112[[#This Row],[نوع الخدمة]]="كاش ان",
    IF(F85&lt;=100, 18, IF(F85&lt;=250, 23, IF(F85&lt;=500, 35, IF(F85&lt;=1000, 40, F85*0.04)))),
IF(Basic3456789101112[[#This Row],[نوع الخدمة]]="كاش اوت",
    IF(F85&lt;=100, 15, IF(F85&lt;=250, 20, IF(F85&lt;=500, 30, IF(F85&lt;=1000, 35, F85*0.035)))),
0)))</f>
        <v>0</v>
      </c>
      <c r="H85" s="159">
        <f>IF(I85="مخالفات",50,Basic3456789101112[[#This Row],[قيمة الرسوم / العموله]]+Basic3456789101112[[#This Row],[قيمة الشحنه]])</f>
        <v>0</v>
      </c>
      <c r="I85" s="90"/>
      <c r="J85" s="142" t="str">
        <f t="shared" si="1"/>
        <v>21.5.2026</v>
      </c>
      <c r="L85" s="153">
        <v>74</v>
      </c>
      <c r="M85" s="92"/>
    </row>
    <row r="86" spans="1:13" ht="21.6" x14ac:dyDescent="0.65">
      <c r="A86" s="195"/>
      <c r="B86" s="140">
        <v>83</v>
      </c>
      <c r="C86" s="2"/>
      <c r="D86" s="1"/>
      <c r="E86" s="3"/>
      <c r="F86" s="1"/>
      <c r="G86" s="141">
        <f>IF(Basic3456789101112[[#This Row],[نوع الخدمة]]="مخالفات", 50,
IF(Basic3456789101112[[#This Row],[نوع الخدمة]]="كاش ان",
    IF(F86&lt;=100, 18, IF(F86&lt;=250, 23, IF(F86&lt;=500, 35, IF(F86&lt;=1000, 40, F86*0.04)))),
IF(Basic3456789101112[[#This Row],[نوع الخدمة]]="كاش اوت",
    IF(F86&lt;=100, 15, IF(F86&lt;=250, 20, IF(F86&lt;=500, 30, IF(F86&lt;=1000, 35, F86*0.035)))),
0)))</f>
        <v>0</v>
      </c>
      <c r="H86" s="159">
        <f>IF(I86="مخالفات",50,Basic3456789101112[[#This Row],[قيمة الرسوم / العموله]]+Basic3456789101112[[#This Row],[قيمة الشحنه]])</f>
        <v>0</v>
      </c>
      <c r="I86" s="90"/>
      <c r="J86" s="142" t="str">
        <f t="shared" si="1"/>
        <v>21.5.2026</v>
      </c>
      <c r="L86" s="153">
        <v>75</v>
      </c>
      <c r="M86" s="92"/>
    </row>
    <row r="87" spans="1:13" ht="21.6" x14ac:dyDescent="0.65">
      <c r="A87" s="195"/>
      <c r="B87" s="140">
        <v>84</v>
      </c>
      <c r="C87" s="2"/>
      <c r="D87" s="1"/>
      <c r="E87" s="3"/>
      <c r="F87" s="1"/>
      <c r="G87" s="141">
        <f>IF(Basic3456789101112[[#This Row],[نوع الخدمة]]="مخالفات", 50,
IF(Basic3456789101112[[#This Row],[نوع الخدمة]]="كاش ان",
    IF(F87&lt;=100, 18, IF(F87&lt;=250, 23, IF(F87&lt;=500, 35, IF(F87&lt;=1000, 40, F87*0.04)))),
IF(Basic3456789101112[[#This Row],[نوع الخدمة]]="كاش اوت",
    IF(F87&lt;=100, 15, IF(F87&lt;=250, 20, IF(F87&lt;=500, 30, IF(F87&lt;=1000, 35, F87*0.035)))),
0)))</f>
        <v>0</v>
      </c>
      <c r="H87" s="159">
        <f>IF(I87="مخالفات",50,Basic3456789101112[[#This Row],[قيمة الرسوم / العموله]]+Basic3456789101112[[#This Row],[قيمة الشحنه]])</f>
        <v>0</v>
      </c>
      <c r="I87" s="90"/>
      <c r="J87" s="142" t="str">
        <f t="shared" si="1"/>
        <v>21.5.2026</v>
      </c>
      <c r="L87" s="153">
        <v>76</v>
      </c>
      <c r="M87" s="92"/>
    </row>
    <row r="88" spans="1:13" ht="21.6" x14ac:dyDescent="0.65">
      <c r="A88" s="195"/>
      <c r="B88" s="140">
        <v>85</v>
      </c>
      <c r="C88" s="2"/>
      <c r="D88" s="1"/>
      <c r="E88" s="3"/>
      <c r="F88" s="1"/>
      <c r="G88" s="141">
        <f>IF(Basic3456789101112[[#This Row],[نوع الخدمة]]="مخالفات", 50,
IF(Basic3456789101112[[#This Row],[نوع الخدمة]]="كاش ان",
    IF(F88&lt;=100, 18, IF(F88&lt;=250, 23, IF(F88&lt;=500, 35, IF(F88&lt;=1000, 40, F88*0.04)))),
IF(Basic3456789101112[[#This Row],[نوع الخدمة]]="كاش اوت",
    IF(F88&lt;=100, 15, IF(F88&lt;=250, 20, IF(F88&lt;=500, 30, IF(F88&lt;=1000, 35, F88*0.035)))),
0)))</f>
        <v>0</v>
      </c>
      <c r="H88" s="159">
        <f>IF(I88="مخالفات",50,Basic3456789101112[[#This Row],[قيمة الرسوم / العموله]]+Basic3456789101112[[#This Row],[قيمة الشحنه]])</f>
        <v>0</v>
      </c>
      <c r="I88" s="90"/>
      <c r="J88" s="142" t="str">
        <f t="shared" si="1"/>
        <v>21.5.2026</v>
      </c>
      <c r="L88" s="153">
        <v>77</v>
      </c>
      <c r="M88" s="92"/>
    </row>
    <row r="89" spans="1:13" ht="21.6" x14ac:dyDescent="0.65">
      <c r="A89" s="195"/>
      <c r="B89" s="144">
        <v>86</v>
      </c>
      <c r="C89" s="2"/>
      <c r="D89" s="1"/>
      <c r="E89" s="3"/>
      <c r="F89" s="1"/>
      <c r="G89" s="141">
        <f>IF(Basic3456789101112[[#This Row],[نوع الخدمة]]="مخالفات", 50,
IF(Basic3456789101112[[#This Row],[نوع الخدمة]]="كاش ان",
    IF(F89&lt;=100, 18, IF(F89&lt;=250, 23, IF(F89&lt;=500, 35, IF(F89&lt;=1000, 40, F89*0.04)))),
IF(Basic3456789101112[[#This Row],[نوع الخدمة]]="كاش اوت",
    IF(F89&lt;=100, 15, IF(F89&lt;=250, 20, IF(F89&lt;=500, 30, IF(F89&lt;=1000, 35, F89*0.035)))),
0)))</f>
        <v>0</v>
      </c>
      <c r="H89" s="159">
        <f>IF(I89="مخالفات",50,Basic3456789101112[[#This Row],[قيمة الرسوم / العموله]]+Basic3456789101112[[#This Row],[قيمة الشحنه]])</f>
        <v>0</v>
      </c>
      <c r="I89" s="90"/>
      <c r="J89" s="142" t="str">
        <f t="shared" si="1"/>
        <v>21.5.2026</v>
      </c>
      <c r="L89" s="153">
        <v>78</v>
      </c>
      <c r="M89" s="92"/>
    </row>
    <row r="90" spans="1:13" ht="21.6" x14ac:dyDescent="0.65">
      <c r="A90" s="195"/>
      <c r="B90" s="140">
        <v>87</v>
      </c>
      <c r="C90" s="2"/>
      <c r="D90" s="1"/>
      <c r="E90" s="3"/>
      <c r="F90" s="1"/>
      <c r="G90" s="141">
        <f>IF(Basic3456789101112[[#This Row],[نوع الخدمة]]="مخالفات", 50,
IF(Basic3456789101112[[#This Row],[نوع الخدمة]]="كاش ان",
    IF(F90&lt;=100, 18, IF(F90&lt;=250, 23, IF(F90&lt;=500, 35, IF(F90&lt;=1000, 40, F90*0.04)))),
IF(Basic3456789101112[[#This Row],[نوع الخدمة]]="كاش اوت",
    IF(F90&lt;=100, 15, IF(F90&lt;=250, 20, IF(F90&lt;=500, 30, IF(F90&lt;=1000, 35, F90*0.035)))),
0)))</f>
        <v>0</v>
      </c>
      <c r="H90" s="159">
        <f>IF(I90="مخالفات",50,Basic3456789101112[[#This Row],[قيمة الرسوم / العموله]]+Basic3456789101112[[#This Row],[قيمة الشحنه]])</f>
        <v>0</v>
      </c>
      <c r="I90" s="90"/>
      <c r="J90" s="142" t="str">
        <f t="shared" si="1"/>
        <v>21.5.2026</v>
      </c>
      <c r="L90" s="153">
        <v>79</v>
      </c>
      <c r="M90" s="92"/>
    </row>
    <row r="91" spans="1:13" ht="21.6" x14ac:dyDescent="0.65">
      <c r="A91" s="195"/>
      <c r="B91" s="140">
        <v>88</v>
      </c>
      <c r="C91" s="2"/>
      <c r="D91" s="1"/>
      <c r="E91" s="3"/>
      <c r="F91" s="1"/>
      <c r="G91" s="141">
        <f>IF(Basic3456789101112[[#This Row],[نوع الخدمة]]="مخالفات", 50,
IF(Basic3456789101112[[#This Row],[نوع الخدمة]]="كاش ان",
    IF(F91&lt;=100, 18, IF(F91&lt;=250, 23, IF(F91&lt;=500, 35, IF(F91&lt;=1000, 40, F91*0.04)))),
IF(Basic3456789101112[[#This Row],[نوع الخدمة]]="كاش اوت",
    IF(F91&lt;=100, 15, IF(F91&lt;=250, 20, IF(F91&lt;=500, 30, IF(F91&lt;=1000, 35, F91*0.035)))),
0)))</f>
        <v>0</v>
      </c>
      <c r="H91" s="159">
        <f>IF(I91="مخالفات",50,Basic3456789101112[[#This Row],[قيمة الرسوم / العموله]]+Basic3456789101112[[#This Row],[قيمة الشحنه]])</f>
        <v>0</v>
      </c>
      <c r="I91" s="90"/>
      <c r="J91" s="142" t="str">
        <f t="shared" si="1"/>
        <v>21.5.2026</v>
      </c>
      <c r="L91" s="153">
        <v>80</v>
      </c>
      <c r="M91" s="92"/>
    </row>
    <row r="92" spans="1:13" ht="21.6" x14ac:dyDescent="0.65">
      <c r="A92" s="195"/>
      <c r="B92" s="140">
        <v>89</v>
      </c>
      <c r="C92" s="2"/>
      <c r="D92" s="1"/>
      <c r="E92" s="3"/>
      <c r="F92" s="1"/>
      <c r="G92" s="141">
        <f>IF(Basic3456789101112[[#This Row],[نوع الخدمة]]="مخالفات", 50,
IF(Basic3456789101112[[#This Row],[نوع الخدمة]]="كاش ان",
    IF(F92&lt;=100, 18, IF(F92&lt;=250, 23, IF(F92&lt;=500, 35, IF(F92&lt;=1000, 40, F92*0.04)))),
IF(Basic3456789101112[[#This Row],[نوع الخدمة]]="كاش اوت",
    IF(F92&lt;=100, 15, IF(F92&lt;=250, 20, IF(F92&lt;=500, 30, IF(F92&lt;=1000, 35, F92*0.035)))),
0)))</f>
        <v>0</v>
      </c>
      <c r="H92" s="159">
        <f>IF(I92="مخالفات",50,Basic3456789101112[[#This Row],[قيمة الرسوم / العموله]]+Basic3456789101112[[#This Row],[قيمة الشحنه]])</f>
        <v>0</v>
      </c>
      <c r="I92" s="90"/>
      <c r="J92" s="142" t="str">
        <f t="shared" si="1"/>
        <v>21.5.2026</v>
      </c>
      <c r="L92" s="153">
        <v>81</v>
      </c>
      <c r="M92" s="92"/>
    </row>
    <row r="93" spans="1:13" ht="21.6" x14ac:dyDescent="0.65">
      <c r="A93" s="195"/>
      <c r="B93" s="144">
        <v>90</v>
      </c>
      <c r="C93" s="2"/>
      <c r="D93" s="1"/>
      <c r="E93" s="3"/>
      <c r="F93" s="1"/>
      <c r="G93" s="141">
        <f>IF(Basic3456789101112[[#This Row],[نوع الخدمة]]="مخالفات", 50,
IF(Basic3456789101112[[#This Row],[نوع الخدمة]]="كاش ان",
    IF(F93&lt;=100, 18, IF(F93&lt;=250, 23, IF(F93&lt;=500, 35, IF(F93&lt;=1000, 40, F93*0.04)))),
IF(Basic3456789101112[[#This Row],[نوع الخدمة]]="كاش اوت",
    IF(F93&lt;=100, 15, IF(F93&lt;=250, 20, IF(F93&lt;=500, 30, IF(F93&lt;=1000, 35, F93*0.035)))),
0)))</f>
        <v>0</v>
      </c>
      <c r="H93" s="159">
        <f>IF(I93="مخالفات",50,Basic3456789101112[[#This Row],[قيمة الرسوم / العموله]]+Basic3456789101112[[#This Row],[قيمة الشحنه]])</f>
        <v>0</v>
      </c>
      <c r="I93" s="90"/>
      <c r="J93" s="142" t="str">
        <f t="shared" si="1"/>
        <v>21.5.2026</v>
      </c>
      <c r="L93" s="153">
        <v>82</v>
      </c>
      <c r="M93" s="92"/>
    </row>
    <row r="94" spans="1:13" ht="21.6" x14ac:dyDescent="0.65">
      <c r="A94" s="195"/>
      <c r="B94" s="140">
        <v>91</v>
      </c>
      <c r="C94" s="2"/>
      <c r="D94" s="1"/>
      <c r="E94" s="3"/>
      <c r="F94" s="1"/>
      <c r="G94" s="141">
        <f>IF(Basic3456789101112[[#This Row],[نوع الخدمة]]="مخالفات", 50,
IF(Basic3456789101112[[#This Row],[نوع الخدمة]]="كاش ان",
    IF(F94&lt;=100, 18, IF(F94&lt;=250, 23, IF(F94&lt;=500, 35, IF(F94&lt;=1000, 40, F94*0.04)))),
IF(Basic3456789101112[[#This Row],[نوع الخدمة]]="كاش اوت",
    IF(F94&lt;=100, 15, IF(F94&lt;=250, 20, IF(F94&lt;=500, 30, IF(F94&lt;=1000, 35, F94*0.035)))),
0)))</f>
        <v>0</v>
      </c>
      <c r="H94" s="159">
        <f>IF(I94="مخالفات",50,Basic3456789101112[[#This Row],[قيمة الرسوم / العموله]]+Basic3456789101112[[#This Row],[قيمة الشحنه]])</f>
        <v>0</v>
      </c>
      <c r="I94" s="90"/>
      <c r="J94" s="142" t="str">
        <f t="shared" si="1"/>
        <v>21.5.2026</v>
      </c>
      <c r="L94" s="153">
        <v>83</v>
      </c>
      <c r="M94" s="92"/>
    </row>
    <row r="95" spans="1:13" ht="21.6" x14ac:dyDescent="0.65">
      <c r="A95" s="195"/>
      <c r="B95" s="140">
        <v>92</v>
      </c>
      <c r="C95" s="2"/>
      <c r="D95" s="1"/>
      <c r="E95" s="3"/>
      <c r="F95" s="1"/>
      <c r="G95" s="141">
        <f>IF(Basic3456789101112[[#This Row],[نوع الخدمة]]="مخالفات", 50,
IF(Basic3456789101112[[#This Row],[نوع الخدمة]]="كاش ان",
    IF(F95&lt;=100, 18, IF(F95&lt;=250, 23, IF(F95&lt;=500, 35, IF(F95&lt;=1000, 40, F95*0.04)))),
IF(Basic3456789101112[[#This Row],[نوع الخدمة]]="كاش اوت",
    IF(F95&lt;=100, 15, IF(F95&lt;=250, 20, IF(F95&lt;=500, 30, IF(F95&lt;=1000, 35, F95*0.035)))),
0)))</f>
        <v>0</v>
      </c>
      <c r="H95" s="159">
        <f>IF(I95="مخالفات",50,Basic3456789101112[[#This Row],[قيمة الرسوم / العموله]]+Basic3456789101112[[#This Row],[قيمة الشحنه]])</f>
        <v>0</v>
      </c>
      <c r="I95" s="90"/>
      <c r="J95" s="142" t="str">
        <f t="shared" si="1"/>
        <v>21.5.2026</v>
      </c>
      <c r="L95" s="153">
        <v>84</v>
      </c>
      <c r="M95" s="92"/>
    </row>
    <row r="96" spans="1:13" ht="21.6" x14ac:dyDescent="0.65">
      <c r="A96" s="195"/>
      <c r="B96" s="140">
        <v>93</v>
      </c>
      <c r="C96" s="2"/>
      <c r="D96" s="1"/>
      <c r="E96" s="3"/>
      <c r="F96" s="1"/>
      <c r="G96" s="141">
        <f>IF(Basic3456789101112[[#This Row],[نوع الخدمة]]="مخالفات", 50,
IF(Basic3456789101112[[#This Row],[نوع الخدمة]]="كاش ان",
    IF(F96&lt;=100, 18, IF(F96&lt;=250, 23, IF(F96&lt;=500, 35, IF(F96&lt;=1000, 40, F96*0.04)))),
IF(Basic3456789101112[[#This Row],[نوع الخدمة]]="كاش اوت",
    IF(F96&lt;=100, 15, IF(F96&lt;=250, 20, IF(F96&lt;=500, 30, IF(F96&lt;=1000, 35, F96*0.035)))),
0)))</f>
        <v>0</v>
      </c>
      <c r="H96" s="159">
        <f>IF(I96="مخالفات",50,Basic3456789101112[[#This Row],[قيمة الرسوم / العموله]]+Basic3456789101112[[#This Row],[قيمة الشحنه]])</f>
        <v>0</v>
      </c>
      <c r="I96" s="90"/>
      <c r="J96" s="142" t="str">
        <f t="shared" si="1"/>
        <v>21.5.2026</v>
      </c>
      <c r="L96" s="153">
        <v>85</v>
      </c>
      <c r="M96" s="92"/>
    </row>
    <row r="97" spans="1:13" ht="21.6" x14ac:dyDescent="0.65">
      <c r="A97" s="195"/>
      <c r="B97" s="144">
        <v>94</v>
      </c>
      <c r="C97" s="2"/>
      <c r="D97" s="1"/>
      <c r="E97" s="3"/>
      <c r="F97" s="1"/>
      <c r="G97" s="141">
        <f>IF(Basic3456789101112[[#This Row],[نوع الخدمة]]="مخالفات", 50,
IF(Basic3456789101112[[#This Row],[نوع الخدمة]]="كاش ان",
    IF(F97&lt;=100, 18, IF(F97&lt;=250, 23, IF(F97&lt;=500, 35, IF(F97&lt;=1000, 40, F97*0.04)))),
IF(Basic3456789101112[[#This Row],[نوع الخدمة]]="كاش اوت",
    IF(F97&lt;=100, 15, IF(F97&lt;=250, 20, IF(F97&lt;=500, 30, IF(F97&lt;=1000, 35, F97*0.035)))),
0)))</f>
        <v>0</v>
      </c>
      <c r="H97" s="159">
        <f>IF(I97="مخالفات",50,Basic3456789101112[[#This Row],[قيمة الرسوم / العموله]]+Basic3456789101112[[#This Row],[قيمة الشحنه]])</f>
        <v>0</v>
      </c>
      <c r="I97" s="90"/>
      <c r="J97" s="142" t="str">
        <f t="shared" si="1"/>
        <v>21.5.2026</v>
      </c>
      <c r="L97" s="153">
        <v>86</v>
      </c>
      <c r="M97" s="92"/>
    </row>
    <row r="98" spans="1:13" ht="21.6" x14ac:dyDescent="0.65">
      <c r="A98" s="195"/>
      <c r="B98" s="140">
        <v>95</v>
      </c>
      <c r="C98" s="2"/>
      <c r="D98" s="1"/>
      <c r="E98" s="3"/>
      <c r="F98" s="1"/>
      <c r="G98" s="141">
        <f>IF(Basic3456789101112[[#This Row],[نوع الخدمة]]="مخالفات", 50,
IF(Basic3456789101112[[#This Row],[نوع الخدمة]]="كاش ان",
    IF(F98&lt;=100, 18, IF(F98&lt;=250, 23, IF(F98&lt;=500, 35, IF(F98&lt;=1000, 40, F98*0.04)))),
IF(Basic3456789101112[[#This Row],[نوع الخدمة]]="كاش اوت",
    IF(F98&lt;=100, 15, IF(F98&lt;=250, 20, IF(F98&lt;=500, 30, IF(F98&lt;=1000, 35, F98*0.035)))),
0)))</f>
        <v>0</v>
      </c>
      <c r="H98" s="159">
        <f>IF(I98="مخالفات",50,Basic3456789101112[[#This Row],[قيمة الرسوم / العموله]]+Basic3456789101112[[#This Row],[قيمة الشحنه]])</f>
        <v>0</v>
      </c>
      <c r="I98" s="90"/>
      <c r="J98" s="142" t="str">
        <f t="shared" si="1"/>
        <v>21.5.2026</v>
      </c>
      <c r="L98" s="153">
        <v>87</v>
      </c>
      <c r="M98" s="92"/>
    </row>
    <row r="99" spans="1:13" ht="21.6" x14ac:dyDescent="0.65">
      <c r="A99" s="195"/>
      <c r="B99" s="140">
        <v>96</v>
      </c>
      <c r="C99" s="2"/>
      <c r="D99" s="1"/>
      <c r="E99" s="3"/>
      <c r="F99" s="1"/>
      <c r="G99" s="141">
        <f>IF(Basic3456789101112[[#This Row],[نوع الخدمة]]="مخالفات", 50,
IF(Basic3456789101112[[#This Row],[نوع الخدمة]]="كاش ان",
    IF(F99&lt;=100, 18, IF(F99&lt;=250, 23, IF(F99&lt;=500, 35, IF(F99&lt;=1000, 40, F99*0.04)))),
IF(Basic3456789101112[[#This Row],[نوع الخدمة]]="كاش اوت",
    IF(F99&lt;=100, 15, IF(F99&lt;=250, 20, IF(F99&lt;=500, 30, IF(F99&lt;=1000, 35, F99*0.035)))),
0)))</f>
        <v>0</v>
      </c>
      <c r="H99" s="159">
        <f>IF(I99="مخالفات",50,Basic3456789101112[[#This Row],[قيمة الرسوم / العموله]]+Basic3456789101112[[#This Row],[قيمة الشحنه]])</f>
        <v>0</v>
      </c>
      <c r="I99" s="90"/>
      <c r="J99" s="142" t="str">
        <f t="shared" si="1"/>
        <v>21.5.2026</v>
      </c>
      <c r="L99" s="153">
        <v>88</v>
      </c>
      <c r="M99" s="92"/>
    </row>
    <row r="100" spans="1:13" ht="21.6" x14ac:dyDescent="0.65">
      <c r="A100" s="195"/>
      <c r="B100" s="140">
        <v>97</v>
      </c>
      <c r="C100" s="2"/>
      <c r="D100" s="1"/>
      <c r="E100" s="3"/>
      <c r="F100" s="1"/>
      <c r="G100" s="141">
        <f>IF(Basic3456789101112[[#This Row],[نوع الخدمة]]="مخالفات", 50,
IF(Basic3456789101112[[#This Row],[نوع الخدمة]]="كاش ان",
    IF(F100&lt;=100, 18, IF(F100&lt;=250, 23, IF(F100&lt;=500, 35, IF(F100&lt;=1000, 40, F100*0.04)))),
IF(Basic3456789101112[[#This Row],[نوع الخدمة]]="كاش اوت",
    IF(F100&lt;=100, 15, IF(F100&lt;=250, 20, IF(F100&lt;=500, 30, IF(F100&lt;=1000, 35, F100*0.035)))),
0)))</f>
        <v>0</v>
      </c>
      <c r="H100" s="159">
        <f>IF(I100="مخالفات",50,Basic3456789101112[[#This Row],[قيمة الرسوم / العموله]]+Basic3456789101112[[#This Row],[قيمة الشحنه]])</f>
        <v>0</v>
      </c>
      <c r="I100" s="90"/>
      <c r="J100" s="142" t="str">
        <f t="shared" si="1"/>
        <v>21.5.2026</v>
      </c>
      <c r="L100" s="153">
        <v>89</v>
      </c>
      <c r="M100" s="92"/>
    </row>
    <row r="101" spans="1:13" ht="21.6" x14ac:dyDescent="0.65">
      <c r="A101" s="195"/>
      <c r="B101" s="144">
        <v>98</v>
      </c>
      <c r="C101" s="2"/>
      <c r="D101" s="1"/>
      <c r="E101" s="3"/>
      <c r="F101" s="1"/>
      <c r="G101" s="141">
        <f>IF(Basic3456789101112[[#This Row],[نوع الخدمة]]="مخالفات", 50,
IF(Basic3456789101112[[#This Row],[نوع الخدمة]]="كاش ان",
    IF(F101&lt;=100, 18, IF(F101&lt;=250, 23, IF(F101&lt;=500, 35, IF(F101&lt;=1000, 40, F101*0.04)))),
IF(Basic3456789101112[[#This Row],[نوع الخدمة]]="كاش اوت",
    IF(F101&lt;=100, 15, IF(F101&lt;=250, 20, IF(F101&lt;=500, 30, IF(F101&lt;=1000, 35, F101*0.035)))),
0)))</f>
        <v>0</v>
      </c>
      <c r="H101" s="159">
        <f>IF(I101="مخالفات",50,Basic3456789101112[[#This Row],[قيمة الرسوم / العموله]]+Basic3456789101112[[#This Row],[قيمة الشحنه]])</f>
        <v>0</v>
      </c>
      <c r="I101" s="90"/>
      <c r="J101" s="142" t="str">
        <f t="shared" si="1"/>
        <v>21.5.2026</v>
      </c>
      <c r="L101" s="153">
        <v>90</v>
      </c>
      <c r="M101" s="92"/>
    </row>
    <row r="102" spans="1:13" ht="21.6" x14ac:dyDescent="0.65">
      <c r="A102" s="195"/>
      <c r="B102" s="140">
        <v>99</v>
      </c>
      <c r="C102" s="2"/>
      <c r="D102" s="1"/>
      <c r="E102" s="3"/>
      <c r="F102" s="1"/>
      <c r="G102" s="141">
        <f>IF(Basic3456789101112[[#This Row],[نوع الخدمة]]="مخالفات", 50,
IF(Basic3456789101112[[#This Row],[نوع الخدمة]]="كاش ان",
    IF(F102&lt;=100, 18, IF(F102&lt;=250, 23, IF(F102&lt;=500, 35, IF(F102&lt;=1000, 40, F102*0.04)))),
IF(Basic3456789101112[[#This Row],[نوع الخدمة]]="كاش اوت",
    IF(F102&lt;=100, 15, IF(F102&lt;=250, 20, IF(F102&lt;=500, 30, IF(F102&lt;=1000, 35, F102*0.035)))),
0)))</f>
        <v>0</v>
      </c>
      <c r="H102" s="159">
        <f>IF(I102="مخالفات",50,Basic3456789101112[[#This Row],[قيمة الرسوم / العموله]]+Basic3456789101112[[#This Row],[قيمة الشحنه]])</f>
        <v>0</v>
      </c>
      <c r="I102" s="90"/>
      <c r="J102" s="142" t="str">
        <f t="shared" si="1"/>
        <v>21.5.2026</v>
      </c>
      <c r="L102" s="153">
        <v>91</v>
      </c>
      <c r="M102" s="92"/>
    </row>
    <row r="103" spans="1:13" ht="21.6" x14ac:dyDescent="0.65">
      <c r="A103" s="195"/>
      <c r="B103" s="140">
        <v>100</v>
      </c>
      <c r="C103" s="2"/>
      <c r="D103" s="1"/>
      <c r="E103" s="3"/>
      <c r="F103" s="1"/>
      <c r="G103" s="141">
        <f>IF(Basic3456789101112[[#This Row],[نوع الخدمة]]="مخالفات", 50,
IF(Basic3456789101112[[#This Row],[نوع الخدمة]]="كاش ان",
    IF(F103&lt;=100, 18, IF(F103&lt;=250, 23, IF(F103&lt;=500, 35, IF(F103&lt;=1000, 40, F103*0.04)))),
IF(Basic3456789101112[[#This Row],[نوع الخدمة]]="كاش اوت",
    IF(F103&lt;=100, 15, IF(F103&lt;=250, 20, IF(F103&lt;=500, 30, IF(F103&lt;=1000, 35, F103*0.035)))),
0)))</f>
        <v>0</v>
      </c>
      <c r="H103" s="159">
        <f>IF(I103="مخالفات",50,Basic3456789101112[[#This Row],[قيمة الرسوم / العموله]]+Basic3456789101112[[#This Row],[قيمة الشحنه]])</f>
        <v>0</v>
      </c>
      <c r="I103" s="90"/>
      <c r="J103" s="142" t="str">
        <f t="shared" si="1"/>
        <v>21.5.2026</v>
      </c>
      <c r="L103" s="153">
        <v>92</v>
      </c>
      <c r="M103" s="92"/>
    </row>
    <row r="104" spans="1:13" ht="21.6" x14ac:dyDescent="0.65">
      <c r="A104" s="195"/>
      <c r="B104" s="140">
        <v>101</v>
      </c>
      <c r="C104" s="2"/>
      <c r="D104" s="1"/>
      <c r="E104" s="3"/>
      <c r="F104" s="1"/>
      <c r="G104" s="141">
        <f>IF(Basic3456789101112[[#This Row],[نوع الخدمة]]="مخالفات", 50,
IF(Basic3456789101112[[#This Row],[نوع الخدمة]]="كاش ان",
    IF(F104&lt;=100, 18, IF(F104&lt;=250, 23, IF(F104&lt;=500, 35, IF(F104&lt;=1000, 40, F104*0.04)))),
IF(Basic3456789101112[[#This Row],[نوع الخدمة]]="كاش اوت",
    IF(F104&lt;=100, 15, IF(F104&lt;=250, 20, IF(F104&lt;=500, 30, IF(F104&lt;=1000, 35, F104*0.035)))),
0)))</f>
        <v>0</v>
      </c>
      <c r="H104" s="159">
        <f>IF(I104="مخالفات",50,Basic3456789101112[[#This Row],[قيمة الرسوم / العموله]]+Basic3456789101112[[#This Row],[قيمة الشحنه]])</f>
        <v>0</v>
      </c>
      <c r="I104" s="90"/>
      <c r="J104" s="142" t="str">
        <f t="shared" si="1"/>
        <v>21.5.2026</v>
      </c>
      <c r="L104" s="153">
        <v>93</v>
      </c>
      <c r="M104" s="92"/>
    </row>
    <row r="105" spans="1:13" ht="21.6" x14ac:dyDescent="0.65">
      <c r="A105" s="195"/>
      <c r="B105" s="144">
        <v>102</v>
      </c>
      <c r="C105" s="2"/>
      <c r="D105" s="1"/>
      <c r="E105" s="3"/>
      <c r="F105" s="1"/>
      <c r="G105" s="141">
        <f>IF(Basic3456789101112[[#This Row],[نوع الخدمة]]="مخالفات", 50,
IF(Basic3456789101112[[#This Row],[نوع الخدمة]]="كاش ان",
    IF(F105&lt;=100, 18, IF(F105&lt;=250, 23, IF(F105&lt;=500, 35, IF(F105&lt;=1000, 40, F105*0.04)))),
IF(Basic3456789101112[[#This Row],[نوع الخدمة]]="كاش اوت",
    IF(F105&lt;=100, 15, IF(F105&lt;=250, 20, IF(F105&lt;=500, 30, IF(F105&lt;=1000, 35, F105*0.035)))),
0)))</f>
        <v>0</v>
      </c>
      <c r="H105" s="159">
        <f>IF(I105="مخالفات",50,Basic3456789101112[[#This Row],[قيمة الرسوم / العموله]]+Basic3456789101112[[#This Row],[قيمة الشحنه]])</f>
        <v>0</v>
      </c>
      <c r="I105" s="90"/>
      <c r="J105" s="142" t="str">
        <f t="shared" si="1"/>
        <v>21.5.2026</v>
      </c>
      <c r="L105" s="153">
        <v>94</v>
      </c>
      <c r="M105" s="92"/>
    </row>
    <row r="106" spans="1:13" ht="21.6" x14ac:dyDescent="0.65">
      <c r="A106" s="195"/>
      <c r="B106" s="140">
        <v>103</v>
      </c>
      <c r="C106" s="2"/>
      <c r="D106" s="1"/>
      <c r="E106" s="3"/>
      <c r="F106" s="1"/>
      <c r="G106" s="141">
        <f>IF(Basic3456789101112[[#This Row],[نوع الخدمة]]="مخالفات", 50,
IF(Basic3456789101112[[#This Row],[نوع الخدمة]]="كاش ان",
    IF(F106&lt;=100, 18, IF(F106&lt;=250, 23, IF(F106&lt;=500, 35, IF(F106&lt;=1000, 40, F106*0.04)))),
IF(Basic3456789101112[[#This Row],[نوع الخدمة]]="كاش اوت",
    IF(F106&lt;=100, 15, IF(F106&lt;=250, 20, IF(F106&lt;=500, 30, IF(F106&lt;=1000, 35, F106*0.035)))),
0)))</f>
        <v>0</v>
      </c>
      <c r="H106" s="159">
        <f>IF(I106="مخالفات",50,Basic3456789101112[[#This Row],[قيمة الرسوم / العموله]]+Basic3456789101112[[#This Row],[قيمة الشحنه]])</f>
        <v>0</v>
      </c>
      <c r="I106" s="90"/>
      <c r="J106" s="142" t="str">
        <f t="shared" si="1"/>
        <v>21.5.2026</v>
      </c>
      <c r="L106" s="153">
        <v>95</v>
      </c>
      <c r="M106" s="92"/>
    </row>
    <row r="107" spans="1:13" ht="21.6" x14ac:dyDescent="0.65">
      <c r="A107" s="195"/>
      <c r="B107" s="140">
        <v>104</v>
      </c>
      <c r="C107" s="2"/>
      <c r="D107" s="1"/>
      <c r="E107" s="3"/>
      <c r="F107" s="1"/>
      <c r="G107" s="141">
        <f>IF(Basic3456789101112[[#This Row],[نوع الخدمة]]="مخالفات", 50,
IF(Basic3456789101112[[#This Row],[نوع الخدمة]]="كاش ان",
    IF(F107&lt;=100, 18, IF(F107&lt;=250, 23, IF(F107&lt;=500, 35, IF(F107&lt;=1000, 40, F107*0.04)))),
IF(Basic3456789101112[[#This Row],[نوع الخدمة]]="كاش اوت",
    IF(F107&lt;=100, 15, IF(F107&lt;=250, 20, IF(F107&lt;=500, 30, IF(F107&lt;=1000, 35, F107*0.035)))),
0)))</f>
        <v>0</v>
      </c>
      <c r="H107" s="159">
        <f>IF(I107="مخالفات",50,Basic3456789101112[[#This Row],[قيمة الرسوم / العموله]]+Basic3456789101112[[#This Row],[قيمة الشحنه]])</f>
        <v>0</v>
      </c>
      <c r="I107" s="90"/>
      <c r="J107" s="142" t="str">
        <f t="shared" si="1"/>
        <v>21.5.2026</v>
      </c>
      <c r="L107" s="153">
        <v>96</v>
      </c>
      <c r="M107" s="92"/>
    </row>
    <row r="108" spans="1:13" ht="21.6" x14ac:dyDescent="0.65">
      <c r="A108" s="195"/>
      <c r="B108" s="140">
        <v>105</v>
      </c>
      <c r="C108" s="2"/>
      <c r="D108" s="1"/>
      <c r="E108" s="3"/>
      <c r="F108" s="1"/>
      <c r="G108" s="141">
        <f>IF(Basic3456789101112[[#This Row],[نوع الخدمة]]="مخالفات", 50,
IF(Basic3456789101112[[#This Row],[نوع الخدمة]]="كاش ان",
    IF(F108&lt;=100, 18, IF(F108&lt;=250, 23, IF(F108&lt;=500, 35, IF(F108&lt;=1000, 40, F108*0.04)))),
IF(Basic3456789101112[[#This Row],[نوع الخدمة]]="كاش اوت",
    IF(F108&lt;=100, 15, IF(F108&lt;=250, 20, IF(F108&lt;=500, 30, IF(F108&lt;=1000, 35, F108*0.035)))),
0)))</f>
        <v>0</v>
      </c>
      <c r="H108" s="159">
        <f>IF(I108="مخالفات",50,Basic3456789101112[[#This Row],[قيمة الرسوم / العموله]]+Basic3456789101112[[#This Row],[قيمة الشحنه]])</f>
        <v>0</v>
      </c>
      <c r="I108" s="90"/>
      <c r="J108" s="142" t="str">
        <f t="shared" si="1"/>
        <v>21.5.2026</v>
      </c>
      <c r="L108" s="153">
        <v>97</v>
      </c>
      <c r="M108" s="92"/>
    </row>
    <row r="109" spans="1:13" ht="21.6" x14ac:dyDescent="0.65">
      <c r="A109" s="195"/>
      <c r="B109" s="144">
        <v>106</v>
      </c>
      <c r="C109" s="2"/>
      <c r="D109" s="1"/>
      <c r="E109" s="3"/>
      <c r="F109" s="1"/>
      <c r="G109" s="141">
        <f>IF(Basic3456789101112[[#This Row],[نوع الخدمة]]="مخالفات", 50,
IF(Basic3456789101112[[#This Row],[نوع الخدمة]]="كاش ان",
    IF(F109&lt;=100, 18, IF(F109&lt;=250, 23, IF(F109&lt;=500, 35, IF(F109&lt;=1000, 40, F109*0.04)))),
IF(Basic3456789101112[[#This Row],[نوع الخدمة]]="كاش اوت",
    IF(F109&lt;=100, 15, IF(F109&lt;=250, 20, IF(F109&lt;=500, 30, IF(F109&lt;=1000, 35, F109*0.035)))),
0)))</f>
        <v>0</v>
      </c>
      <c r="H109" s="159">
        <f>IF(I109="مخالفات",50,Basic3456789101112[[#This Row],[قيمة الرسوم / العموله]]+Basic3456789101112[[#This Row],[قيمة الشحنه]])</f>
        <v>0</v>
      </c>
      <c r="I109" s="90"/>
      <c r="J109" s="142" t="str">
        <f t="shared" si="1"/>
        <v>21.5.2026</v>
      </c>
      <c r="L109" s="153">
        <v>98</v>
      </c>
      <c r="M109" s="92"/>
    </row>
    <row r="110" spans="1:13" ht="21.6" x14ac:dyDescent="0.65">
      <c r="A110" s="195"/>
      <c r="B110" s="140">
        <v>107</v>
      </c>
      <c r="C110" s="2"/>
      <c r="D110" s="1"/>
      <c r="E110" s="3"/>
      <c r="F110" s="1"/>
      <c r="G110" s="141">
        <f>IF(Basic3456789101112[[#This Row],[نوع الخدمة]]="مخالفات", 50,
IF(Basic3456789101112[[#This Row],[نوع الخدمة]]="كاش ان",
    IF(F110&lt;=100, 18, IF(F110&lt;=250, 23, IF(F110&lt;=500, 35, IF(F110&lt;=1000, 40, F110*0.04)))),
IF(Basic3456789101112[[#This Row],[نوع الخدمة]]="كاش اوت",
    IF(F110&lt;=100, 15, IF(F110&lt;=250, 20, IF(F110&lt;=500, 30, IF(F110&lt;=1000, 35, F110*0.035)))),
0)))</f>
        <v>0</v>
      </c>
      <c r="H110" s="159">
        <f>IF(I110="مخالفات",50,Basic3456789101112[[#This Row],[قيمة الرسوم / العموله]]+Basic3456789101112[[#This Row],[قيمة الشحنه]])</f>
        <v>0</v>
      </c>
      <c r="I110" s="90"/>
      <c r="J110" s="142" t="str">
        <f t="shared" si="1"/>
        <v>21.5.2026</v>
      </c>
      <c r="L110" s="153">
        <v>99</v>
      </c>
      <c r="M110" s="92"/>
    </row>
    <row r="111" spans="1:13" ht="21.6" x14ac:dyDescent="0.65">
      <c r="A111" s="195"/>
      <c r="B111" s="140">
        <v>108</v>
      </c>
      <c r="C111" s="2"/>
      <c r="D111" s="1"/>
      <c r="E111" s="3"/>
      <c r="F111" s="1"/>
      <c r="G111" s="141">
        <f>IF(Basic3456789101112[[#This Row],[نوع الخدمة]]="مخالفات", 50,
IF(Basic3456789101112[[#This Row],[نوع الخدمة]]="كاش ان",
    IF(F111&lt;=100, 18, IF(F111&lt;=250, 23, IF(F111&lt;=500, 35, IF(F111&lt;=1000, 40, F111*0.04)))),
IF(Basic3456789101112[[#This Row],[نوع الخدمة]]="كاش اوت",
    IF(F111&lt;=100, 15, IF(F111&lt;=250, 20, IF(F111&lt;=500, 30, IF(F111&lt;=1000, 35, F111*0.035)))),
0)))</f>
        <v>0</v>
      </c>
      <c r="H111" s="159">
        <f>IF(I111="مخالفات",50,Basic3456789101112[[#This Row],[قيمة الرسوم / العموله]]+Basic3456789101112[[#This Row],[قيمة الشحنه]])</f>
        <v>0</v>
      </c>
      <c r="I111" s="90"/>
      <c r="J111" s="142" t="str">
        <f t="shared" si="1"/>
        <v>21.5.2026</v>
      </c>
      <c r="L111" s="153">
        <v>100</v>
      </c>
      <c r="M111" s="92"/>
    </row>
    <row r="112" spans="1:13" ht="21.6" x14ac:dyDescent="0.65">
      <c r="A112" s="195"/>
      <c r="B112" s="140">
        <v>109</v>
      </c>
      <c r="C112" s="2"/>
      <c r="D112" s="1"/>
      <c r="E112" s="3"/>
      <c r="F112" s="1"/>
      <c r="G112" s="141">
        <f>IF(Basic3456789101112[[#This Row],[نوع الخدمة]]="مخالفات", 50,
IF(Basic3456789101112[[#This Row],[نوع الخدمة]]="كاش ان",
    IF(F112&lt;=100, 18, IF(F112&lt;=250, 23, IF(F112&lt;=500, 35, IF(F112&lt;=1000, 40, F112*0.04)))),
IF(Basic3456789101112[[#This Row],[نوع الخدمة]]="كاش اوت",
    IF(F112&lt;=100, 15, IF(F112&lt;=250, 20, IF(F112&lt;=500, 30, IF(F112&lt;=1000, 35, F112*0.035)))),
0)))</f>
        <v>0</v>
      </c>
      <c r="H112" s="159">
        <f>IF(I112="مخالفات",50,Basic3456789101112[[#This Row],[قيمة الرسوم / العموله]]+Basic3456789101112[[#This Row],[قيمة الشحنه]])</f>
        <v>0</v>
      </c>
      <c r="I112" s="90"/>
      <c r="J112" s="142" t="str">
        <f t="shared" si="1"/>
        <v>21.5.2026</v>
      </c>
      <c r="L112" s="153">
        <v>101</v>
      </c>
      <c r="M112" s="92"/>
    </row>
    <row r="113" spans="1:13" ht="21.6" x14ac:dyDescent="0.65">
      <c r="A113" s="195"/>
      <c r="B113" s="144">
        <v>110</v>
      </c>
      <c r="C113" s="2"/>
      <c r="D113" s="1"/>
      <c r="E113" s="3"/>
      <c r="F113" s="1"/>
      <c r="G113" s="141">
        <f>IF(Basic3456789101112[[#This Row],[نوع الخدمة]]="مخالفات", 50,
IF(Basic3456789101112[[#This Row],[نوع الخدمة]]="كاش ان",
    IF(F113&lt;=100, 18, IF(F113&lt;=250, 23, IF(F113&lt;=500, 35, IF(F113&lt;=1000, 40, F113*0.04)))),
IF(Basic3456789101112[[#This Row],[نوع الخدمة]]="كاش اوت",
    IF(F113&lt;=100, 15, IF(F113&lt;=250, 20, IF(F113&lt;=500, 30, IF(F113&lt;=1000, 35, F113*0.035)))),
0)))</f>
        <v>0</v>
      </c>
      <c r="H113" s="159">
        <f>IF(I113="مخالفات",50,Basic3456789101112[[#This Row],[قيمة الرسوم / العموله]]+Basic3456789101112[[#This Row],[قيمة الشحنه]])</f>
        <v>0</v>
      </c>
      <c r="I113" s="90"/>
      <c r="J113" s="142" t="str">
        <f t="shared" si="1"/>
        <v>21.5.2026</v>
      </c>
      <c r="L113" s="153">
        <v>102</v>
      </c>
      <c r="M113" s="92"/>
    </row>
    <row r="114" spans="1:13" ht="21.6" x14ac:dyDescent="0.65">
      <c r="A114" s="195"/>
      <c r="B114" s="140">
        <v>111</v>
      </c>
      <c r="C114" s="2"/>
      <c r="D114" s="1"/>
      <c r="E114" s="3"/>
      <c r="F114" s="1"/>
      <c r="G114" s="141">
        <f>IF(Basic3456789101112[[#This Row],[نوع الخدمة]]="مخالفات", 50,
IF(Basic3456789101112[[#This Row],[نوع الخدمة]]="كاش ان",
    IF(F114&lt;=100, 18, IF(F114&lt;=250, 23, IF(F114&lt;=500, 35, IF(F114&lt;=1000, 40, F114*0.04)))),
IF(Basic3456789101112[[#This Row],[نوع الخدمة]]="كاش اوت",
    IF(F114&lt;=100, 15, IF(F114&lt;=250, 20, IF(F114&lt;=500, 30, IF(F114&lt;=1000, 35, F114*0.035)))),
0)))</f>
        <v>0</v>
      </c>
      <c r="H114" s="159">
        <f>IF(I114="مخالفات",50,Basic3456789101112[[#This Row],[قيمة الرسوم / العموله]]+Basic3456789101112[[#This Row],[قيمة الشحنه]])</f>
        <v>0</v>
      </c>
      <c r="I114" s="90"/>
      <c r="J114" s="142" t="str">
        <f t="shared" si="1"/>
        <v>21.5.2026</v>
      </c>
      <c r="L114" s="153">
        <v>103</v>
      </c>
      <c r="M114" s="92"/>
    </row>
    <row r="115" spans="1:13" ht="21.6" x14ac:dyDescent="0.65">
      <c r="A115" s="195"/>
      <c r="B115" s="140">
        <v>112</v>
      </c>
      <c r="C115" s="2"/>
      <c r="D115" s="1"/>
      <c r="E115" s="3"/>
      <c r="F115" s="1"/>
      <c r="G115" s="141">
        <f>IF(Basic3456789101112[[#This Row],[نوع الخدمة]]="مخالفات", 50,
IF(Basic3456789101112[[#This Row],[نوع الخدمة]]="كاش ان",
    IF(F115&lt;=100, 18, IF(F115&lt;=250, 23, IF(F115&lt;=500, 35, IF(F115&lt;=1000, 40, F115*0.04)))),
IF(Basic3456789101112[[#This Row],[نوع الخدمة]]="كاش اوت",
    IF(F115&lt;=100, 15, IF(F115&lt;=250, 20, IF(F115&lt;=500, 30, IF(F115&lt;=1000, 35, F115*0.035)))),
0)))</f>
        <v>0</v>
      </c>
      <c r="H115" s="159">
        <f>IF(I115="مخالفات",50,Basic3456789101112[[#This Row],[قيمة الرسوم / العموله]]+Basic3456789101112[[#This Row],[قيمة الشحنه]])</f>
        <v>0</v>
      </c>
      <c r="I115" s="90"/>
      <c r="J115" s="142" t="str">
        <f t="shared" si="1"/>
        <v>21.5.2026</v>
      </c>
      <c r="L115" s="153">
        <v>104</v>
      </c>
      <c r="M115" s="92"/>
    </row>
    <row r="116" spans="1:13" ht="21.6" x14ac:dyDescent="0.65">
      <c r="A116" s="195"/>
      <c r="B116" s="140">
        <v>113</v>
      </c>
      <c r="C116" s="2"/>
      <c r="D116" s="1"/>
      <c r="E116" s="3"/>
      <c r="F116" s="1"/>
      <c r="G116" s="141">
        <f>IF(Basic3456789101112[[#This Row],[نوع الخدمة]]="مخالفات", 50,
IF(Basic3456789101112[[#This Row],[نوع الخدمة]]="كاش ان",
    IF(F116&lt;=100, 18, IF(F116&lt;=250, 23, IF(F116&lt;=500, 35, IF(F116&lt;=1000, 40, F116*0.04)))),
IF(Basic3456789101112[[#This Row],[نوع الخدمة]]="كاش اوت",
    IF(F116&lt;=100, 15, IF(F116&lt;=250, 20, IF(F116&lt;=500, 30, IF(F116&lt;=1000, 35, F116*0.035)))),
0)))</f>
        <v>0</v>
      </c>
      <c r="H116" s="159">
        <f>IF(I116="مخالفات",50,Basic3456789101112[[#This Row],[قيمة الرسوم / العموله]]+Basic3456789101112[[#This Row],[قيمة الشحنه]])</f>
        <v>0</v>
      </c>
      <c r="I116" s="90"/>
      <c r="J116" s="142" t="str">
        <f t="shared" si="1"/>
        <v>21.5.2026</v>
      </c>
      <c r="L116" s="153">
        <v>105</v>
      </c>
      <c r="M116" s="92"/>
    </row>
    <row r="117" spans="1:13" ht="21.6" x14ac:dyDescent="0.65">
      <c r="A117" s="195"/>
      <c r="B117" s="144">
        <v>114</v>
      </c>
      <c r="C117" s="2"/>
      <c r="D117" s="1"/>
      <c r="E117" s="3"/>
      <c r="F117" s="1"/>
      <c r="G117" s="141">
        <f>IF(Basic3456789101112[[#This Row],[نوع الخدمة]]="مخالفات", 50,
IF(Basic3456789101112[[#This Row],[نوع الخدمة]]="كاش ان",
    IF(F117&lt;=100, 18, IF(F117&lt;=250, 23, IF(F117&lt;=500, 35, IF(F117&lt;=1000, 40, F117*0.04)))),
IF(Basic3456789101112[[#This Row],[نوع الخدمة]]="كاش اوت",
    IF(F117&lt;=100, 15, IF(F117&lt;=250, 20, IF(F117&lt;=500, 30, IF(F117&lt;=1000, 35, F117*0.035)))),
0)))</f>
        <v>0</v>
      </c>
      <c r="H117" s="159">
        <f>IF(I117="مخالفات",50,Basic3456789101112[[#This Row],[قيمة الرسوم / العموله]]+Basic3456789101112[[#This Row],[قيمة الشحنه]])</f>
        <v>0</v>
      </c>
      <c r="I117" s="90"/>
      <c r="J117" s="142" t="str">
        <f t="shared" si="1"/>
        <v>21.5.2026</v>
      </c>
      <c r="L117" s="153">
        <v>106</v>
      </c>
      <c r="M117" s="92"/>
    </row>
    <row r="118" spans="1:13" ht="21.6" x14ac:dyDescent="0.65">
      <c r="A118" s="195"/>
      <c r="B118" s="140">
        <v>115</v>
      </c>
      <c r="C118" s="2"/>
      <c r="D118" s="1"/>
      <c r="E118" s="3"/>
      <c r="F118" s="1"/>
      <c r="G118" s="141">
        <f>IF(Basic3456789101112[[#This Row],[نوع الخدمة]]="مخالفات", 50,
IF(Basic3456789101112[[#This Row],[نوع الخدمة]]="كاش ان",
    IF(F118&lt;=100, 18, IF(F118&lt;=250, 23, IF(F118&lt;=500, 35, IF(F118&lt;=1000, 40, F118*0.04)))),
IF(Basic3456789101112[[#This Row],[نوع الخدمة]]="كاش اوت",
    IF(F118&lt;=100, 15, IF(F118&lt;=250, 20, IF(F118&lt;=500, 30, IF(F118&lt;=1000, 35, F118*0.035)))),
0)))</f>
        <v>0</v>
      </c>
      <c r="H118" s="159">
        <f>IF(I118="مخالفات",50,Basic3456789101112[[#This Row],[قيمة الرسوم / العموله]]+Basic3456789101112[[#This Row],[قيمة الشحنه]])</f>
        <v>0</v>
      </c>
      <c r="I118" s="90"/>
      <c r="J118" s="142" t="str">
        <f t="shared" si="1"/>
        <v>21.5.2026</v>
      </c>
      <c r="L118" s="153">
        <v>107</v>
      </c>
      <c r="M118" s="92"/>
    </row>
    <row r="119" spans="1:13" ht="21.6" x14ac:dyDescent="0.65">
      <c r="A119" s="195"/>
      <c r="B119" s="140">
        <v>116</v>
      </c>
      <c r="C119" s="2"/>
      <c r="D119" s="1"/>
      <c r="E119" s="3"/>
      <c r="F119" s="1"/>
      <c r="G119" s="141">
        <f>IF(Basic3456789101112[[#This Row],[نوع الخدمة]]="مخالفات", 50,
IF(Basic3456789101112[[#This Row],[نوع الخدمة]]="كاش ان",
    IF(F119&lt;=100, 18, IF(F119&lt;=250, 23, IF(F119&lt;=500, 35, IF(F119&lt;=1000, 40, F119*0.04)))),
IF(Basic3456789101112[[#This Row],[نوع الخدمة]]="كاش اوت",
    IF(F119&lt;=100, 15, IF(F119&lt;=250, 20, IF(F119&lt;=500, 30, IF(F119&lt;=1000, 35, F119*0.035)))),
0)))</f>
        <v>0</v>
      </c>
      <c r="H119" s="159">
        <f>IF(I119="مخالفات",50,Basic3456789101112[[#This Row],[قيمة الرسوم / العموله]]+Basic3456789101112[[#This Row],[قيمة الشحنه]])</f>
        <v>0</v>
      </c>
      <c r="I119" s="90"/>
      <c r="J119" s="142" t="str">
        <f t="shared" si="1"/>
        <v>21.5.2026</v>
      </c>
      <c r="L119" s="153">
        <v>108</v>
      </c>
      <c r="M119" s="92"/>
    </row>
    <row r="120" spans="1:13" ht="21.6" x14ac:dyDescent="0.65">
      <c r="A120" s="195"/>
      <c r="B120" s="140">
        <v>117</v>
      </c>
      <c r="C120" s="2"/>
      <c r="D120" s="1"/>
      <c r="E120" s="3"/>
      <c r="F120" s="1"/>
      <c r="G120" s="141">
        <f>IF(Basic3456789101112[[#This Row],[نوع الخدمة]]="مخالفات", 50,
IF(Basic3456789101112[[#This Row],[نوع الخدمة]]="كاش ان",
    IF(F120&lt;=100, 18, IF(F120&lt;=250, 23, IF(F120&lt;=500, 35, IF(F120&lt;=1000, 40, F120*0.04)))),
IF(Basic3456789101112[[#This Row],[نوع الخدمة]]="كاش اوت",
    IF(F120&lt;=100, 15, IF(F120&lt;=250, 20, IF(F120&lt;=500, 30, IF(F120&lt;=1000, 35, F120*0.035)))),
0)))</f>
        <v>0</v>
      </c>
      <c r="H120" s="159">
        <f>IF(I120="مخالفات",50,Basic3456789101112[[#This Row],[قيمة الرسوم / العموله]]+Basic3456789101112[[#This Row],[قيمة الشحنه]])</f>
        <v>0</v>
      </c>
      <c r="I120" s="90"/>
      <c r="J120" s="142" t="str">
        <f t="shared" si="1"/>
        <v>21.5.2026</v>
      </c>
      <c r="L120" s="153">
        <v>109</v>
      </c>
      <c r="M120" s="92"/>
    </row>
    <row r="121" spans="1:13" ht="21.6" x14ac:dyDescent="0.65">
      <c r="A121" s="195"/>
      <c r="B121" s="144">
        <v>118</v>
      </c>
      <c r="C121" s="2"/>
      <c r="D121" s="1"/>
      <c r="E121" s="3"/>
      <c r="F121" s="1"/>
      <c r="G121" s="141">
        <f>IF(Basic3456789101112[[#This Row],[نوع الخدمة]]="مخالفات", 50,
IF(Basic3456789101112[[#This Row],[نوع الخدمة]]="كاش ان",
    IF(F121&lt;=100, 18, IF(F121&lt;=250, 23, IF(F121&lt;=500, 35, IF(F121&lt;=1000, 40, F121*0.04)))),
IF(Basic3456789101112[[#This Row],[نوع الخدمة]]="كاش اوت",
    IF(F121&lt;=100, 15, IF(F121&lt;=250, 20, IF(F121&lt;=500, 30, IF(F121&lt;=1000, 35, F121*0.035)))),
0)))</f>
        <v>0</v>
      </c>
      <c r="H121" s="159">
        <f>IF(I121="مخالفات",50,Basic3456789101112[[#This Row],[قيمة الرسوم / العموله]]+Basic3456789101112[[#This Row],[قيمة الشحنه]])</f>
        <v>0</v>
      </c>
      <c r="I121" s="90"/>
      <c r="J121" s="142" t="str">
        <f t="shared" si="1"/>
        <v>21.5.2026</v>
      </c>
      <c r="L121" s="153">
        <v>110</v>
      </c>
      <c r="M121" s="92"/>
    </row>
    <row r="122" spans="1:13" ht="21.6" x14ac:dyDescent="0.65">
      <c r="A122" s="195"/>
      <c r="B122" s="140">
        <v>119</v>
      </c>
      <c r="C122" s="2"/>
      <c r="D122" s="1"/>
      <c r="E122" s="3"/>
      <c r="F122" s="1"/>
      <c r="G122" s="141">
        <f>IF(Basic3456789101112[[#This Row],[نوع الخدمة]]="مخالفات", 50,
IF(Basic3456789101112[[#This Row],[نوع الخدمة]]="كاش ان",
    IF(F122&lt;=100, 18, IF(F122&lt;=250, 23, IF(F122&lt;=500, 35, IF(F122&lt;=1000, 40, F122*0.04)))),
IF(Basic3456789101112[[#This Row],[نوع الخدمة]]="كاش اوت",
    IF(F122&lt;=100, 15, IF(F122&lt;=250, 20, IF(F122&lt;=500, 30, IF(F122&lt;=1000, 35, F122*0.035)))),
0)))</f>
        <v>0</v>
      </c>
      <c r="H122" s="159">
        <f>IF(I122="مخالفات",50,Basic3456789101112[[#This Row],[قيمة الرسوم / العموله]]+Basic3456789101112[[#This Row],[قيمة الشحنه]])</f>
        <v>0</v>
      </c>
      <c r="I122" s="90"/>
      <c r="J122" s="142" t="str">
        <f t="shared" si="1"/>
        <v>21.5.2026</v>
      </c>
      <c r="L122" s="153">
        <v>111</v>
      </c>
      <c r="M122" s="92"/>
    </row>
    <row r="123" spans="1:13" ht="21.6" x14ac:dyDescent="0.65">
      <c r="A123" s="195"/>
      <c r="B123" s="140">
        <v>120</v>
      </c>
      <c r="C123" s="2"/>
      <c r="D123" s="1"/>
      <c r="E123" s="3"/>
      <c r="F123" s="1"/>
      <c r="G123" s="141">
        <f>IF(Basic3456789101112[[#This Row],[نوع الخدمة]]="مخالفات", 50,
IF(Basic3456789101112[[#This Row],[نوع الخدمة]]="كاش ان",
    IF(F123&lt;=100, 18, IF(F123&lt;=250, 23, IF(F123&lt;=500, 35, IF(F123&lt;=1000, 40, F123*0.04)))),
IF(Basic3456789101112[[#This Row],[نوع الخدمة]]="كاش اوت",
    IF(F123&lt;=100, 15, IF(F123&lt;=250, 20, IF(F123&lt;=500, 30, IF(F123&lt;=1000, 35, F123*0.035)))),
0)))</f>
        <v>0</v>
      </c>
      <c r="H123" s="159">
        <f>IF(I123="مخالفات",50,Basic3456789101112[[#This Row],[قيمة الرسوم / العموله]]+Basic3456789101112[[#This Row],[قيمة الشحنه]])</f>
        <v>0</v>
      </c>
      <c r="I123" s="90"/>
      <c r="J123" s="142" t="str">
        <f t="shared" si="1"/>
        <v>21.5.2026</v>
      </c>
      <c r="L123" s="153">
        <v>112</v>
      </c>
      <c r="M123" s="92"/>
    </row>
    <row r="124" spans="1:13" ht="21.6" x14ac:dyDescent="0.65">
      <c r="A124" s="195"/>
      <c r="B124" s="140">
        <v>121</v>
      </c>
      <c r="C124" s="2"/>
      <c r="D124" s="1"/>
      <c r="E124" s="3"/>
      <c r="F124" s="1"/>
      <c r="G124" s="141">
        <f>IF(Basic3456789101112[[#This Row],[نوع الخدمة]]="مخالفات", 50,
IF(Basic3456789101112[[#This Row],[نوع الخدمة]]="كاش ان",
    IF(F124&lt;=100, 18, IF(F124&lt;=250, 23, IF(F124&lt;=500, 35, IF(F124&lt;=1000, 40, F124*0.04)))),
IF(Basic3456789101112[[#This Row],[نوع الخدمة]]="كاش اوت",
    IF(F124&lt;=100, 15, IF(F124&lt;=250, 20, IF(F124&lt;=500, 30, IF(F124&lt;=1000, 35, F124*0.035)))),
0)))</f>
        <v>0</v>
      </c>
      <c r="H124" s="159">
        <f>IF(I124="مخالفات",50,Basic3456789101112[[#This Row],[قيمة الرسوم / العموله]]+Basic3456789101112[[#This Row],[قيمة الشحنه]])</f>
        <v>0</v>
      </c>
      <c r="I124" s="90"/>
      <c r="J124" s="142" t="str">
        <f t="shared" si="1"/>
        <v>21.5.2026</v>
      </c>
      <c r="L124" s="153">
        <v>113</v>
      </c>
      <c r="M124" s="92"/>
    </row>
    <row r="125" spans="1:13" ht="21.6" x14ac:dyDescent="0.65">
      <c r="A125" s="195"/>
      <c r="B125" s="144">
        <v>122</v>
      </c>
      <c r="C125" s="2"/>
      <c r="D125" s="1"/>
      <c r="E125" s="3"/>
      <c r="F125" s="1"/>
      <c r="G125" s="141">
        <f>IF(Basic3456789101112[[#This Row],[نوع الخدمة]]="مخالفات", 50,
IF(Basic3456789101112[[#This Row],[نوع الخدمة]]="كاش ان",
    IF(F125&lt;=100, 18, IF(F125&lt;=250, 23, IF(F125&lt;=500, 35, IF(F125&lt;=1000, 40, F125*0.04)))),
IF(Basic3456789101112[[#This Row],[نوع الخدمة]]="كاش اوت",
    IF(F125&lt;=100, 15, IF(F125&lt;=250, 20, IF(F125&lt;=500, 30, IF(F125&lt;=1000, 35, F125*0.035)))),
0)))</f>
        <v>0</v>
      </c>
      <c r="H125" s="159">
        <f>IF(I125="مخالفات",50,Basic3456789101112[[#This Row],[قيمة الرسوم / العموله]]+Basic3456789101112[[#This Row],[قيمة الشحنه]])</f>
        <v>0</v>
      </c>
      <c r="I125" s="90"/>
      <c r="J125" s="142" t="str">
        <f t="shared" si="1"/>
        <v>21.5.2026</v>
      </c>
      <c r="L125" s="153">
        <v>114</v>
      </c>
      <c r="M125" s="92"/>
    </row>
    <row r="126" spans="1:13" ht="21.6" x14ac:dyDescent="0.65">
      <c r="A126" s="195"/>
      <c r="B126" s="140">
        <v>123</v>
      </c>
      <c r="C126" s="2"/>
      <c r="D126" s="1"/>
      <c r="E126" s="3"/>
      <c r="F126" s="1"/>
      <c r="G126" s="141">
        <f>IF(Basic3456789101112[[#This Row],[نوع الخدمة]]="مخالفات", 50,
IF(Basic3456789101112[[#This Row],[نوع الخدمة]]="كاش ان",
    IF(F126&lt;=100, 18, IF(F126&lt;=250, 23, IF(F126&lt;=500, 35, IF(F126&lt;=1000, 40, F126*0.04)))),
IF(Basic3456789101112[[#This Row],[نوع الخدمة]]="كاش اوت",
    IF(F126&lt;=100, 15, IF(F126&lt;=250, 20, IF(F126&lt;=500, 30, IF(F126&lt;=1000, 35, F126*0.035)))),
0)))</f>
        <v>0</v>
      </c>
      <c r="H126" s="159">
        <f>IF(I126="مخالفات",50,Basic3456789101112[[#This Row],[قيمة الرسوم / العموله]]+Basic3456789101112[[#This Row],[قيمة الشحنه]])</f>
        <v>0</v>
      </c>
      <c r="I126" s="90"/>
      <c r="J126" s="142" t="str">
        <f t="shared" si="1"/>
        <v>21.5.2026</v>
      </c>
      <c r="L126" s="153">
        <v>115</v>
      </c>
      <c r="M126" s="92"/>
    </row>
    <row r="127" spans="1:13" ht="21.6" x14ac:dyDescent="0.65">
      <c r="A127" s="195"/>
      <c r="B127" s="140">
        <v>124</v>
      </c>
      <c r="C127" s="2"/>
      <c r="D127" s="1"/>
      <c r="E127" s="3"/>
      <c r="F127" s="1"/>
      <c r="G127" s="141">
        <f>IF(Basic3456789101112[[#This Row],[نوع الخدمة]]="مخالفات", 50,
IF(Basic3456789101112[[#This Row],[نوع الخدمة]]="كاش ان",
    IF(F127&lt;=100, 18, IF(F127&lt;=250, 23, IF(F127&lt;=500, 35, IF(F127&lt;=1000, 40, F127*0.04)))),
IF(Basic3456789101112[[#This Row],[نوع الخدمة]]="كاش اوت",
    IF(F127&lt;=100, 15, IF(F127&lt;=250, 20, IF(F127&lt;=500, 30, IF(F127&lt;=1000, 35, F127*0.035)))),
0)))</f>
        <v>0</v>
      </c>
      <c r="H127" s="159">
        <f>IF(I127="مخالفات",50,Basic3456789101112[[#This Row],[قيمة الرسوم / العموله]]+Basic3456789101112[[#This Row],[قيمة الشحنه]])</f>
        <v>0</v>
      </c>
      <c r="I127" s="90"/>
      <c r="J127" s="142" t="str">
        <f t="shared" si="1"/>
        <v>21.5.2026</v>
      </c>
      <c r="L127" s="153">
        <v>116</v>
      </c>
      <c r="M127" s="92"/>
    </row>
    <row r="128" spans="1:13" ht="21.6" x14ac:dyDescent="0.65">
      <c r="A128" s="195"/>
      <c r="B128" s="140">
        <v>125</v>
      </c>
      <c r="C128" s="2"/>
      <c r="D128" s="1"/>
      <c r="E128" s="3"/>
      <c r="F128" s="1"/>
      <c r="G128" s="141">
        <f>IF(Basic3456789101112[[#This Row],[نوع الخدمة]]="مخالفات", 50,
IF(Basic3456789101112[[#This Row],[نوع الخدمة]]="كاش ان",
    IF(F128&lt;=100, 18, IF(F128&lt;=250, 23, IF(F128&lt;=500, 35, IF(F128&lt;=1000, 40, F128*0.04)))),
IF(Basic3456789101112[[#This Row],[نوع الخدمة]]="كاش اوت",
    IF(F128&lt;=100, 15, IF(F128&lt;=250, 20, IF(F128&lt;=500, 30, IF(F128&lt;=1000, 35, F128*0.035)))),
0)))</f>
        <v>0</v>
      </c>
      <c r="H128" s="159">
        <f>IF(I128="مخالفات",50,Basic3456789101112[[#This Row],[قيمة الرسوم / العموله]]+Basic3456789101112[[#This Row],[قيمة الشحنه]])</f>
        <v>0</v>
      </c>
      <c r="I128" s="90"/>
      <c r="J128" s="142" t="str">
        <f t="shared" si="1"/>
        <v>21.5.2026</v>
      </c>
      <c r="L128" s="153">
        <v>117</v>
      </c>
      <c r="M128" s="92"/>
    </row>
    <row r="129" spans="1:13" ht="21.6" x14ac:dyDescent="0.65">
      <c r="A129" s="195"/>
      <c r="B129" s="144">
        <v>126</v>
      </c>
      <c r="C129" s="2"/>
      <c r="D129" s="1"/>
      <c r="E129" s="3"/>
      <c r="F129" s="1"/>
      <c r="G129" s="141">
        <f>IF(Basic3456789101112[[#This Row],[نوع الخدمة]]="مخالفات", 50,
IF(Basic3456789101112[[#This Row],[نوع الخدمة]]="كاش ان",
    IF(F129&lt;=100, 18, IF(F129&lt;=250, 23, IF(F129&lt;=500, 35, IF(F129&lt;=1000, 40, F129*0.04)))),
IF(Basic3456789101112[[#This Row],[نوع الخدمة]]="كاش اوت",
    IF(F129&lt;=100, 15, IF(F129&lt;=250, 20, IF(F129&lt;=500, 30, IF(F129&lt;=1000, 35, F129*0.035)))),
0)))</f>
        <v>0</v>
      </c>
      <c r="H129" s="159">
        <f>IF(I129="مخالفات",50,Basic3456789101112[[#This Row],[قيمة الرسوم / العموله]]+Basic3456789101112[[#This Row],[قيمة الشحنه]])</f>
        <v>0</v>
      </c>
      <c r="I129" s="90"/>
      <c r="J129" s="142" t="str">
        <f t="shared" si="1"/>
        <v>21.5.2026</v>
      </c>
      <c r="L129" s="153">
        <v>118</v>
      </c>
      <c r="M129" s="92"/>
    </row>
    <row r="130" spans="1:13" ht="21.6" x14ac:dyDescent="0.65">
      <c r="A130" s="195"/>
      <c r="B130" s="140">
        <v>127</v>
      </c>
      <c r="C130" s="2"/>
      <c r="D130" s="1"/>
      <c r="E130" s="3"/>
      <c r="F130" s="1"/>
      <c r="G130" s="141">
        <f>IF(Basic3456789101112[[#This Row],[نوع الخدمة]]="مخالفات", 50,
IF(Basic3456789101112[[#This Row],[نوع الخدمة]]="كاش ان",
    IF(F130&lt;=100, 18, IF(F130&lt;=250, 23, IF(F130&lt;=500, 35, IF(F130&lt;=1000, 40, F130*0.04)))),
IF(Basic3456789101112[[#This Row],[نوع الخدمة]]="كاش اوت",
    IF(F130&lt;=100, 15, IF(F130&lt;=250, 20, IF(F130&lt;=500, 30, IF(F130&lt;=1000, 35, F130*0.035)))),
0)))</f>
        <v>0</v>
      </c>
      <c r="H130" s="159">
        <f>IF(I130="مخالفات",50,Basic3456789101112[[#This Row],[قيمة الرسوم / العموله]]+Basic3456789101112[[#This Row],[قيمة الشحنه]])</f>
        <v>0</v>
      </c>
      <c r="I130" s="90"/>
      <c r="J130" s="142" t="str">
        <f t="shared" si="1"/>
        <v>21.5.2026</v>
      </c>
      <c r="L130" s="153">
        <v>119</v>
      </c>
      <c r="M130" s="92"/>
    </row>
    <row r="131" spans="1:13" ht="21.6" x14ac:dyDescent="0.65">
      <c r="A131" s="195"/>
      <c r="B131" s="140">
        <v>128</v>
      </c>
      <c r="C131" s="2"/>
      <c r="D131" s="1"/>
      <c r="E131" s="3"/>
      <c r="F131" s="1"/>
      <c r="G131" s="141">
        <f>IF(Basic3456789101112[[#This Row],[نوع الخدمة]]="مخالفات", 50,
IF(Basic3456789101112[[#This Row],[نوع الخدمة]]="كاش ان",
    IF(F131&lt;=100, 18, IF(F131&lt;=250, 23, IF(F131&lt;=500, 35, IF(F131&lt;=1000, 40, F131*0.04)))),
IF(Basic3456789101112[[#This Row],[نوع الخدمة]]="كاش اوت",
    IF(F131&lt;=100, 15, IF(F131&lt;=250, 20, IF(F131&lt;=500, 30, IF(F131&lt;=1000, 35, F131*0.035)))),
0)))</f>
        <v>0</v>
      </c>
      <c r="H131" s="159">
        <f>IF(I131="مخالفات",50,Basic3456789101112[[#This Row],[قيمة الرسوم / العموله]]+Basic3456789101112[[#This Row],[قيمة الشحنه]])</f>
        <v>0</v>
      </c>
      <c r="I131" s="90"/>
      <c r="J131" s="142" t="str">
        <f t="shared" si="1"/>
        <v>21.5.2026</v>
      </c>
      <c r="L131" s="153">
        <v>120</v>
      </c>
      <c r="M131" s="92"/>
    </row>
    <row r="132" spans="1:13" ht="21.6" x14ac:dyDescent="0.65">
      <c r="A132" s="195"/>
      <c r="B132" s="140">
        <v>129</v>
      </c>
      <c r="C132" s="2"/>
      <c r="D132" s="1"/>
      <c r="E132" s="3"/>
      <c r="F132" s="1"/>
      <c r="G132" s="141">
        <f>IF(Basic3456789101112[[#This Row],[نوع الخدمة]]="مخالفات", 50,
IF(Basic3456789101112[[#This Row],[نوع الخدمة]]="كاش ان",
    IF(F132&lt;=100, 18, IF(F132&lt;=250, 23, IF(F132&lt;=500, 35, IF(F132&lt;=1000, 40, F132*0.04)))),
IF(Basic3456789101112[[#This Row],[نوع الخدمة]]="كاش اوت",
    IF(F132&lt;=100, 15, IF(F132&lt;=250, 20, IF(F132&lt;=500, 30, IF(F132&lt;=1000, 35, F132*0.035)))),
0)))</f>
        <v>0</v>
      </c>
      <c r="H132" s="159">
        <f>IF(I132="مخالفات",50,Basic3456789101112[[#This Row],[قيمة الرسوم / العموله]]+Basic3456789101112[[#This Row],[قيمة الشحنه]])</f>
        <v>0</v>
      </c>
      <c r="I132" s="90"/>
      <c r="J132" s="142" t="str">
        <f t="shared" ref="J132:J195" si="2">M$3</f>
        <v>21.5.2026</v>
      </c>
      <c r="L132" s="153">
        <v>121</v>
      </c>
      <c r="M132" s="92"/>
    </row>
    <row r="133" spans="1:13" ht="21.6" x14ac:dyDescent="0.65">
      <c r="A133" s="195"/>
      <c r="B133" s="144">
        <v>130</v>
      </c>
      <c r="C133" s="2"/>
      <c r="D133" s="1"/>
      <c r="E133" s="3"/>
      <c r="F133" s="1"/>
      <c r="G133" s="141">
        <f>IF(Basic3456789101112[[#This Row],[نوع الخدمة]]="مخالفات", 50,
IF(Basic3456789101112[[#This Row],[نوع الخدمة]]="كاش ان",
    IF(F133&lt;=100, 18, IF(F133&lt;=250, 23, IF(F133&lt;=500, 35, IF(F133&lt;=1000, 40, F133*0.04)))),
IF(Basic3456789101112[[#This Row],[نوع الخدمة]]="كاش اوت",
    IF(F133&lt;=100, 15, IF(F133&lt;=250, 20, IF(F133&lt;=500, 30, IF(F133&lt;=1000, 35, F133*0.035)))),
0)))</f>
        <v>0</v>
      </c>
      <c r="H133" s="159">
        <f>IF(I133="مخالفات",50,Basic3456789101112[[#This Row],[قيمة الرسوم / العموله]]+Basic3456789101112[[#This Row],[قيمة الشحنه]])</f>
        <v>0</v>
      </c>
      <c r="I133" s="90"/>
      <c r="J133" s="142" t="str">
        <f t="shared" si="2"/>
        <v>21.5.2026</v>
      </c>
      <c r="L133" s="153">
        <v>122</v>
      </c>
      <c r="M133" s="92"/>
    </row>
    <row r="134" spans="1:13" ht="21.6" x14ac:dyDescent="0.65">
      <c r="A134" s="195"/>
      <c r="B134" s="140">
        <v>131</v>
      </c>
      <c r="C134" s="2"/>
      <c r="D134" s="1"/>
      <c r="E134" s="3"/>
      <c r="F134" s="1"/>
      <c r="G134" s="141">
        <f>IF(Basic3456789101112[[#This Row],[نوع الخدمة]]="مخالفات", 50,
IF(Basic3456789101112[[#This Row],[نوع الخدمة]]="كاش ان",
    IF(F134&lt;=100, 18, IF(F134&lt;=250, 23, IF(F134&lt;=500, 35, IF(F134&lt;=1000, 40, F134*0.04)))),
IF(Basic3456789101112[[#This Row],[نوع الخدمة]]="كاش اوت",
    IF(F134&lt;=100, 15, IF(F134&lt;=250, 20, IF(F134&lt;=500, 30, IF(F134&lt;=1000, 35, F134*0.035)))),
0)))</f>
        <v>0</v>
      </c>
      <c r="H134" s="159">
        <f>IF(I134="مخالفات",50,Basic3456789101112[[#This Row],[قيمة الرسوم / العموله]]+Basic3456789101112[[#This Row],[قيمة الشحنه]])</f>
        <v>0</v>
      </c>
      <c r="I134" s="90"/>
      <c r="J134" s="142" t="str">
        <f t="shared" si="2"/>
        <v>21.5.2026</v>
      </c>
      <c r="L134" s="153">
        <v>123</v>
      </c>
      <c r="M134" s="92"/>
    </row>
    <row r="135" spans="1:13" ht="21.6" x14ac:dyDescent="0.65">
      <c r="A135" s="195"/>
      <c r="B135" s="140">
        <v>132</v>
      </c>
      <c r="C135" s="2"/>
      <c r="D135" s="1"/>
      <c r="E135" s="3"/>
      <c r="F135" s="1"/>
      <c r="G135" s="141">
        <f>IF(Basic3456789101112[[#This Row],[نوع الخدمة]]="مخالفات", 50,
IF(Basic3456789101112[[#This Row],[نوع الخدمة]]="كاش ان",
    IF(F135&lt;=100, 18, IF(F135&lt;=250, 23, IF(F135&lt;=500, 35, IF(F135&lt;=1000, 40, F135*0.04)))),
IF(Basic3456789101112[[#This Row],[نوع الخدمة]]="كاش اوت",
    IF(F135&lt;=100, 15, IF(F135&lt;=250, 20, IF(F135&lt;=500, 30, IF(F135&lt;=1000, 35, F135*0.035)))),
0)))</f>
        <v>0</v>
      </c>
      <c r="H135" s="159">
        <f>IF(I135="مخالفات",50,Basic3456789101112[[#This Row],[قيمة الرسوم / العموله]]+Basic3456789101112[[#This Row],[قيمة الشحنه]])</f>
        <v>0</v>
      </c>
      <c r="I135" s="90"/>
      <c r="J135" s="142" t="str">
        <f t="shared" si="2"/>
        <v>21.5.2026</v>
      </c>
      <c r="L135" s="153">
        <v>124</v>
      </c>
      <c r="M135" s="92"/>
    </row>
    <row r="136" spans="1:13" ht="21.6" x14ac:dyDescent="0.65">
      <c r="A136" s="195"/>
      <c r="B136" s="140">
        <v>133</v>
      </c>
      <c r="C136" s="2"/>
      <c r="D136" s="1"/>
      <c r="E136" s="3"/>
      <c r="F136" s="1"/>
      <c r="G136" s="141">
        <f>IF(Basic3456789101112[[#This Row],[نوع الخدمة]]="مخالفات", 50,
IF(Basic3456789101112[[#This Row],[نوع الخدمة]]="كاش ان",
    IF(F136&lt;=100, 18, IF(F136&lt;=250, 23, IF(F136&lt;=500, 35, IF(F136&lt;=1000, 40, F136*0.04)))),
IF(Basic3456789101112[[#This Row],[نوع الخدمة]]="كاش اوت",
    IF(F136&lt;=100, 15, IF(F136&lt;=250, 20, IF(F136&lt;=500, 30, IF(F136&lt;=1000, 35, F136*0.035)))),
0)))</f>
        <v>0</v>
      </c>
      <c r="H136" s="159">
        <f>IF(I136="مخالفات",50,Basic3456789101112[[#This Row],[قيمة الرسوم / العموله]]+Basic3456789101112[[#This Row],[قيمة الشحنه]])</f>
        <v>0</v>
      </c>
      <c r="I136" s="90"/>
      <c r="J136" s="142" t="str">
        <f t="shared" si="2"/>
        <v>21.5.2026</v>
      </c>
      <c r="L136" s="153">
        <v>125</v>
      </c>
      <c r="M136" s="92"/>
    </row>
    <row r="137" spans="1:13" ht="21.6" x14ac:dyDescent="0.65">
      <c r="A137" s="195"/>
      <c r="B137" s="144">
        <v>134</v>
      </c>
      <c r="C137" s="2"/>
      <c r="D137" s="1"/>
      <c r="E137" s="3"/>
      <c r="F137" s="1"/>
      <c r="G137" s="141">
        <f>IF(Basic3456789101112[[#This Row],[نوع الخدمة]]="مخالفات", 50,
IF(Basic3456789101112[[#This Row],[نوع الخدمة]]="كاش ان",
    IF(F137&lt;=100, 18, IF(F137&lt;=250, 23, IF(F137&lt;=500, 35, IF(F137&lt;=1000, 40, F137*0.04)))),
IF(Basic3456789101112[[#This Row],[نوع الخدمة]]="كاش اوت",
    IF(F137&lt;=100, 15, IF(F137&lt;=250, 20, IF(F137&lt;=500, 30, IF(F137&lt;=1000, 35, F137*0.035)))),
0)))</f>
        <v>0</v>
      </c>
      <c r="H137" s="159">
        <f>IF(I137="مخالفات",50,Basic3456789101112[[#This Row],[قيمة الرسوم / العموله]]+Basic3456789101112[[#This Row],[قيمة الشحنه]])</f>
        <v>0</v>
      </c>
      <c r="I137" s="90"/>
      <c r="J137" s="142" t="str">
        <f t="shared" si="2"/>
        <v>21.5.2026</v>
      </c>
      <c r="L137" s="153">
        <v>126</v>
      </c>
      <c r="M137" s="92"/>
    </row>
    <row r="138" spans="1:13" ht="21.6" x14ac:dyDescent="0.65">
      <c r="A138" s="195"/>
      <c r="B138" s="140">
        <v>135</v>
      </c>
      <c r="C138" s="2"/>
      <c r="D138" s="1"/>
      <c r="E138" s="3"/>
      <c r="F138" s="1"/>
      <c r="G138" s="141">
        <f>IF(Basic3456789101112[[#This Row],[نوع الخدمة]]="مخالفات", 50,
IF(Basic3456789101112[[#This Row],[نوع الخدمة]]="كاش ان",
    IF(F138&lt;=100, 18, IF(F138&lt;=250, 23, IF(F138&lt;=500, 35, IF(F138&lt;=1000, 40, F138*0.04)))),
IF(Basic3456789101112[[#This Row],[نوع الخدمة]]="كاش اوت",
    IF(F138&lt;=100, 15, IF(F138&lt;=250, 20, IF(F138&lt;=500, 30, IF(F138&lt;=1000, 35, F138*0.035)))),
0)))</f>
        <v>0</v>
      </c>
      <c r="H138" s="159">
        <f>IF(I138="مخالفات",50,Basic3456789101112[[#This Row],[قيمة الرسوم / العموله]]+Basic3456789101112[[#This Row],[قيمة الشحنه]])</f>
        <v>0</v>
      </c>
      <c r="I138" s="90"/>
      <c r="J138" s="142" t="str">
        <f t="shared" si="2"/>
        <v>21.5.2026</v>
      </c>
      <c r="L138" s="153">
        <v>127</v>
      </c>
      <c r="M138" s="92"/>
    </row>
    <row r="139" spans="1:13" ht="21.6" x14ac:dyDescent="0.65">
      <c r="A139" s="195"/>
      <c r="B139" s="140">
        <v>136</v>
      </c>
      <c r="C139" s="2"/>
      <c r="D139" s="1"/>
      <c r="E139" s="3"/>
      <c r="F139" s="1"/>
      <c r="G139" s="141">
        <f>IF(Basic3456789101112[[#This Row],[نوع الخدمة]]="مخالفات", 50,
IF(Basic3456789101112[[#This Row],[نوع الخدمة]]="كاش ان",
    IF(F139&lt;=100, 18, IF(F139&lt;=250, 23, IF(F139&lt;=500, 35, IF(F139&lt;=1000, 40, F139*0.04)))),
IF(Basic3456789101112[[#This Row],[نوع الخدمة]]="كاش اوت",
    IF(F139&lt;=100, 15, IF(F139&lt;=250, 20, IF(F139&lt;=500, 30, IF(F139&lt;=1000, 35, F139*0.035)))),
0)))</f>
        <v>0</v>
      </c>
      <c r="H139" s="159">
        <f>IF(I139="مخالفات",50,Basic3456789101112[[#This Row],[قيمة الرسوم / العموله]]+Basic3456789101112[[#This Row],[قيمة الشحنه]])</f>
        <v>0</v>
      </c>
      <c r="I139" s="90"/>
      <c r="J139" s="142" t="str">
        <f t="shared" si="2"/>
        <v>21.5.2026</v>
      </c>
      <c r="L139" s="153">
        <v>128</v>
      </c>
      <c r="M139" s="92"/>
    </row>
    <row r="140" spans="1:13" ht="21.6" x14ac:dyDescent="0.65">
      <c r="A140" s="195"/>
      <c r="B140" s="140">
        <v>137</v>
      </c>
      <c r="C140" s="2"/>
      <c r="D140" s="1"/>
      <c r="E140" s="3"/>
      <c r="F140" s="1"/>
      <c r="G140" s="141">
        <f>IF(Basic3456789101112[[#This Row],[نوع الخدمة]]="مخالفات", 50,
IF(Basic3456789101112[[#This Row],[نوع الخدمة]]="كاش ان",
    IF(F140&lt;=100, 18, IF(F140&lt;=250, 23, IF(F140&lt;=500, 35, IF(F140&lt;=1000, 40, F140*0.04)))),
IF(Basic3456789101112[[#This Row],[نوع الخدمة]]="كاش اوت",
    IF(F140&lt;=100, 15, IF(F140&lt;=250, 20, IF(F140&lt;=500, 30, IF(F140&lt;=1000, 35, F140*0.035)))),
0)))</f>
        <v>0</v>
      </c>
      <c r="H140" s="159">
        <f>IF(I140="مخالفات",50,Basic3456789101112[[#This Row],[قيمة الرسوم / العموله]]+Basic3456789101112[[#This Row],[قيمة الشحنه]])</f>
        <v>0</v>
      </c>
      <c r="I140" s="90"/>
      <c r="J140" s="142" t="str">
        <f t="shared" si="2"/>
        <v>21.5.2026</v>
      </c>
      <c r="L140" s="153">
        <v>129</v>
      </c>
      <c r="M140" s="92"/>
    </row>
    <row r="141" spans="1:13" ht="21.6" x14ac:dyDescent="0.65">
      <c r="A141" s="195"/>
      <c r="B141" s="144">
        <v>138</v>
      </c>
      <c r="C141" s="2"/>
      <c r="D141" s="1"/>
      <c r="E141" s="3"/>
      <c r="F141" s="1"/>
      <c r="G141" s="141">
        <f>IF(Basic3456789101112[[#This Row],[نوع الخدمة]]="مخالفات", 50,
IF(Basic3456789101112[[#This Row],[نوع الخدمة]]="كاش ان",
    IF(F141&lt;=100, 18, IF(F141&lt;=250, 23, IF(F141&lt;=500, 35, IF(F141&lt;=1000, 40, F141*0.04)))),
IF(Basic3456789101112[[#This Row],[نوع الخدمة]]="كاش اوت",
    IF(F141&lt;=100, 15, IF(F141&lt;=250, 20, IF(F141&lt;=500, 30, IF(F141&lt;=1000, 35, F141*0.035)))),
0)))</f>
        <v>0</v>
      </c>
      <c r="H141" s="159">
        <f>IF(I141="مخالفات",50,Basic3456789101112[[#This Row],[قيمة الرسوم / العموله]]+Basic3456789101112[[#This Row],[قيمة الشحنه]])</f>
        <v>0</v>
      </c>
      <c r="I141" s="90"/>
      <c r="J141" s="142" t="str">
        <f t="shared" si="2"/>
        <v>21.5.2026</v>
      </c>
      <c r="L141" s="153">
        <v>130</v>
      </c>
      <c r="M141" s="92"/>
    </row>
    <row r="142" spans="1:13" ht="21.6" x14ac:dyDescent="0.65">
      <c r="A142" s="195"/>
      <c r="B142" s="140">
        <v>139</v>
      </c>
      <c r="C142" s="2"/>
      <c r="D142" s="1"/>
      <c r="E142" s="3"/>
      <c r="F142" s="1"/>
      <c r="G142" s="141">
        <f>IF(Basic3456789101112[[#This Row],[نوع الخدمة]]="مخالفات", 50,
IF(Basic3456789101112[[#This Row],[نوع الخدمة]]="كاش ان",
    IF(F142&lt;=100, 18, IF(F142&lt;=250, 23, IF(F142&lt;=500, 35, IF(F142&lt;=1000, 40, F142*0.04)))),
IF(Basic3456789101112[[#This Row],[نوع الخدمة]]="كاش اوت",
    IF(F142&lt;=100, 15, IF(F142&lt;=250, 20, IF(F142&lt;=500, 30, IF(F142&lt;=1000, 35, F142*0.035)))),
0)))</f>
        <v>0</v>
      </c>
      <c r="H142" s="159">
        <f>IF(I142="مخالفات",50,Basic3456789101112[[#This Row],[قيمة الرسوم / العموله]]+Basic3456789101112[[#This Row],[قيمة الشحنه]])</f>
        <v>0</v>
      </c>
      <c r="I142" s="90"/>
      <c r="J142" s="142" t="str">
        <f t="shared" si="2"/>
        <v>21.5.2026</v>
      </c>
      <c r="L142" s="153">
        <v>131</v>
      </c>
      <c r="M142" s="92"/>
    </row>
    <row r="143" spans="1:13" ht="21.6" x14ac:dyDescent="0.65">
      <c r="A143" s="195"/>
      <c r="B143" s="140">
        <v>140</v>
      </c>
      <c r="C143" s="2"/>
      <c r="D143" s="1"/>
      <c r="E143" s="3"/>
      <c r="F143" s="1"/>
      <c r="G143" s="141">
        <f>IF(Basic3456789101112[[#This Row],[نوع الخدمة]]="مخالفات", 50,
IF(Basic3456789101112[[#This Row],[نوع الخدمة]]="كاش ان",
    IF(F143&lt;=100, 18, IF(F143&lt;=250, 23, IF(F143&lt;=500, 35, IF(F143&lt;=1000, 40, F143*0.04)))),
IF(Basic3456789101112[[#This Row],[نوع الخدمة]]="كاش اوت",
    IF(F143&lt;=100, 15, IF(F143&lt;=250, 20, IF(F143&lt;=500, 30, IF(F143&lt;=1000, 35, F143*0.035)))),
0)))</f>
        <v>0</v>
      </c>
      <c r="H143" s="159">
        <f>IF(I143="مخالفات",50,Basic3456789101112[[#This Row],[قيمة الرسوم / العموله]]+Basic3456789101112[[#This Row],[قيمة الشحنه]])</f>
        <v>0</v>
      </c>
      <c r="I143" s="90"/>
      <c r="J143" s="142" t="str">
        <f t="shared" si="2"/>
        <v>21.5.2026</v>
      </c>
      <c r="L143" s="153">
        <v>132</v>
      </c>
      <c r="M143" s="92"/>
    </row>
    <row r="144" spans="1:13" ht="21.6" x14ac:dyDescent="0.65">
      <c r="A144" s="195"/>
      <c r="B144" s="140">
        <v>141</v>
      </c>
      <c r="C144" s="2"/>
      <c r="D144" s="1"/>
      <c r="E144" s="3"/>
      <c r="F144" s="1"/>
      <c r="G144" s="141">
        <f>IF(Basic3456789101112[[#This Row],[نوع الخدمة]]="مخالفات", 50,
IF(Basic3456789101112[[#This Row],[نوع الخدمة]]="كاش ان",
    IF(F144&lt;=100, 18, IF(F144&lt;=250, 23, IF(F144&lt;=500, 35, IF(F144&lt;=1000, 40, F144*0.04)))),
IF(Basic3456789101112[[#This Row],[نوع الخدمة]]="كاش اوت",
    IF(F144&lt;=100, 15, IF(F144&lt;=250, 20, IF(F144&lt;=500, 30, IF(F144&lt;=1000, 35, F144*0.035)))),
0)))</f>
        <v>0</v>
      </c>
      <c r="H144" s="159">
        <f>IF(I144="مخالفات",50,Basic3456789101112[[#This Row],[قيمة الرسوم / العموله]]+Basic3456789101112[[#This Row],[قيمة الشحنه]])</f>
        <v>0</v>
      </c>
      <c r="I144" s="90"/>
      <c r="J144" s="142" t="str">
        <f t="shared" si="2"/>
        <v>21.5.2026</v>
      </c>
      <c r="L144" s="153">
        <v>133</v>
      </c>
      <c r="M144" s="92"/>
    </row>
    <row r="145" spans="1:13" ht="21.6" x14ac:dyDescent="0.65">
      <c r="A145" s="195"/>
      <c r="B145" s="144">
        <v>142</v>
      </c>
      <c r="C145" s="2"/>
      <c r="D145" s="1"/>
      <c r="E145" s="3"/>
      <c r="F145" s="1"/>
      <c r="G145" s="141">
        <f>IF(Basic3456789101112[[#This Row],[نوع الخدمة]]="مخالفات", 50,
IF(Basic3456789101112[[#This Row],[نوع الخدمة]]="كاش ان",
    IF(F145&lt;=100, 18, IF(F145&lt;=250, 23, IF(F145&lt;=500, 35, IF(F145&lt;=1000, 40, F145*0.04)))),
IF(Basic3456789101112[[#This Row],[نوع الخدمة]]="كاش اوت",
    IF(F145&lt;=100, 15, IF(F145&lt;=250, 20, IF(F145&lt;=500, 30, IF(F145&lt;=1000, 35, F145*0.035)))),
0)))</f>
        <v>0</v>
      </c>
      <c r="H145" s="159">
        <f>IF(I145="مخالفات",50,Basic3456789101112[[#This Row],[قيمة الرسوم / العموله]]+Basic3456789101112[[#This Row],[قيمة الشحنه]])</f>
        <v>0</v>
      </c>
      <c r="I145" s="90"/>
      <c r="J145" s="142" t="str">
        <f t="shared" si="2"/>
        <v>21.5.2026</v>
      </c>
      <c r="L145" s="153">
        <v>134</v>
      </c>
      <c r="M145" s="92"/>
    </row>
    <row r="146" spans="1:13" ht="21.6" x14ac:dyDescent="0.65">
      <c r="A146" s="195"/>
      <c r="B146" s="140">
        <v>143</v>
      </c>
      <c r="C146" s="2"/>
      <c r="D146" s="1"/>
      <c r="E146" s="3"/>
      <c r="F146" s="1"/>
      <c r="G146" s="141">
        <f>IF(Basic3456789101112[[#This Row],[نوع الخدمة]]="مخالفات", 50,
IF(Basic3456789101112[[#This Row],[نوع الخدمة]]="كاش ان",
    IF(F146&lt;=100, 18, IF(F146&lt;=250, 23, IF(F146&lt;=500, 35, IF(F146&lt;=1000, 40, F146*0.04)))),
IF(Basic3456789101112[[#This Row],[نوع الخدمة]]="كاش اوت",
    IF(F146&lt;=100, 15, IF(F146&lt;=250, 20, IF(F146&lt;=500, 30, IF(F146&lt;=1000, 35, F146*0.035)))),
0)))</f>
        <v>0</v>
      </c>
      <c r="H146" s="159">
        <f>IF(I146="مخالفات",50,Basic3456789101112[[#This Row],[قيمة الرسوم / العموله]]+Basic3456789101112[[#This Row],[قيمة الشحنه]])</f>
        <v>0</v>
      </c>
      <c r="I146" s="90"/>
      <c r="J146" s="142" t="str">
        <f t="shared" si="2"/>
        <v>21.5.2026</v>
      </c>
      <c r="L146" s="153">
        <v>135</v>
      </c>
      <c r="M146" s="92"/>
    </row>
    <row r="147" spans="1:13" ht="21.6" x14ac:dyDescent="0.65">
      <c r="A147" s="195"/>
      <c r="B147" s="140">
        <v>144</v>
      </c>
      <c r="C147" s="2"/>
      <c r="D147" s="1"/>
      <c r="E147" s="3"/>
      <c r="F147" s="1"/>
      <c r="G147" s="141">
        <f>IF(Basic3456789101112[[#This Row],[نوع الخدمة]]="مخالفات", 50,
IF(Basic3456789101112[[#This Row],[نوع الخدمة]]="كاش ان",
    IF(F147&lt;=100, 18, IF(F147&lt;=250, 23, IF(F147&lt;=500, 35, IF(F147&lt;=1000, 40, F147*0.04)))),
IF(Basic3456789101112[[#This Row],[نوع الخدمة]]="كاش اوت",
    IF(F147&lt;=100, 15, IF(F147&lt;=250, 20, IF(F147&lt;=500, 30, IF(F147&lt;=1000, 35, F147*0.035)))),
0)))</f>
        <v>0</v>
      </c>
      <c r="H147" s="159">
        <f>IF(I147="مخالفات",50,Basic3456789101112[[#This Row],[قيمة الرسوم / العموله]]+Basic3456789101112[[#This Row],[قيمة الشحنه]])</f>
        <v>0</v>
      </c>
      <c r="I147" s="90"/>
      <c r="J147" s="142" t="str">
        <f t="shared" si="2"/>
        <v>21.5.2026</v>
      </c>
      <c r="L147" s="153">
        <v>136</v>
      </c>
      <c r="M147" s="92"/>
    </row>
    <row r="148" spans="1:13" ht="21.6" x14ac:dyDescent="0.65">
      <c r="A148" s="195"/>
      <c r="B148" s="140">
        <v>145</v>
      </c>
      <c r="C148" s="2"/>
      <c r="D148" s="1"/>
      <c r="E148" s="3"/>
      <c r="F148" s="1"/>
      <c r="G148" s="141">
        <f>IF(Basic3456789101112[[#This Row],[نوع الخدمة]]="مخالفات", 50,
IF(Basic3456789101112[[#This Row],[نوع الخدمة]]="كاش ان",
    IF(F148&lt;=100, 18, IF(F148&lt;=250, 23, IF(F148&lt;=500, 35, IF(F148&lt;=1000, 40, F148*0.04)))),
IF(Basic3456789101112[[#This Row],[نوع الخدمة]]="كاش اوت",
    IF(F148&lt;=100, 15, IF(F148&lt;=250, 20, IF(F148&lt;=500, 30, IF(F148&lt;=1000, 35, F148*0.035)))),
0)))</f>
        <v>0</v>
      </c>
      <c r="H148" s="159">
        <f>IF(I148="مخالفات",50,Basic3456789101112[[#This Row],[قيمة الرسوم / العموله]]+Basic3456789101112[[#This Row],[قيمة الشحنه]])</f>
        <v>0</v>
      </c>
      <c r="I148" s="90"/>
      <c r="J148" s="142" t="str">
        <f t="shared" si="2"/>
        <v>21.5.2026</v>
      </c>
      <c r="L148" s="153">
        <v>137</v>
      </c>
      <c r="M148" s="92"/>
    </row>
    <row r="149" spans="1:13" ht="21.6" x14ac:dyDescent="0.65">
      <c r="A149" s="195"/>
      <c r="B149" s="144">
        <v>146</v>
      </c>
      <c r="C149" s="2"/>
      <c r="D149" s="1"/>
      <c r="E149" s="3"/>
      <c r="F149" s="1"/>
      <c r="G149" s="141">
        <f>IF(Basic3456789101112[[#This Row],[نوع الخدمة]]="مخالفات", 50,
IF(Basic3456789101112[[#This Row],[نوع الخدمة]]="كاش ان",
    IF(F149&lt;=100, 18, IF(F149&lt;=250, 23, IF(F149&lt;=500, 35, IF(F149&lt;=1000, 40, F149*0.04)))),
IF(Basic3456789101112[[#This Row],[نوع الخدمة]]="كاش اوت",
    IF(F149&lt;=100, 15, IF(F149&lt;=250, 20, IF(F149&lt;=500, 30, IF(F149&lt;=1000, 35, F149*0.035)))),
0)))</f>
        <v>0</v>
      </c>
      <c r="H149" s="159">
        <f>IF(I149="مخالفات",50,Basic3456789101112[[#This Row],[قيمة الرسوم / العموله]]+Basic3456789101112[[#This Row],[قيمة الشحنه]])</f>
        <v>0</v>
      </c>
      <c r="I149" s="90"/>
      <c r="J149" s="142" t="str">
        <f t="shared" si="2"/>
        <v>21.5.2026</v>
      </c>
      <c r="L149" s="153">
        <v>138</v>
      </c>
      <c r="M149" s="92"/>
    </row>
    <row r="150" spans="1:13" ht="21.6" x14ac:dyDescent="0.65">
      <c r="A150" s="195"/>
      <c r="B150" s="140">
        <v>147</v>
      </c>
      <c r="C150" s="2"/>
      <c r="D150" s="1"/>
      <c r="E150" s="3"/>
      <c r="F150" s="1"/>
      <c r="G150" s="141">
        <f>IF(Basic3456789101112[[#This Row],[نوع الخدمة]]="مخالفات", 50,
IF(Basic3456789101112[[#This Row],[نوع الخدمة]]="كاش ان",
    IF(F150&lt;=100, 18, IF(F150&lt;=250, 23, IF(F150&lt;=500, 35, IF(F150&lt;=1000, 40, F150*0.04)))),
IF(Basic3456789101112[[#This Row],[نوع الخدمة]]="كاش اوت",
    IF(F150&lt;=100, 15, IF(F150&lt;=250, 20, IF(F150&lt;=500, 30, IF(F150&lt;=1000, 35, F150*0.035)))),
0)))</f>
        <v>0</v>
      </c>
      <c r="H150" s="159">
        <f>IF(I150="مخالفات",50,Basic3456789101112[[#This Row],[قيمة الرسوم / العموله]]+Basic3456789101112[[#This Row],[قيمة الشحنه]])</f>
        <v>0</v>
      </c>
      <c r="I150" s="90"/>
      <c r="J150" s="142" t="str">
        <f t="shared" si="2"/>
        <v>21.5.2026</v>
      </c>
      <c r="L150" s="153">
        <v>139</v>
      </c>
      <c r="M150" s="92"/>
    </row>
    <row r="151" spans="1:13" ht="21.6" x14ac:dyDescent="0.65">
      <c r="A151" s="195"/>
      <c r="B151" s="140">
        <v>148</v>
      </c>
      <c r="C151" s="2"/>
      <c r="D151" s="1"/>
      <c r="E151" s="3"/>
      <c r="F151" s="1"/>
      <c r="G151" s="141">
        <f>IF(Basic3456789101112[[#This Row],[نوع الخدمة]]="مخالفات", 50,
IF(Basic3456789101112[[#This Row],[نوع الخدمة]]="كاش ان",
    IF(F151&lt;=100, 18, IF(F151&lt;=250, 23, IF(F151&lt;=500, 35, IF(F151&lt;=1000, 40, F151*0.04)))),
IF(Basic3456789101112[[#This Row],[نوع الخدمة]]="كاش اوت",
    IF(F151&lt;=100, 15, IF(F151&lt;=250, 20, IF(F151&lt;=500, 30, IF(F151&lt;=1000, 35, F151*0.035)))),
0)))</f>
        <v>0</v>
      </c>
      <c r="H151" s="159">
        <f>IF(I151="مخالفات",50,Basic3456789101112[[#This Row],[قيمة الرسوم / العموله]]+Basic3456789101112[[#This Row],[قيمة الشحنه]])</f>
        <v>0</v>
      </c>
      <c r="I151" s="90"/>
      <c r="J151" s="142" t="str">
        <f t="shared" si="2"/>
        <v>21.5.2026</v>
      </c>
      <c r="L151" s="153">
        <v>140</v>
      </c>
      <c r="M151" s="92"/>
    </row>
    <row r="152" spans="1:13" ht="21.6" x14ac:dyDescent="0.65">
      <c r="A152" s="195"/>
      <c r="B152" s="140">
        <v>149</v>
      </c>
      <c r="C152" s="2"/>
      <c r="D152" s="1"/>
      <c r="E152" s="3"/>
      <c r="F152" s="1"/>
      <c r="G152" s="141">
        <f>IF(Basic3456789101112[[#This Row],[نوع الخدمة]]="مخالفات", 50,
IF(Basic3456789101112[[#This Row],[نوع الخدمة]]="كاش ان",
    IF(F152&lt;=100, 18, IF(F152&lt;=250, 23, IF(F152&lt;=500, 35, IF(F152&lt;=1000, 40, F152*0.04)))),
IF(Basic3456789101112[[#This Row],[نوع الخدمة]]="كاش اوت",
    IF(F152&lt;=100, 15, IF(F152&lt;=250, 20, IF(F152&lt;=500, 30, IF(F152&lt;=1000, 35, F152*0.035)))),
0)))</f>
        <v>0</v>
      </c>
      <c r="H152" s="159">
        <f>IF(I152="مخالفات",50,Basic3456789101112[[#This Row],[قيمة الرسوم / العموله]]+Basic3456789101112[[#This Row],[قيمة الشحنه]])</f>
        <v>0</v>
      </c>
      <c r="I152" s="90"/>
      <c r="J152" s="142" t="str">
        <f t="shared" si="2"/>
        <v>21.5.2026</v>
      </c>
      <c r="L152" s="153">
        <v>141</v>
      </c>
      <c r="M152" s="92"/>
    </row>
    <row r="153" spans="1:13" ht="21.6" x14ac:dyDescent="0.65">
      <c r="A153" s="195"/>
      <c r="B153" s="144">
        <v>150</v>
      </c>
      <c r="C153" s="2"/>
      <c r="D153" s="1"/>
      <c r="E153" s="3"/>
      <c r="F153" s="1"/>
      <c r="G153" s="141">
        <f>IF(Basic3456789101112[[#This Row],[نوع الخدمة]]="مخالفات", 50,
IF(Basic3456789101112[[#This Row],[نوع الخدمة]]="كاش ان",
    IF(F153&lt;=100, 18, IF(F153&lt;=250, 23, IF(F153&lt;=500, 35, IF(F153&lt;=1000, 40, F153*0.04)))),
IF(Basic3456789101112[[#This Row],[نوع الخدمة]]="كاش اوت",
    IF(F153&lt;=100, 15, IF(F153&lt;=250, 20, IF(F153&lt;=500, 30, IF(F153&lt;=1000, 35, F153*0.035)))),
0)))</f>
        <v>0</v>
      </c>
      <c r="H153" s="159">
        <f>IF(I153="مخالفات",50,Basic3456789101112[[#This Row],[قيمة الرسوم / العموله]]+Basic3456789101112[[#This Row],[قيمة الشحنه]])</f>
        <v>0</v>
      </c>
      <c r="I153" s="90"/>
      <c r="J153" s="142" t="str">
        <f t="shared" si="2"/>
        <v>21.5.2026</v>
      </c>
      <c r="L153" s="153">
        <v>142</v>
      </c>
      <c r="M153" s="92"/>
    </row>
    <row r="154" spans="1:13" ht="21.6" x14ac:dyDescent="0.65">
      <c r="A154" s="195"/>
      <c r="B154" s="140">
        <v>151</v>
      </c>
      <c r="C154" s="2"/>
      <c r="D154" s="1"/>
      <c r="E154" s="3"/>
      <c r="F154" s="1"/>
      <c r="G154" s="141">
        <f>IF(Basic3456789101112[[#This Row],[نوع الخدمة]]="مخالفات", 50,
IF(Basic3456789101112[[#This Row],[نوع الخدمة]]="كاش ان",
    IF(F154&lt;=100, 18, IF(F154&lt;=250, 23, IF(F154&lt;=500, 35, IF(F154&lt;=1000, 40, F154*0.04)))),
IF(Basic3456789101112[[#This Row],[نوع الخدمة]]="كاش اوت",
    IF(F154&lt;=100, 15, IF(F154&lt;=250, 20, IF(F154&lt;=500, 30, IF(F154&lt;=1000, 35, F154*0.035)))),
0)))</f>
        <v>0</v>
      </c>
      <c r="H154" s="159">
        <f>IF(I154="مخالفات",50,Basic3456789101112[[#This Row],[قيمة الرسوم / العموله]]+Basic3456789101112[[#This Row],[قيمة الشحنه]])</f>
        <v>0</v>
      </c>
      <c r="I154" s="90"/>
      <c r="J154" s="142" t="str">
        <f t="shared" si="2"/>
        <v>21.5.2026</v>
      </c>
      <c r="L154" s="153">
        <v>143</v>
      </c>
      <c r="M154" s="92"/>
    </row>
    <row r="155" spans="1:13" ht="21.6" x14ac:dyDescent="0.65">
      <c r="A155" s="195"/>
      <c r="B155" s="140">
        <v>152</v>
      </c>
      <c r="C155" s="2"/>
      <c r="D155" s="1"/>
      <c r="E155" s="3"/>
      <c r="F155" s="1"/>
      <c r="G155" s="141">
        <f>IF(Basic3456789101112[[#This Row],[نوع الخدمة]]="مخالفات", 50,
IF(Basic3456789101112[[#This Row],[نوع الخدمة]]="كاش ان",
    IF(F155&lt;=100, 18, IF(F155&lt;=250, 23, IF(F155&lt;=500, 35, IF(F155&lt;=1000, 40, F155*0.04)))),
IF(Basic3456789101112[[#This Row],[نوع الخدمة]]="كاش اوت",
    IF(F155&lt;=100, 15, IF(F155&lt;=250, 20, IF(F155&lt;=500, 30, IF(F155&lt;=1000, 35, F155*0.035)))),
0)))</f>
        <v>0</v>
      </c>
      <c r="H155" s="159">
        <f>IF(I155="مخالفات",50,Basic3456789101112[[#This Row],[قيمة الرسوم / العموله]]+Basic3456789101112[[#This Row],[قيمة الشحنه]])</f>
        <v>0</v>
      </c>
      <c r="I155" s="90"/>
      <c r="J155" s="142" t="str">
        <f t="shared" si="2"/>
        <v>21.5.2026</v>
      </c>
      <c r="L155" s="153">
        <v>144</v>
      </c>
      <c r="M155" s="92"/>
    </row>
    <row r="156" spans="1:13" ht="21.6" x14ac:dyDescent="0.65">
      <c r="A156" s="195"/>
      <c r="B156" s="140">
        <v>153</v>
      </c>
      <c r="C156" s="2"/>
      <c r="D156" s="1"/>
      <c r="E156" s="3"/>
      <c r="F156" s="1"/>
      <c r="G156" s="141">
        <f>IF(Basic3456789101112[[#This Row],[نوع الخدمة]]="مخالفات", 50,
IF(Basic3456789101112[[#This Row],[نوع الخدمة]]="كاش ان",
    IF(F156&lt;=100, 18, IF(F156&lt;=250, 23, IF(F156&lt;=500, 35, IF(F156&lt;=1000, 40, F156*0.04)))),
IF(Basic3456789101112[[#This Row],[نوع الخدمة]]="كاش اوت",
    IF(F156&lt;=100, 15, IF(F156&lt;=250, 20, IF(F156&lt;=500, 30, IF(F156&lt;=1000, 35, F156*0.035)))),
0)))</f>
        <v>0</v>
      </c>
      <c r="H156" s="159">
        <f>IF(I156="مخالفات",50,Basic3456789101112[[#This Row],[قيمة الرسوم / العموله]]+Basic3456789101112[[#This Row],[قيمة الشحنه]])</f>
        <v>0</v>
      </c>
      <c r="I156" s="90"/>
      <c r="J156" s="142" t="str">
        <f t="shared" si="2"/>
        <v>21.5.2026</v>
      </c>
      <c r="L156" s="153">
        <v>145</v>
      </c>
      <c r="M156" s="92"/>
    </row>
    <row r="157" spans="1:13" ht="21.6" x14ac:dyDescent="0.65">
      <c r="A157" s="195"/>
      <c r="B157" s="144">
        <v>154</v>
      </c>
      <c r="C157" s="2"/>
      <c r="D157" s="1"/>
      <c r="E157" s="3"/>
      <c r="F157" s="1"/>
      <c r="G157" s="141">
        <f>IF(Basic3456789101112[[#This Row],[نوع الخدمة]]="مخالفات", 50,
IF(Basic3456789101112[[#This Row],[نوع الخدمة]]="كاش ان",
    IF(F157&lt;=100, 18, IF(F157&lt;=250, 23, IF(F157&lt;=500, 35, IF(F157&lt;=1000, 40, F157*0.04)))),
IF(Basic3456789101112[[#This Row],[نوع الخدمة]]="كاش اوت",
    IF(F157&lt;=100, 15, IF(F157&lt;=250, 20, IF(F157&lt;=500, 30, IF(F157&lt;=1000, 35, F157*0.035)))),
0)))</f>
        <v>0</v>
      </c>
      <c r="H157" s="159">
        <f>IF(I157="مخالفات",50,Basic3456789101112[[#This Row],[قيمة الرسوم / العموله]]+Basic3456789101112[[#This Row],[قيمة الشحنه]])</f>
        <v>0</v>
      </c>
      <c r="I157" s="90"/>
      <c r="J157" s="142" t="str">
        <f t="shared" si="2"/>
        <v>21.5.2026</v>
      </c>
      <c r="L157" s="153">
        <v>146</v>
      </c>
      <c r="M157" s="92"/>
    </row>
    <row r="158" spans="1:13" ht="21.6" x14ac:dyDescent="0.65">
      <c r="A158" s="195"/>
      <c r="B158" s="140">
        <v>155</v>
      </c>
      <c r="C158" s="2"/>
      <c r="D158" s="1"/>
      <c r="E158" s="3"/>
      <c r="F158" s="1"/>
      <c r="G158" s="141">
        <f>IF(Basic3456789101112[[#This Row],[نوع الخدمة]]="مخالفات", 50,
IF(Basic3456789101112[[#This Row],[نوع الخدمة]]="كاش ان",
    IF(F158&lt;=100, 18, IF(F158&lt;=250, 23, IF(F158&lt;=500, 35, IF(F158&lt;=1000, 40, F158*0.04)))),
IF(Basic3456789101112[[#This Row],[نوع الخدمة]]="كاش اوت",
    IF(F158&lt;=100, 15, IF(F158&lt;=250, 20, IF(F158&lt;=500, 30, IF(F158&lt;=1000, 35, F158*0.035)))),
0)))</f>
        <v>0</v>
      </c>
      <c r="H158" s="159">
        <f>IF(I158="مخالفات",50,Basic3456789101112[[#This Row],[قيمة الرسوم / العموله]]+Basic3456789101112[[#This Row],[قيمة الشحنه]])</f>
        <v>0</v>
      </c>
      <c r="I158" s="90"/>
      <c r="J158" s="142" t="str">
        <f t="shared" si="2"/>
        <v>21.5.2026</v>
      </c>
      <c r="L158" s="153">
        <v>147</v>
      </c>
      <c r="M158" s="92"/>
    </row>
    <row r="159" spans="1:13" ht="21.6" x14ac:dyDescent="0.65">
      <c r="A159" s="195"/>
      <c r="B159" s="140">
        <v>156</v>
      </c>
      <c r="C159" s="2"/>
      <c r="D159" s="1"/>
      <c r="E159" s="3"/>
      <c r="F159" s="1"/>
      <c r="G159" s="141">
        <f>IF(Basic3456789101112[[#This Row],[نوع الخدمة]]="مخالفات", 50,
IF(Basic3456789101112[[#This Row],[نوع الخدمة]]="كاش ان",
    IF(F159&lt;=100, 18, IF(F159&lt;=250, 23, IF(F159&lt;=500, 35, IF(F159&lt;=1000, 40, F159*0.04)))),
IF(Basic3456789101112[[#This Row],[نوع الخدمة]]="كاش اوت",
    IF(F159&lt;=100, 15, IF(F159&lt;=250, 20, IF(F159&lt;=500, 30, IF(F159&lt;=1000, 35, F159*0.035)))),
0)))</f>
        <v>0</v>
      </c>
      <c r="H159" s="159">
        <f>IF(I159="مخالفات",50,Basic3456789101112[[#This Row],[قيمة الرسوم / العموله]]+Basic3456789101112[[#This Row],[قيمة الشحنه]])</f>
        <v>0</v>
      </c>
      <c r="I159" s="90"/>
      <c r="J159" s="142" t="str">
        <f t="shared" si="2"/>
        <v>21.5.2026</v>
      </c>
      <c r="L159" s="153">
        <v>148</v>
      </c>
      <c r="M159" s="92"/>
    </row>
    <row r="160" spans="1:13" ht="21.6" x14ac:dyDescent="0.65">
      <c r="A160" s="195"/>
      <c r="B160" s="140">
        <v>157</v>
      </c>
      <c r="C160" s="2"/>
      <c r="D160" s="1"/>
      <c r="E160" s="3"/>
      <c r="F160" s="1"/>
      <c r="G160" s="141">
        <f>IF(Basic3456789101112[[#This Row],[نوع الخدمة]]="مخالفات", 50,
IF(Basic3456789101112[[#This Row],[نوع الخدمة]]="كاش ان",
    IF(F160&lt;=100, 18, IF(F160&lt;=250, 23, IF(F160&lt;=500, 35, IF(F160&lt;=1000, 40, F160*0.04)))),
IF(Basic3456789101112[[#This Row],[نوع الخدمة]]="كاش اوت",
    IF(F160&lt;=100, 15, IF(F160&lt;=250, 20, IF(F160&lt;=500, 30, IF(F160&lt;=1000, 35, F160*0.035)))),
0)))</f>
        <v>0</v>
      </c>
      <c r="H160" s="159">
        <f>IF(I160="مخالفات",50,Basic3456789101112[[#This Row],[قيمة الرسوم / العموله]]+Basic3456789101112[[#This Row],[قيمة الشحنه]])</f>
        <v>0</v>
      </c>
      <c r="I160" s="90"/>
      <c r="J160" s="142" t="str">
        <f t="shared" si="2"/>
        <v>21.5.2026</v>
      </c>
      <c r="L160" s="153">
        <v>149</v>
      </c>
      <c r="M160" s="92"/>
    </row>
    <row r="161" spans="1:13" ht="21.6" x14ac:dyDescent="0.65">
      <c r="A161" s="195"/>
      <c r="B161" s="144">
        <v>158</v>
      </c>
      <c r="C161" s="2"/>
      <c r="D161" s="1"/>
      <c r="E161" s="3"/>
      <c r="F161" s="1"/>
      <c r="G161" s="141">
        <f>IF(Basic3456789101112[[#This Row],[نوع الخدمة]]="مخالفات", 50,
IF(Basic3456789101112[[#This Row],[نوع الخدمة]]="كاش ان",
    IF(F161&lt;=100, 18, IF(F161&lt;=250, 23, IF(F161&lt;=500, 35, IF(F161&lt;=1000, 40, F161*0.04)))),
IF(Basic3456789101112[[#This Row],[نوع الخدمة]]="كاش اوت",
    IF(F161&lt;=100, 15, IF(F161&lt;=250, 20, IF(F161&lt;=500, 30, IF(F161&lt;=1000, 35, F161*0.035)))),
0)))</f>
        <v>0</v>
      </c>
      <c r="H161" s="159">
        <f>IF(I161="مخالفات",50,Basic3456789101112[[#This Row],[قيمة الرسوم / العموله]]+Basic3456789101112[[#This Row],[قيمة الشحنه]])</f>
        <v>0</v>
      </c>
      <c r="I161" s="90"/>
      <c r="J161" s="142" t="str">
        <f t="shared" si="2"/>
        <v>21.5.2026</v>
      </c>
      <c r="L161" s="153">
        <v>150</v>
      </c>
      <c r="M161" s="92"/>
    </row>
    <row r="162" spans="1:13" ht="21.6" x14ac:dyDescent="0.65">
      <c r="A162" s="195"/>
      <c r="B162" s="140">
        <v>159</v>
      </c>
      <c r="C162" s="2"/>
      <c r="D162" s="1"/>
      <c r="E162" s="3"/>
      <c r="F162" s="1"/>
      <c r="G162" s="141">
        <f>IF(Basic3456789101112[[#This Row],[نوع الخدمة]]="مخالفات", 50,
IF(Basic3456789101112[[#This Row],[نوع الخدمة]]="كاش ان",
    IF(F162&lt;=100, 18, IF(F162&lt;=250, 23, IF(F162&lt;=500, 35, IF(F162&lt;=1000, 40, F162*0.04)))),
IF(Basic3456789101112[[#This Row],[نوع الخدمة]]="كاش اوت",
    IF(F162&lt;=100, 15, IF(F162&lt;=250, 20, IF(F162&lt;=500, 30, IF(F162&lt;=1000, 35, F162*0.035)))),
0)))</f>
        <v>0</v>
      </c>
      <c r="H162" s="159">
        <f>IF(I162="مخالفات",50,Basic3456789101112[[#This Row],[قيمة الرسوم / العموله]]+Basic3456789101112[[#This Row],[قيمة الشحنه]])</f>
        <v>0</v>
      </c>
      <c r="I162" s="90"/>
      <c r="J162" s="142" t="str">
        <f t="shared" si="2"/>
        <v>21.5.2026</v>
      </c>
      <c r="L162" s="153">
        <v>151</v>
      </c>
      <c r="M162" s="92"/>
    </row>
    <row r="163" spans="1:13" ht="21.6" x14ac:dyDescent="0.65">
      <c r="A163" s="195"/>
      <c r="B163" s="140">
        <v>160</v>
      </c>
      <c r="C163" s="2"/>
      <c r="D163" s="1"/>
      <c r="E163" s="3"/>
      <c r="F163" s="1"/>
      <c r="G163" s="141">
        <f>IF(Basic3456789101112[[#This Row],[نوع الخدمة]]="مخالفات", 50,
IF(Basic3456789101112[[#This Row],[نوع الخدمة]]="كاش ان",
    IF(F163&lt;=100, 18, IF(F163&lt;=250, 23, IF(F163&lt;=500, 35, IF(F163&lt;=1000, 40, F163*0.04)))),
IF(Basic3456789101112[[#This Row],[نوع الخدمة]]="كاش اوت",
    IF(F163&lt;=100, 15, IF(F163&lt;=250, 20, IF(F163&lt;=500, 30, IF(F163&lt;=1000, 35, F163*0.035)))),
0)))</f>
        <v>0</v>
      </c>
      <c r="H163" s="159">
        <f>IF(I163="مخالفات",50,Basic3456789101112[[#This Row],[قيمة الرسوم / العموله]]+Basic3456789101112[[#This Row],[قيمة الشحنه]])</f>
        <v>0</v>
      </c>
      <c r="I163" s="90"/>
      <c r="J163" s="142" t="str">
        <f t="shared" si="2"/>
        <v>21.5.2026</v>
      </c>
      <c r="L163" s="153">
        <v>152</v>
      </c>
      <c r="M163" s="92"/>
    </row>
    <row r="164" spans="1:13" ht="21.6" x14ac:dyDescent="0.65">
      <c r="A164" s="195"/>
      <c r="B164" s="140">
        <v>161</v>
      </c>
      <c r="C164" s="2"/>
      <c r="D164" s="1"/>
      <c r="E164" s="3"/>
      <c r="F164" s="1"/>
      <c r="G164" s="141">
        <f>IF(Basic3456789101112[[#This Row],[نوع الخدمة]]="مخالفات", 50,
IF(Basic3456789101112[[#This Row],[نوع الخدمة]]="كاش ان",
    IF(F164&lt;=100, 18, IF(F164&lt;=250, 23, IF(F164&lt;=500, 35, IF(F164&lt;=1000, 40, F164*0.04)))),
IF(Basic3456789101112[[#This Row],[نوع الخدمة]]="كاش اوت",
    IF(F164&lt;=100, 15, IF(F164&lt;=250, 20, IF(F164&lt;=500, 30, IF(F164&lt;=1000, 35, F164*0.035)))),
0)))</f>
        <v>0</v>
      </c>
      <c r="H164" s="159">
        <f>IF(I164="مخالفات",50,Basic3456789101112[[#This Row],[قيمة الرسوم / العموله]]+Basic3456789101112[[#This Row],[قيمة الشحنه]])</f>
        <v>0</v>
      </c>
      <c r="I164" s="90"/>
      <c r="J164" s="142" t="str">
        <f t="shared" si="2"/>
        <v>21.5.2026</v>
      </c>
      <c r="L164" s="153">
        <v>153</v>
      </c>
      <c r="M164" s="92"/>
    </row>
    <row r="165" spans="1:13" ht="21.6" x14ac:dyDescent="0.65">
      <c r="A165" s="195"/>
      <c r="B165" s="144">
        <v>162</v>
      </c>
      <c r="C165" s="2"/>
      <c r="D165" s="1"/>
      <c r="E165" s="3"/>
      <c r="F165" s="1"/>
      <c r="G165" s="141">
        <f>IF(Basic3456789101112[[#This Row],[نوع الخدمة]]="مخالفات", 50,
IF(Basic3456789101112[[#This Row],[نوع الخدمة]]="كاش ان",
    IF(F165&lt;=100, 18, IF(F165&lt;=250, 23, IF(F165&lt;=500, 35, IF(F165&lt;=1000, 40, F165*0.04)))),
IF(Basic3456789101112[[#This Row],[نوع الخدمة]]="كاش اوت",
    IF(F165&lt;=100, 15, IF(F165&lt;=250, 20, IF(F165&lt;=500, 30, IF(F165&lt;=1000, 35, F165*0.035)))),
0)))</f>
        <v>0</v>
      </c>
      <c r="H165" s="159">
        <f>IF(I165="مخالفات",50,Basic3456789101112[[#This Row],[قيمة الرسوم / العموله]]+Basic3456789101112[[#This Row],[قيمة الشحنه]])</f>
        <v>0</v>
      </c>
      <c r="I165" s="90"/>
      <c r="J165" s="142" t="str">
        <f t="shared" si="2"/>
        <v>21.5.2026</v>
      </c>
      <c r="L165" s="153">
        <v>154</v>
      </c>
      <c r="M165" s="92"/>
    </row>
    <row r="166" spans="1:13" ht="21.6" x14ac:dyDescent="0.65">
      <c r="A166" s="195"/>
      <c r="B166" s="140">
        <v>163</v>
      </c>
      <c r="C166" s="2"/>
      <c r="D166" s="1"/>
      <c r="E166" s="3"/>
      <c r="F166" s="1"/>
      <c r="G166" s="141">
        <f>IF(Basic3456789101112[[#This Row],[نوع الخدمة]]="مخالفات", 50,
IF(Basic3456789101112[[#This Row],[نوع الخدمة]]="كاش ان",
    IF(F166&lt;=100, 18, IF(F166&lt;=250, 23, IF(F166&lt;=500, 35, IF(F166&lt;=1000, 40, F166*0.04)))),
IF(Basic3456789101112[[#This Row],[نوع الخدمة]]="كاش اوت",
    IF(F166&lt;=100, 15, IF(F166&lt;=250, 20, IF(F166&lt;=500, 30, IF(F166&lt;=1000, 35, F166*0.035)))),
0)))</f>
        <v>0</v>
      </c>
      <c r="H166" s="159">
        <f>IF(I166="مخالفات",50,Basic3456789101112[[#This Row],[قيمة الرسوم / العموله]]+Basic3456789101112[[#This Row],[قيمة الشحنه]])</f>
        <v>0</v>
      </c>
      <c r="I166" s="90"/>
      <c r="J166" s="142" t="str">
        <f t="shared" si="2"/>
        <v>21.5.2026</v>
      </c>
      <c r="L166" s="153">
        <v>155</v>
      </c>
      <c r="M166" s="92"/>
    </row>
    <row r="167" spans="1:13" ht="21.6" x14ac:dyDescent="0.65">
      <c r="A167" s="195"/>
      <c r="B167" s="140">
        <v>164</v>
      </c>
      <c r="C167" s="2"/>
      <c r="D167" s="1"/>
      <c r="E167" s="3"/>
      <c r="F167" s="1"/>
      <c r="G167" s="141">
        <f>IF(Basic3456789101112[[#This Row],[نوع الخدمة]]="مخالفات", 50,
IF(Basic3456789101112[[#This Row],[نوع الخدمة]]="كاش ان",
    IF(F167&lt;=100, 18, IF(F167&lt;=250, 23, IF(F167&lt;=500, 35, IF(F167&lt;=1000, 40, F167*0.04)))),
IF(Basic3456789101112[[#This Row],[نوع الخدمة]]="كاش اوت",
    IF(F167&lt;=100, 15, IF(F167&lt;=250, 20, IF(F167&lt;=500, 30, IF(F167&lt;=1000, 35, F167*0.035)))),
0)))</f>
        <v>0</v>
      </c>
      <c r="H167" s="159">
        <f>IF(I167="مخالفات",50,Basic3456789101112[[#This Row],[قيمة الرسوم / العموله]]+Basic3456789101112[[#This Row],[قيمة الشحنه]])</f>
        <v>0</v>
      </c>
      <c r="I167" s="90"/>
      <c r="J167" s="142" t="str">
        <f t="shared" si="2"/>
        <v>21.5.2026</v>
      </c>
      <c r="L167" s="153">
        <v>156</v>
      </c>
      <c r="M167" s="92"/>
    </row>
    <row r="168" spans="1:13" ht="21.6" x14ac:dyDescent="0.65">
      <c r="A168" s="195"/>
      <c r="B168" s="140">
        <v>165</v>
      </c>
      <c r="C168" s="2"/>
      <c r="D168" s="1"/>
      <c r="E168" s="3"/>
      <c r="F168" s="1"/>
      <c r="G168" s="141">
        <f>IF(Basic3456789101112[[#This Row],[نوع الخدمة]]="مخالفات", 50,
IF(Basic3456789101112[[#This Row],[نوع الخدمة]]="كاش ان",
    IF(F168&lt;=100, 18, IF(F168&lt;=250, 23, IF(F168&lt;=500, 35, IF(F168&lt;=1000, 40, F168*0.04)))),
IF(Basic3456789101112[[#This Row],[نوع الخدمة]]="كاش اوت",
    IF(F168&lt;=100, 15, IF(F168&lt;=250, 20, IF(F168&lt;=500, 30, IF(F168&lt;=1000, 35, F168*0.035)))),
0)))</f>
        <v>0</v>
      </c>
      <c r="H168" s="159">
        <f>IF(I168="مخالفات",50,Basic3456789101112[[#This Row],[قيمة الرسوم / العموله]]+Basic3456789101112[[#This Row],[قيمة الشحنه]])</f>
        <v>0</v>
      </c>
      <c r="I168" s="90"/>
      <c r="J168" s="142" t="str">
        <f t="shared" si="2"/>
        <v>21.5.2026</v>
      </c>
      <c r="L168" s="153">
        <v>157</v>
      </c>
      <c r="M168" s="92"/>
    </row>
    <row r="169" spans="1:13" ht="21.6" x14ac:dyDescent="0.65">
      <c r="A169" s="195"/>
      <c r="B169" s="144">
        <v>166</v>
      </c>
      <c r="C169" s="2"/>
      <c r="D169" s="1"/>
      <c r="E169" s="3"/>
      <c r="F169" s="1"/>
      <c r="G169" s="141">
        <f>IF(Basic3456789101112[[#This Row],[نوع الخدمة]]="مخالفات", 50,
IF(Basic3456789101112[[#This Row],[نوع الخدمة]]="كاش ان",
    IF(F169&lt;=100, 18, IF(F169&lt;=250, 23, IF(F169&lt;=500, 35, IF(F169&lt;=1000, 40, F169*0.04)))),
IF(Basic3456789101112[[#This Row],[نوع الخدمة]]="كاش اوت",
    IF(F169&lt;=100, 15, IF(F169&lt;=250, 20, IF(F169&lt;=500, 30, IF(F169&lt;=1000, 35, F169*0.035)))),
0)))</f>
        <v>0</v>
      </c>
      <c r="H169" s="159">
        <f>IF(I169="مخالفات",50,Basic3456789101112[[#This Row],[قيمة الرسوم / العموله]]+Basic3456789101112[[#This Row],[قيمة الشحنه]])</f>
        <v>0</v>
      </c>
      <c r="I169" s="90"/>
      <c r="J169" s="142" t="str">
        <f t="shared" si="2"/>
        <v>21.5.2026</v>
      </c>
      <c r="L169" s="153">
        <v>158</v>
      </c>
      <c r="M169" s="92"/>
    </row>
    <row r="170" spans="1:13" ht="21.6" x14ac:dyDescent="0.65">
      <c r="A170" s="195"/>
      <c r="B170" s="140">
        <v>167</v>
      </c>
      <c r="C170" s="2"/>
      <c r="D170" s="1"/>
      <c r="E170" s="3"/>
      <c r="F170" s="1"/>
      <c r="G170" s="141">
        <f>IF(Basic3456789101112[[#This Row],[نوع الخدمة]]="مخالفات", 50,
IF(Basic3456789101112[[#This Row],[نوع الخدمة]]="كاش ان",
    IF(F170&lt;=100, 18, IF(F170&lt;=250, 23, IF(F170&lt;=500, 35, IF(F170&lt;=1000, 40, F170*0.04)))),
IF(Basic3456789101112[[#This Row],[نوع الخدمة]]="كاش اوت",
    IF(F170&lt;=100, 15, IF(F170&lt;=250, 20, IF(F170&lt;=500, 30, IF(F170&lt;=1000, 35, F170*0.035)))),
0)))</f>
        <v>0</v>
      </c>
      <c r="H170" s="159">
        <f>IF(I170="مخالفات",50,Basic3456789101112[[#This Row],[قيمة الرسوم / العموله]]+Basic3456789101112[[#This Row],[قيمة الشحنه]])</f>
        <v>0</v>
      </c>
      <c r="I170" s="90"/>
      <c r="J170" s="142" t="str">
        <f t="shared" si="2"/>
        <v>21.5.2026</v>
      </c>
      <c r="L170" s="153">
        <v>159</v>
      </c>
      <c r="M170" s="92"/>
    </row>
    <row r="171" spans="1:13" ht="21.6" x14ac:dyDescent="0.65">
      <c r="A171" s="195"/>
      <c r="B171" s="140">
        <v>168</v>
      </c>
      <c r="C171" s="2"/>
      <c r="D171" s="1"/>
      <c r="E171" s="3"/>
      <c r="F171" s="1"/>
      <c r="G171" s="141">
        <f>IF(Basic3456789101112[[#This Row],[نوع الخدمة]]="مخالفات", 50,
IF(Basic3456789101112[[#This Row],[نوع الخدمة]]="كاش ان",
    IF(F171&lt;=100, 18, IF(F171&lt;=250, 23, IF(F171&lt;=500, 35, IF(F171&lt;=1000, 40, F171*0.04)))),
IF(Basic3456789101112[[#This Row],[نوع الخدمة]]="كاش اوت",
    IF(F171&lt;=100, 15, IF(F171&lt;=250, 20, IF(F171&lt;=500, 30, IF(F171&lt;=1000, 35, F171*0.035)))),
0)))</f>
        <v>0</v>
      </c>
      <c r="H171" s="159">
        <f>IF(I171="مخالفات",50,Basic3456789101112[[#This Row],[قيمة الرسوم / العموله]]+Basic3456789101112[[#This Row],[قيمة الشحنه]])</f>
        <v>0</v>
      </c>
      <c r="I171" s="90"/>
      <c r="J171" s="142" t="str">
        <f t="shared" si="2"/>
        <v>21.5.2026</v>
      </c>
      <c r="L171" s="153">
        <v>160</v>
      </c>
      <c r="M171" s="92"/>
    </row>
    <row r="172" spans="1:13" ht="21.6" x14ac:dyDescent="0.65">
      <c r="A172" s="195"/>
      <c r="B172" s="140">
        <v>169</v>
      </c>
      <c r="C172" s="2"/>
      <c r="D172" s="1"/>
      <c r="E172" s="3"/>
      <c r="F172" s="1"/>
      <c r="G172" s="141">
        <f>IF(Basic3456789101112[[#This Row],[نوع الخدمة]]="مخالفات", 50,
IF(Basic3456789101112[[#This Row],[نوع الخدمة]]="كاش ان",
    IF(F172&lt;=100, 18, IF(F172&lt;=250, 23, IF(F172&lt;=500, 35, IF(F172&lt;=1000, 40, F172*0.04)))),
IF(Basic3456789101112[[#This Row],[نوع الخدمة]]="كاش اوت",
    IF(F172&lt;=100, 15, IF(F172&lt;=250, 20, IF(F172&lt;=500, 30, IF(F172&lt;=1000, 35, F172*0.035)))),
0)))</f>
        <v>0</v>
      </c>
      <c r="H172" s="159">
        <f>IF(I172="مخالفات",50,Basic3456789101112[[#This Row],[قيمة الرسوم / العموله]]+Basic3456789101112[[#This Row],[قيمة الشحنه]])</f>
        <v>0</v>
      </c>
      <c r="I172" s="90"/>
      <c r="J172" s="142" t="str">
        <f t="shared" si="2"/>
        <v>21.5.2026</v>
      </c>
      <c r="L172" s="153">
        <v>161</v>
      </c>
      <c r="M172" s="92"/>
    </row>
    <row r="173" spans="1:13" ht="21.6" x14ac:dyDescent="0.65">
      <c r="A173" s="195"/>
      <c r="B173" s="144">
        <v>170</v>
      </c>
      <c r="C173" s="2"/>
      <c r="D173" s="1"/>
      <c r="E173" s="3"/>
      <c r="F173" s="1"/>
      <c r="G173" s="141">
        <f>IF(Basic3456789101112[[#This Row],[نوع الخدمة]]="مخالفات", 50,
IF(Basic3456789101112[[#This Row],[نوع الخدمة]]="كاش ان",
    IF(F173&lt;=100, 18, IF(F173&lt;=250, 23, IF(F173&lt;=500, 35, IF(F173&lt;=1000, 40, F173*0.04)))),
IF(Basic3456789101112[[#This Row],[نوع الخدمة]]="كاش اوت",
    IF(F173&lt;=100, 15, IF(F173&lt;=250, 20, IF(F173&lt;=500, 30, IF(F173&lt;=1000, 35, F173*0.035)))),
0)))</f>
        <v>0</v>
      </c>
      <c r="H173" s="159">
        <f>IF(I173="مخالفات",50,Basic3456789101112[[#This Row],[قيمة الرسوم / العموله]]+Basic3456789101112[[#This Row],[قيمة الشحنه]])</f>
        <v>0</v>
      </c>
      <c r="I173" s="90"/>
      <c r="J173" s="142" t="str">
        <f t="shared" si="2"/>
        <v>21.5.2026</v>
      </c>
      <c r="L173" s="153">
        <v>162</v>
      </c>
      <c r="M173" s="92"/>
    </row>
    <row r="174" spans="1:13" ht="21.6" x14ac:dyDescent="0.65">
      <c r="A174" s="195"/>
      <c r="B174" s="140">
        <v>171</v>
      </c>
      <c r="C174" s="2"/>
      <c r="D174" s="1"/>
      <c r="E174" s="3"/>
      <c r="F174" s="1"/>
      <c r="G174" s="141">
        <f>IF(Basic3456789101112[[#This Row],[نوع الخدمة]]="مخالفات", 50,
IF(Basic3456789101112[[#This Row],[نوع الخدمة]]="كاش ان",
    IF(F174&lt;=100, 18, IF(F174&lt;=250, 23, IF(F174&lt;=500, 35, IF(F174&lt;=1000, 40, F174*0.04)))),
IF(Basic3456789101112[[#This Row],[نوع الخدمة]]="كاش اوت",
    IF(F174&lt;=100, 15, IF(F174&lt;=250, 20, IF(F174&lt;=500, 30, IF(F174&lt;=1000, 35, F174*0.035)))),
0)))</f>
        <v>0</v>
      </c>
      <c r="H174" s="159">
        <f>IF(I174="مخالفات",50,Basic3456789101112[[#This Row],[قيمة الرسوم / العموله]]+Basic3456789101112[[#This Row],[قيمة الشحنه]])</f>
        <v>0</v>
      </c>
      <c r="I174" s="90"/>
      <c r="J174" s="142" t="str">
        <f t="shared" si="2"/>
        <v>21.5.2026</v>
      </c>
      <c r="L174" s="153">
        <v>163</v>
      </c>
      <c r="M174" s="92"/>
    </row>
    <row r="175" spans="1:13" ht="21.6" x14ac:dyDescent="0.65">
      <c r="A175" s="195"/>
      <c r="B175" s="140">
        <v>172</v>
      </c>
      <c r="C175" s="2"/>
      <c r="D175" s="1"/>
      <c r="E175" s="3"/>
      <c r="F175" s="1"/>
      <c r="G175" s="141">
        <f>IF(Basic3456789101112[[#This Row],[نوع الخدمة]]="مخالفات", 50,
IF(Basic3456789101112[[#This Row],[نوع الخدمة]]="كاش ان",
    IF(F175&lt;=100, 18, IF(F175&lt;=250, 23, IF(F175&lt;=500, 35, IF(F175&lt;=1000, 40, F175*0.04)))),
IF(Basic3456789101112[[#This Row],[نوع الخدمة]]="كاش اوت",
    IF(F175&lt;=100, 15, IF(F175&lt;=250, 20, IF(F175&lt;=500, 30, IF(F175&lt;=1000, 35, F175*0.035)))),
0)))</f>
        <v>0</v>
      </c>
      <c r="H175" s="159">
        <f>IF(I175="مخالفات",50,Basic3456789101112[[#This Row],[قيمة الرسوم / العموله]]+Basic3456789101112[[#This Row],[قيمة الشحنه]])</f>
        <v>0</v>
      </c>
      <c r="I175" s="90"/>
      <c r="J175" s="142" t="str">
        <f t="shared" si="2"/>
        <v>21.5.2026</v>
      </c>
      <c r="L175" s="153">
        <v>164</v>
      </c>
      <c r="M175" s="92"/>
    </row>
    <row r="176" spans="1:13" ht="21.6" x14ac:dyDescent="0.65">
      <c r="A176" s="195"/>
      <c r="B176" s="140">
        <v>173</v>
      </c>
      <c r="C176" s="2"/>
      <c r="D176" s="1"/>
      <c r="E176" s="3"/>
      <c r="F176" s="1"/>
      <c r="G176" s="141">
        <f>IF(Basic3456789101112[[#This Row],[نوع الخدمة]]="مخالفات", 50,
IF(Basic3456789101112[[#This Row],[نوع الخدمة]]="كاش ان",
    IF(F176&lt;=100, 18, IF(F176&lt;=250, 23, IF(F176&lt;=500, 35, IF(F176&lt;=1000, 40, F176*0.04)))),
IF(Basic3456789101112[[#This Row],[نوع الخدمة]]="كاش اوت",
    IF(F176&lt;=100, 15, IF(F176&lt;=250, 20, IF(F176&lt;=500, 30, IF(F176&lt;=1000, 35, F176*0.035)))),
0)))</f>
        <v>0</v>
      </c>
      <c r="H176" s="159">
        <f>IF(I176="مخالفات",50,Basic3456789101112[[#This Row],[قيمة الرسوم / العموله]]+Basic3456789101112[[#This Row],[قيمة الشحنه]])</f>
        <v>0</v>
      </c>
      <c r="I176" s="90"/>
      <c r="J176" s="142" t="str">
        <f t="shared" si="2"/>
        <v>21.5.2026</v>
      </c>
      <c r="L176" s="153">
        <v>165</v>
      </c>
      <c r="M176" s="92"/>
    </row>
    <row r="177" spans="1:13" ht="21.6" x14ac:dyDescent="0.65">
      <c r="A177" s="195"/>
      <c r="B177" s="144">
        <v>174</v>
      </c>
      <c r="C177" s="2"/>
      <c r="D177" s="1"/>
      <c r="E177" s="3"/>
      <c r="F177" s="1"/>
      <c r="G177" s="141">
        <f>IF(Basic3456789101112[[#This Row],[نوع الخدمة]]="مخالفات", 50,
IF(Basic3456789101112[[#This Row],[نوع الخدمة]]="كاش ان",
    IF(F177&lt;=100, 18, IF(F177&lt;=250, 23, IF(F177&lt;=500, 35, IF(F177&lt;=1000, 40, F177*0.04)))),
IF(Basic3456789101112[[#This Row],[نوع الخدمة]]="كاش اوت",
    IF(F177&lt;=100, 15, IF(F177&lt;=250, 20, IF(F177&lt;=500, 30, IF(F177&lt;=1000, 35, F177*0.035)))),
0)))</f>
        <v>0</v>
      </c>
      <c r="H177" s="159">
        <f>IF(I177="مخالفات",50,Basic3456789101112[[#This Row],[قيمة الرسوم / العموله]]+Basic3456789101112[[#This Row],[قيمة الشحنه]])</f>
        <v>0</v>
      </c>
      <c r="I177" s="90"/>
      <c r="J177" s="142" t="str">
        <f t="shared" si="2"/>
        <v>21.5.2026</v>
      </c>
      <c r="L177" s="153">
        <v>166</v>
      </c>
      <c r="M177" s="92"/>
    </row>
    <row r="178" spans="1:13" ht="21.6" x14ac:dyDescent="0.65">
      <c r="A178" s="195"/>
      <c r="B178" s="140">
        <v>175</v>
      </c>
      <c r="C178" s="2"/>
      <c r="D178" s="1"/>
      <c r="E178" s="3"/>
      <c r="F178" s="1"/>
      <c r="G178" s="141">
        <f>IF(Basic3456789101112[[#This Row],[نوع الخدمة]]="مخالفات", 50,
IF(Basic3456789101112[[#This Row],[نوع الخدمة]]="كاش ان",
    IF(F178&lt;=100, 18, IF(F178&lt;=250, 23, IF(F178&lt;=500, 35, IF(F178&lt;=1000, 40, F178*0.04)))),
IF(Basic3456789101112[[#This Row],[نوع الخدمة]]="كاش اوت",
    IF(F178&lt;=100, 15, IF(F178&lt;=250, 20, IF(F178&lt;=500, 30, IF(F178&lt;=1000, 35, F178*0.035)))),
0)))</f>
        <v>0</v>
      </c>
      <c r="H178" s="159">
        <f>IF(I178="مخالفات",50,Basic3456789101112[[#This Row],[قيمة الرسوم / العموله]]+Basic3456789101112[[#This Row],[قيمة الشحنه]])</f>
        <v>0</v>
      </c>
      <c r="I178" s="90"/>
      <c r="J178" s="142" t="str">
        <f t="shared" si="2"/>
        <v>21.5.2026</v>
      </c>
      <c r="L178" s="153">
        <v>167</v>
      </c>
      <c r="M178" s="92"/>
    </row>
    <row r="179" spans="1:13" ht="21.6" x14ac:dyDescent="0.65">
      <c r="A179" s="195"/>
      <c r="B179" s="140">
        <v>176</v>
      </c>
      <c r="C179" s="2"/>
      <c r="D179" s="1"/>
      <c r="E179" s="3"/>
      <c r="F179" s="1"/>
      <c r="G179" s="141">
        <f>IF(Basic3456789101112[[#This Row],[نوع الخدمة]]="مخالفات", 50,
IF(Basic3456789101112[[#This Row],[نوع الخدمة]]="كاش ان",
    IF(F179&lt;=100, 18, IF(F179&lt;=250, 23, IF(F179&lt;=500, 35, IF(F179&lt;=1000, 40, F179*0.04)))),
IF(Basic3456789101112[[#This Row],[نوع الخدمة]]="كاش اوت",
    IF(F179&lt;=100, 15, IF(F179&lt;=250, 20, IF(F179&lt;=500, 30, IF(F179&lt;=1000, 35, F179*0.035)))),
0)))</f>
        <v>0</v>
      </c>
      <c r="H179" s="159">
        <f>IF(I179="مخالفات",50,Basic3456789101112[[#This Row],[قيمة الرسوم / العموله]]+Basic3456789101112[[#This Row],[قيمة الشحنه]])</f>
        <v>0</v>
      </c>
      <c r="I179" s="90"/>
      <c r="J179" s="142" t="str">
        <f t="shared" si="2"/>
        <v>21.5.2026</v>
      </c>
      <c r="L179" s="153">
        <v>168</v>
      </c>
      <c r="M179" s="92"/>
    </row>
    <row r="180" spans="1:13" ht="21.6" x14ac:dyDescent="0.65">
      <c r="A180" s="195"/>
      <c r="B180" s="140">
        <v>177</v>
      </c>
      <c r="C180" s="2"/>
      <c r="D180" s="1"/>
      <c r="E180" s="3"/>
      <c r="F180" s="1"/>
      <c r="G180" s="141">
        <f>IF(Basic3456789101112[[#This Row],[نوع الخدمة]]="مخالفات", 50,
IF(Basic3456789101112[[#This Row],[نوع الخدمة]]="كاش ان",
    IF(F180&lt;=100, 18, IF(F180&lt;=250, 23, IF(F180&lt;=500, 35, IF(F180&lt;=1000, 40, F180*0.04)))),
IF(Basic3456789101112[[#This Row],[نوع الخدمة]]="كاش اوت",
    IF(F180&lt;=100, 15, IF(F180&lt;=250, 20, IF(F180&lt;=500, 30, IF(F180&lt;=1000, 35, F180*0.035)))),
0)))</f>
        <v>0</v>
      </c>
      <c r="H180" s="159">
        <f>IF(I180="مخالفات",50,Basic3456789101112[[#This Row],[قيمة الرسوم / العموله]]+Basic3456789101112[[#This Row],[قيمة الشحنه]])</f>
        <v>0</v>
      </c>
      <c r="I180" s="90"/>
      <c r="J180" s="142" t="str">
        <f t="shared" si="2"/>
        <v>21.5.2026</v>
      </c>
      <c r="L180" s="153">
        <v>169</v>
      </c>
      <c r="M180" s="92"/>
    </row>
    <row r="181" spans="1:13" ht="21.6" x14ac:dyDescent="0.65">
      <c r="A181" s="195"/>
      <c r="B181" s="144">
        <v>178</v>
      </c>
      <c r="C181" s="2"/>
      <c r="D181" s="1"/>
      <c r="E181" s="3"/>
      <c r="F181" s="1"/>
      <c r="G181" s="141">
        <f>IF(Basic3456789101112[[#This Row],[نوع الخدمة]]="مخالفات", 50,
IF(Basic3456789101112[[#This Row],[نوع الخدمة]]="كاش ان",
    IF(F181&lt;=100, 18, IF(F181&lt;=250, 23, IF(F181&lt;=500, 35, IF(F181&lt;=1000, 40, F181*0.04)))),
IF(Basic3456789101112[[#This Row],[نوع الخدمة]]="كاش اوت",
    IF(F181&lt;=100, 15, IF(F181&lt;=250, 20, IF(F181&lt;=500, 30, IF(F181&lt;=1000, 35, F181*0.035)))),
0)))</f>
        <v>0</v>
      </c>
      <c r="H181" s="159">
        <f>IF(I181="مخالفات",50,Basic3456789101112[[#This Row],[قيمة الرسوم / العموله]]+Basic3456789101112[[#This Row],[قيمة الشحنه]])</f>
        <v>0</v>
      </c>
      <c r="I181" s="90"/>
      <c r="J181" s="142" t="str">
        <f t="shared" si="2"/>
        <v>21.5.2026</v>
      </c>
      <c r="L181" s="153">
        <v>170</v>
      </c>
      <c r="M181" s="92"/>
    </row>
    <row r="182" spans="1:13" ht="21.6" x14ac:dyDescent="0.65">
      <c r="A182" s="195"/>
      <c r="B182" s="140">
        <v>179</v>
      </c>
      <c r="C182" s="2"/>
      <c r="D182" s="1"/>
      <c r="E182" s="3"/>
      <c r="F182" s="1"/>
      <c r="G182" s="141">
        <f>IF(Basic3456789101112[[#This Row],[نوع الخدمة]]="مخالفات", 50,
IF(Basic3456789101112[[#This Row],[نوع الخدمة]]="كاش ان",
    IF(F182&lt;=100, 18, IF(F182&lt;=250, 23, IF(F182&lt;=500, 35, IF(F182&lt;=1000, 40, F182*0.04)))),
IF(Basic3456789101112[[#This Row],[نوع الخدمة]]="كاش اوت",
    IF(F182&lt;=100, 15, IF(F182&lt;=250, 20, IF(F182&lt;=500, 30, IF(F182&lt;=1000, 35, F182*0.035)))),
0)))</f>
        <v>0</v>
      </c>
      <c r="H182" s="159">
        <f>IF(I182="مخالفات",50,Basic3456789101112[[#This Row],[قيمة الرسوم / العموله]]+Basic3456789101112[[#This Row],[قيمة الشحنه]])</f>
        <v>0</v>
      </c>
      <c r="I182" s="90"/>
      <c r="J182" s="142" t="str">
        <f t="shared" si="2"/>
        <v>21.5.2026</v>
      </c>
      <c r="L182" s="153">
        <v>171</v>
      </c>
      <c r="M182" s="92"/>
    </row>
    <row r="183" spans="1:13" ht="21.6" x14ac:dyDescent="0.65">
      <c r="A183" s="195"/>
      <c r="B183" s="140">
        <v>180</v>
      </c>
      <c r="C183" s="2"/>
      <c r="D183" s="1"/>
      <c r="E183" s="3"/>
      <c r="F183" s="1"/>
      <c r="G183" s="141">
        <f>IF(Basic3456789101112[[#This Row],[نوع الخدمة]]="مخالفات", 50,
IF(Basic3456789101112[[#This Row],[نوع الخدمة]]="كاش ان",
    IF(F183&lt;=100, 18, IF(F183&lt;=250, 23, IF(F183&lt;=500, 35, IF(F183&lt;=1000, 40, F183*0.04)))),
IF(Basic3456789101112[[#This Row],[نوع الخدمة]]="كاش اوت",
    IF(F183&lt;=100, 15, IF(F183&lt;=250, 20, IF(F183&lt;=500, 30, IF(F183&lt;=1000, 35, F183*0.035)))),
0)))</f>
        <v>0</v>
      </c>
      <c r="H183" s="159">
        <f>IF(I183="مخالفات",50,Basic3456789101112[[#This Row],[قيمة الرسوم / العموله]]+Basic3456789101112[[#This Row],[قيمة الشحنه]])</f>
        <v>0</v>
      </c>
      <c r="I183" s="90"/>
      <c r="J183" s="142" t="str">
        <f t="shared" si="2"/>
        <v>21.5.2026</v>
      </c>
      <c r="L183" s="153">
        <v>172</v>
      </c>
      <c r="M183" s="92"/>
    </row>
    <row r="184" spans="1:13" ht="21.6" x14ac:dyDescent="0.65">
      <c r="A184" s="195"/>
      <c r="B184" s="140">
        <v>181</v>
      </c>
      <c r="C184" s="2"/>
      <c r="D184" s="1"/>
      <c r="E184" s="3"/>
      <c r="F184" s="1"/>
      <c r="G184" s="141">
        <f>IF(Basic3456789101112[[#This Row],[نوع الخدمة]]="مخالفات", 50,
IF(Basic3456789101112[[#This Row],[نوع الخدمة]]="كاش ان",
    IF(F184&lt;=100, 18, IF(F184&lt;=250, 23, IF(F184&lt;=500, 35, IF(F184&lt;=1000, 40, F184*0.04)))),
IF(Basic3456789101112[[#This Row],[نوع الخدمة]]="كاش اوت",
    IF(F184&lt;=100, 15, IF(F184&lt;=250, 20, IF(F184&lt;=500, 30, IF(F184&lt;=1000, 35, F184*0.035)))),
0)))</f>
        <v>0</v>
      </c>
      <c r="H184" s="159">
        <f>IF(I184="مخالفات",50,Basic3456789101112[[#This Row],[قيمة الرسوم / العموله]]+Basic3456789101112[[#This Row],[قيمة الشحنه]])</f>
        <v>0</v>
      </c>
      <c r="I184" s="90"/>
      <c r="J184" s="142" t="str">
        <f t="shared" si="2"/>
        <v>21.5.2026</v>
      </c>
      <c r="L184" s="153">
        <v>173</v>
      </c>
      <c r="M184" s="92"/>
    </row>
    <row r="185" spans="1:13" ht="21.6" x14ac:dyDescent="0.65">
      <c r="A185" s="195"/>
      <c r="B185" s="144">
        <v>182</v>
      </c>
      <c r="C185" s="2"/>
      <c r="D185" s="1"/>
      <c r="E185" s="3"/>
      <c r="F185" s="1"/>
      <c r="G185" s="141">
        <f>IF(Basic3456789101112[[#This Row],[نوع الخدمة]]="مخالفات", 50,
IF(Basic3456789101112[[#This Row],[نوع الخدمة]]="كاش ان",
    IF(F185&lt;=100, 18, IF(F185&lt;=250, 23, IF(F185&lt;=500, 35, IF(F185&lt;=1000, 40, F185*0.04)))),
IF(Basic3456789101112[[#This Row],[نوع الخدمة]]="كاش اوت",
    IF(F185&lt;=100, 15, IF(F185&lt;=250, 20, IF(F185&lt;=500, 30, IF(F185&lt;=1000, 35, F185*0.035)))),
0)))</f>
        <v>0</v>
      </c>
      <c r="H185" s="159">
        <f>IF(I185="مخالفات",50,Basic3456789101112[[#This Row],[قيمة الرسوم / العموله]]+Basic3456789101112[[#This Row],[قيمة الشحنه]])</f>
        <v>0</v>
      </c>
      <c r="I185" s="90"/>
      <c r="J185" s="142" t="str">
        <f t="shared" si="2"/>
        <v>21.5.2026</v>
      </c>
      <c r="L185" s="153">
        <v>174</v>
      </c>
      <c r="M185" s="92"/>
    </row>
    <row r="186" spans="1:13" ht="21.6" x14ac:dyDescent="0.65">
      <c r="A186" s="195"/>
      <c r="B186" s="140">
        <v>183</v>
      </c>
      <c r="C186" s="2"/>
      <c r="D186" s="1"/>
      <c r="E186" s="3"/>
      <c r="F186" s="1"/>
      <c r="G186" s="141">
        <f>IF(Basic3456789101112[[#This Row],[نوع الخدمة]]="مخالفات", 50,
IF(Basic3456789101112[[#This Row],[نوع الخدمة]]="كاش ان",
    IF(F186&lt;=100, 18, IF(F186&lt;=250, 23, IF(F186&lt;=500, 35, IF(F186&lt;=1000, 40, F186*0.04)))),
IF(Basic3456789101112[[#This Row],[نوع الخدمة]]="كاش اوت",
    IF(F186&lt;=100, 15, IF(F186&lt;=250, 20, IF(F186&lt;=500, 30, IF(F186&lt;=1000, 35, F186*0.035)))),
0)))</f>
        <v>0</v>
      </c>
      <c r="H186" s="159">
        <f>IF(I186="مخالفات",50,Basic3456789101112[[#This Row],[قيمة الرسوم / العموله]]+Basic3456789101112[[#This Row],[قيمة الشحنه]])</f>
        <v>0</v>
      </c>
      <c r="I186" s="90"/>
      <c r="J186" s="142" t="str">
        <f t="shared" si="2"/>
        <v>21.5.2026</v>
      </c>
      <c r="L186" s="153">
        <v>175</v>
      </c>
      <c r="M186" s="92"/>
    </row>
    <row r="187" spans="1:13" ht="21.6" x14ac:dyDescent="0.65">
      <c r="A187" s="195"/>
      <c r="B187" s="140">
        <v>184</v>
      </c>
      <c r="C187" s="2"/>
      <c r="D187" s="1"/>
      <c r="E187" s="3"/>
      <c r="F187" s="1"/>
      <c r="G187" s="141">
        <f>IF(Basic3456789101112[[#This Row],[نوع الخدمة]]="مخالفات", 50,
IF(Basic3456789101112[[#This Row],[نوع الخدمة]]="كاش ان",
    IF(F187&lt;=100, 18, IF(F187&lt;=250, 23, IF(F187&lt;=500, 35, IF(F187&lt;=1000, 40, F187*0.04)))),
IF(Basic3456789101112[[#This Row],[نوع الخدمة]]="كاش اوت",
    IF(F187&lt;=100, 15, IF(F187&lt;=250, 20, IF(F187&lt;=500, 30, IF(F187&lt;=1000, 35, F187*0.035)))),
0)))</f>
        <v>0</v>
      </c>
      <c r="H187" s="159">
        <f>IF(I187="مخالفات",50,Basic3456789101112[[#This Row],[قيمة الرسوم / العموله]]+Basic3456789101112[[#This Row],[قيمة الشحنه]])</f>
        <v>0</v>
      </c>
      <c r="I187" s="90"/>
      <c r="J187" s="142" t="str">
        <f t="shared" si="2"/>
        <v>21.5.2026</v>
      </c>
      <c r="L187" s="153">
        <v>176</v>
      </c>
      <c r="M187" s="92"/>
    </row>
    <row r="188" spans="1:13" ht="21.6" x14ac:dyDescent="0.65">
      <c r="A188" s="195"/>
      <c r="B188" s="140">
        <v>185</v>
      </c>
      <c r="C188" s="2"/>
      <c r="D188" s="1"/>
      <c r="E188" s="3"/>
      <c r="F188" s="1"/>
      <c r="G188" s="141">
        <f>IF(Basic3456789101112[[#This Row],[نوع الخدمة]]="مخالفات", 50,
IF(Basic3456789101112[[#This Row],[نوع الخدمة]]="كاش ان",
    IF(F188&lt;=100, 18, IF(F188&lt;=250, 23, IF(F188&lt;=500, 35, IF(F188&lt;=1000, 40, F188*0.04)))),
IF(Basic3456789101112[[#This Row],[نوع الخدمة]]="كاش اوت",
    IF(F188&lt;=100, 15, IF(F188&lt;=250, 20, IF(F188&lt;=500, 30, IF(F188&lt;=1000, 35, F188*0.035)))),
0)))</f>
        <v>0</v>
      </c>
      <c r="H188" s="159">
        <f>IF(I188="مخالفات",50,Basic3456789101112[[#This Row],[قيمة الرسوم / العموله]]+Basic3456789101112[[#This Row],[قيمة الشحنه]])</f>
        <v>0</v>
      </c>
      <c r="I188" s="90"/>
      <c r="J188" s="142" t="str">
        <f t="shared" si="2"/>
        <v>21.5.2026</v>
      </c>
      <c r="L188" s="153">
        <v>177</v>
      </c>
      <c r="M188" s="92"/>
    </row>
    <row r="189" spans="1:13" ht="21.6" x14ac:dyDescent="0.65">
      <c r="A189" s="195"/>
      <c r="B189" s="144">
        <v>186</v>
      </c>
      <c r="C189" s="2"/>
      <c r="D189" s="1"/>
      <c r="E189" s="3"/>
      <c r="F189" s="1"/>
      <c r="G189" s="141">
        <f>IF(Basic3456789101112[[#This Row],[نوع الخدمة]]="مخالفات", 50,
IF(Basic3456789101112[[#This Row],[نوع الخدمة]]="كاش ان",
    IF(F189&lt;=100, 18, IF(F189&lt;=250, 23, IF(F189&lt;=500, 35, IF(F189&lt;=1000, 40, F189*0.04)))),
IF(Basic3456789101112[[#This Row],[نوع الخدمة]]="كاش اوت",
    IF(F189&lt;=100, 15, IF(F189&lt;=250, 20, IF(F189&lt;=500, 30, IF(F189&lt;=1000, 35, F189*0.035)))),
0)))</f>
        <v>0</v>
      </c>
      <c r="H189" s="159">
        <f>IF(I189="مخالفات",50,Basic3456789101112[[#This Row],[قيمة الرسوم / العموله]]+Basic3456789101112[[#This Row],[قيمة الشحنه]])</f>
        <v>0</v>
      </c>
      <c r="I189" s="90"/>
      <c r="J189" s="142" t="str">
        <f t="shared" si="2"/>
        <v>21.5.2026</v>
      </c>
      <c r="L189" s="153">
        <v>178</v>
      </c>
      <c r="M189" s="92"/>
    </row>
    <row r="190" spans="1:13" ht="21.6" x14ac:dyDescent="0.65">
      <c r="A190" s="195"/>
      <c r="B190" s="140">
        <v>187</v>
      </c>
      <c r="C190" s="2"/>
      <c r="D190" s="1"/>
      <c r="E190" s="3"/>
      <c r="F190" s="1"/>
      <c r="G190" s="141">
        <f>IF(Basic3456789101112[[#This Row],[نوع الخدمة]]="مخالفات", 50,
IF(Basic3456789101112[[#This Row],[نوع الخدمة]]="كاش ان",
    IF(F190&lt;=100, 18, IF(F190&lt;=250, 23, IF(F190&lt;=500, 35, IF(F190&lt;=1000, 40, F190*0.04)))),
IF(Basic3456789101112[[#This Row],[نوع الخدمة]]="كاش اوت",
    IF(F190&lt;=100, 15, IF(F190&lt;=250, 20, IF(F190&lt;=500, 30, IF(F190&lt;=1000, 35, F190*0.035)))),
0)))</f>
        <v>0</v>
      </c>
      <c r="H190" s="159">
        <f>IF(I190="مخالفات",50,Basic3456789101112[[#This Row],[قيمة الرسوم / العموله]]+Basic3456789101112[[#This Row],[قيمة الشحنه]])</f>
        <v>0</v>
      </c>
      <c r="I190" s="90"/>
      <c r="J190" s="142" t="str">
        <f t="shared" si="2"/>
        <v>21.5.2026</v>
      </c>
      <c r="L190" s="153">
        <v>179</v>
      </c>
      <c r="M190" s="92"/>
    </row>
    <row r="191" spans="1:13" ht="21.6" x14ac:dyDescent="0.65">
      <c r="A191" s="195"/>
      <c r="B191" s="140">
        <v>188</v>
      </c>
      <c r="C191" s="2"/>
      <c r="D191" s="1"/>
      <c r="E191" s="3"/>
      <c r="F191" s="1"/>
      <c r="G191" s="141">
        <f>IF(Basic3456789101112[[#This Row],[نوع الخدمة]]="مخالفات", 50,
IF(Basic3456789101112[[#This Row],[نوع الخدمة]]="كاش ان",
    IF(F191&lt;=100, 18, IF(F191&lt;=250, 23, IF(F191&lt;=500, 35, IF(F191&lt;=1000, 40, F191*0.04)))),
IF(Basic3456789101112[[#This Row],[نوع الخدمة]]="كاش اوت",
    IF(F191&lt;=100, 15, IF(F191&lt;=250, 20, IF(F191&lt;=500, 30, IF(F191&lt;=1000, 35, F191*0.035)))),
0)))</f>
        <v>0</v>
      </c>
      <c r="H191" s="159">
        <f>IF(I191="مخالفات",50,Basic3456789101112[[#This Row],[قيمة الرسوم / العموله]]+Basic3456789101112[[#This Row],[قيمة الشحنه]])</f>
        <v>0</v>
      </c>
      <c r="I191" s="90"/>
      <c r="J191" s="142" t="str">
        <f t="shared" si="2"/>
        <v>21.5.2026</v>
      </c>
      <c r="L191" s="153">
        <v>180</v>
      </c>
      <c r="M191" s="92"/>
    </row>
    <row r="192" spans="1:13" ht="21.6" x14ac:dyDescent="0.65">
      <c r="A192" s="195"/>
      <c r="B192" s="140">
        <v>189</v>
      </c>
      <c r="C192" s="2"/>
      <c r="D192" s="1"/>
      <c r="E192" s="3"/>
      <c r="F192" s="1"/>
      <c r="G192" s="141">
        <f>IF(Basic3456789101112[[#This Row],[نوع الخدمة]]="مخالفات", 50,
IF(Basic3456789101112[[#This Row],[نوع الخدمة]]="كاش ان",
    IF(F192&lt;=100, 18, IF(F192&lt;=250, 23, IF(F192&lt;=500, 35, IF(F192&lt;=1000, 40, F192*0.04)))),
IF(Basic3456789101112[[#This Row],[نوع الخدمة]]="كاش اوت",
    IF(F192&lt;=100, 15, IF(F192&lt;=250, 20, IF(F192&lt;=500, 30, IF(F192&lt;=1000, 35, F192*0.035)))),
0)))</f>
        <v>0</v>
      </c>
      <c r="H192" s="159">
        <f>IF(I192="مخالفات",50,Basic3456789101112[[#This Row],[قيمة الرسوم / العموله]]+Basic3456789101112[[#This Row],[قيمة الشحنه]])</f>
        <v>0</v>
      </c>
      <c r="I192" s="90"/>
      <c r="J192" s="142" t="str">
        <f t="shared" si="2"/>
        <v>21.5.2026</v>
      </c>
      <c r="L192" s="153">
        <v>181</v>
      </c>
      <c r="M192" s="92"/>
    </row>
    <row r="193" spans="1:13" ht="21.6" x14ac:dyDescent="0.65">
      <c r="A193" s="195"/>
      <c r="B193" s="144">
        <v>190</v>
      </c>
      <c r="C193" s="2"/>
      <c r="D193" s="1"/>
      <c r="E193" s="3"/>
      <c r="F193" s="1"/>
      <c r="G193" s="141">
        <f>IF(Basic3456789101112[[#This Row],[نوع الخدمة]]="مخالفات", 50,
IF(Basic3456789101112[[#This Row],[نوع الخدمة]]="كاش ان",
    IF(F193&lt;=100, 18, IF(F193&lt;=250, 23, IF(F193&lt;=500, 35, IF(F193&lt;=1000, 40, F193*0.04)))),
IF(Basic3456789101112[[#This Row],[نوع الخدمة]]="كاش اوت",
    IF(F193&lt;=100, 15, IF(F193&lt;=250, 20, IF(F193&lt;=500, 30, IF(F193&lt;=1000, 35, F193*0.035)))),
0)))</f>
        <v>0</v>
      </c>
      <c r="H193" s="159">
        <f>IF(I193="مخالفات",50,Basic3456789101112[[#This Row],[قيمة الرسوم / العموله]]+Basic3456789101112[[#This Row],[قيمة الشحنه]])</f>
        <v>0</v>
      </c>
      <c r="I193" s="90"/>
      <c r="J193" s="142" t="str">
        <f t="shared" si="2"/>
        <v>21.5.2026</v>
      </c>
      <c r="L193" s="153">
        <v>182</v>
      </c>
      <c r="M193" s="92"/>
    </row>
    <row r="194" spans="1:13" ht="21.6" x14ac:dyDescent="0.65">
      <c r="A194" s="195"/>
      <c r="B194" s="140">
        <v>191</v>
      </c>
      <c r="C194" s="2"/>
      <c r="D194" s="1"/>
      <c r="E194" s="3"/>
      <c r="F194" s="1"/>
      <c r="G194" s="141">
        <f>IF(Basic3456789101112[[#This Row],[نوع الخدمة]]="مخالفات", 50,
IF(Basic3456789101112[[#This Row],[نوع الخدمة]]="كاش ان",
    IF(F194&lt;=100, 18, IF(F194&lt;=250, 23, IF(F194&lt;=500, 35, IF(F194&lt;=1000, 40, F194*0.04)))),
IF(Basic3456789101112[[#This Row],[نوع الخدمة]]="كاش اوت",
    IF(F194&lt;=100, 15, IF(F194&lt;=250, 20, IF(F194&lt;=500, 30, IF(F194&lt;=1000, 35, F194*0.035)))),
0)))</f>
        <v>0</v>
      </c>
      <c r="H194" s="159">
        <f>IF(I194="مخالفات",50,Basic3456789101112[[#This Row],[قيمة الرسوم / العموله]]+Basic3456789101112[[#This Row],[قيمة الشحنه]])</f>
        <v>0</v>
      </c>
      <c r="I194" s="90"/>
      <c r="J194" s="142" t="str">
        <f t="shared" si="2"/>
        <v>21.5.2026</v>
      </c>
      <c r="L194" s="153">
        <v>183</v>
      </c>
      <c r="M194" s="92"/>
    </row>
    <row r="195" spans="1:13" ht="21.6" x14ac:dyDescent="0.65">
      <c r="A195" s="195"/>
      <c r="B195" s="140">
        <v>192</v>
      </c>
      <c r="C195" s="2"/>
      <c r="D195" s="1"/>
      <c r="E195" s="3"/>
      <c r="F195" s="1"/>
      <c r="G195" s="141">
        <f>IF(Basic3456789101112[[#This Row],[نوع الخدمة]]="مخالفات", 50,
IF(Basic3456789101112[[#This Row],[نوع الخدمة]]="كاش ان",
    IF(F195&lt;=100, 18, IF(F195&lt;=250, 23, IF(F195&lt;=500, 35, IF(F195&lt;=1000, 40, F195*0.04)))),
IF(Basic3456789101112[[#This Row],[نوع الخدمة]]="كاش اوت",
    IF(F195&lt;=100, 15, IF(F195&lt;=250, 20, IF(F195&lt;=500, 30, IF(F195&lt;=1000, 35, F195*0.035)))),
0)))</f>
        <v>0</v>
      </c>
      <c r="H195" s="159">
        <f>IF(I195="مخالفات",50,Basic3456789101112[[#This Row],[قيمة الرسوم / العموله]]+Basic3456789101112[[#This Row],[قيمة الشحنه]])</f>
        <v>0</v>
      </c>
      <c r="I195" s="90"/>
      <c r="J195" s="142" t="str">
        <f t="shared" si="2"/>
        <v>21.5.2026</v>
      </c>
      <c r="L195" s="153">
        <v>184</v>
      </c>
      <c r="M195" s="92"/>
    </row>
    <row r="196" spans="1:13" ht="21.6" x14ac:dyDescent="0.65">
      <c r="A196" s="195"/>
      <c r="B196" s="140">
        <v>193</v>
      </c>
      <c r="C196" s="2"/>
      <c r="D196" s="1"/>
      <c r="E196" s="3"/>
      <c r="F196" s="1"/>
      <c r="G196" s="141">
        <f>IF(Basic3456789101112[[#This Row],[نوع الخدمة]]="مخالفات", 50,
IF(Basic3456789101112[[#This Row],[نوع الخدمة]]="كاش ان",
    IF(F196&lt;=100, 18, IF(F196&lt;=250, 23, IF(F196&lt;=500, 35, IF(F196&lt;=1000, 40, F196*0.04)))),
IF(Basic3456789101112[[#This Row],[نوع الخدمة]]="كاش اوت",
    IF(F196&lt;=100, 15, IF(F196&lt;=250, 20, IF(F196&lt;=500, 30, IF(F196&lt;=1000, 35, F196*0.035)))),
0)))</f>
        <v>0</v>
      </c>
      <c r="H196" s="159">
        <f>IF(I196="مخالفات",50,Basic3456789101112[[#This Row],[قيمة الرسوم / العموله]]+Basic3456789101112[[#This Row],[قيمة الشحنه]])</f>
        <v>0</v>
      </c>
      <c r="I196" s="90"/>
      <c r="J196" s="142" t="str">
        <f t="shared" ref="J196:J226" si="3">M$3</f>
        <v>21.5.2026</v>
      </c>
      <c r="L196" s="153">
        <v>185</v>
      </c>
      <c r="M196" s="92"/>
    </row>
    <row r="197" spans="1:13" ht="21.6" x14ac:dyDescent="0.65">
      <c r="A197" s="195"/>
      <c r="B197" s="144">
        <v>194</v>
      </c>
      <c r="C197" s="2"/>
      <c r="D197" s="1"/>
      <c r="E197" s="3"/>
      <c r="F197" s="1"/>
      <c r="G197" s="141">
        <f>IF(Basic3456789101112[[#This Row],[نوع الخدمة]]="مخالفات", 50,
IF(Basic3456789101112[[#This Row],[نوع الخدمة]]="كاش ان",
    IF(F197&lt;=100, 18, IF(F197&lt;=250, 23, IF(F197&lt;=500, 35, IF(F197&lt;=1000, 40, F197*0.04)))),
IF(Basic3456789101112[[#This Row],[نوع الخدمة]]="كاش اوت",
    IF(F197&lt;=100, 15, IF(F197&lt;=250, 20, IF(F197&lt;=500, 30, IF(F197&lt;=1000, 35, F197*0.035)))),
0)))</f>
        <v>0</v>
      </c>
      <c r="H197" s="159">
        <f>IF(I197="مخالفات",50,Basic3456789101112[[#This Row],[قيمة الرسوم / العموله]]+Basic3456789101112[[#This Row],[قيمة الشحنه]])</f>
        <v>0</v>
      </c>
      <c r="I197" s="90"/>
      <c r="J197" s="142" t="str">
        <f t="shared" si="3"/>
        <v>21.5.2026</v>
      </c>
      <c r="L197" s="153">
        <v>186</v>
      </c>
      <c r="M197" s="92"/>
    </row>
    <row r="198" spans="1:13" ht="21.6" x14ac:dyDescent="0.65">
      <c r="A198" s="195"/>
      <c r="B198" s="140">
        <v>195</v>
      </c>
      <c r="C198" s="2"/>
      <c r="D198" s="1"/>
      <c r="E198" s="3"/>
      <c r="F198" s="1"/>
      <c r="G198" s="141">
        <f>IF(Basic3456789101112[[#This Row],[نوع الخدمة]]="مخالفات", 50,
IF(Basic3456789101112[[#This Row],[نوع الخدمة]]="كاش ان",
    IF(F198&lt;=100, 18, IF(F198&lt;=250, 23, IF(F198&lt;=500, 35, IF(F198&lt;=1000, 40, F198*0.04)))),
IF(Basic3456789101112[[#This Row],[نوع الخدمة]]="كاش اوت",
    IF(F198&lt;=100, 15, IF(F198&lt;=250, 20, IF(F198&lt;=500, 30, IF(F198&lt;=1000, 35, F198*0.035)))),
0)))</f>
        <v>0</v>
      </c>
      <c r="H198" s="159">
        <f>IF(I198="مخالفات",50,Basic3456789101112[[#This Row],[قيمة الرسوم / العموله]]+Basic3456789101112[[#This Row],[قيمة الشحنه]])</f>
        <v>0</v>
      </c>
      <c r="I198" s="90"/>
      <c r="J198" s="142" t="str">
        <f t="shared" si="3"/>
        <v>21.5.2026</v>
      </c>
      <c r="L198" s="153">
        <v>187</v>
      </c>
      <c r="M198" s="92"/>
    </row>
    <row r="199" spans="1:13" ht="21.6" x14ac:dyDescent="0.65">
      <c r="A199" s="195"/>
      <c r="B199" s="140">
        <v>196</v>
      </c>
      <c r="C199" s="2"/>
      <c r="D199" s="1"/>
      <c r="E199" s="3"/>
      <c r="F199" s="1"/>
      <c r="G199" s="141">
        <f>IF(Basic3456789101112[[#This Row],[نوع الخدمة]]="مخالفات", 50,
IF(Basic3456789101112[[#This Row],[نوع الخدمة]]="كاش ان",
    IF(F199&lt;=100, 18, IF(F199&lt;=250, 23, IF(F199&lt;=500, 35, IF(F199&lt;=1000, 40, F199*0.04)))),
IF(Basic3456789101112[[#This Row],[نوع الخدمة]]="كاش اوت",
    IF(F199&lt;=100, 15, IF(F199&lt;=250, 20, IF(F199&lt;=500, 30, IF(F199&lt;=1000, 35, F199*0.035)))),
0)))</f>
        <v>0</v>
      </c>
      <c r="H199" s="159">
        <f>IF(I199="مخالفات",50,Basic3456789101112[[#This Row],[قيمة الرسوم / العموله]]+Basic3456789101112[[#This Row],[قيمة الشحنه]])</f>
        <v>0</v>
      </c>
      <c r="I199" s="90"/>
      <c r="J199" s="142" t="str">
        <f t="shared" si="3"/>
        <v>21.5.2026</v>
      </c>
      <c r="L199" s="153">
        <v>188</v>
      </c>
      <c r="M199" s="92"/>
    </row>
    <row r="200" spans="1:13" ht="21.6" x14ac:dyDescent="0.65">
      <c r="A200" s="195"/>
      <c r="B200" s="140">
        <v>197</v>
      </c>
      <c r="C200" s="2"/>
      <c r="D200" s="1"/>
      <c r="E200" s="3"/>
      <c r="F200" s="1"/>
      <c r="G200" s="141">
        <f>IF(Basic3456789101112[[#This Row],[نوع الخدمة]]="مخالفات", 50,
IF(Basic3456789101112[[#This Row],[نوع الخدمة]]="كاش ان",
    IF(F200&lt;=100, 18, IF(F200&lt;=250, 23, IF(F200&lt;=500, 35, IF(F200&lt;=1000, 40, F200*0.04)))),
IF(Basic3456789101112[[#This Row],[نوع الخدمة]]="كاش اوت",
    IF(F200&lt;=100, 15, IF(F200&lt;=250, 20, IF(F200&lt;=500, 30, IF(F200&lt;=1000, 35, F200*0.035)))),
0)))</f>
        <v>0</v>
      </c>
      <c r="H200" s="159">
        <f>IF(I200="مخالفات",50,Basic3456789101112[[#This Row],[قيمة الرسوم / العموله]]+Basic3456789101112[[#This Row],[قيمة الشحنه]])</f>
        <v>0</v>
      </c>
      <c r="I200" s="90"/>
      <c r="J200" s="142" t="str">
        <f t="shared" si="3"/>
        <v>21.5.2026</v>
      </c>
      <c r="L200" s="153">
        <v>189</v>
      </c>
      <c r="M200" s="92"/>
    </row>
    <row r="201" spans="1:13" ht="21.6" x14ac:dyDescent="0.65">
      <c r="A201" s="195"/>
      <c r="B201" s="144">
        <v>198</v>
      </c>
      <c r="C201" s="2"/>
      <c r="D201" s="1"/>
      <c r="E201" s="3"/>
      <c r="F201" s="1"/>
      <c r="G201" s="141">
        <f>IF(Basic3456789101112[[#This Row],[نوع الخدمة]]="مخالفات", 50,
IF(Basic3456789101112[[#This Row],[نوع الخدمة]]="كاش ان",
    IF(F201&lt;=100, 18, IF(F201&lt;=250, 23, IF(F201&lt;=500, 35, IF(F201&lt;=1000, 40, F201*0.04)))),
IF(Basic3456789101112[[#This Row],[نوع الخدمة]]="كاش اوت",
    IF(F201&lt;=100, 15, IF(F201&lt;=250, 20, IF(F201&lt;=500, 30, IF(F201&lt;=1000, 35, F201*0.035)))),
0)))</f>
        <v>0</v>
      </c>
      <c r="H201" s="159">
        <f>IF(I201="مخالفات",50,Basic3456789101112[[#This Row],[قيمة الرسوم / العموله]]+Basic3456789101112[[#This Row],[قيمة الشحنه]])</f>
        <v>0</v>
      </c>
      <c r="I201" s="90"/>
      <c r="J201" s="142" t="str">
        <f t="shared" si="3"/>
        <v>21.5.2026</v>
      </c>
      <c r="L201" s="153">
        <v>190</v>
      </c>
      <c r="M201" s="92"/>
    </row>
    <row r="202" spans="1:13" ht="21.6" x14ac:dyDescent="0.65">
      <c r="A202" s="195"/>
      <c r="B202" s="140">
        <v>199</v>
      </c>
      <c r="C202" s="2"/>
      <c r="D202" s="1"/>
      <c r="E202" s="3"/>
      <c r="F202" s="1"/>
      <c r="G202" s="141">
        <f>IF(Basic3456789101112[[#This Row],[نوع الخدمة]]="مخالفات", 50,
IF(Basic3456789101112[[#This Row],[نوع الخدمة]]="كاش ان",
    IF(F202&lt;=100, 18, IF(F202&lt;=250, 23, IF(F202&lt;=500, 35, IF(F202&lt;=1000, 40, F202*0.04)))),
IF(Basic3456789101112[[#This Row],[نوع الخدمة]]="كاش اوت",
    IF(F202&lt;=100, 15, IF(F202&lt;=250, 20, IF(F202&lt;=500, 30, IF(F202&lt;=1000, 35, F202*0.035)))),
0)))</f>
        <v>0</v>
      </c>
      <c r="H202" s="159">
        <f>IF(I202="مخالفات",50,Basic3456789101112[[#This Row],[قيمة الرسوم / العموله]]+Basic3456789101112[[#This Row],[قيمة الشحنه]])</f>
        <v>0</v>
      </c>
      <c r="I202" s="90"/>
      <c r="J202" s="142" t="str">
        <f t="shared" si="3"/>
        <v>21.5.2026</v>
      </c>
      <c r="L202" s="153">
        <v>191</v>
      </c>
      <c r="M202" s="92"/>
    </row>
    <row r="203" spans="1:13" ht="21.6" x14ac:dyDescent="0.65">
      <c r="A203" s="195"/>
      <c r="B203" s="140">
        <v>200</v>
      </c>
      <c r="C203" s="2"/>
      <c r="D203" s="1"/>
      <c r="E203" s="3"/>
      <c r="F203" s="1"/>
      <c r="G203" s="141">
        <f>IF(Basic3456789101112[[#This Row],[نوع الخدمة]]="مخالفات", 50,
IF(Basic3456789101112[[#This Row],[نوع الخدمة]]="كاش ان",
    IF(F203&lt;=100, 18, IF(F203&lt;=250, 23, IF(F203&lt;=500, 35, IF(F203&lt;=1000, 40, F203*0.04)))),
IF(Basic3456789101112[[#This Row],[نوع الخدمة]]="كاش اوت",
    IF(F203&lt;=100, 15, IF(F203&lt;=250, 20, IF(F203&lt;=500, 30, IF(F203&lt;=1000, 35, F203*0.035)))),
0)))</f>
        <v>0</v>
      </c>
      <c r="H203" s="159">
        <f>IF(I203="مخالفات",50,Basic3456789101112[[#This Row],[قيمة الرسوم / العموله]]+Basic3456789101112[[#This Row],[قيمة الشحنه]])</f>
        <v>0</v>
      </c>
      <c r="I203" s="90"/>
      <c r="J203" s="142" t="str">
        <f t="shared" si="3"/>
        <v>21.5.2026</v>
      </c>
      <c r="L203" s="153">
        <v>192</v>
      </c>
      <c r="M203" s="92"/>
    </row>
    <row r="204" spans="1:13" ht="21.6" x14ac:dyDescent="0.65">
      <c r="A204" s="195"/>
      <c r="B204" s="140">
        <v>201</v>
      </c>
      <c r="C204" s="2"/>
      <c r="D204" s="1"/>
      <c r="E204" s="3"/>
      <c r="F204" s="1"/>
      <c r="G204" s="141">
        <f>IF(Basic3456789101112[[#This Row],[نوع الخدمة]]="مخالفات", 50,
IF(Basic3456789101112[[#This Row],[نوع الخدمة]]="كاش ان",
    IF(F204&lt;=100, 18, IF(F204&lt;=250, 23, IF(F204&lt;=500, 35, IF(F204&lt;=1000, 40, F204*0.04)))),
IF(Basic3456789101112[[#This Row],[نوع الخدمة]]="كاش اوت",
    IF(F204&lt;=100, 15, IF(F204&lt;=250, 20, IF(F204&lt;=500, 30, IF(F204&lt;=1000, 35, F204*0.035)))),
0)))</f>
        <v>0</v>
      </c>
      <c r="H204" s="159">
        <f>IF(I204="مخالفات",50,Basic3456789101112[[#This Row],[قيمة الرسوم / العموله]]+Basic3456789101112[[#This Row],[قيمة الشحنه]])</f>
        <v>0</v>
      </c>
      <c r="I204" s="90"/>
      <c r="J204" s="142" t="str">
        <f t="shared" si="3"/>
        <v>21.5.2026</v>
      </c>
      <c r="L204" s="153">
        <v>193</v>
      </c>
      <c r="M204" s="92"/>
    </row>
    <row r="205" spans="1:13" ht="21.6" x14ac:dyDescent="0.65">
      <c r="A205" s="195"/>
      <c r="B205" s="144">
        <v>202</v>
      </c>
      <c r="C205" s="2"/>
      <c r="D205" s="1"/>
      <c r="E205" s="3"/>
      <c r="F205" s="1"/>
      <c r="G205" s="141">
        <f>IF(Basic3456789101112[[#This Row],[نوع الخدمة]]="مخالفات", 50,
IF(Basic3456789101112[[#This Row],[نوع الخدمة]]="كاش ان",
    IF(F205&lt;=100, 18, IF(F205&lt;=250, 23, IF(F205&lt;=500, 35, IF(F205&lt;=1000, 40, F205*0.04)))),
IF(Basic3456789101112[[#This Row],[نوع الخدمة]]="كاش اوت",
    IF(F205&lt;=100, 15, IF(F205&lt;=250, 20, IF(F205&lt;=500, 30, IF(F205&lt;=1000, 35, F205*0.035)))),
0)))</f>
        <v>0</v>
      </c>
      <c r="H205" s="159">
        <f>IF(I205="مخالفات",50,Basic3456789101112[[#This Row],[قيمة الرسوم / العموله]]+Basic3456789101112[[#This Row],[قيمة الشحنه]])</f>
        <v>0</v>
      </c>
      <c r="I205" s="90"/>
      <c r="J205" s="142" t="str">
        <f t="shared" si="3"/>
        <v>21.5.2026</v>
      </c>
      <c r="L205" s="153">
        <v>194</v>
      </c>
      <c r="M205" s="92"/>
    </row>
    <row r="206" spans="1:13" ht="21.6" x14ac:dyDescent="0.65">
      <c r="A206" s="195"/>
      <c r="B206" s="140">
        <v>203</v>
      </c>
      <c r="C206" s="2"/>
      <c r="D206" s="1"/>
      <c r="E206" s="3"/>
      <c r="F206" s="1"/>
      <c r="G206" s="141">
        <f>IF(Basic3456789101112[[#This Row],[نوع الخدمة]]="مخالفات", 50,
IF(Basic3456789101112[[#This Row],[نوع الخدمة]]="كاش ان",
    IF(F206&lt;=100, 18, IF(F206&lt;=250, 23, IF(F206&lt;=500, 35, IF(F206&lt;=1000, 40, F206*0.04)))),
IF(Basic3456789101112[[#This Row],[نوع الخدمة]]="كاش اوت",
    IF(F206&lt;=100, 15, IF(F206&lt;=250, 20, IF(F206&lt;=500, 30, IF(F206&lt;=1000, 35, F206*0.035)))),
0)))</f>
        <v>0</v>
      </c>
      <c r="H206" s="159">
        <f>IF(I206="مخالفات",50,Basic3456789101112[[#This Row],[قيمة الرسوم / العموله]]+Basic3456789101112[[#This Row],[قيمة الشحنه]])</f>
        <v>0</v>
      </c>
      <c r="I206" s="90"/>
      <c r="J206" s="142" t="str">
        <f t="shared" si="3"/>
        <v>21.5.2026</v>
      </c>
      <c r="L206" s="153">
        <v>195</v>
      </c>
      <c r="M206" s="92"/>
    </row>
    <row r="207" spans="1:13" ht="21.6" x14ac:dyDescent="0.65">
      <c r="A207" s="195"/>
      <c r="B207" s="140">
        <v>204</v>
      </c>
      <c r="C207" s="2"/>
      <c r="D207" s="1"/>
      <c r="E207" s="3"/>
      <c r="F207" s="1"/>
      <c r="G207" s="141">
        <f>IF(Basic3456789101112[[#This Row],[نوع الخدمة]]="مخالفات", 50,
IF(Basic3456789101112[[#This Row],[نوع الخدمة]]="كاش ان",
    IF(F207&lt;=100, 18, IF(F207&lt;=250, 23, IF(F207&lt;=500, 35, IF(F207&lt;=1000, 40, F207*0.04)))),
IF(Basic3456789101112[[#This Row],[نوع الخدمة]]="كاش اوت",
    IF(F207&lt;=100, 15, IF(F207&lt;=250, 20, IF(F207&lt;=500, 30, IF(F207&lt;=1000, 35, F207*0.035)))),
0)))</f>
        <v>0</v>
      </c>
      <c r="H207" s="159">
        <f>IF(I207="مخالفات",50,Basic3456789101112[[#This Row],[قيمة الرسوم / العموله]]+Basic3456789101112[[#This Row],[قيمة الشحنه]])</f>
        <v>0</v>
      </c>
      <c r="I207" s="90"/>
      <c r="J207" s="142" t="str">
        <f t="shared" si="3"/>
        <v>21.5.2026</v>
      </c>
      <c r="L207" s="153">
        <v>196</v>
      </c>
      <c r="M207" s="92"/>
    </row>
    <row r="208" spans="1:13" ht="21.6" x14ac:dyDescent="0.65">
      <c r="A208" s="195"/>
      <c r="B208" s="140">
        <v>205</v>
      </c>
      <c r="C208" s="2"/>
      <c r="D208" s="1"/>
      <c r="E208" s="3"/>
      <c r="F208" s="1"/>
      <c r="G208" s="141">
        <f>IF(Basic3456789101112[[#This Row],[نوع الخدمة]]="مخالفات", 50,
IF(Basic3456789101112[[#This Row],[نوع الخدمة]]="كاش ان",
    IF(F208&lt;=100, 18, IF(F208&lt;=250, 23, IF(F208&lt;=500, 35, IF(F208&lt;=1000, 40, F208*0.04)))),
IF(Basic3456789101112[[#This Row],[نوع الخدمة]]="كاش اوت",
    IF(F208&lt;=100, 15, IF(F208&lt;=250, 20, IF(F208&lt;=500, 30, IF(F208&lt;=1000, 35, F208*0.035)))),
0)))</f>
        <v>0</v>
      </c>
      <c r="H208" s="159">
        <f>IF(I208="مخالفات",50,Basic3456789101112[[#This Row],[قيمة الرسوم / العموله]]+Basic3456789101112[[#This Row],[قيمة الشحنه]])</f>
        <v>0</v>
      </c>
      <c r="I208" s="90"/>
      <c r="J208" s="142" t="str">
        <f t="shared" si="3"/>
        <v>21.5.2026</v>
      </c>
      <c r="L208" s="153">
        <v>197</v>
      </c>
      <c r="M208" s="92"/>
    </row>
    <row r="209" spans="1:13" ht="21.6" x14ac:dyDescent="0.65">
      <c r="A209" s="195"/>
      <c r="B209" s="144">
        <v>206</v>
      </c>
      <c r="C209" s="2"/>
      <c r="D209" s="1"/>
      <c r="E209" s="3"/>
      <c r="F209" s="1"/>
      <c r="G209" s="141">
        <f>IF(Basic3456789101112[[#This Row],[نوع الخدمة]]="مخالفات", 50,
IF(Basic3456789101112[[#This Row],[نوع الخدمة]]="كاش ان",
    IF(F209&lt;=100, 18, IF(F209&lt;=250, 23, IF(F209&lt;=500, 35, IF(F209&lt;=1000, 40, F209*0.04)))),
IF(Basic3456789101112[[#This Row],[نوع الخدمة]]="كاش اوت",
    IF(F209&lt;=100, 15, IF(F209&lt;=250, 20, IF(F209&lt;=500, 30, IF(F209&lt;=1000, 35, F209*0.035)))),
0)))</f>
        <v>0</v>
      </c>
      <c r="H209" s="159">
        <f>IF(I209="مخالفات",50,Basic3456789101112[[#This Row],[قيمة الرسوم / العموله]]+Basic3456789101112[[#This Row],[قيمة الشحنه]])</f>
        <v>0</v>
      </c>
      <c r="I209" s="90"/>
      <c r="J209" s="142" t="str">
        <f t="shared" si="3"/>
        <v>21.5.2026</v>
      </c>
      <c r="L209" s="153">
        <v>198</v>
      </c>
      <c r="M209" s="92"/>
    </row>
    <row r="210" spans="1:13" ht="21.6" x14ac:dyDescent="0.65">
      <c r="A210" s="195"/>
      <c r="B210" s="140">
        <v>207</v>
      </c>
      <c r="C210" s="2"/>
      <c r="D210" s="1"/>
      <c r="E210" s="3"/>
      <c r="F210" s="1"/>
      <c r="G210" s="141">
        <f>IF(Basic3456789101112[[#This Row],[نوع الخدمة]]="مخالفات", 50,
IF(Basic3456789101112[[#This Row],[نوع الخدمة]]="كاش ان",
    IF(F210&lt;=100, 18, IF(F210&lt;=250, 23, IF(F210&lt;=500, 35, IF(F210&lt;=1000, 40, F210*0.04)))),
IF(Basic3456789101112[[#This Row],[نوع الخدمة]]="كاش اوت",
    IF(F210&lt;=100, 15, IF(F210&lt;=250, 20, IF(F210&lt;=500, 30, IF(F210&lt;=1000, 35, F210*0.035)))),
0)))</f>
        <v>0</v>
      </c>
      <c r="H210" s="159">
        <f>IF(I210="مخالفات",50,Basic3456789101112[[#This Row],[قيمة الرسوم / العموله]]+Basic3456789101112[[#This Row],[قيمة الشحنه]])</f>
        <v>0</v>
      </c>
      <c r="I210" s="90"/>
      <c r="J210" s="142" t="str">
        <f t="shared" si="3"/>
        <v>21.5.2026</v>
      </c>
      <c r="L210" s="153">
        <v>199</v>
      </c>
      <c r="M210" s="92"/>
    </row>
    <row r="211" spans="1:13" ht="21.6" x14ac:dyDescent="0.65">
      <c r="A211" s="195"/>
      <c r="B211" s="140">
        <v>208</v>
      </c>
      <c r="C211" s="2"/>
      <c r="D211" s="1"/>
      <c r="E211" s="3"/>
      <c r="F211" s="1"/>
      <c r="G211" s="141">
        <f>IF(Basic3456789101112[[#This Row],[نوع الخدمة]]="مخالفات", 50,
IF(Basic3456789101112[[#This Row],[نوع الخدمة]]="كاش ان",
    IF(F211&lt;=100, 18, IF(F211&lt;=250, 23, IF(F211&lt;=500, 35, IF(F211&lt;=1000, 40, F211*0.04)))),
IF(Basic3456789101112[[#This Row],[نوع الخدمة]]="كاش اوت",
    IF(F211&lt;=100, 15, IF(F211&lt;=250, 20, IF(F211&lt;=500, 30, IF(F211&lt;=1000, 35, F211*0.035)))),
0)))</f>
        <v>0</v>
      </c>
      <c r="H211" s="159">
        <f>IF(I211="مخالفات",50,Basic3456789101112[[#This Row],[قيمة الرسوم / العموله]]+Basic3456789101112[[#This Row],[قيمة الشحنه]])</f>
        <v>0</v>
      </c>
      <c r="I211" s="90"/>
      <c r="J211" s="142" t="str">
        <f t="shared" si="3"/>
        <v>21.5.2026</v>
      </c>
      <c r="L211" s="153">
        <v>200</v>
      </c>
      <c r="M211" s="92"/>
    </row>
    <row r="212" spans="1:13" ht="21.6" x14ac:dyDescent="0.65">
      <c r="A212" s="195"/>
      <c r="B212" s="140">
        <v>209</v>
      </c>
      <c r="C212" s="2"/>
      <c r="D212" s="1"/>
      <c r="E212" s="3"/>
      <c r="F212" s="1"/>
      <c r="G212" s="141">
        <f>IF(Basic3456789101112[[#This Row],[نوع الخدمة]]="مخالفات", 50,
IF(Basic3456789101112[[#This Row],[نوع الخدمة]]="كاش ان",
    IF(F212&lt;=100, 18, IF(F212&lt;=250, 23, IF(F212&lt;=500, 35, IF(F212&lt;=1000, 40, F212*0.04)))),
IF(Basic3456789101112[[#This Row],[نوع الخدمة]]="كاش اوت",
    IF(F212&lt;=100, 15, IF(F212&lt;=250, 20, IF(F212&lt;=500, 30, IF(F212&lt;=1000, 35, F212*0.035)))),
0)))</f>
        <v>0</v>
      </c>
      <c r="H212" s="159">
        <f>IF(I212="مخالفات",50,Basic3456789101112[[#This Row],[قيمة الرسوم / العموله]]+Basic3456789101112[[#This Row],[قيمة الشحنه]])</f>
        <v>0</v>
      </c>
      <c r="I212" s="90"/>
      <c r="J212" s="142" t="str">
        <f t="shared" si="3"/>
        <v>21.5.2026</v>
      </c>
      <c r="L212" s="153">
        <v>201</v>
      </c>
      <c r="M212" s="92"/>
    </row>
    <row r="213" spans="1:13" ht="21.6" x14ac:dyDescent="0.65">
      <c r="A213" s="195"/>
      <c r="B213" s="144">
        <v>210</v>
      </c>
      <c r="C213" s="2"/>
      <c r="D213" s="1"/>
      <c r="E213" s="3"/>
      <c r="F213" s="1"/>
      <c r="G213" s="141">
        <f>IF(Basic3456789101112[[#This Row],[نوع الخدمة]]="مخالفات", 50,
IF(Basic3456789101112[[#This Row],[نوع الخدمة]]="كاش ان",
    IF(F213&lt;=100, 18, IF(F213&lt;=250, 23, IF(F213&lt;=500, 35, IF(F213&lt;=1000, 40, F213*0.04)))),
IF(Basic3456789101112[[#This Row],[نوع الخدمة]]="كاش اوت",
    IF(F213&lt;=100, 15, IF(F213&lt;=250, 20, IF(F213&lt;=500, 30, IF(F213&lt;=1000, 35, F213*0.035)))),
0)))</f>
        <v>0</v>
      </c>
      <c r="H213" s="159">
        <f>IF(I213="مخالفات",50,Basic3456789101112[[#This Row],[قيمة الرسوم / العموله]]+Basic3456789101112[[#This Row],[قيمة الشحنه]])</f>
        <v>0</v>
      </c>
      <c r="I213" s="90"/>
      <c r="J213" s="142" t="str">
        <f t="shared" si="3"/>
        <v>21.5.2026</v>
      </c>
      <c r="L213" s="153">
        <v>202</v>
      </c>
      <c r="M213" s="92"/>
    </row>
    <row r="214" spans="1:13" ht="21.6" x14ac:dyDescent="0.65">
      <c r="A214" s="195"/>
      <c r="B214" s="140">
        <v>211</v>
      </c>
      <c r="C214" s="2"/>
      <c r="D214" s="1"/>
      <c r="E214" s="3"/>
      <c r="F214" s="1"/>
      <c r="G214" s="141">
        <f>IF(Basic3456789101112[[#This Row],[نوع الخدمة]]="مخالفات", 50,
IF(Basic3456789101112[[#This Row],[نوع الخدمة]]="كاش ان",
    IF(F214&lt;=100, 18, IF(F214&lt;=250, 23, IF(F214&lt;=500, 35, IF(F214&lt;=1000, 40, F214*0.04)))),
IF(Basic3456789101112[[#This Row],[نوع الخدمة]]="كاش اوت",
    IF(F214&lt;=100, 15, IF(F214&lt;=250, 20, IF(F214&lt;=500, 30, IF(F214&lt;=1000, 35, F214*0.035)))),
0)))</f>
        <v>0</v>
      </c>
      <c r="H214" s="159">
        <f>IF(I214="مخالفات",50,Basic3456789101112[[#This Row],[قيمة الرسوم / العموله]]+Basic3456789101112[[#This Row],[قيمة الشحنه]])</f>
        <v>0</v>
      </c>
      <c r="I214" s="90"/>
      <c r="J214" s="142" t="str">
        <f t="shared" si="3"/>
        <v>21.5.2026</v>
      </c>
      <c r="L214" s="153">
        <v>203</v>
      </c>
      <c r="M214" s="92"/>
    </row>
    <row r="215" spans="1:13" ht="21.6" x14ac:dyDescent="0.65">
      <c r="A215" s="195"/>
      <c r="B215" s="140">
        <v>212</v>
      </c>
      <c r="C215" s="2"/>
      <c r="D215" s="1"/>
      <c r="E215" s="3"/>
      <c r="F215" s="1"/>
      <c r="G215" s="141">
        <f>IF(Basic3456789101112[[#This Row],[نوع الخدمة]]="مخالفات", 50,
IF(Basic3456789101112[[#This Row],[نوع الخدمة]]="كاش ان",
    IF(F215&lt;=100, 18, IF(F215&lt;=250, 23, IF(F215&lt;=500, 35, IF(F215&lt;=1000, 40, F215*0.04)))),
IF(Basic3456789101112[[#This Row],[نوع الخدمة]]="كاش اوت",
    IF(F215&lt;=100, 15, IF(F215&lt;=250, 20, IF(F215&lt;=500, 30, IF(F215&lt;=1000, 35, F215*0.035)))),
0)))</f>
        <v>0</v>
      </c>
      <c r="H215" s="159">
        <f>IF(I215="مخالفات",50,Basic3456789101112[[#This Row],[قيمة الرسوم / العموله]]+Basic3456789101112[[#This Row],[قيمة الشحنه]])</f>
        <v>0</v>
      </c>
      <c r="I215" s="90"/>
      <c r="J215" s="142" t="str">
        <f t="shared" si="3"/>
        <v>21.5.2026</v>
      </c>
      <c r="L215" s="153">
        <v>204</v>
      </c>
      <c r="M215" s="92"/>
    </row>
    <row r="216" spans="1:13" ht="21.6" x14ac:dyDescent="0.65">
      <c r="A216" s="195"/>
      <c r="B216" s="140">
        <v>213</v>
      </c>
      <c r="C216" s="2"/>
      <c r="D216" s="1"/>
      <c r="E216" s="3"/>
      <c r="F216" s="1"/>
      <c r="G216" s="141">
        <f>IF(Basic3456789101112[[#This Row],[نوع الخدمة]]="مخالفات", 50,
IF(Basic3456789101112[[#This Row],[نوع الخدمة]]="كاش ان",
    IF(F216&lt;=100, 18, IF(F216&lt;=250, 23, IF(F216&lt;=500, 35, IF(F216&lt;=1000, 40, F216*0.04)))),
IF(Basic3456789101112[[#This Row],[نوع الخدمة]]="كاش اوت",
    IF(F216&lt;=100, 15, IF(F216&lt;=250, 20, IF(F216&lt;=500, 30, IF(F216&lt;=1000, 35, F216*0.035)))),
0)))</f>
        <v>0</v>
      </c>
      <c r="H216" s="159">
        <f>IF(I216="مخالفات",50,Basic3456789101112[[#This Row],[قيمة الرسوم / العموله]]+Basic3456789101112[[#This Row],[قيمة الشحنه]])</f>
        <v>0</v>
      </c>
      <c r="I216" s="90"/>
      <c r="J216" s="142" t="str">
        <f t="shared" si="3"/>
        <v>21.5.2026</v>
      </c>
      <c r="L216" s="153">
        <v>205</v>
      </c>
      <c r="M216" s="92"/>
    </row>
    <row r="217" spans="1:13" ht="21.6" x14ac:dyDescent="0.65">
      <c r="A217" s="195"/>
      <c r="B217" s="144">
        <v>214</v>
      </c>
      <c r="C217" s="2"/>
      <c r="D217" s="1"/>
      <c r="E217" s="3"/>
      <c r="F217" s="1"/>
      <c r="G217" s="141">
        <f>IF(Basic3456789101112[[#This Row],[نوع الخدمة]]="مخالفات", 50,
IF(Basic3456789101112[[#This Row],[نوع الخدمة]]="كاش ان",
    IF(F217&lt;=100, 18, IF(F217&lt;=250, 23, IF(F217&lt;=500, 35, IF(F217&lt;=1000, 40, F217*0.04)))),
IF(Basic3456789101112[[#This Row],[نوع الخدمة]]="كاش اوت",
    IF(F217&lt;=100, 15, IF(F217&lt;=250, 20, IF(F217&lt;=500, 30, IF(F217&lt;=1000, 35, F217*0.035)))),
0)))</f>
        <v>0</v>
      </c>
      <c r="H217" s="159">
        <f>IF(I217="مخالفات",50,Basic3456789101112[[#This Row],[قيمة الرسوم / العموله]]+Basic3456789101112[[#This Row],[قيمة الشحنه]])</f>
        <v>0</v>
      </c>
      <c r="I217" s="90"/>
      <c r="J217" s="142" t="str">
        <f t="shared" si="3"/>
        <v>21.5.2026</v>
      </c>
      <c r="L217" s="153">
        <v>206</v>
      </c>
      <c r="M217" s="92"/>
    </row>
    <row r="218" spans="1:13" ht="21.6" x14ac:dyDescent="0.65">
      <c r="A218" s="195"/>
      <c r="B218" s="140">
        <v>215</v>
      </c>
      <c r="C218" s="2"/>
      <c r="D218" s="1"/>
      <c r="E218" s="3"/>
      <c r="F218" s="1"/>
      <c r="G218" s="141">
        <f>IF(Basic3456789101112[[#This Row],[نوع الخدمة]]="مخالفات", 50,
IF(Basic3456789101112[[#This Row],[نوع الخدمة]]="كاش ان",
    IF(F218&lt;=100, 18, IF(F218&lt;=250, 23, IF(F218&lt;=500, 35, IF(F218&lt;=1000, 40, F218*0.04)))),
IF(Basic3456789101112[[#This Row],[نوع الخدمة]]="كاش اوت",
    IF(F218&lt;=100, 15, IF(F218&lt;=250, 20, IF(F218&lt;=500, 30, IF(F218&lt;=1000, 35, F218*0.035)))),
0)))</f>
        <v>0</v>
      </c>
      <c r="H218" s="159">
        <f>IF(I218="مخالفات",50,Basic3456789101112[[#This Row],[قيمة الرسوم / العموله]]+Basic3456789101112[[#This Row],[قيمة الشحنه]])</f>
        <v>0</v>
      </c>
      <c r="I218" s="90"/>
      <c r="J218" s="142" t="str">
        <f t="shared" si="3"/>
        <v>21.5.2026</v>
      </c>
      <c r="L218" s="153">
        <v>207</v>
      </c>
      <c r="M218" s="92"/>
    </row>
    <row r="219" spans="1:13" ht="21.6" x14ac:dyDescent="0.65">
      <c r="A219" s="195"/>
      <c r="B219" s="140">
        <v>216</v>
      </c>
      <c r="C219" s="2"/>
      <c r="D219" s="1"/>
      <c r="E219" s="3"/>
      <c r="F219" s="1"/>
      <c r="G219" s="141">
        <f>IF(Basic3456789101112[[#This Row],[نوع الخدمة]]="مخالفات", 50,
IF(Basic3456789101112[[#This Row],[نوع الخدمة]]="كاش ان",
    IF(F219&lt;=100, 18, IF(F219&lt;=250, 23, IF(F219&lt;=500, 35, IF(F219&lt;=1000, 40, F219*0.04)))),
IF(Basic3456789101112[[#This Row],[نوع الخدمة]]="كاش اوت",
    IF(F219&lt;=100, 15, IF(F219&lt;=250, 20, IF(F219&lt;=500, 30, IF(F219&lt;=1000, 35, F219*0.035)))),
0)))</f>
        <v>0</v>
      </c>
      <c r="H219" s="159">
        <f>IF(I219="مخالفات",50,Basic3456789101112[[#This Row],[قيمة الرسوم / العموله]]+Basic3456789101112[[#This Row],[قيمة الشحنه]])</f>
        <v>0</v>
      </c>
      <c r="I219" s="90"/>
      <c r="J219" s="142" t="str">
        <f t="shared" si="3"/>
        <v>21.5.2026</v>
      </c>
      <c r="L219" s="153">
        <v>208</v>
      </c>
      <c r="M219" s="92"/>
    </row>
    <row r="220" spans="1:13" ht="21.6" x14ac:dyDescent="0.65">
      <c r="A220" s="195"/>
      <c r="B220" s="140">
        <v>217</v>
      </c>
      <c r="C220" s="2"/>
      <c r="D220" s="1"/>
      <c r="E220" s="3"/>
      <c r="F220" s="1"/>
      <c r="G220" s="141">
        <f>IF(Basic3456789101112[[#This Row],[نوع الخدمة]]="مخالفات", 50,
IF(Basic3456789101112[[#This Row],[نوع الخدمة]]="كاش ان",
    IF(F220&lt;=100, 18, IF(F220&lt;=250, 23, IF(F220&lt;=500, 35, IF(F220&lt;=1000, 40, F220*0.04)))),
IF(Basic3456789101112[[#This Row],[نوع الخدمة]]="كاش اوت",
    IF(F220&lt;=100, 15, IF(F220&lt;=250, 20, IF(F220&lt;=500, 30, IF(F220&lt;=1000, 35, F220*0.035)))),
0)))</f>
        <v>0</v>
      </c>
      <c r="H220" s="159">
        <f>IF(I220="مخالفات",50,Basic3456789101112[[#This Row],[قيمة الرسوم / العموله]]+Basic3456789101112[[#This Row],[قيمة الشحنه]])</f>
        <v>0</v>
      </c>
      <c r="I220" s="90"/>
      <c r="J220" s="142" t="str">
        <f t="shared" si="3"/>
        <v>21.5.2026</v>
      </c>
      <c r="L220" s="153">
        <v>209</v>
      </c>
      <c r="M220" s="92"/>
    </row>
    <row r="221" spans="1:13" ht="21.6" x14ac:dyDescent="0.65">
      <c r="A221" s="195"/>
      <c r="B221" s="144">
        <v>218</v>
      </c>
      <c r="C221" s="2"/>
      <c r="D221" s="1"/>
      <c r="E221" s="3"/>
      <c r="F221" s="1"/>
      <c r="G221" s="141">
        <f>IF(Basic3456789101112[[#This Row],[نوع الخدمة]]="مخالفات", 50,
IF(Basic3456789101112[[#This Row],[نوع الخدمة]]="كاش ان",
    IF(F221&lt;=100, 18, IF(F221&lt;=250, 23, IF(F221&lt;=500, 35, IF(F221&lt;=1000, 40, F221*0.04)))),
IF(Basic3456789101112[[#This Row],[نوع الخدمة]]="كاش اوت",
    IF(F221&lt;=100, 15, IF(F221&lt;=250, 20, IF(F221&lt;=500, 30, IF(F221&lt;=1000, 35, F221*0.035)))),
0)))</f>
        <v>0</v>
      </c>
      <c r="H221" s="159">
        <f>IF(I221="مخالفات",50,Basic3456789101112[[#This Row],[قيمة الرسوم / العموله]]+Basic3456789101112[[#This Row],[قيمة الشحنه]])</f>
        <v>0</v>
      </c>
      <c r="I221" s="90"/>
      <c r="J221" s="142" t="str">
        <f t="shared" si="3"/>
        <v>21.5.2026</v>
      </c>
      <c r="L221" s="153">
        <v>210</v>
      </c>
      <c r="M221" s="92"/>
    </row>
    <row r="222" spans="1:13" ht="21.6" x14ac:dyDescent="0.65">
      <c r="A222" s="195"/>
      <c r="B222" s="140">
        <v>219</v>
      </c>
      <c r="C222" s="2"/>
      <c r="D222" s="1"/>
      <c r="E222" s="3"/>
      <c r="F222" s="1"/>
      <c r="G222" s="141">
        <f>IF(Basic3456789101112[[#This Row],[نوع الخدمة]]="مخالفات", 50,
IF(Basic3456789101112[[#This Row],[نوع الخدمة]]="كاش ان",
    IF(F222&lt;=100, 18, IF(F222&lt;=250, 23, IF(F222&lt;=500, 35, IF(F222&lt;=1000, 40, F222*0.04)))),
IF(Basic3456789101112[[#This Row],[نوع الخدمة]]="كاش اوت",
    IF(F222&lt;=100, 15, IF(F222&lt;=250, 20, IF(F222&lt;=500, 30, IF(F222&lt;=1000, 35, F222*0.035)))),
0)))</f>
        <v>0</v>
      </c>
      <c r="H222" s="159">
        <f>IF(I222="مخالفات",50,Basic3456789101112[[#This Row],[قيمة الرسوم / العموله]]+Basic3456789101112[[#This Row],[قيمة الشحنه]])</f>
        <v>0</v>
      </c>
      <c r="I222" s="90"/>
      <c r="J222" s="142" t="str">
        <f t="shared" si="3"/>
        <v>21.5.2026</v>
      </c>
      <c r="L222" s="153">
        <v>211</v>
      </c>
      <c r="M222" s="92"/>
    </row>
    <row r="223" spans="1:13" ht="21.6" x14ac:dyDescent="0.65">
      <c r="A223" s="195"/>
      <c r="B223" s="140">
        <v>220</v>
      </c>
      <c r="C223" s="2"/>
      <c r="D223" s="1"/>
      <c r="E223" s="3"/>
      <c r="F223" s="1"/>
      <c r="G223" s="141">
        <f>IF(Basic3456789101112[[#This Row],[نوع الخدمة]]="مخالفات", 50,
IF(Basic3456789101112[[#This Row],[نوع الخدمة]]="كاش ان",
    IF(F223&lt;=100, 18, IF(F223&lt;=250, 23, IF(F223&lt;=500, 35, IF(F223&lt;=1000, 40, F223*0.04)))),
IF(Basic3456789101112[[#This Row],[نوع الخدمة]]="كاش اوت",
    IF(F223&lt;=100, 15, IF(F223&lt;=250, 20, IF(F223&lt;=500, 30, IF(F223&lt;=1000, 35, F223*0.035)))),
0)))</f>
        <v>0</v>
      </c>
      <c r="H223" s="159">
        <f>IF(I223="مخالفات",50,Basic3456789101112[[#This Row],[قيمة الرسوم / العموله]]+Basic3456789101112[[#This Row],[قيمة الشحنه]])</f>
        <v>0</v>
      </c>
      <c r="I223" s="90"/>
      <c r="J223" s="142" t="str">
        <f t="shared" si="3"/>
        <v>21.5.2026</v>
      </c>
      <c r="L223" s="153">
        <v>212</v>
      </c>
      <c r="M223" s="92"/>
    </row>
    <row r="224" spans="1:13" ht="21.6" x14ac:dyDescent="0.65">
      <c r="A224" s="195"/>
      <c r="B224" s="140">
        <v>221</v>
      </c>
      <c r="C224" s="2"/>
      <c r="D224" s="1"/>
      <c r="E224" s="3"/>
      <c r="F224" s="1"/>
      <c r="G224" s="141">
        <f>IF(Basic3456789101112[[#This Row],[نوع الخدمة]]="مخالفات", 50,
IF(Basic3456789101112[[#This Row],[نوع الخدمة]]="كاش ان",
    IF(F224&lt;=100, 18, IF(F224&lt;=250, 23, IF(F224&lt;=500, 35, IF(F224&lt;=1000, 40, F224*0.04)))),
IF(Basic3456789101112[[#This Row],[نوع الخدمة]]="كاش اوت",
    IF(F224&lt;=100, 15, IF(F224&lt;=250, 20, IF(F224&lt;=500, 30, IF(F224&lt;=1000, 35, F224*0.035)))),
0)))</f>
        <v>0</v>
      </c>
      <c r="H224" s="159">
        <f>IF(I224="مخالفات",50,Basic3456789101112[[#This Row],[قيمة الرسوم / العموله]]+Basic3456789101112[[#This Row],[قيمة الشحنه]])</f>
        <v>0</v>
      </c>
      <c r="I224" s="90"/>
      <c r="J224" s="142" t="str">
        <f t="shared" si="3"/>
        <v>21.5.2026</v>
      </c>
      <c r="L224" s="153">
        <v>213</v>
      </c>
      <c r="M224" s="92"/>
    </row>
    <row r="225" spans="1:13" ht="21.6" x14ac:dyDescent="0.65">
      <c r="A225" s="195"/>
      <c r="B225" s="144">
        <v>222</v>
      </c>
      <c r="C225" s="2"/>
      <c r="D225" s="1"/>
      <c r="E225" s="3"/>
      <c r="F225" s="1"/>
      <c r="G225" s="141">
        <f>IF(Basic3456789101112[[#This Row],[نوع الخدمة]]="مخالفات", 50,
IF(Basic3456789101112[[#This Row],[نوع الخدمة]]="كاش ان",
    IF(F225&lt;=100, 18, IF(F225&lt;=250, 23, IF(F225&lt;=500, 35, IF(F225&lt;=1000, 40, F225*0.04)))),
IF(Basic3456789101112[[#This Row],[نوع الخدمة]]="كاش اوت",
    IF(F225&lt;=100, 15, IF(F225&lt;=250, 20, IF(F225&lt;=500, 30, IF(F225&lt;=1000, 35, F225*0.035)))),
0)))</f>
        <v>0</v>
      </c>
      <c r="H225" s="159">
        <f>IF(I225="مخالفات",50,Basic3456789101112[[#This Row],[قيمة الرسوم / العموله]]+Basic3456789101112[[#This Row],[قيمة الشحنه]])</f>
        <v>0</v>
      </c>
      <c r="I225" s="90"/>
      <c r="J225" s="142" t="str">
        <f t="shared" si="3"/>
        <v>21.5.2026</v>
      </c>
      <c r="L225" s="153">
        <v>214</v>
      </c>
      <c r="M225" s="92"/>
    </row>
    <row r="226" spans="1:13" ht="21.6" x14ac:dyDescent="0.65">
      <c r="A226" s="195"/>
      <c r="B226" s="140">
        <v>223</v>
      </c>
      <c r="C226" s="4"/>
      <c r="D226" s="5"/>
      <c r="E226" s="6"/>
      <c r="F226" s="5"/>
      <c r="G226" s="141">
        <f>IF(Basic3456789101112[[#This Row],[نوع الخدمة]]="مخالفات", 50,
IF(Basic3456789101112[[#This Row],[نوع الخدمة]]="كاش ان",
    IF(F226&lt;=100, 18, IF(F226&lt;=250, 23, IF(F226&lt;=500, 35, IF(F226&lt;=1000, 40, F226*0.04)))),
IF(Basic3456789101112[[#This Row],[نوع الخدمة]]="كاش اوت",
    IF(F226&lt;=100, 15, IF(F226&lt;=250, 20, IF(F226&lt;=500, 30, IF(F226&lt;=1000, 35, F226*0.035)))),
0)))</f>
        <v>0</v>
      </c>
      <c r="H226" s="160">
        <f>IF(I226="مخالفات",50,Basic3456789101112[[#This Row],[قيمة الرسوم / العموله]]+Basic3456789101112[[#This Row],[قيمة الشحنه]])</f>
        <v>0</v>
      </c>
      <c r="I226" s="90"/>
      <c r="J226" s="142" t="str">
        <f t="shared" si="3"/>
        <v>21.5.2026</v>
      </c>
      <c r="L226" s="156">
        <v>215</v>
      </c>
      <c r="M226" s="93"/>
    </row>
  </sheetData>
  <sheetProtection algorithmName="SHA-512" hashValue="AmPxLQlkXOL1Wk1YNzmkT0f1/GnzM9W+j2w8hMDM6fAyoVvnyGbYc15BdNT2wUzTFR0betwGpet/BD+tqQJDUQ==" saltValue="ArodFG0D8ohZri56iY8m8w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43" priority="12" operator="equal">
      <formula>$BH$10</formula>
    </cfRule>
    <cfRule type="cellIs" dxfId="42" priority="13" operator="equal">
      <formula>$BH$9</formula>
    </cfRule>
    <cfRule type="cellIs" dxfId="41" priority="14" operator="equal">
      <formula>$BH$8</formula>
    </cfRule>
  </conditionalFormatting>
  <conditionalFormatting sqref="P11">
    <cfRule type="cellIs" dxfId="40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{407A4EE2-CE66-4CA0-9C17-2DEE2845B3DE}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{767992D9-02C9-4A23-9191-5AD393056ACB}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{61E8CBDE-B99F-4C8A-9B77-ED7EDDE35DD9}</x14:id>
        </ext>
      </extLst>
    </cfRule>
  </conditionalFormatting>
  <dataValidations count="2">
    <dataValidation type="list" allowBlank="1" showInputMessage="1" showErrorMessage="1" sqref="I4:I226" xr:uid="{00000000-0002-0000-1400-000000000000}">
      <formula1>$BH$8:$BH$10</formula1>
    </dataValidation>
    <dataValidation type="textLength" operator="equal" allowBlank="1" showInputMessage="1" showErrorMessage="1" errorTitle="يجب إخال رقم IPN صحيح 13 رقم" sqref="C1:C1048576" xr:uid="{00000000-0002-0000-1400-000001000000}">
      <formula1>13</formula1>
    </dataValidation>
  </dataValidations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07A4EE2-CE66-4CA0-9C17-2DEE2845B3D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767992D9-02C9-4A23-9191-5AD393056ACB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61E8CBDE-B99F-4C8A-9B77-ED7EDDE35DD9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H226"/>
  <sheetViews>
    <sheetView showGridLines="0" showRowColHeaders="0" rightToLeft="1" topLeftCell="D3" zoomScale="80" zoomScaleNormal="80" workbookViewId="0">
      <selection activeCell="M4" sqref="M4"/>
    </sheetView>
  </sheetViews>
  <sheetFormatPr defaultColWidth="9.109375" defaultRowHeight="14.4" x14ac:dyDescent="0.3"/>
  <cols>
    <col min="1" max="1" width="3.109375" style="124" customWidth="1"/>
    <col min="2" max="2" width="6.5546875" style="125" bestFit="1" customWidth="1"/>
    <col min="3" max="3" width="29.33203125" style="126" customWidth="1"/>
    <col min="4" max="4" width="15.6640625" style="124" customWidth="1"/>
    <col min="5" max="5" width="17.5546875" style="157" customWidth="1"/>
    <col min="6" max="6" width="12.88671875" style="124" bestFit="1" customWidth="1"/>
    <col min="7" max="7" width="19" style="124" bestFit="1" customWidth="1"/>
    <col min="8" max="8" width="19" style="124" customWidth="1"/>
    <col min="9" max="9" width="13.6640625" style="128" customWidth="1"/>
    <col min="10" max="10" width="17.5546875" style="129" customWidth="1"/>
    <col min="11" max="11" width="2.5546875" style="124" customWidth="1"/>
    <col min="12" max="12" width="8.5546875" style="124" bestFit="1" customWidth="1"/>
    <col min="13" max="13" width="23" style="124" customWidth="1"/>
    <col min="14" max="14" width="8.33203125" style="124" bestFit="1" customWidth="1"/>
    <col min="15" max="15" width="26.5546875" style="124" bestFit="1" customWidth="1"/>
    <col min="16" max="16" width="13.33203125" style="124" customWidth="1"/>
    <col min="17" max="17" width="3.5546875" style="124" customWidth="1"/>
    <col min="18" max="18" width="16.88671875" style="124" customWidth="1"/>
    <col min="19" max="19" width="15.44140625" style="124" customWidth="1"/>
    <col min="20" max="20" width="11.5546875" style="124" bestFit="1" customWidth="1"/>
    <col min="21" max="21" width="12.6640625" style="124" customWidth="1"/>
    <col min="22" max="22" width="11.88671875" style="124" customWidth="1"/>
    <col min="23" max="23" width="10.44140625" style="124" customWidth="1"/>
    <col min="24" max="24" width="12.6640625" style="124" customWidth="1"/>
    <col min="25" max="16384" width="9.109375" style="124"/>
  </cols>
  <sheetData>
    <row r="1" spans="1:60" x14ac:dyDescent="0.3">
      <c r="E1" s="127">
        <f>Total!F5</f>
        <v>69</v>
      </c>
      <c r="F1" s="192" t="str">
        <f>Total!G5</f>
        <v>العبور</v>
      </c>
      <c r="G1" s="192"/>
      <c r="H1" s="192"/>
    </row>
    <row r="3" spans="1:60" ht="15.6" x14ac:dyDescent="0.3">
      <c r="B3" s="130" t="s">
        <v>0</v>
      </c>
      <c r="C3" s="131" t="s">
        <v>1</v>
      </c>
      <c r="D3" s="132" t="s">
        <v>2</v>
      </c>
      <c r="E3" s="133" t="s">
        <v>3</v>
      </c>
      <c r="F3" s="132" t="s">
        <v>4</v>
      </c>
      <c r="G3" s="132" t="s">
        <v>5</v>
      </c>
      <c r="H3" s="132" t="s">
        <v>76</v>
      </c>
      <c r="I3" s="132" t="s">
        <v>6</v>
      </c>
      <c r="J3" s="134" t="s">
        <v>7</v>
      </c>
      <c r="L3" s="135" t="s">
        <v>7</v>
      </c>
      <c r="M3" s="7" t="s">
        <v>105</v>
      </c>
      <c r="O3" s="137" t="s">
        <v>17</v>
      </c>
      <c r="P3" s="138">
        <f>M5+M6</f>
        <v>0</v>
      </c>
      <c r="T3" s="139"/>
      <c r="U3" s="139"/>
      <c r="V3" s="139"/>
      <c r="W3" s="139"/>
      <c r="X3" s="139"/>
    </row>
    <row r="4" spans="1:60" ht="21.6" x14ac:dyDescent="0.65">
      <c r="A4" s="195"/>
      <c r="B4" s="140">
        <v>1</v>
      </c>
      <c r="C4" s="8"/>
      <c r="D4" s="9"/>
      <c r="E4" s="10"/>
      <c r="F4" s="9"/>
      <c r="G4" s="141">
        <f>IF(Basic34567891011[[#This Row],[نوع الخدمة]]="مخالفات", 50,
IF(Basic34567891011[[#This Row],[نوع الخدمة]]="كاش ان",
    IF(F4&lt;=100, 18, IF(F4&lt;=250, 23, IF(F4&lt;=500, 35, IF(F4&lt;=1000, 40, F4*0.04)))),
IF(Basic34567891011[[#This Row],[نوع الخدمة]]="كاش اوت",
    IF(F4&lt;=100, 15, IF(F4&lt;=250, 20, IF(F4&lt;=500, 30, IF(F4&lt;=1000, 35, F4*0.035)))),
0)))</f>
        <v>0</v>
      </c>
      <c r="H4" s="162">
        <f>IF(I4="مخالفات",50,Basic34567891011[[#This Row],[قيمة الرسوم / العموله]]+Basic34567891011[[#This Row],[قيمة الشحنه]])</f>
        <v>0</v>
      </c>
      <c r="I4" s="90"/>
      <c r="J4" s="142" t="str">
        <f t="shared" ref="J4:J67" si="0">M$3</f>
        <v>22.5.2026</v>
      </c>
      <c r="L4" s="135" t="s">
        <v>26</v>
      </c>
      <c r="M4" s="90">
        <v>0</v>
      </c>
      <c r="O4" s="137" t="s">
        <v>18</v>
      </c>
      <c r="P4" s="138">
        <f>M4</f>
        <v>0</v>
      </c>
      <c r="S4" s="143" t="s">
        <v>22</v>
      </c>
      <c r="T4" s="143" t="s">
        <v>23</v>
      </c>
      <c r="U4" s="139"/>
      <c r="V4" s="139"/>
      <c r="W4" s="139"/>
      <c r="X4" s="139"/>
    </row>
    <row r="5" spans="1:60" ht="21.6" x14ac:dyDescent="0.65">
      <c r="A5" s="195"/>
      <c r="B5" s="144">
        <v>2</v>
      </c>
      <c r="C5" s="8"/>
      <c r="D5" s="9"/>
      <c r="E5" s="10"/>
      <c r="F5" s="9"/>
      <c r="G5" s="141">
        <f>IF(Basic34567891011[[#This Row],[نوع الخدمة]]="مخالفات", 50,
IF(Basic34567891011[[#This Row],[نوع الخدمة]]="كاش ان",
    IF(F5&lt;=100, 18, IF(F5&lt;=250, 23, IF(F5&lt;=500, 35, IF(F5&lt;=1000, 40, F5*0.04)))),
IF(Basic34567891011[[#This Row],[نوع الخدمة]]="كاش اوت",
    IF(F5&lt;=100, 15, IF(F5&lt;=250, 20, IF(F5&lt;=500, 30, IF(F5&lt;=1000, 35, F5*0.035)))),
0)))</f>
        <v>0</v>
      </c>
      <c r="H5" s="162">
        <f>IF(I5="مخالفات",50,Basic34567891011[[#This Row],[قيمة الرسوم / العموله]]+Basic34567891011[[#This Row],[قيمة الشحنه]])</f>
        <v>0</v>
      </c>
      <c r="I5" s="90"/>
      <c r="J5" s="142" t="str">
        <f t="shared" si="0"/>
        <v>22.5.2026</v>
      </c>
      <c r="L5" s="135" t="s">
        <v>27</v>
      </c>
      <c r="M5" s="90"/>
      <c r="O5" s="137" t="s">
        <v>19</v>
      </c>
      <c r="P5" s="138">
        <f>SUMIF(Basic34567891011[نوع الخدمة],"كاش ان",Basic34567891011[قيمة الشحنه])</f>
        <v>0</v>
      </c>
      <c r="S5" s="145">
        <f>P5+P9+P12+P7</f>
        <v>0</v>
      </c>
      <c r="T5" s="145">
        <f>P3</f>
        <v>0</v>
      </c>
    </row>
    <row r="6" spans="1:60" ht="21.6" x14ac:dyDescent="0.65">
      <c r="A6" s="195"/>
      <c r="B6" s="140">
        <v>3</v>
      </c>
      <c r="C6" s="8"/>
      <c r="D6" s="9"/>
      <c r="E6" s="10"/>
      <c r="F6" s="9"/>
      <c r="G6" s="141">
        <f>IF(Basic34567891011[[#This Row],[نوع الخدمة]]="مخالفات", 50,
IF(Basic34567891011[[#This Row],[نوع الخدمة]]="كاش ان",
    IF(F6&lt;=100, 18, IF(F6&lt;=250, 23, IF(F6&lt;=500, 35, IF(F6&lt;=1000, 40, F6*0.04)))),
IF(Basic34567891011[[#This Row],[نوع الخدمة]]="كاش اوت",
    IF(F6&lt;=100, 15, IF(F6&lt;=250, 20, IF(F6&lt;=500, 30, IF(F6&lt;=1000, 35, F6*0.035)))),
0)))</f>
        <v>0</v>
      </c>
      <c r="H6" s="162">
        <f>IF(I6="مخالفات",50,Basic34567891011[[#This Row],[قيمة الرسوم / العموله]]+Basic34567891011[[#This Row],[قيمة الشحنه]])</f>
        <v>0</v>
      </c>
      <c r="I6" s="90"/>
      <c r="J6" s="142" t="str">
        <f t="shared" si="0"/>
        <v>22.5.2026</v>
      </c>
      <c r="L6" s="135" t="s">
        <v>28</v>
      </c>
      <c r="M6" s="90"/>
      <c r="O6" s="146" t="s">
        <v>12</v>
      </c>
      <c r="P6" s="138">
        <f>P3*150</f>
        <v>0</v>
      </c>
    </row>
    <row r="7" spans="1:60" ht="21.6" x14ac:dyDescent="0.65">
      <c r="A7" s="195"/>
      <c r="B7" s="140">
        <v>4</v>
      </c>
      <c r="C7" s="8"/>
      <c r="D7" s="9"/>
      <c r="E7" s="10"/>
      <c r="F7" s="9"/>
      <c r="G7" s="141">
        <f>IF(Basic34567891011[[#This Row],[نوع الخدمة]]="مخالفات", 50,
IF(Basic34567891011[[#This Row],[نوع الخدمة]]="كاش ان",
    IF(F7&lt;=100, 18, IF(F7&lt;=250, 23, IF(F7&lt;=500, 35, IF(F7&lt;=1000, 40, F7*0.04)))),
IF(Basic34567891011[[#This Row],[نوع الخدمة]]="كاش اوت",
    IF(F7&lt;=100, 15, IF(F7&lt;=250, 20, IF(F7&lt;=500, 30, IF(F7&lt;=1000, 35, F7*0.035)))),
0)))</f>
        <v>0</v>
      </c>
      <c r="H7" s="162">
        <f>IF(I7="مخالفات",50,Basic34567891011[[#This Row],[قيمة الرسوم / العموله]]+Basic34567891011[[#This Row],[قيمة الشحنه]])</f>
        <v>0</v>
      </c>
      <c r="I7" s="90"/>
      <c r="J7" s="142" t="str">
        <f t="shared" si="0"/>
        <v>22.5.2026</v>
      </c>
      <c r="L7" s="137" t="s">
        <v>11</v>
      </c>
      <c r="M7" s="165"/>
      <c r="O7" s="146" t="s">
        <v>75</v>
      </c>
      <c r="P7" s="138">
        <f>SUMIF(Basic34567891011[نوع الخدمة],"مخالفات",Basic34567891011[الاجمــــــــــالي])</f>
        <v>0</v>
      </c>
      <c r="R7" s="139"/>
      <c r="S7" s="139"/>
    </row>
    <row r="8" spans="1:60" ht="21.6" x14ac:dyDescent="0.65">
      <c r="A8" s="195"/>
      <c r="B8" s="140">
        <v>5</v>
      </c>
      <c r="C8" s="8"/>
      <c r="D8" s="9"/>
      <c r="E8" s="10"/>
      <c r="F8" s="9"/>
      <c r="G8" s="141">
        <f>IF(Basic34567891011[[#This Row],[نوع الخدمة]]="مخالفات", 50,
IF(Basic34567891011[[#This Row],[نوع الخدمة]]="كاش ان",
    IF(F8&lt;=100, 18, IF(F8&lt;=250, 23, IF(F8&lt;=500, 35, IF(F8&lt;=1000, 40, F8*0.04)))),
IF(Basic34567891011[[#This Row],[نوع الخدمة]]="كاش اوت",
    IF(F8&lt;=100, 15, IF(F8&lt;=250, 20, IF(F8&lt;=500, 30, IF(F8&lt;=1000, 35, F8*0.035)))),
0)))</f>
        <v>0</v>
      </c>
      <c r="H8" s="162">
        <f>IF(I8="مخالفات",50,Basic34567891011[[#This Row],[قيمة الرسوم / العموله]]+Basic34567891011[[#This Row],[قيمة الشحنه]])</f>
        <v>0</v>
      </c>
      <c r="I8" s="90"/>
      <c r="J8" s="142" t="str">
        <f t="shared" si="0"/>
        <v>22.5.2026</v>
      </c>
      <c r="L8" s="166" t="s">
        <v>79</v>
      </c>
      <c r="M8" s="167">
        <v>0</v>
      </c>
      <c r="O8" s="137" t="s">
        <v>11</v>
      </c>
      <c r="P8" s="138">
        <f>M7</f>
        <v>0</v>
      </c>
      <c r="R8" s="143" t="s">
        <v>72</v>
      </c>
      <c r="S8" s="143" t="s">
        <v>25</v>
      </c>
      <c r="T8" s="143" t="s">
        <v>24</v>
      </c>
      <c r="U8" s="143" t="s">
        <v>73</v>
      </c>
      <c r="V8" s="143" t="s">
        <v>25</v>
      </c>
      <c r="W8" s="143" t="s">
        <v>24</v>
      </c>
      <c r="BH8" s="148" t="s">
        <v>8</v>
      </c>
    </row>
    <row r="9" spans="1:60" ht="18" customHeight="1" x14ac:dyDescent="0.65">
      <c r="A9" s="195"/>
      <c r="B9" s="144">
        <v>6</v>
      </c>
      <c r="C9" s="8"/>
      <c r="D9" s="9"/>
      <c r="E9" s="10"/>
      <c r="F9" s="9"/>
      <c r="G9" s="141">
        <f>IF(Basic34567891011[[#This Row],[نوع الخدمة]]="مخالفات", 50,
IF(Basic34567891011[[#This Row],[نوع الخدمة]]="كاش ان",
    IF(F9&lt;=100, 18, IF(F9&lt;=250, 23, IF(F9&lt;=500, 35, IF(F9&lt;=1000, 40, F9*0.04)))),
IF(Basic34567891011[[#This Row],[نوع الخدمة]]="كاش اوت",
    IF(F9&lt;=100, 15, IF(F9&lt;=250, 20, IF(F9&lt;=500, 30, IF(F9&lt;=1000, 35, F9*0.035)))),
0)))</f>
        <v>0</v>
      </c>
      <c r="H9" s="162">
        <f>IF(I9="مخالفات",50,Basic34567891011[[#This Row],[قيمة الرسوم / العموله]]+Basic34567891011[[#This Row],[قيمة الشحنه]])</f>
        <v>0</v>
      </c>
      <c r="I9" s="90"/>
      <c r="J9" s="142" t="str">
        <f t="shared" si="0"/>
        <v>22.5.2026</v>
      </c>
      <c r="L9" s="166" t="s">
        <v>80</v>
      </c>
      <c r="M9" s="167">
        <v>0</v>
      </c>
      <c r="O9" s="137" t="s">
        <v>20</v>
      </c>
      <c r="P9" s="138">
        <f>SUMIF(Basic34567891011[نوع الخدمة],"كاش ان",Basic34567891011[قيمة الرسوم / العموله])</f>
        <v>0</v>
      </c>
      <c r="R9" s="182">
        <f>Total!H5/24</f>
        <v>29166.666666666668</v>
      </c>
      <c r="S9" s="182">
        <f>S5</f>
        <v>0</v>
      </c>
      <c r="T9" s="183">
        <f>S9/R9</f>
        <v>0</v>
      </c>
      <c r="U9" s="182">
        <f>Total!K5/24</f>
        <v>2.9166666666666665</v>
      </c>
      <c r="V9" s="182">
        <f>T5</f>
        <v>0</v>
      </c>
      <c r="W9" s="183">
        <f>V9/U9</f>
        <v>0</v>
      </c>
      <c r="BH9" s="148" t="s">
        <v>9</v>
      </c>
    </row>
    <row r="10" spans="1:60" ht="21.6" x14ac:dyDescent="0.65">
      <c r="A10" s="195"/>
      <c r="B10" s="140">
        <v>7</v>
      </c>
      <c r="C10" s="8"/>
      <c r="D10" s="9"/>
      <c r="E10" s="10"/>
      <c r="F10" s="9"/>
      <c r="G10" s="141">
        <f>IF(Basic34567891011[[#This Row],[نوع الخدمة]]="مخالفات", 50,
IF(Basic34567891011[[#This Row],[نوع الخدمة]]="كاش ان",
    IF(F10&lt;=100, 18, IF(F10&lt;=250, 23, IF(F10&lt;=500, 35, IF(F10&lt;=1000, 40, F10*0.04)))),
IF(Basic34567891011[[#This Row],[نوع الخدمة]]="كاش اوت",
    IF(F10&lt;=100, 15, IF(F10&lt;=250, 20, IF(F10&lt;=500, 30, IF(F10&lt;=1000, 35, F10*0.035)))),
0)))</f>
        <v>0</v>
      </c>
      <c r="H10" s="162">
        <f>IF(I10="مخالفات",50,Basic34567891011[[#This Row],[قيمة الرسوم / العموله]]+Basic34567891011[[#This Row],[قيمة الشحنه]])</f>
        <v>0</v>
      </c>
      <c r="I10" s="90"/>
      <c r="J10" s="142" t="str">
        <f t="shared" si="0"/>
        <v>22.5.2026</v>
      </c>
      <c r="O10" s="137" t="s">
        <v>16</v>
      </c>
      <c r="P10" s="138">
        <f>SUMIF(Basic34567891011[نوع الخدمة],"كاش اوت",Basic34567891011[قيمة الشحنه])</f>
        <v>0</v>
      </c>
      <c r="R10" s="211">
        <f>(W9+T9)/2</f>
        <v>0</v>
      </c>
      <c r="S10" s="211"/>
      <c r="T10" s="211"/>
      <c r="U10" s="211"/>
      <c r="V10" s="211"/>
      <c r="W10" s="211"/>
      <c r="BH10" s="148" t="s">
        <v>10</v>
      </c>
    </row>
    <row r="11" spans="1:60" ht="21.6" x14ac:dyDescent="0.65">
      <c r="A11" s="195"/>
      <c r="B11" s="140">
        <v>8</v>
      </c>
      <c r="C11" s="8"/>
      <c r="D11" s="9"/>
      <c r="E11" s="10"/>
      <c r="F11" s="9"/>
      <c r="G11" s="141">
        <f>IF(Basic34567891011[[#This Row],[نوع الخدمة]]="مخالفات", 50,
IF(Basic34567891011[[#This Row],[نوع الخدمة]]="كاش ان",
    IF(F11&lt;=100, 18, IF(F11&lt;=250, 23, IF(F11&lt;=500, 35, IF(F11&lt;=1000, 40, F11*0.04)))),
IF(Basic34567891011[[#This Row],[نوع الخدمة]]="كاش اوت",
    IF(F11&lt;=100, 15, IF(F11&lt;=250, 20, IF(F11&lt;=500, 30, IF(F11&lt;=1000, 35, F11*0.035)))),
0)))</f>
        <v>0</v>
      </c>
      <c r="H11" s="162">
        <f>IF(I11="مخالفات",50,Basic34567891011[[#This Row],[قيمة الرسوم / العموله]]+Basic34567891011[[#This Row],[قيمة الشحنه]])</f>
        <v>0</v>
      </c>
      <c r="I11" s="90"/>
      <c r="J11" s="142" t="str">
        <f t="shared" si="0"/>
        <v>22.5.2026</v>
      </c>
      <c r="L11" s="169" t="s">
        <v>77</v>
      </c>
      <c r="M11" s="168" t="s">
        <v>78</v>
      </c>
      <c r="O11" s="151" t="s">
        <v>21</v>
      </c>
      <c r="P11" s="152">
        <f>(P5+P6+P9+P7+P4)-P10-P8</f>
        <v>0</v>
      </c>
      <c r="T11" s="139"/>
    </row>
    <row r="12" spans="1:60" ht="21.6" x14ac:dyDescent="0.65">
      <c r="A12" s="195"/>
      <c r="B12" s="140">
        <v>9</v>
      </c>
      <c r="C12" s="8"/>
      <c r="D12" s="9"/>
      <c r="E12" s="10"/>
      <c r="F12" s="9"/>
      <c r="G12" s="141">
        <f>IF(Basic34567891011[[#This Row],[نوع الخدمة]]="مخالفات", 50,
IF(Basic34567891011[[#This Row],[نوع الخدمة]]="كاش ان",
    IF(F12&lt;=100, 18, IF(F12&lt;=250, 23, IF(F12&lt;=500, 35, IF(F12&lt;=1000, 40, F12*0.04)))),
IF(Basic34567891011[[#This Row],[نوع الخدمة]]="كاش اوت",
    IF(F12&lt;=100, 15, IF(F12&lt;=250, 20, IF(F12&lt;=500, 30, IF(F12&lt;=1000, 35, F12*0.035)))),
0)))</f>
        <v>0</v>
      </c>
      <c r="H12" s="162">
        <f>IF(I12="مخالفات",50,Basic34567891011[[#This Row],[قيمة الرسوم / العموله]]+Basic34567891011[[#This Row],[قيمة الشحنه]])</f>
        <v>0</v>
      </c>
      <c r="I12" s="90"/>
      <c r="J12" s="142" t="str">
        <f t="shared" si="0"/>
        <v>22.5.2026</v>
      </c>
      <c r="L12" s="153">
        <v>1</v>
      </c>
      <c r="M12" s="91"/>
      <c r="O12" s="137" t="s">
        <v>29</v>
      </c>
      <c r="P12" s="138">
        <f>SUMIF(Basic34567891011[نوع الخدمة],"كاش اوت",Basic34567891011[الاجمــــــــــالي])</f>
        <v>0</v>
      </c>
    </row>
    <row r="13" spans="1:60" ht="21.6" x14ac:dyDescent="0.65">
      <c r="A13" s="195"/>
      <c r="B13" s="144">
        <v>10</v>
      </c>
      <c r="C13" s="8"/>
      <c r="D13" s="9"/>
      <c r="E13" s="10"/>
      <c r="F13" s="9"/>
      <c r="G13" s="141">
        <f>IF(Basic34567891011[[#This Row],[نوع الخدمة]]="مخالفات", 50,
IF(Basic34567891011[[#This Row],[نوع الخدمة]]="كاش ان",
    IF(F13&lt;=100, 18, IF(F13&lt;=250, 23, IF(F13&lt;=500, 35, IF(F13&lt;=1000, 40, F13*0.04)))),
IF(Basic34567891011[[#This Row],[نوع الخدمة]]="كاش اوت",
    IF(F13&lt;=100, 15, IF(F13&lt;=250, 20, IF(F13&lt;=500, 30, IF(F13&lt;=1000, 35, F13*0.035)))),
0)))</f>
        <v>0</v>
      </c>
      <c r="H13" s="162">
        <f>IF(I13="مخالفات",50,Basic34567891011[[#This Row],[قيمة الرسوم / العموله]]+Basic34567891011[[#This Row],[قيمة الشحنه]])</f>
        <v>0</v>
      </c>
      <c r="I13" s="90"/>
      <c r="J13" s="142" t="str">
        <f t="shared" si="0"/>
        <v>22.5.2026</v>
      </c>
      <c r="L13" s="153">
        <v>2</v>
      </c>
      <c r="M13" s="92"/>
    </row>
    <row r="14" spans="1:60" ht="21.6" x14ac:dyDescent="0.65">
      <c r="A14" s="195"/>
      <c r="B14" s="140">
        <v>11</v>
      </c>
      <c r="C14" s="2"/>
      <c r="D14" s="1"/>
      <c r="E14" s="3"/>
      <c r="F14" s="1"/>
      <c r="G14" s="141">
        <f>IF(Basic34567891011[[#This Row],[نوع الخدمة]]="مخالفات", 50,
IF(Basic34567891011[[#This Row],[نوع الخدمة]]="كاش ان",
    IF(F14&lt;=100, 18, IF(F14&lt;=250, 23, IF(F14&lt;=500, 35, IF(F14&lt;=1000, 40, F14*0.04)))),
IF(Basic34567891011[[#This Row],[نوع الخدمة]]="كاش اوت",
    IF(F14&lt;=100, 15, IF(F14&lt;=250, 20, IF(F14&lt;=500, 30, IF(F14&lt;=1000, 35, F14*0.035)))),
0)))</f>
        <v>0</v>
      </c>
      <c r="H14" s="163">
        <f>IF(I14="مخالفات",50,Basic34567891011[[#This Row],[قيمة الرسوم / العموله]]+Basic34567891011[[#This Row],[قيمة الشحنه]])</f>
        <v>0</v>
      </c>
      <c r="I14" s="90"/>
      <c r="J14" s="142" t="str">
        <f t="shared" si="0"/>
        <v>22.5.2026</v>
      </c>
      <c r="L14" s="153">
        <v>3</v>
      </c>
      <c r="M14" s="92"/>
    </row>
    <row r="15" spans="1:60" ht="21.6" x14ac:dyDescent="0.65">
      <c r="A15" s="195"/>
      <c r="B15" s="140">
        <v>12</v>
      </c>
      <c r="C15" s="2"/>
      <c r="D15" s="1"/>
      <c r="E15" s="3"/>
      <c r="F15" s="1"/>
      <c r="G15" s="141">
        <f>IF(Basic34567891011[[#This Row],[نوع الخدمة]]="مخالفات", 50,
IF(Basic34567891011[[#This Row],[نوع الخدمة]]="كاش ان",
    IF(F15&lt;=100, 18, IF(F15&lt;=250, 23, IF(F15&lt;=500, 35, IF(F15&lt;=1000, 40, F15*0.04)))),
IF(Basic34567891011[[#This Row],[نوع الخدمة]]="كاش اوت",
    IF(F15&lt;=100, 15, IF(F15&lt;=250, 20, IF(F15&lt;=500, 30, IF(F15&lt;=1000, 35, F15*0.035)))),
0)))</f>
        <v>0</v>
      </c>
      <c r="H15" s="163">
        <f>IF(I15="مخالفات",50,Basic34567891011[[#This Row],[قيمة الرسوم / العموله]]+Basic34567891011[[#This Row],[قيمة الشحنه]])</f>
        <v>0</v>
      </c>
      <c r="I15" s="90"/>
      <c r="J15" s="142" t="str">
        <f t="shared" si="0"/>
        <v>22.5.2026</v>
      </c>
      <c r="L15" s="153">
        <v>4</v>
      </c>
      <c r="M15" s="92"/>
      <c r="O15" s="154" t="s">
        <v>10</v>
      </c>
      <c r="P15" s="155">
        <f>COUNTIF(Basic34567891011[نوع الخدمة],"مخالفات")</f>
        <v>0</v>
      </c>
    </row>
    <row r="16" spans="1:60" ht="21.6" x14ac:dyDescent="0.65">
      <c r="A16" s="195"/>
      <c r="B16" s="140">
        <v>13</v>
      </c>
      <c r="C16" s="2"/>
      <c r="D16" s="1"/>
      <c r="E16" s="3"/>
      <c r="F16" s="1"/>
      <c r="G16" s="141">
        <f>IF(Basic34567891011[[#This Row],[نوع الخدمة]]="مخالفات", 50,
IF(Basic34567891011[[#This Row],[نوع الخدمة]]="كاش ان",
    IF(F16&lt;=100, 18, IF(F16&lt;=250, 23, IF(F16&lt;=500, 35, IF(F16&lt;=1000, 40, F16*0.04)))),
IF(Basic34567891011[[#This Row],[نوع الخدمة]]="كاش اوت",
    IF(F16&lt;=100, 15, IF(F16&lt;=250, 20, IF(F16&lt;=500, 30, IF(F16&lt;=1000, 35, F16*0.035)))),
0)))</f>
        <v>0</v>
      </c>
      <c r="H16" s="163">
        <f>IF(I16="مخالفات",50,Basic34567891011[[#This Row],[قيمة الرسوم / العموله]]+Basic34567891011[[#This Row],[قيمة الشحنه]])</f>
        <v>0</v>
      </c>
      <c r="I16" s="90"/>
      <c r="J16" s="142" t="str">
        <f t="shared" si="0"/>
        <v>22.5.2026</v>
      </c>
      <c r="L16" s="153">
        <v>5</v>
      </c>
      <c r="M16" s="92"/>
      <c r="O16" s="154" t="s">
        <v>13</v>
      </c>
      <c r="P16" s="155">
        <f>COUNTIF(Basic34567891011[نوع الخدمة],"كاش ان")</f>
        <v>0</v>
      </c>
    </row>
    <row r="17" spans="1:21" ht="21.6" x14ac:dyDescent="0.65">
      <c r="A17" s="195"/>
      <c r="B17" s="144">
        <v>14</v>
      </c>
      <c r="C17" s="2"/>
      <c r="D17" s="1"/>
      <c r="E17" s="3"/>
      <c r="F17" s="1"/>
      <c r="G17" s="141">
        <f>IF(Basic34567891011[[#This Row],[نوع الخدمة]]="مخالفات", 50,
IF(Basic34567891011[[#This Row],[نوع الخدمة]]="كاش ان",
    IF(F17&lt;=100, 18, IF(F17&lt;=250, 23, IF(F17&lt;=500, 35, IF(F17&lt;=1000, 40, F17*0.04)))),
IF(Basic34567891011[[#This Row],[نوع الخدمة]]="كاش اوت",
    IF(F17&lt;=100, 15, IF(F17&lt;=250, 20, IF(F17&lt;=500, 30, IF(F17&lt;=1000, 35, F17*0.035)))),
0)))</f>
        <v>0</v>
      </c>
      <c r="H17" s="163">
        <f>IF(I17="مخالفات",50,Basic34567891011[[#This Row],[قيمة الرسوم / العموله]]+Basic34567891011[[#This Row],[قيمة الشحنه]])</f>
        <v>0</v>
      </c>
      <c r="I17" s="90"/>
      <c r="J17" s="142" t="str">
        <f t="shared" si="0"/>
        <v>22.5.2026</v>
      </c>
      <c r="L17" s="153">
        <v>6</v>
      </c>
      <c r="M17" s="92"/>
      <c r="O17" s="154" t="s">
        <v>14</v>
      </c>
      <c r="P17" s="155">
        <f>COUNTIF(Basic34567891011[نوع الخدمة],"كاش اوت")</f>
        <v>0</v>
      </c>
    </row>
    <row r="18" spans="1:21" ht="21.6" x14ac:dyDescent="0.65">
      <c r="A18" s="195"/>
      <c r="B18" s="140">
        <v>15</v>
      </c>
      <c r="C18" s="2"/>
      <c r="D18" s="1"/>
      <c r="E18" s="3"/>
      <c r="F18" s="1"/>
      <c r="G18" s="141">
        <f>IF(Basic34567891011[[#This Row],[نوع الخدمة]]="مخالفات", 50,
IF(Basic34567891011[[#This Row],[نوع الخدمة]]="كاش ان",
    IF(F18&lt;=100, 18, IF(F18&lt;=250, 23, IF(F18&lt;=500, 35, IF(F18&lt;=1000, 40, F18*0.04)))),
IF(Basic34567891011[[#This Row],[نوع الخدمة]]="كاش اوت",
    IF(F18&lt;=100, 15, IF(F18&lt;=250, 20, IF(F18&lt;=500, 30, IF(F18&lt;=1000, 35, F18*0.035)))),
0)))</f>
        <v>0</v>
      </c>
      <c r="H18" s="163">
        <f>IF(I18="مخالفات",50,Basic34567891011[[#This Row],[قيمة الرسوم / العموله]]+Basic34567891011[[#This Row],[قيمة الشحنه]])</f>
        <v>0</v>
      </c>
      <c r="I18" s="90"/>
      <c r="J18" s="142" t="str">
        <f t="shared" si="0"/>
        <v>22.5.2026</v>
      </c>
      <c r="L18" s="153">
        <v>7</v>
      </c>
      <c r="M18" s="92"/>
      <c r="O18" s="154" t="s">
        <v>15</v>
      </c>
      <c r="P18" s="155">
        <f>P16+P17</f>
        <v>0</v>
      </c>
    </row>
    <row r="19" spans="1:21" ht="21.6" x14ac:dyDescent="0.65">
      <c r="A19" s="195"/>
      <c r="B19" s="140">
        <v>16</v>
      </c>
      <c r="C19" s="2"/>
      <c r="D19" s="1"/>
      <c r="E19" s="3"/>
      <c r="F19" s="1"/>
      <c r="G19" s="141">
        <f>IF(Basic34567891011[[#This Row],[نوع الخدمة]]="مخالفات", 50,
IF(Basic34567891011[[#This Row],[نوع الخدمة]]="كاش ان",
    IF(F19&lt;=100, 18, IF(F19&lt;=250, 23, IF(F19&lt;=500, 35, IF(F19&lt;=1000, 40, F19*0.04)))),
IF(Basic34567891011[[#This Row],[نوع الخدمة]]="كاش اوت",
    IF(F19&lt;=100, 15, IF(F19&lt;=250, 20, IF(F19&lt;=500, 30, IF(F19&lt;=1000, 35, F19*0.035)))),
0)))</f>
        <v>0</v>
      </c>
      <c r="H19" s="163">
        <f>IF(I19="مخالفات",50,Basic34567891011[[#This Row],[قيمة الرسوم / العموله]]+Basic34567891011[[#This Row],[قيمة الشحنه]])</f>
        <v>0</v>
      </c>
      <c r="I19" s="90"/>
      <c r="J19" s="142" t="str">
        <f t="shared" si="0"/>
        <v>22.5.2026</v>
      </c>
      <c r="L19" s="153">
        <v>8</v>
      </c>
      <c r="M19" s="92"/>
    </row>
    <row r="20" spans="1:21" ht="21.6" x14ac:dyDescent="0.65">
      <c r="A20" s="195"/>
      <c r="B20" s="140">
        <v>17</v>
      </c>
      <c r="C20" s="2"/>
      <c r="D20" s="1"/>
      <c r="E20" s="3"/>
      <c r="F20" s="1"/>
      <c r="G20" s="141">
        <f>IF(Basic34567891011[[#This Row],[نوع الخدمة]]="مخالفات", 50,
IF(Basic34567891011[[#This Row],[نوع الخدمة]]="كاش ان",
    IF(F20&lt;=100, 18, IF(F20&lt;=250, 23, IF(F20&lt;=500, 35, IF(F20&lt;=1000, 40, F20*0.04)))),
IF(Basic34567891011[[#This Row],[نوع الخدمة]]="كاش اوت",
    IF(F20&lt;=100, 15, IF(F20&lt;=250, 20, IF(F20&lt;=500, 30, IF(F20&lt;=1000, 35, F20*0.035)))),
0)))</f>
        <v>0</v>
      </c>
      <c r="H20" s="163">
        <f>IF(I20="مخالفات",50,Basic34567891011[[#This Row],[قيمة الرسوم / العموله]]+Basic34567891011[[#This Row],[قيمة الشحنه]])</f>
        <v>0</v>
      </c>
      <c r="I20" s="90"/>
      <c r="J20" s="142" t="str">
        <f t="shared" si="0"/>
        <v>22.5.2026</v>
      </c>
      <c r="L20" s="153">
        <v>9</v>
      </c>
      <c r="M20" s="92"/>
      <c r="O20" s="193" t="s">
        <v>30</v>
      </c>
      <c r="P20" s="194"/>
    </row>
    <row r="21" spans="1:21" ht="21.6" x14ac:dyDescent="0.65">
      <c r="A21" s="195"/>
      <c r="B21" s="144">
        <v>18</v>
      </c>
      <c r="C21" s="2"/>
      <c r="D21" s="1"/>
      <c r="E21" s="3"/>
      <c r="F21" s="1"/>
      <c r="G21" s="141">
        <f>IF(Basic34567891011[[#This Row],[نوع الخدمة]]="مخالفات", 50,
IF(Basic34567891011[[#This Row],[نوع الخدمة]]="كاش ان",
    IF(F21&lt;=100, 18, IF(F21&lt;=250, 23, IF(F21&lt;=500, 35, IF(F21&lt;=1000, 40, F21*0.04)))),
IF(Basic34567891011[[#This Row],[نوع الخدمة]]="كاش اوت",
    IF(F21&lt;=100, 15, IF(F21&lt;=250, 20, IF(F21&lt;=500, 30, IF(F21&lt;=1000, 35, F21*0.035)))),
0)))</f>
        <v>0</v>
      </c>
      <c r="H21" s="163">
        <f>IF(I21="مخالفات",50,Basic34567891011[[#This Row],[قيمة الرسوم / العموله]]+Basic34567891011[[#This Row],[قيمة الشحنه]])</f>
        <v>0</v>
      </c>
      <c r="I21" s="90"/>
      <c r="J21" s="142" t="str">
        <f t="shared" si="0"/>
        <v>22.5.2026</v>
      </c>
      <c r="L21" s="153">
        <v>10</v>
      </c>
      <c r="M21" s="92"/>
      <c r="O21" s="196" t="s">
        <v>31</v>
      </c>
      <c r="P21" s="197"/>
    </row>
    <row r="22" spans="1:21" ht="21.6" x14ac:dyDescent="0.65">
      <c r="A22" s="195"/>
      <c r="B22" s="140">
        <v>19</v>
      </c>
      <c r="C22" s="2"/>
      <c r="D22" s="1"/>
      <c r="E22" s="3"/>
      <c r="F22" s="1"/>
      <c r="G22" s="141">
        <f>IF(Basic34567891011[[#This Row],[نوع الخدمة]]="مخالفات", 50,
IF(Basic34567891011[[#This Row],[نوع الخدمة]]="كاش ان",
    IF(F22&lt;=100, 18, IF(F22&lt;=250, 23, IF(F22&lt;=500, 35, IF(F22&lt;=1000, 40, F22*0.04)))),
IF(Basic34567891011[[#This Row],[نوع الخدمة]]="كاش اوت",
    IF(F22&lt;=100, 15, IF(F22&lt;=250, 20, IF(F22&lt;=500, 30, IF(F22&lt;=1000, 35, F22*0.035)))),
0)))</f>
        <v>0</v>
      </c>
      <c r="H22" s="163">
        <f>IF(I22="مخالفات",50,Basic34567891011[[#This Row],[قيمة الرسوم / العموله]]+Basic34567891011[[#This Row],[قيمة الشحنه]])</f>
        <v>0</v>
      </c>
      <c r="I22" s="90"/>
      <c r="J22" s="142" t="str">
        <f t="shared" si="0"/>
        <v>22.5.2026</v>
      </c>
      <c r="L22" s="153">
        <v>11</v>
      </c>
      <c r="M22" s="92"/>
      <c r="O22" s="147" t="s">
        <v>27</v>
      </c>
      <c r="P22" s="135">
        <f>M8+'21'!P28</f>
        <v>-4</v>
      </c>
    </row>
    <row r="23" spans="1:21" ht="21.6" x14ac:dyDescent="0.65">
      <c r="A23" s="195"/>
      <c r="B23" s="140">
        <v>20</v>
      </c>
      <c r="C23" s="2"/>
      <c r="D23" s="1"/>
      <c r="E23" s="3"/>
      <c r="F23" s="1"/>
      <c r="G23" s="141">
        <f>IF(Basic34567891011[[#This Row],[نوع الخدمة]]="مخالفات", 50,
IF(Basic34567891011[[#This Row],[نوع الخدمة]]="كاش ان",
    IF(F23&lt;=100, 18, IF(F23&lt;=250, 23, IF(F23&lt;=500, 35, IF(F23&lt;=1000, 40, F23*0.04)))),
IF(Basic34567891011[[#This Row],[نوع الخدمة]]="كاش اوت",
    IF(F23&lt;=100, 15, IF(F23&lt;=250, 20, IF(F23&lt;=500, 30, IF(F23&lt;=1000, 35, F23*0.035)))),
0)))</f>
        <v>0</v>
      </c>
      <c r="H23" s="163">
        <f>IF(I23="مخالفات",50,Basic34567891011[[#This Row],[قيمة الرسوم / العموله]]+Basic34567891011[[#This Row],[قيمة الشحنه]])</f>
        <v>0</v>
      </c>
      <c r="I23" s="90"/>
      <c r="J23" s="142" t="str">
        <f t="shared" si="0"/>
        <v>22.5.2026</v>
      </c>
      <c r="L23" s="153">
        <v>12</v>
      </c>
      <c r="M23" s="92"/>
      <c r="O23" s="147" t="s">
        <v>28</v>
      </c>
      <c r="P23" s="135">
        <f>M9+'21'!P29</f>
        <v>0</v>
      </c>
      <c r="T23" s="139"/>
      <c r="U23" s="139"/>
    </row>
    <row r="24" spans="1:21" ht="21.6" x14ac:dyDescent="0.65">
      <c r="A24" s="195"/>
      <c r="B24" s="140">
        <v>21</v>
      </c>
      <c r="C24" s="2"/>
      <c r="D24" s="1"/>
      <c r="E24" s="3"/>
      <c r="F24" s="1"/>
      <c r="G24" s="141">
        <f>IF(Basic34567891011[[#This Row],[نوع الخدمة]]="مخالفات", 50,
IF(Basic34567891011[[#This Row],[نوع الخدمة]]="كاش ان",
    IF(F24&lt;=100, 18, IF(F24&lt;=250, 23, IF(F24&lt;=500, 35, IF(F24&lt;=1000, 40, F24*0.04)))),
IF(Basic34567891011[[#This Row],[نوع الخدمة]]="كاش اوت",
    IF(F24&lt;=100, 15, IF(F24&lt;=250, 20, IF(F24&lt;=500, 30, IF(F24&lt;=1000, 35, F24*0.035)))),
0)))</f>
        <v>0</v>
      </c>
      <c r="H24" s="163">
        <f>IF(I24="مخالفات",50,Basic34567891011[[#This Row],[قيمة الرسوم / العموله]]+Basic34567891011[[#This Row],[قيمة الشحنه]])</f>
        <v>0</v>
      </c>
      <c r="I24" s="90"/>
      <c r="J24" s="142" t="str">
        <f t="shared" si="0"/>
        <v>22.5.2026</v>
      </c>
      <c r="L24" s="153">
        <v>13</v>
      </c>
      <c r="M24" s="92"/>
      <c r="O24" s="196" t="s">
        <v>32</v>
      </c>
      <c r="P24" s="197"/>
    </row>
    <row r="25" spans="1:21" ht="21.6" x14ac:dyDescent="0.65">
      <c r="A25" s="195"/>
      <c r="B25" s="144">
        <v>22</v>
      </c>
      <c r="C25" s="2"/>
      <c r="D25" s="1"/>
      <c r="E25" s="3"/>
      <c r="F25" s="1"/>
      <c r="G25" s="141">
        <f>IF(Basic34567891011[[#This Row],[نوع الخدمة]]="مخالفات", 50,
IF(Basic34567891011[[#This Row],[نوع الخدمة]]="كاش ان",
    IF(F25&lt;=100, 18, IF(F25&lt;=250, 23, IF(F25&lt;=500, 35, IF(F25&lt;=1000, 40, F25*0.04)))),
IF(Basic34567891011[[#This Row],[نوع الخدمة]]="كاش اوت",
    IF(F25&lt;=100, 15, IF(F25&lt;=250, 20, IF(F25&lt;=500, 30, IF(F25&lt;=1000, 35, F25*0.035)))),
0)))</f>
        <v>0</v>
      </c>
      <c r="H25" s="163">
        <f>IF(I25="مخالفات",50,Basic34567891011[[#This Row],[قيمة الرسوم / العموله]]+Basic34567891011[[#This Row],[قيمة الشحنه]])</f>
        <v>0</v>
      </c>
      <c r="I25" s="90"/>
      <c r="J25" s="142" t="str">
        <f t="shared" si="0"/>
        <v>22.5.2026</v>
      </c>
      <c r="L25" s="153">
        <v>14</v>
      </c>
      <c r="M25" s="92"/>
      <c r="O25" s="147" t="s">
        <v>27</v>
      </c>
      <c r="P25" s="135">
        <f>M5</f>
        <v>0</v>
      </c>
    </row>
    <row r="26" spans="1:21" ht="21.6" x14ac:dyDescent="0.65">
      <c r="A26" s="195"/>
      <c r="B26" s="140">
        <v>23</v>
      </c>
      <c r="C26" s="2"/>
      <c r="D26" s="1"/>
      <c r="E26" s="3"/>
      <c r="F26" s="1"/>
      <c r="G26" s="141">
        <f>IF(Basic34567891011[[#This Row],[نوع الخدمة]]="مخالفات", 50,
IF(Basic34567891011[[#This Row],[نوع الخدمة]]="كاش ان",
    IF(F26&lt;=100, 18, IF(F26&lt;=250, 23, IF(F26&lt;=500, 35, IF(F26&lt;=1000, 40, F26*0.04)))),
IF(Basic34567891011[[#This Row],[نوع الخدمة]]="كاش اوت",
    IF(F26&lt;=100, 15, IF(F26&lt;=250, 20, IF(F26&lt;=500, 30, IF(F26&lt;=1000, 35, F26*0.035)))),
0)))</f>
        <v>0</v>
      </c>
      <c r="H26" s="163">
        <f>IF(I26="مخالفات",50,Basic34567891011[[#This Row],[قيمة الرسوم / العموله]]+Basic34567891011[[#This Row],[قيمة الشحنه]])</f>
        <v>0</v>
      </c>
      <c r="I26" s="90"/>
      <c r="J26" s="142" t="str">
        <f t="shared" si="0"/>
        <v>22.5.2026</v>
      </c>
      <c r="L26" s="153">
        <v>15</v>
      </c>
      <c r="M26" s="92"/>
      <c r="O26" s="147" t="s">
        <v>28</v>
      </c>
      <c r="P26" s="135">
        <f>M6</f>
        <v>0</v>
      </c>
    </row>
    <row r="27" spans="1:21" ht="21.6" x14ac:dyDescent="0.65">
      <c r="A27" s="195"/>
      <c r="B27" s="140">
        <v>24</v>
      </c>
      <c r="C27" s="2"/>
      <c r="D27" s="1"/>
      <c r="E27" s="3"/>
      <c r="F27" s="1"/>
      <c r="G27" s="141">
        <f>IF(Basic34567891011[[#This Row],[نوع الخدمة]]="مخالفات", 50,
IF(Basic34567891011[[#This Row],[نوع الخدمة]]="كاش ان",
    IF(F27&lt;=100, 18, IF(F27&lt;=250, 23, IF(F27&lt;=500, 35, IF(F27&lt;=1000, 40, F27*0.04)))),
IF(Basic34567891011[[#This Row],[نوع الخدمة]]="كاش اوت",
    IF(F27&lt;=100, 15, IF(F27&lt;=250, 20, IF(F27&lt;=500, 30, IF(F27&lt;=1000, 35, F27*0.035)))),
0)))</f>
        <v>0</v>
      </c>
      <c r="H27" s="163">
        <f>IF(I27="مخالفات",50,Basic34567891011[[#This Row],[قيمة الرسوم / العموله]]+Basic34567891011[[#This Row],[قيمة الشحنه]])</f>
        <v>0</v>
      </c>
      <c r="I27" s="90"/>
      <c r="J27" s="142" t="str">
        <f t="shared" si="0"/>
        <v>22.5.2026</v>
      </c>
      <c r="L27" s="153">
        <v>16</v>
      </c>
      <c r="M27" s="92"/>
      <c r="O27" s="196" t="s">
        <v>33</v>
      </c>
      <c r="P27" s="197"/>
    </row>
    <row r="28" spans="1:21" ht="21.6" x14ac:dyDescent="0.65">
      <c r="A28" s="195"/>
      <c r="B28" s="140">
        <v>25</v>
      </c>
      <c r="C28" s="2"/>
      <c r="D28" s="1"/>
      <c r="E28" s="3"/>
      <c r="F28" s="1"/>
      <c r="G28" s="141">
        <f>IF(Basic34567891011[[#This Row],[نوع الخدمة]]="مخالفات", 50,
IF(Basic34567891011[[#This Row],[نوع الخدمة]]="كاش ان",
    IF(F28&lt;=100, 18, IF(F28&lt;=250, 23, IF(F28&lt;=500, 35, IF(F28&lt;=1000, 40, F28*0.04)))),
IF(Basic34567891011[[#This Row],[نوع الخدمة]]="كاش اوت",
    IF(F28&lt;=100, 15, IF(F28&lt;=250, 20, IF(F28&lt;=500, 30, IF(F28&lt;=1000, 35, F28*0.035)))),
0)))</f>
        <v>0</v>
      </c>
      <c r="H28" s="163">
        <f>IF(I28="مخالفات",50,Basic34567891011[[#This Row],[قيمة الرسوم / العموله]]+Basic34567891011[[#This Row],[قيمة الشحنه]])</f>
        <v>0</v>
      </c>
      <c r="I28" s="90"/>
      <c r="J28" s="142" t="str">
        <f t="shared" si="0"/>
        <v>22.5.2026</v>
      </c>
      <c r="L28" s="153">
        <v>17</v>
      </c>
      <c r="M28" s="92"/>
      <c r="O28" s="147" t="s">
        <v>27</v>
      </c>
      <c r="P28" s="135">
        <f>P22-P25</f>
        <v>-4</v>
      </c>
    </row>
    <row r="29" spans="1:21" ht="21.6" x14ac:dyDescent="0.65">
      <c r="A29" s="195"/>
      <c r="B29" s="144">
        <v>26</v>
      </c>
      <c r="C29" s="2"/>
      <c r="D29" s="1"/>
      <c r="E29" s="3"/>
      <c r="F29" s="1"/>
      <c r="G29" s="141">
        <f>IF(Basic34567891011[[#This Row],[نوع الخدمة]]="مخالفات", 50,
IF(Basic34567891011[[#This Row],[نوع الخدمة]]="كاش ان",
    IF(F29&lt;=100, 18, IF(F29&lt;=250, 23, IF(F29&lt;=500, 35, IF(F29&lt;=1000, 40, F29*0.04)))),
IF(Basic34567891011[[#This Row],[نوع الخدمة]]="كاش اوت",
    IF(F29&lt;=100, 15, IF(F29&lt;=250, 20, IF(F29&lt;=500, 30, IF(F29&lt;=1000, 35, F29*0.035)))),
0)))</f>
        <v>0</v>
      </c>
      <c r="H29" s="163">
        <f>IF(I29="مخالفات",50,Basic34567891011[[#This Row],[قيمة الرسوم / العموله]]+Basic34567891011[[#This Row],[قيمة الشحنه]])</f>
        <v>0</v>
      </c>
      <c r="I29" s="90"/>
      <c r="J29" s="142" t="str">
        <f t="shared" si="0"/>
        <v>22.5.2026</v>
      </c>
      <c r="L29" s="153">
        <v>18</v>
      </c>
      <c r="M29" s="92"/>
      <c r="O29" s="147" t="s">
        <v>28</v>
      </c>
      <c r="P29" s="135">
        <f>P23-P26</f>
        <v>0</v>
      </c>
    </row>
    <row r="30" spans="1:21" ht="21.6" x14ac:dyDescent="0.65">
      <c r="A30" s="195"/>
      <c r="B30" s="140">
        <v>27</v>
      </c>
      <c r="C30" s="2"/>
      <c r="D30" s="1"/>
      <c r="E30" s="3"/>
      <c r="F30" s="1"/>
      <c r="G30" s="141">
        <f>IF(Basic34567891011[[#This Row],[نوع الخدمة]]="مخالفات", 50,
IF(Basic34567891011[[#This Row],[نوع الخدمة]]="كاش ان",
    IF(F30&lt;=100, 18, IF(F30&lt;=250, 23, IF(F30&lt;=500, 35, IF(F30&lt;=1000, 40, F30*0.04)))),
IF(Basic34567891011[[#This Row],[نوع الخدمة]]="كاش اوت",
    IF(F30&lt;=100, 15, IF(F30&lt;=250, 20, IF(F30&lt;=500, 30, IF(F30&lt;=1000, 35, F30*0.035)))),
0)))</f>
        <v>0</v>
      </c>
      <c r="H30" s="163">
        <f>IF(I30="مخالفات",50,Basic34567891011[[#This Row],[قيمة الرسوم / العموله]]+Basic34567891011[[#This Row],[قيمة الشحنه]])</f>
        <v>0</v>
      </c>
      <c r="I30" s="90"/>
      <c r="J30" s="142" t="str">
        <f t="shared" si="0"/>
        <v>22.5.2026</v>
      </c>
      <c r="L30" s="153">
        <v>19</v>
      </c>
      <c r="M30" s="92"/>
    </row>
    <row r="31" spans="1:21" ht="21.6" x14ac:dyDescent="0.65">
      <c r="A31" s="195"/>
      <c r="B31" s="140">
        <v>28</v>
      </c>
      <c r="C31" s="2"/>
      <c r="D31" s="1"/>
      <c r="E31" s="3"/>
      <c r="F31" s="1"/>
      <c r="G31" s="141">
        <f>IF(Basic34567891011[[#This Row],[نوع الخدمة]]="مخالفات", 50,
IF(Basic34567891011[[#This Row],[نوع الخدمة]]="كاش ان",
    IF(F31&lt;=100, 18, IF(F31&lt;=250, 23, IF(F31&lt;=500, 35, IF(F31&lt;=1000, 40, F31*0.04)))),
IF(Basic34567891011[[#This Row],[نوع الخدمة]]="كاش اوت",
    IF(F31&lt;=100, 15, IF(F31&lt;=250, 20, IF(F31&lt;=500, 30, IF(F31&lt;=1000, 35, F31*0.035)))),
0)))</f>
        <v>0</v>
      </c>
      <c r="H31" s="163">
        <f>IF(I31="مخالفات",50,Basic34567891011[[#This Row],[قيمة الرسوم / العموله]]+Basic34567891011[[#This Row],[قيمة الشحنه]])</f>
        <v>0</v>
      </c>
      <c r="I31" s="90"/>
      <c r="J31" s="142" t="str">
        <f t="shared" si="0"/>
        <v>22.5.2026</v>
      </c>
      <c r="L31" s="153">
        <v>20</v>
      </c>
      <c r="M31" s="92"/>
    </row>
    <row r="32" spans="1:21" ht="21.6" x14ac:dyDescent="0.65">
      <c r="A32" s="195"/>
      <c r="B32" s="140">
        <v>29</v>
      </c>
      <c r="C32" s="2"/>
      <c r="D32" s="1"/>
      <c r="E32" s="3"/>
      <c r="F32" s="1"/>
      <c r="G32" s="141">
        <f>IF(Basic34567891011[[#This Row],[نوع الخدمة]]="مخالفات", 50,
IF(Basic34567891011[[#This Row],[نوع الخدمة]]="كاش ان",
    IF(F32&lt;=100, 18, IF(F32&lt;=250, 23, IF(F32&lt;=500, 35, IF(F32&lt;=1000, 40, F32*0.04)))),
IF(Basic34567891011[[#This Row],[نوع الخدمة]]="كاش اوت",
    IF(F32&lt;=100, 15, IF(F32&lt;=250, 20, IF(F32&lt;=500, 30, IF(F32&lt;=1000, 35, F32*0.035)))),
0)))</f>
        <v>0</v>
      </c>
      <c r="H32" s="163">
        <f>IF(I32="مخالفات",50,Basic34567891011[[#This Row],[قيمة الرسوم / العموله]]+Basic34567891011[[#This Row],[قيمة الشحنه]])</f>
        <v>0</v>
      </c>
      <c r="I32" s="90"/>
      <c r="J32" s="142" t="str">
        <f t="shared" si="0"/>
        <v>22.5.2026</v>
      </c>
      <c r="L32" s="153">
        <v>21</v>
      </c>
      <c r="M32" s="92"/>
    </row>
    <row r="33" spans="1:13" ht="21.6" x14ac:dyDescent="0.65">
      <c r="A33" s="195"/>
      <c r="B33" s="144">
        <v>30</v>
      </c>
      <c r="C33" s="2"/>
      <c r="D33" s="1"/>
      <c r="E33" s="3"/>
      <c r="F33" s="1"/>
      <c r="G33" s="141">
        <f>IF(Basic34567891011[[#This Row],[نوع الخدمة]]="مخالفات", 50,
IF(Basic34567891011[[#This Row],[نوع الخدمة]]="كاش ان",
    IF(F33&lt;=100, 18, IF(F33&lt;=250, 23, IF(F33&lt;=500, 35, IF(F33&lt;=1000, 40, F33*0.04)))),
IF(Basic34567891011[[#This Row],[نوع الخدمة]]="كاش اوت",
    IF(F33&lt;=100, 15, IF(F33&lt;=250, 20, IF(F33&lt;=500, 30, IF(F33&lt;=1000, 35, F33*0.035)))),
0)))</f>
        <v>0</v>
      </c>
      <c r="H33" s="163">
        <f>IF(I33="مخالفات",50,Basic34567891011[[#This Row],[قيمة الرسوم / العموله]]+Basic34567891011[[#This Row],[قيمة الشحنه]])</f>
        <v>0</v>
      </c>
      <c r="I33" s="90"/>
      <c r="J33" s="142" t="str">
        <f t="shared" si="0"/>
        <v>22.5.2026</v>
      </c>
      <c r="L33" s="153">
        <v>22</v>
      </c>
      <c r="M33" s="92"/>
    </row>
    <row r="34" spans="1:13" ht="21.6" x14ac:dyDescent="0.65">
      <c r="A34" s="195"/>
      <c r="B34" s="140">
        <v>31</v>
      </c>
      <c r="C34" s="2"/>
      <c r="D34" s="1"/>
      <c r="E34" s="3"/>
      <c r="F34" s="1"/>
      <c r="G34" s="141">
        <f>IF(Basic34567891011[[#This Row],[نوع الخدمة]]="مخالفات", 50,
IF(Basic34567891011[[#This Row],[نوع الخدمة]]="كاش ان",
    IF(F34&lt;=100, 18, IF(F34&lt;=250, 23, IF(F34&lt;=500, 35, IF(F34&lt;=1000, 40, F34*0.04)))),
IF(Basic34567891011[[#This Row],[نوع الخدمة]]="كاش اوت",
    IF(F34&lt;=100, 15, IF(F34&lt;=250, 20, IF(F34&lt;=500, 30, IF(F34&lt;=1000, 35, F34*0.035)))),
0)))</f>
        <v>0</v>
      </c>
      <c r="H34" s="163">
        <f>IF(I34="مخالفات",50,Basic34567891011[[#This Row],[قيمة الرسوم / العموله]]+Basic34567891011[[#This Row],[قيمة الشحنه]])</f>
        <v>0</v>
      </c>
      <c r="I34" s="90"/>
      <c r="J34" s="142" t="str">
        <f t="shared" si="0"/>
        <v>22.5.2026</v>
      </c>
      <c r="L34" s="153">
        <v>23</v>
      </c>
      <c r="M34" s="92"/>
    </row>
    <row r="35" spans="1:13" ht="21.6" x14ac:dyDescent="0.65">
      <c r="A35" s="195"/>
      <c r="B35" s="140">
        <v>32</v>
      </c>
      <c r="C35" s="2"/>
      <c r="D35" s="1"/>
      <c r="E35" s="3"/>
      <c r="F35" s="1"/>
      <c r="G35" s="141">
        <f>IF(Basic34567891011[[#This Row],[نوع الخدمة]]="مخالفات", 50,
IF(Basic34567891011[[#This Row],[نوع الخدمة]]="كاش ان",
    IF(F35&lt;=100, 18, IF(F35&lt;=250, 23, IF(F35&lt;=500, 35, IF(F35&lt;=1000, 40, F35*0.04)))),
IF(Basic34567891011[[#This Row],[نوع الخدمة]]="كاش اوت",
    IF(F35&lt;=100, 15, IF(F35&lt;=250, 20, IF(F35&lt;=500, 30, IF(F35&lt;=1000, 35, F35*0.035)))),
0)))</f>
        <v>0</v>
      </c>
      <c r="H35" s="163">
        <f>IF(I35="مخالفات",50,Basic34567891011[[#This Row],[قيمة الرسوم / العموله]]+Basic34567891011[[#This Row],[قيمة الشحنه]])</f>
        <v>0</v>
      </c>
      <c r="I35" s="90"/>
      <c r="J35" s="142" t="str">
        <f t="shared" si="0"/>
        <v>22.5.2026</v>
      </c>
      <c r="L35" s="153">
        <v>24</v>
      </c>
      <c r="M35" s="92"/>
    </row>
    <row r="36" spans="1:13" ht="21.6" x14ac:dyDescent="0.65">
      <c r="A36" s="195"/>
      <c r="B36" s="140">
        <v>33</v>
      </c>
      <c r="C36" s="2"/>
      <c r="D36" s="1"/>
      <c r="E36" s="3"/>
      <c r="F36" s="1"/>
      <c r="G36" s="141">
        <f>IF(Basic34567891011[[#This Row],[نوع الخدمة]]="مخالفات", 50,
IF(Basic34567891011[[#This Row],[نوع الخدمة]]="كاش ان",
    IF(F36&lt;=100, 18, IF(F36&lt;=250, 23, IF(F36&lt;=500, 35, IF(F36&lt;=1000, 40, F36*0.04)))),
IF(Basic34567891011[[#This Row],[نوع الخدمة]]="كاش اوت",
    IF(F36&lt;=100, 15, IF(F36&lt;=250, 20, IF(F36&lt;=500, 30, IF(F36&lt;=1000, 35, F36*0.035)))),
0)))</f>
        <v>0</v>
      </c>
      <c r="H36" s="163">
        <f>IF(I36="مخالفات",50,Basic34567891011[[#This Row],[قيمة الرسوم / العموله]]+Basic34567891011[[#This Row],[قيمة الشحنه]])</f>
        <v>0</v>
      </c>
      <c r="I36" s="90"/>
      <c r="J36" s="142" t="str">
        <f t="shared" si="0"/>
        <v>22.5.2026</v>
      </c>
      <c r="L36" s="153">
        <v>25</v>
      </c>
      <c r="M36" s="92"/>
    </row>
    <row r="37" spans="1:13" ht="21.6" x14ac:dyDescent="0.65">
      <c r="A37" s="195"/>
      <c r="B37" s="144">
        <v>34</v>
      </c>
      <c r="C37" s="2"/>
      <c r="D37" s="1"/>
      <c r="E37" s="3"/>
      <c r="F37" s="1"/>
      <c r="G37" s="141">
        <f>IF(Basic34567891011[[#This Row],[نوع الخدمة]]="مخالفات", 50,
IF(Basic34567891011[[#This Row],[نوع الخدمة]]="كاش ان",
    IF(F37&lt;=100, 18, IF(F37&lt;=250, 23, IF(F37&lt;=500, 35, IF(F37&lt;=1000, 40, F37*0.04)))),
IF(Basic34567891011[[#This Row],[نوع الخدمة]]="كاش اوت",
    IF(F37&lt;=100, 15, IF(F37&lt;=250, 20, IF(F37&lt;=500, 30, IF(F37&lt;=1000, 35, F37*0.035)))),
0)))</f>
        <v>0</v>
      </c>
      <c r="H37" s="163">
        <f>IF(I37="مخالفات",50,Basic34567891011[[#This Row],[قيمة الرسوم / العموله]]+Basic34567891011[[#This Row],[قيمة الشحنه]])</f>
        <v>0</v>
      </c>
      <c r="I37" s="90"/>
      <c r="J37" s="142" t="str">
        <f t="shared" si="0"/>
        <v>22.5.2026</v>
      </c>
      <c r="L37" s="153">
        <v>26</v>
      </c>
      <c r="M37" s="92"/>
    </row>
    <row r="38" spans="1:13" ht="21.6" x14ac:dyDescent="0.65">
      <c r="A38" s="195"/>
      <c r="B38" s="140">
        <v>35</v>
      </c>
      <c r="C38" s="2"/>
      <c r="D38" s="1"/>
      <c r="E38" s="3"/>
      <c r="F38" s="1"/>
      <c r="G38" s="141">
        <f>IF(Basic34567891011[[#This Row],[نوع الخدمة]]="مخالفات", 50,
IF(Basic34567891011[[#This Row],[نوع الخدمة]]="كاش ان",
    IF(F38&lt;=100, 18, IF(F38&lt;=250, 23, IF(F38&lt;=500, 35, IF(F38&lt;=1000, 40, F38*0.04)))),
IF(Basic34567891011[[#This Row],[نوع الخدمة]]="كاش اوت",
    IF(F38&lt;=100, 15, IF(F38&lt;=250, 20, IF(F38&lt;=500, 30, IF(F38&lt;=1000, 35, F38*0.035)))),
0)))</f>
        <v>0</v>
      </c>
      <c r="H38" s="163">
        <f>IF(I38="مخالفات",50,Basic34567891011[[#This Row],[قيمة الرسوم / العموله]]+Basic34567891011[[#This Row],[قيمة الشحنه]])</f>
        <v>0</v>
      </c>
      <c r="I38" s="90"/>
      <c r="J38" s="142" t="str">
        <f t="shared" si="0"/>
        <v>22.5.2026</v>
      </c>
      <c r="L38" s="153">
        <v>27</v>
      </c>
      <c r="M38" s="92"/>
    </row>
    <row r="39" spans="1:13" ht="21.6" x14ac:dyDescent="0.65">
      <c r="A39" s="195"/>
      <c r="B39" s="140">
        <v>36</v>
      </c>
      <c r="C39" s="2"/>
      <c r="D39" s="1"/>
      <c r="E39" s="3"/>
      <c r="F39" s="1"/>
      <c r="G39" s="141">
        <f>IF(Basic34567891011[[#This Row],[نوع الخدمة]]="مخالفات", 50,
IF(Basic34567891011[[#This Row],[نوع الخدمة]]="كاش ان",
    IF(F39&lt;=100, 18, IF(F39&lt;=250, 23, IF(F39&lt;=500, 35, IF(F39&lt;=1000, 40, F39*0.04)))),
IF(Basic34567891011[[#This Row],[نوع الخدمة]]="كاش اوت",
    IF(F39&lt;=100, 15, IF(F39&lt;=250, 20, IF(F39&lt;=500, 30, IF(F39&lt;=1000, 35, F39*0.035)))),
0)))</f>
        <v>0</v>
      </c>
      <c r="H39" s="163">
        <f>IF(I39="مخالفات",50,Basic34567891011[[#This Row],[قيمة الرسوم / العموله]]+Basic34567891011[[#This Row],[قيمة الشحنه]])</f>
        <v>0</v>
      </c>
      <c r="I39" s="90"/>
      <c r="J39" s="142" t="str">
        <f t="shared" si="0"/>
        <v>22.5.2026</v>
      </c>
      <c r="L39" s="153">
        <v>28</v>
      </c>
      <c r="M39" s="92"/>
    </row>
    <row r="40" spans="1:13" ht="21.6" x14ac:dyDescent="0.65">
      <c r="A40" s="195"/>
      <c r="B40" s="140">
        <v>37</v>
      </c>
      <c r="C40" s="2"/>
      <c r="D40" s="1"/>
      <c r="E40" s="3"/>
      <c r="F40" s="1"/>
      <c r="G40" s="141">
        <f>IF(Basic34567891011[[#This Row],[نوع الخدمة]]="مخالفات", 50,
IF(Basic34567891011[[#This Row],[نوع الخدمة]]="كاش ان",
    IF(F40&lt;=100, 18, IF(F40&lt;=250, 23, IF(F40&lt;=500, 35, IF(F40&lt;=1000, 40, F40*0.04)))),
IF(Basic34567891011[[#This Row],[نوع الخدمة]]="كاش اوت",
    IF(F40&lt;=100, 15, IF(F40&lt;=250, 20, IF(F40&lt;=500, 30, IF(F40&lt;=1000, 35, F40*0.035)))),
0)))</f>
        <v>0</v>
      </c>
      <c r="H40" s="163">
        <f>IF(I40="مخالفات",50,Basic34567891011[[#This Row],[قيمة الرسوم / العموله]]+Basic34567891011[[#This Row],[قيمة الشحنه]])</f>
        <v>0</v>
      </c>
      <c r="I40" s="90"/>
      <c r="J40" s="142" t="str">
        <f t="shared" si="0"/>
        <v>22.5.2026</v>
      </c>
      <c r="L40" s="153">
        <v>29</v>
      </c>
      <c r="M40" s="92"/>
    </row>
    <row r="41" spans="1:13" ht="21.6" x14ac:dyDescent="0.65">
      <c r="A41" s="195"/>
      <c r="B41" s="144">
        <v>38</v>
      </c>
      <c r="C41" s="2"/>
      <c r="D41" s="1"/>
      <c r="E41" s="3"/>
      <c r="F41" s="1"/>
      <c r="G41" s="141">
        <f>IF(Basic34567891011[[#This Row],[نوع الخدمة]]="مخالفات", 50,
IF(Basic34567891011[[#This Row],[نوع الخدمة]]="كاش ان",
    IF(F41&lt;=100, 18, IF(F41&lt;=250, 23, IF(F41&lt;=500, 35, IF(F41&lt;=1000, 40, F41*0.04)))),
IF(Basic34567891011[[#This Row],[نوع الخدمة]]="كاش اوت",
    IF(F41&lt;=100, 15, IF(F41&lt;=250, 20, IF(F41&lt;=500, 30, IF(F41&lt;=1000, 35, F41*0.035)))),
0)))</f>
        <v>0</v>
      </c>
      <c r="H41" s="163">
        <f>IF(I41="مخالفات",50,Basic34567891011[[#This Row],[قيمة الرسوم / العموله]]+Basic34567891011[[#This Row],[قيمة الشحنه]])</f>
        <v>0</v>
      </c>
      <c r="I41" s="90"/>
      <c r="J41" s="142" t="str">
        <f t="shared" si="0"/>
        <v>22.5.2026</v>
      </c>
      <c r="L41" s="153">
        <v>30</v>
      </c>
      <c r="M41" s="92"/>
    </row>
    <row r="42" spans="1:13" ht="21.6" x14ac:dyDescent="0.65">
      <c r="A42" s="195"/>
      <c r="B42" s="140">
        <v>39</v>
      </c>
      <c r="C42" s="2"/>
      <c r="D42" s="1"/>
      <c r="E42" s="3"/>
      <c r="F42" s="1"/>
      <c r="G42" s="141">
        <f>IF(Basic34567891011[[#This Row],[نوع الخدمة]]="مخالفات", 50,
IF(Basic34567891011[[#This Row],[نوع الخدمة]]="كاش ان",
    IF(F42&lt;=100, 18, IF(F42&lt;=250, 23, IF(F42&lt;=500, 35, IF(F42&lt;=1000, 40, F42*0.04)))),
IF(Basic34567891011[[#This Row],[نوع الخدمة]]="كاش اوت",
    IF(F42&lt;=100, 15, IF(F42&lt;=250, 20, IF(F42&lt;=500, 30, IF(F42&lt;=1000, 35, F42*0.035)))),
0)))</f>
        <v>0</v>
      </c>
      <c r="H42" s="163">
        <f>IF(I42="مخالفات",50,Basic34567891011[[#This Row],[قيمة الرسوم / العموله]]+Basic34567891011[[#This Row],[قيمة الشحنه]])</f>
        <v>0</v>
      </c>
      <c r="I42" s="90"/>
      <c r="J42" s="142" t="str">
        <f t="shared" si="0"/>
        <v>22.5.2026</v>
      </c>
      <c r="L42" s="153">
        <v>31</v>
      </c>
      <c r="M42" s="92"/>
    </row>
    <row r="43" spans="1:13" ht="21.6" x14ac:dyDescent="0.65">
      <c r="A43" s="195"/>
      <c r="B43" s="140">
        <v>40</v>
      </c>
      <c r="C43" s="2"/>
      <c r="D43" s="1"/>
      <c r="E43" s="3"/>
      <c r="F43" s="1"/>
      <c r="G43" s="141">
        <f>IF(Basic34567891011[[#This Row],[نوع الخدمة]]="مخالفات", 50,
IF(Basic34567891011[[#This Row],[نوع الخدمة]]="كاش ان",
    IF(F43&lt;=100, 18, IF(F43&lt;=250, 23, IF(F43&lt;=500, 35, IF(F43&lt;=1000, 40, F43*0.04)))),
IF(Basic34567891011[[#This Row],[نوع الخدمة]]="كاش اوت",
    IF(F43&lt;=100, 15, IF(F43&lt;=250, 20, IF(F43&lt;=500, 30, IF(F43&lt;=1000, 35, F43*0.035)))),
0)))</f>
        <v>0</v>
      </c>
      <c r="H43" s="163">
        <f>IF(I43="مخالفات",50,Basic34567891011[[#This Row],[قيمة الرسوم / العموله]]+Basic34567891011[[#This Row],[قيمة الشحنه]])</f>
        <v>0</v>
      </c>
      <c r="I43" s="90"/>
      <c r="J43" s="142" t="str">
        <f t="shared" si="0"/>
        <v>22.5.2026</v>
      </c>
      <c r="L43" s="153">
        <v>32</v>
      </c>
      <c r="M43" s="92"/>
    </row>
    <row r="44" spans="1:13" ht="21.6" x14ac:dyDescent="0.65">
      <c r="A44" s="195"/>
      <c r="B44" s="140">
        <v>41</v>
      </c>
      <c r="C44" s="2"/>
      <c r="D44" s="1"/>
      <c r="E44" s="3"/>
      <c r="F44" s="1"/>
      <c r="G44" s="141">
        <f>IF(Basic34567891011[[#This Row],[نوع الخدمة]]="مخالفات", 50,
IF(Basic34567891011[[#This Row],[نوع الخدمة]]="كاش ان",
    IF(F44&lt;=100, 18, IF(F44&lt;=250, 23, IF(F44&lt;=500, 35, IF(F44&lt;=1000, 40, F44*0.04)))),
IF(Basic34567891011[[#This Row],[نوع الخدمة]]="كاش اوت",
    IF(F44&lt;=100, 15, IF(F44&lt;=250, 20, IF(F44&lt;=500, 30, IF(F44&lt;=1000, 35, F44*0.035)))),
0)))</f>
        <v>0</v>
      </c>
      <c r="H44" s="163">
        <f>IF(I44="مخالفات",50,Basic34567891011[[#This Row],[قيمة الرسوم / العموله]]+Basic34567891011[[#This Row],[قيمة الشحنه]])</f>
        <v>0</v>
      </c>
      <c r="I44" s="90"/>
      <c r="J44" s="142" t="str">
        <f t="shared" si="0"/>
        <v>22.5.2026</v>
      </c>
      <c r="L44" s="153">
        <v>33</v>
      </c>
      <c r="M44" s="92"/>
    </row>
    <row r="45" spans="1:13" ht="21.6" x14ac:dyDescent="0.65">
      <c r="A45" s="195"/>
      <c r="B45" s="144">
        <v>42</v>
      </c>
      <c r="C45" s="2"/>
      <c r="D45" s="1"/>
      <c r="E45" s="3"/>
      <c r="F45" s="1"/>
      <c r="G45" s="141">
        <f>IF(Basic34567891011[[#This Row],[نوع الخدمة]]="مخالفات", 50,
IF(Basic34567891011[[#This Row],[نوع الخدمة]]="كاش ان",
    IF(F45&lt;=100, 18, IF(F45&lt;=250, 23, IF(F45&lt;=500, 35, IF(F45&lt;=1000, 40, F45*0.04)))),
IF(Basic34567891011[[#This Row],[نوع الخدمة]]="كاش اوت",
    IF(F45&lt;=100, 15, IF(F45&lt;=250, 20, IF(F45&lt;=500, 30, IF(F45&lt;=1000, 35, F45*0.035)))),
0)))</f>
        <v>0</v>
      </c>
      <c r="H45" s="163">
        <f>IF(I45="مخالفات",50,Basic34567891011[[#This Row],[قيمة الرسوم / العموله]]+Basic34567891011[[#This Row],[قيمة الشحنه]])</f>
        <v>0</v>
      </c>
      <c r="I45" s="90"/>
      <c r="J45" s="142" t="str">
        <f t="shared" si="0"/>
        <v>22.5.2026</v>
      </c>
      <c r="L45" s="153">
        <v>34</v>
      </c>
      <c r="M45" s="92"/>
    </row>
    <row r="46" spans="1:13" ht="21.6" x14ac:dyDescent="0.65">
      <c r="A46" s="195"/>
      <c r="B46" s="140">
        <v>43</v>
      </c>
      <c r="C46" s="2"/>
      <c r="D46" s="1"/>
      <c r="E46" s="3"/>
      <c r="F46" s="1"/>
      <c r="G46" s="141">
        <f>IF(Basic34567891011[[#This Row],[نوع الخدمة]]="مخالفات", 50,
IF(Basic34567891011[[#This Row],[نوع الخدمة]]="كاش ان",
    IF(F46&lt;=100, 18, IF(F46&lt;=250, 23, IF(F46&lt;=500, 35, IF(F46&lt;=1000, 40, F46*0.04)))),
IF(Basic34567891011[[#This Row],[نوع الخدمة]]="كاش اوت",
    IF(F46&lt;=100, 15, IF(F46&lt;=250, 20, IF(F46&lt;=500, 30, IF(F46&lt;=1000, 35, F46*0.035)))),
0)))</f>
        <v>0</v>
      </c>
      <c r="H46" s="163">
        <f>IF(I46="مخالفات",50,Basic34567891011[[#This Row],[قيمة الرسوم / العموله]]+Basic34567891011[[#This Row],[قيمة الشحنه]])</f>
        <v>0</v>
      </c>
      <c r="I46" s="90"/>
      <c r="J46" s="142" t="str">
        <f t="shared" si="0"/>
        <v>22.5.2026</v>
      </c>
      <c r="L46" s="153">
        <v>35</v>
      </c>
      <c r="M46" s="92"/>
    </row>
    <row r="47" spans="1:13" ht="21.6" x14ac:dyDescent="0.65">
      <c r="A47" s="195"/>
      <c r="B47" s="140">
        <v>44</v>
      </c>
      <c r="C47" s="2"/>
      <c r="D47" s="1"/>
      <c r="E47" s="3"/>
      <c r="F47" s="1"/>
      <c r="G47" s="141">
        <f>IF(Basic34567891011[[#This Row],[نوع الخدمة]]="مخالفات", 50,
IF(Basic34567891011[[#This Row],[نوع الخدمة]]="كاش ان",
    IF(F47&lt;=100, 18, IF(F47&lt;=250, 23, IF(F47&lt;=500, 35, IF(F47&lt;=1000, 40, F47*0.04)))),
IF(Basic34567891011[[#This Row],[نوع الخدمة]]="كاش اوت",
    IF(F47&lt;=100, 15, IF(F47&lt;=250, 20, IF(F47&lt;=500, 30, IF(F47&lt;=1000, 35, F47*0.035)))),
0)))</f>
        <v>0</v>
      </c>
      <c r="H47" s="163">
        <f>IF(I47="مخالفات",50,Basic34567891011[[#This Row],[قيمة الرسوم / العموله]]+Basic34567891011[[#This Row],[قيمة الشحنه]])</f>
        <v>0</v>
      </c>
      <c r="I47" s="90"/>
      <c r="J47" s="142" t="str">
        <f t="shared" si="0"/>
        <v>22.5.2026</v>
      </c>
      <c r="L47" s="153">
        <v>36</v>
      </c>
      <c r="M47" s="92"/>
    </row>
    <row r="48" spans="1:13" ht="21.6" x14ac:dyDescent="0.65">
      <c r="A48" s="195"/>
      <c r="B48" s="140">
        <v>45</v>
      </c>
      <c r="C48" s="2"/>
      <c r="D48" s="1"/>
      <c r="E48" s="3"/>
      <c r="F48" s="1"/>
      <c r="G48" s="141">
        <f>IF(Basic34567891011[[#This Row],[نوع الخدمة]]="مخالفات", 50,
IF(Basic34567891011[[#This Row],[نوع الخدمة]]="كاش ان",
    IF(F48&lt;=100, 18, IF(F48&lt;=250, 23, IF(F48&lt;=500, 35, IF(F48&lt;=1000, 40, F48*0.04)))),
IF(Basic34567891011[[#This Row],[نوع الخدمة]]="كاش اوت",
    IF(F48&lt;=100, 15, IF(F48&lt;=250, 20, IF(F48&lt;=500, 30, IF(F48&lt;=1000, 35, F48*0.035)))),
0)))</f>
        <v>0</v>
      </c>
      <c r="H48" s="163">
        <f>IF(I48="مخالفات",50,Basic34567891011[[#This Row],[قيمة الرسوم / العموله]]+Basic34567891011[[#This Row],[قيمة الشحنه]])</f>
        <v>0</v>
      </c>
      <c r="I48" s="90"/>
      <c r="J48" s="142" t="str">
        <f t="shared" si="0"/>
        <v>22.5.2026</v>
      </c>
      <c r="L48" s="153">
        <v>37</v>
      </c>
      <c r="M48" s="92"/>
    </row>
    <row r="49" spans="1:13" ht="21.6" x14ac:dyDescent="0.65">
      <c r="A49" s="195"/>
      <c r="B49" s="144">
        <v>46</v>
      </c>
      <c r="C49" s="2"/>
      <c r="D49" s="1"/>
      <c r="E49" s="3"/>
      <c r="F49" s="1"/>
      <c r="G49" s="141">
        <f>IF(Basic34567891011[[#This Row],[نوع الخدمة]]="مخالفات", 50,
IF(Basic34567891011[[#This Row],[نوع الخدمة]]="كاش ان",
    IF(F49&lt;=100, 18, IF(F49&lt;=250, 23, IF(F49&lt;=500, 35, IF(F49&lt;=1000, 40, F49*0.04)))),
IF(Basic34567891011[[#This Row],[نوع الخدمة]]="كاش اوت",
    IF(F49&lt;=100, 15, IF(F49&lt;=250, 20, IF(F49&lt;=500, 30, IF(F49&lt;=1000, 35, F49*0.035)))),
0)))</f>
        <v>0</v>
      </c>
      <c r="H49" s="163">
        <f>IF(I49="مخالفات",50,Basic34567891011[[#This Row],[قيمة الرسوم / العموله]]+Basic34567891011[[#This Row],[قيمة الشحنه]])</f>
        <v>0</v>
      </c>
      <c r="I49" s="90"/>
      <c r="J49" s="142" t="str">
        <f t="shared" si="0"/>
        <v>22.5.2026</v>
      </c>
      <c r="L49" s="153">
        <v>38</v>
      </c>
      <c r="M49" s="92"/>
    </row>
    <row r="50" spans="1:13" ht="21.6" x14ac:dyDescent="0.65">
      <c r="A50" s="195"/>
      <c r="B50" s="140">
        <v>47</v>
      </c>
      <c r="C50" s="2"/>
      <c r="D50" s="1"/>
      <c r="E50" s="3"/>
      <c r="F50" s="1"/>
      <c r="G50" s="141">
        <f>IF(Basic34567891011[[#This Row],[نوع الخدمة]]="مخالفات", 50,
IF(Basic34567891011[[#This Row],[نوع الخدمة]]="كاش ان",
    IF(F50&lt;=100, 18, IF(F50&lt;=250, 23, IF(F50&lt;=500, 35, IF(F50&lt;=1000, 40, F50*0.04)))),
IF(Basic34567891011[[#This Row],[نوع الخدمة]]="كاش اوت",
    IF(F50&lt;=100, 15, IF(F50&lt;=250, 20, IF(F50&lt;=500, 30, IF(F50&lt;=1000, 35, F50*0.035)))),
0)))</f>
        <v>0</v>
      </c>
      <c r="H50" s="163">
        <f>IF(I50="مخالفات",50,Basic34567891011[[#This Row],[قيمة الرسوم / العموله]]+Basic34567891011[[#This Row],[قيمة الشحنه]])</f>
        <v>0</v>
      </c>
      <c r="I50" s="90"/>
      <c r="J50" s="142" t="str">
        <f t="shared" si="0"/>
        <v>22.5.2026</v>
      </c>
      <c r="L50" s="153">
        <v>39</v>
      </c>
      <c r="M50" s="92"/>
    </row>
    <row r="51" spans="1:13" ht="21.6" x14ac:dyDescent="0.65">
      <c r="A51" s="195"/>
      <c r="B51" s="140">
        <v>48</v>
      </c>
      <c r="C51" s="2"/>
      <c r="D51" s="1"/>
      <c r="E51" s="3"/>
      <c r="F51" s="1"/>
      <c r="G51" s="141">
        <f>IF(Basic34567891011[[#This Row],[نوع الخدمة]]="مخالفات", 50,
IF(Basic34567891011[[#This Row],[نوع الخدمة]]="كاش ان",
    IF(F51&lt;=100, 18, IF(F51&lt;=250, 23, IF(F51&lt;=500, 35, IF(F51&lt;=1000, 40, F51*0.04)))),
IF(Basic34567891011[[#This Row],[نوع الخدمة]]="كاش اوت",
    IF(F51&lt;=100, 15, IF(F51&lt;=250, 20, IF(F51&lt;=500, 30, IF(F51&lt;=1000, 35, F51*0.035)))),
0)))</f>
        <v>0</v>
      </c>
      <c r="H51" s="163">
        <f>IF(I51="مخالفات",50,Basic34567891011[[#This Row],[قيمة الرسوم / العموله]]+Basic34567891011[[#This Row],[قيمة الشحنه]])</f>
        <v>0</v>
      </c>
      <c r="I51" s="90"/>
      <c r="J51" s="142" t="str">
        <f t="shared" si="0"/>
        <v>22.5.2026</v>
      </c>
      <c r="L51" s="153">
        <v>40</v>
      </c>
      <c r="M51" s="92"/>
    </row>
    <row r="52" spans="1:13" ht="21.6" x14ac:dyDescent="0.65">
      <c r="A52" s="195"/>
      <c r="B52" s="140">
        <v>49</v>
      </c>
      <c r="C52" s="2"/>
      <c r="D52" s="1"/>
      <c r="E52" s="3"/>
      <c r="F52" s="1"/>
      <c r="G52" s="141">
        <f>IF(Basic34567891011[[#This Row],[نوع الخدمة]]="مخالفات", 50,
IF(Basic34567891011[[#This Row],[نوع الخدمة]]="كاش ان",
    IF(F52&lt;=100, 18, IF(F52&lt;=250, 23, IF(F52&lt;=500, 35, IF(F52&lt;=1000, 40, F52*0.04)))),
IF(Basic34567891011[[#This Row],[نوع الخدمة]]="كاش اوت",
    IF(F52&lt;=100, 15, IF(F52&lt;=250, 20, IF(F52&lt;=500, 30, IF(F52&lt;=1000, 35, F52*0.035)))),
0)))</f>
        <v>0</v>
      </c>
      <c r="H52" s="163">
        <f>IF(I52="مخالفات",50,Basic34567891011[[#This Row],[قيمة الرسوم / العموله]]+Basic34567891011[[#This Row],[قيمة الشحنه]])</f>
        <v>0</v>
      </c>
      <c r="I52" s="90"/>
      <c r="J52" s="142" t="str">
        <f t="shared" si="0"/>
        <v>22.5.2026</v>
      </c>
      <c r="L52" s="153">
        <v>41</v>
      </c>
      <c r="M52" s="92"/>
    </row>
    <row r="53" spans="1:13" ht="21.6" x14ac:dyDescent="0.65">
      <c r="A53" s="195"/>
      <c r="B53" s="144">
        <v>50</v>
      </c>
      <c r="C53" s="2"/>
      <c r="D53" s="1"/>
      <c r="E53" s="3"/>
      <c r="F53" s="1"/>
      <c r="G53" s="141">
        <f>IF(Basic34567891011[[#This Row],[نوع الخدمة]]="مخالفات", 50,
IF(Basic34567891011[[#This Row],[نوع الخدمة]]="كاش ان",
    IF(F53&lt;=100, 18, IF(F53&lt;=250, 23, IF(F53&lt;=500, 35, IF(F53&lt;=1000, 40, F53*0.04)))),
IF(Basic34567891011[[#This Row],[نوع الخدمة]]="كاش اوت",
    IF(F53&lt;=100, 15, IF(F53&lt;=250, 20, IF(F53&lt;=500, 30, IF(F53&lt;=1000, 35, F53*0.035)))),
0)))</f>
        <v>0</v>
      </c>
      <c r="H53" s="163">
        <f>IF(I53="مخالفات",50,Basic34567891011[[#This Row],[قيمة الرسوم / العموله]]+Basic34567891011[[#This Row],[قيمة الشحنه]])</f>
        <v>0</v>
      </c>
      <c r="I53" s="90"/>
      <c r="J53" s="142" t="str">
        <f t="shared" si="0"/>
        <v>22.5.2026</v>
      </c>
      <c r="L53" s="153">
        <v>42</v>
      </c>
      <c r="M53" s="92"/>
    </row>
    <row r="54" spans="1:13" ht="21.6" x14ac:dyDescent="0.65">
      <c r="A54" s="195"/>
      <c r="B54" s="140">
        <v>51</v>
      </c>
      <c r="C54" s="2"/>
      <c r="D54" s="1"/>
      <c r="E54" s="3"/>
      <c r="F54" s="1"/>
      <c r="G54" s="141">
        <f>IF(Basic34567891011[[#This Row],[نوع الخدمة]]="مخالفات", 50,
IF(Basic34567891011[[#This Row],[نوع الخدمة]]="كاش ان",
    IF(F54&lt;=100, 18, IF(F54&lt;=250, 23, IF(F54&lt;=500, 35, IF(F54&lt;=1000, 40, F54*0.04)))),
IF(Basic34567891011[[#This Row],[نوع الخدمة]]="كاش اوت",
    IF(F54&lt;=100, 15, IF(F54&lt;=250, 20, IF(F54&lt;=500, 30, IF(F54&lt;=1000, 35, F54*0.035)))),
0)))</f>
        <v>0</v>
      </c>
      <c r="H54" s="163">
        <f>IF(I54="مخالفات",50,Basic34567891011[[#This Row],[قيمة الرسوم / العموله]]+Basic34567891011[[#This Row],[قيمة الشحنه]])</f>
        <v>0</v>
      </c>
      <c r="I54" s="90"/>
      <c r="J54" s="142" t="str">
        <f t="shared" si="0"/>
        <v>22.5.2026</v>
      </c>
      <c r="L54" s="153">
        <v>43</v>
      </c>
      <c r="M54" s="92"/>
    </row>
    <row r="55" spans="1:13" ht="21.6" x14ac:dyDescent="0.65">
      <c r="A55" s="195"/>
      <c r="B55" s="140">
        <v>52</v>
      </c>
      <c r="C55" s="2"/>
      <c r="D55" s="1"/>
      <c r="E55" s="3"/>
      <c r="F55" s="1"/>
      <c r="G55" s="141">
        <f>IF(Basic34567891011[[#This Row],[نوع الخدمة]]="مخالفات", 50,
IF(Basic34567891011[[#This Row],[نوع الخدمة]]="كاش ان",
    IF(F55&lt;=100, 18, IF(F55&lt;=250, 23, IF(F55&lt;=500, 35, IF(F55&lt;=1000, 40, F55*0.04)))),
IF(Basic34567891011[[#This Row],[نوع الخدمة]]="كاش اوت",
    IF(F55&lt;=100, 15, IF(F55&lt;=250, 20, IF(F55&lt;=500, 30, IF(F55&lt;=1000, 35, F55*0.035)))),
0)))</f>
        <v>0</v>
      </c>
      <c r="H55" s="163">
        <f>IF(I55="مخالفات",50,Basic34567891011[[#This Row],[قيمة الرسوم / العموله]]+Basic34567891011[[#This Row],[قيمة الشحنه]])</f>
        <v>0</v>
      </c>
      <c r="I55" s="90"/>
      <c r="J55" s="142" t="str">
        <f t="shared" si="0"/>
        <v>22.5.2026</v>
      </c>
      <c r="L55" s="153">
        <v>44</v>
      </c>
      <c r="M55" s="92"/>
    </row>
    <row r="56" spans="1:13" ht="21.6" x14ac:dyDescent="0.65">
      <c r="A56" s="195"/>
      <c r="B56" s="140">
        <v>53</v>
      </c>
      <c r="C56" s="2"/>
      <c r="D56" s="1"/>
      <c r="E56" s="3"/>
      <c r="F56" s="1"/>
      <c r="G56" s="141">
        <f>IF(Basic34567891011[[#This Row],[نوع الخدمة]]="مخالفات", 50,
IF(Basic34567891011[[#This Row],[نوع الخدمة]]="كاش ان",
    IF(F56&lt;=100, 18, IF(F56&lt;=250, 23, IF(F56&lt;=500, 35, IF(F56&lt;=1000, 40, F56*0.04)))),
IF(Basic34567891011[[#This Row],[نوع الخدمة]]="كاش اوت",
    IF(F56&lt;=100, 15, IF(F56&lt;=250, 20, IF(F56&lt;=500, 30, IF(F56&lt;=1000, 35, F56*0.035)))),
0)))</f>
        <v>0</v>
      </c>
      <c r="H56" s="163">
        <f>IF(I56="مخالفات",50,Basic34567891011[[#This Row],[قيمة الرسوم / العموله]]+Basic34567891011[[#This Row],[قيمة الشحنه]])</f>
        <v>0</v>
      </c>
      <c r="I56" s="90"/>
      <c r="J56" s="142" t="str">
        <f t="shared" si="0"/>
        <v>22.5.2026</v>
      </c>
      <c r="L56" s="153">
        <v>45</v>
      </c>
      <c r="M56" s="92"/>
    </row>
    <row r="57" spans="1:13" ht="21.6" x14ac:dyDescent="0.65">
      <c r="A57" s="195"/>
      <c r="B57" s="144">
        <v>54</v>
      </c>
      <c r="C57" s="2"/>
      <c r="D57" s="1"/>
      <c r="E57" s="3"/>
      <c r="F57" s="1"/>
      <c r="G57" s="141">
        <f>IF(Basic34567891011[[#This Row],[نوع الخدمة]]="مخالفات", 50,
IF(Basic34567891011[[#This Row],[نوع الخدمة]]="كاش ان",
    IF(F57&lt;=100, 18, IF(F57&lt;=250, 23, IF(F57&lt;=500, 35, IF(F57&lt;=1000, 40, F57*0.04)))),
IF(Basic34567891011[[#This Row],[نوع الخدمة]]="كاش اوت",
    IF(F57&lt;=100, 15, IF(F57&lt;=250, 20, IF(F57&lt;=500, 30, IF(F57&lt;=1000, 35, F57*0.035)))),
0)))</f>
        <v>0</v>
      </c>
      <c r="H57" s="163">
        <f>IF(I57="مخالفات",50,Basic34567891011[[#This Row],[قيمة الرسوم / العموله]]+Basic34567891011[[#This Row],[قيمة الشحنه]])</f>
        <v>0</v>
      </c>
      <c r="I57" s="90"/>
      <c r="J57" s="142" t="str">
        <f t="shared" si="0"/>
        <v>22.5.2026</v>
      </c>
      <c r="L57" s="153">
        <v>46</v>
      </c>
      <c r="M57" s="92"/>
    </row>
    <row r="58" spans="1:13" ht="21.6" x14ac:dyDescent="0.65">
      <c r="A58" s="195"/>
      <c r="B58" s="140">
        <v>55</v>
      </c>
      <c r="C58" s="2"/>
      <c r="D58" s="1"/>
      <c r="E58" s="3"/>
      <c r="F58" s="1"/>
      <c r="G58" s="141">
        <f>IF(Basic34567891011[[#This Row],[نوع الخدمة]]="مخالفات", 50,
IF(Basic34567891011[[#This Row],[نوع الخدمة]]="كاش ان",
    IF(F58&lt;=100, 18, IF(F58&lt;=250, 23, IF(F58&lt;=500, 35, IF(F58&lt;=1000, 40, F58*0.04)))),
IF(Basic34567891011[[#This Row],[نوع الخدمة]]="كاش اوت",
    IF(F58&lt;=100, 15, IF(F58&lt;=250, 20, IF(F58&lt;=500, 30, IF(F58&lt;=1000, 35, F58*0.035)))),
0)))</f>
        <v>0</v>
      </c>
      <c r="H58" s="163">
        <f>IF(I58="مخالفات",50,Basic34567891011[[#This Row],[قيمة الرسوم / العموله]]+Basic34567891011[[#This Row],[قيمة الشحنه]])</f>
        <v>0</v>
      </c>
      <c r="I58" s="90"/>
      <c r="J58" s="142" t="str">
        <f t="shared" si="0"/>
        <v>22.5.2026</v>
      </c>
      <c r="L58" s="153">
        <v>47</v>
      </c>
      <c r="M58" s="92"/>
    </row>
    <row r="59" spans="1:13" ht="21.6" x14ac:dyDescent="0.65">
      <c r="A59" s="195"/>
      <c r="B59" s="140">
        <v>56</v>
      </c>
      <c r="C59" s="2"/>
      <c r="D59" s="1"/>
      <c r="E59" s="3"/>
      <c r="F59" s="1"/>
      <c r="G59" s="141">
        <f>IF(Basic34567891011[[#This Row],[نوع الخدمة]]="مخالفات", 50,
IF(Basic34567891011[[#This Row],[نوع الخدمة]]="كاش ان",
    IF(F59&lt;=100, 18, IF(F59&lt;=250, 23, IF(F59&lt;=500, 35, IF(F59&lt;=1000, 40, F59*0.04)))),
IF(Basic34567891011[[#This Row],[نوع الخدمة]]="كاش اوت",
    IF(F59&lt;=100, 15, IF(F59&lt;=250, 20, IF(F59&lt;=500, 30, IF(F59&lt;=1000, 35, F59*0.035)))),
0)))</f>
        <v>0</v>
      </c>
      <c r="H59" s="163">
        <f>IF(I59="مخالفات",50,Basic34567891011[[#This Row],[قيمة الرسوم / العموله]]+Basic34567891011[[#This Row],[قيمة الشحنه]])</f>
        <v>0</v>
      </c>
      <c r="I59" s="90"/>
      <c r="J59" s="142" t="str">
        <f t="shared" si="0"/>
        <v>22.5.2026</v>
      </c>
      <c r="L59" s="153">
        <v>48</v>
      </c>
      <c r="M59" s="92"/>
    </row>
    <row r="60" spans="1:13" ht="21.6" x14ac:dyDescent="0.65">
      <c r="A60" s="195"/>
      <c r="B60" s="140">
        <v>57</v>
      </c>
      <c r="C60" s="2"/>
      <c r="D60" s="1"/>
      <c r="E60" s="3"/>
      <c r="F60" s="1"/>
      <c r="G60" s="141">
        <f>IF(Basic34567891011[[#This Row],[نوع الخدمة]]="مخالفات", 50,
IF(Basic34567891011[[#This Row],[نوع الخدمة]]="كاش ان",
    IF(F60&lt;=100, 18, IF(F60&lt;=250, 23, IF(F60&lt;=500, 35, IF(F60&lt;=1000, 40, F60*0.04)))),
IF(Basic34567891011[[#This Row],[نوع الخدمة]]="كاش اوت",
    IF(F60&lt;=100, 15, IF(F60&lt;=250, 20, IF(F60&lt;=500, 30, IF(F60&lt;=1000, 35, F60*0.035)))),
0)))</f>
        <v>0</v>
      </c>
      <c r="H60" s="163">
        <f>IF(I60="مخالفات",50,Basic34567891011[[#This Row],[قيمة الرسوم / العموله]]+Basic34567891011[[#This Row],[قيمة الشحنه]])</f>
        <v>0</v>
      </c>
      <c r="I60" s="90"/>
      <c r="J60" s="142" t="str">
        <f t="shared" si="0"/>
        <v>22.5.2026</v>
      </c>
      <c r="L60" s="153">
        <v>49</v>
      </c>
      <c r="M60" s="92"/>
    </row>
    <row r="61" spans="1:13" ht="21.6" x14ac:dyDescent="0.65">
      <c r="A61" s="195"/>
      <c r="B61" s="144">
        <v>58</v>
      </c>
      <c r="C61" s="2"/>
      <c r="D61" s="1"/>
      <c r="E61" s="3"/>
      <c r="F61" s="1"/>
      <c r="G61" s="141">
        <f>IF(Basic34567891011[[#This Row],[نوع الخدمة]]="مخالفات", 50,
IF(Basic34567891011[[#This Row],[نوع الخدمة]]="كاش ان",
    IF(F61&lt;=100, 18, IF(F61&lt;=250, 23, IF(F61&lt;=500, 35, IF(F61&lt;=1000, 40, F61*0.04)))),
IF(Basic34567891011[[#This Row],[نوع الخدمة]]="كاش اوت",
    IF(F61&lt;=100, 15, IF(F61&lt;=250, 20, IF(F61&lt;=500, 30, IF(F61&lt;=1000, 35, F61*0.035)))),
0)))</f>
        <v>0</v>
      </c>
      <c r="H61" s="163">
        <f>IF(I61="مخالفات",50,Basic34567891011[[#This Row],[قيمة الرسوم / العموله]]+Basic34567891011[[#This Row],[قيمة الشحنه]])</f>
        <v>0</v>
      </c>
      <c r="I61" s="90"/>
      <c r="J61" s="142" t="str">
        <f t="shared" si="0"/>
        <v>22.5.2026</v>
      </c>
      <c r="L61" s="153">
        <v>50</v>
      </c>
      <c r="M61" s="92"/>
    </row>
    <row r="62" spans="1:13" ht="21.6" x14ac:dyDescent="0.65">
      <c r="A62" s="195"/>
      <c r="B62" s="140">
        <v>59</v>
      </c>
      <c r="C62" s="2"/>
      <c r="D62" s="1"/>
      <c r="E62" s="3"/>
      <c r="F62" s="1"/>
      <c r="G62" s="141">
        <f>IF(Basic34567891011[[#This Row],[نوع الخدمة]]="مخالفات", 50,
IF(Basic34567891011[[#This Row],[نوع الخدمة]]="كاش ان",
    IF(F62&lt;=100, 18, IF(F62&lt;=250, 23, IF(F62&lt;=500, 35, IF(F62&lt;=1000, 40, F62*0.04)))),
IF(Basic34567891011[[#This Row],[نوع الخدمة]]="كاش اوت",
    IF(F62&lt;=100, 15, IF(F62&lt;=250, 20, IF(F62&lt;=500, 30, IF(F62&lt;=1000, 35, F62*0.035)))),
0)))</f>
        <v>0</v>
      </c>
      <c r="H62" s="163">
        <f>IF(I62="مخالفات",50,Basic34567891011[[#This Row],[قيمة الرسوم / العموله]]+Basic34567891011[[#This Row],[قيمة الشحنه]])</f>
        <v>0</v>
      </c>
      <c r="I62" s="90"/>
      <c r="J62" s="142" t="str">
        <f t="shared" si="0"/>
        <v>22.5.2026</v>
      </c>
      <c r="L62" s="153">
        <v>51</v>
      </c>
      <c r="M62" s="92"/>
    </row>
    <row r="63" spans="1:13" ht="21.6" x14ac:dyDescent="0.65">
      <c r="A63" s="195"/>
      <c r="B63" s="140">
        <v>60</v>
      </c>
      <c r="C63" s="2"/>
      <c r="D63" s="1"/>
      <c r="E63" s="3"/>
      <c r="F63" s="1"/>
      <c r="G63" s="141">
        <f>IF(Basic34567891011[[#This Row],[نوع الخدمة]]="مخالفات", 50,
IF(Basic34567891011[[#This Row],[نوع الخدمة]]="كاش ان",
    IF(F63&lt;=100, 18, IF(F63&lt;=250, 23, IF(F63&lt;=500, 35, IF(F63&lt;=1000, 40, F63*0.04)))),
IF(Basic34567891011[[#This Row],[نوع الخدمة]]="كاش اوت",
    IF(F63&lt;=100, 15, IF(F63&lt;=250, 20, IF(F63&lt;=500, 30, IF(F63&lt;=1000, 35, F63*0.035)))),
0)))</f>
        <v>0</v>
      </c>
      <c r="H63" s="163">
        <f>IF(I63="مخالفات",50,Basic34567891011[[#This Row],[قيمة الرسوم / العموله]]+Basic34567891011[[#This Row],[قيمة الشحنه]])</f>
        <v>0</v>
      </c>
      <c r="I63" s="90"/>
      <c r="J63" s="142" t="str">
        <f t="shared" si="0"/>
        <v>22.5.2026</v>
      </c>
      <c r="L63" s="153">
        <v>52</v>
      </c>
      <c r="M63" s="92"/>
    </row>
    <row r="64" spans="1:13" ht="21.6" x14ac:dyDescent="0.65">
      <c r="A64" s="195"/>
      <c r="B64" s="140">
        <v>61</v>
      </c>
      <c r="C64" s="2"/>
      <c r="D64" s="1"/>
      <c r="E64" s="3"/>
      <c r="F64" s="1"/>
      <c r="G64" s="141">
        <f>IF(Basic34567891011[[#This Row],[نوع الخدمة]]="مخالفات", 50,
IF(Basic34567891011[[#This Row],[نوع الخدمة]]="كاش ان",
    IF(F64&lt;=100, 18, IF(F64&lt;=250, 23, IF(F64&lt;=500, 35, IF(F64&lt;=1000, 40, F64*0.04)))),
IF(Basic34567891011[[#This Row],[نوع الخدمة]]="كاش اوت",
    IF(F64&lt;=100, 15, IF(F64&lt;=250, 20, IF(F64&lt;=500, 30, IF(F64&lt;=1000, 35, F64*0.035)))),
0)))</f>
        <v>0</v>
      </c>
      <c r="H64" s="163">
        <f>IF(I64="مخالفات",50,Basic34567891011[[#This Row],[قيمة الرسوم / العموله]]+Basic34567891011[[#This Row],[قيمة الشحنه]])</f>
        <v>0</v>
      </c>
      <c r="I64" s="90"/>
      <c r="J64" s="142" t="str">
        <f t="shared" si="0"/>
        <v>22.5.2026</v>
      </c>
      <c r="L64" s="153">
        <v>53</v>
      </c>
      <c r="M64" s="92"/>
    </row>
    <row r="65" spans="1:13" ht="21.6" x14ac:dyDescent="0.65">
      <c r="A65" s="195"/>
      <c r="B65" s="144">
        <v>62</v>
      </c>
      <c r="C65" s="2"/>
      <c r="D65" s="1"/>
      <c r="E65" s="3"/>
      <c r="F65" s="1"/>
      <c r="G65" s="141">
        <f>IF(Basic34567891011[[#This Row],[نوع الخدمة]]="مخالفات", 50,
IF(Basic34567891011[[#This Row],[نوع الخدمة]]="كاش ان",
    IF(F65&lt;=100, 18, IF(F65&lt;=250, 23, IF(F65&lt;=500, 35, IF(F65&lt;=1000, 40, F65*0.04)))),
IF(Basic34567891011[[#This Row],[نوع الخدمة]]="كاش اوت",
    IF(F65&lt;=100, 15, IF(F65&lt;=250, 20, IF(F65&lt;=500, 30, IF(F65&lt;=1000, 35, F65*0.035)))),
0)))</f>
        <v>0</v>
      </c>
      <c r="H65" s="163">
        <f>IF(I65="مخالفات",50,Basic34567891011[[#This Row],[قيمة الرسوم / العموله]]+Basic34567891011[[#This Row],[قيمة الشحنه]])</f>
        <v>0</v>
      </c>
      <c r="I65" s="90"/>
      <c r="J65" s="142" t="str">
        <f t="shared" si="0"/>
        <v>22.5.2026</v>
      </c>
      <c r="L65" s="153">
        <v>54</v>
      </c>
      <c r="M65" s="92"/>
    </row>
    <row r="66" spans="1:13" ht="21.6" x14ac:dyDescent="0.65">
      <c r="A66" s="195"/>
      <c r="B66" s="140">
        <v>63</v>
      </c>
      <c r="C66" s="2"/>
      <c r="D66" s="1"/>
      <c r="E66" s="3"/>
      <c r="F66" s="1"/>
      <c r="G66" s="141">
        <f>IF(Basic34567891011[[#This Row],[نوع الخدمة]]="مخالفات", 50,
IF(Basic34567891011[[#This Row],[نوع الخدمة]]="كاش ان",
    IF(F66&lt;=100, 18, IF(F66&lt;=250, 23, IF(F66&lt;=500, 35, IF(F66&lt;=1000, 40, F66*0.04)))),
IF(Basic34567891011[[#This Row],[نوع الخدمة]]="كاش اوت",
    IF(F66&lt;=100, 15, IF(F66&lt;=250, 20, IF(F66&lt;=500, 30, IF(F66&lt;=1000, 35, F66*0.035)))),
0)))</f>
        <v>0</v>
      </c>
      <c r="H66" s="163">
        <f>IF(I66="مخالفات",50,Basic34567891011[[#This Row],[قيمة الرسوم / العموله]]+Basic34567891011[[#This Row],[قيمة الشحنه]])</f>
        <v>0</v>
      </c>
      <c r="I66" s="90"/>
      <c r="J66" s="142" t="str">
        <f t="shared" si="0"/>
        <v>22.5.2026</v>
      </c>
      <c r="L66" s="153">
        <v>55</v>
      </c>
      <c r="M66" s="92"/>
    </row>
    <row r="67" spans="1:13" ht="21.6" x14ac:dyDescent="0.65">
      <c r="A67" s="195"/>
      <c r="B67" s="140">
        <v>64</v>
      </c>
      <c r="C67" s="2"/>
      <c r="D67" s="1"/>
      <c r="E67" s="3"/>
      <c r="F67" s="1"/>
      <c r="G67" s="141">
        <f>IF(Basic34567891011[[#This Row],[نوع الخدمة]]="مخالفات", 50,
IF(Basic34567891011[[#This Row],[نوع الخدمة]]="كاش ان",
    IF(F67&lt;=100, 18, IF(F67&lt;=250, 23, IF(F67&lt;=500, 35, IF(F67&lt;=1000, 40, F67*0.04)))),
IF(Basic34567891011[[#This Row],[نوع الخدمة]]="كاش اوت",
    IF(F67&lt;=100, 15, IF(F67&lt;=250, 20, IF(F67&lt;=500, 30, IF(F67&lt;=1000, 35, F67*0.035)))),
0)))</f>
        <v>0</v>
      </c>
      <c r="H67" s="163">
        <f>IF(I67="مخالفات",50,Basic34567891011[[#This Row],[قيمة الرسوم / العموله]]+Basic34567891011[[#This Row],[قيمة الشحنه]])</f>
        <v>0</v>
      </c>
      <c r="I67" s="90"/>
      <c r="J67" s="142" t="str">
        <f t="shared" si="0"/>
        <v>22.5.2026</v>
      </c>
      <c r="L67" s="153">
        <v>56</v>
      </c>
      <c r="M67" s="92"/>
    </row>
    <row r="68" spans="1:13" ht="21.6" x14ac:dyDescent="0.65">
      <c r="A68" s="195"/>
      <c r="B68" s="140">
        <v>65</v>
      </c>
      <c r="C68" s="2"/>
      <c r="D68" s="1"/>
      <c r="E68" s="3"/>
      <c r="F68" s="1"/>
      <c r="G68" s="141">
        <f>IF(Basic34567891011[[#This Row],[نوع الخدمة]]="مخالفات", 50,
IF(Basic34567891011[[#This Row],[نوع الخدمة]]="كاش ان",
    IF(F68&lt;=100, 18, IF(F68&lt;=250, 23, IF(F68&lt;=500, 35, IF(F68&lt;=1000, 40, F68*0.04)))),
IF(Basic34567891011[[#This Row],[نوع الخدمة]]="كاش اوت",
    IF(F68&lt;=100, 15, IF(F68&lt;=250, 20, IF(F68&lt;=500, 30, IF(F68&lt;=1000, 35, F68*0.035)))),
0)))</f>
        <v>0</v>
      </c>
      <c r="H68" s="163">
        <f>IF(I68="مخالفات",50,Basic34567891011[[#This Row],[قيمة الرسوم / العموله]]+Basic34567891011[[#This Row],[قيمة الشحنه]])</f>
        <v>0</v>
      </c>
      <c r="I68" s="90"/>
      <c r="J68" s="142" t="str">
        <f t="shared" ref="J68:J131" si="1">M$3</f>
        <v>22.5.2026</v>
      </c>
      <c r="L68" s="153">
        <v>57</v>
      </c>
      <c r="M68" s="92"/>
    </row>
    <row r="69" spans="1:13" ht="21.6" x14ac:dyDescent="0.65">
      <c r="A69" s="195"/>
      <c r="B69" s="144">
        <v>66</v>
      </c>
      <c r="C69" s="2"/>
      <c r="D69" s="1"/>
      <c r="E69" s="3"/>
      <c r="F69" s="1"/>
      <c r="G69" s="141">
        <f>IF(Basic34567891011[[#This Row],[نوع الخدمة]]="مخالفات", 50,
IF(Basic34567891011[[#This Row],[نوع الخدمة]]="كاش ان",
    IF(F69&lt;=100, 18, IF(F69&lt;=250, 23, IF(F69&lt;=500, 35, IF(F69&lt;=1000, 40, F69*0.04)))),
IF(Basic34567891011[[#This Row],[نوع الخدمة]]="كاش اوت",
    IF(F69&lt;=100, 15, IF(F69&lt;=250, 20, IF(F69&lt;=500, 30, IF(F69&lt;=1000, 35, F69*0.035)))),
0)))</f>
        <v>0</v>
      </c>
      <c r="H69" s="163">
        <f>IF(I69="مخالفات",50,Basic34567891011[[#This Row],[قيمة الرسوم / العموله]]+Basic34567891011[[#This Row],[قيمة الشحنه]])</f>
        <v>0</v>
      </c>
      <c r="I69" s="90"/>
      <c r="J69" s="142" t="str">
        <f t="shared" si="1"/>
        <v>22.5.2026</v>
      </c>
      <c r="L69" s="153">
        <v>58</v>
      </c>
      <c r="M69" s="92"/>
    </row>
    <row r="70" spans="1:13" ht="21.6" x14ac:dyDescent="0.65">
      <c r="A70" s="195"/>
      <c r="B70" s="140">
        <v>67</v>
      </c>
      <c r="C70" s="2"/>
      <c r="D70" s="1"/>
      <c r="E70" s="3"/>
      <c r="F70" s="1"/>
      <c r="G70" s="141">
        <f>IF(Basic34567891011[[#This Row],[نوع الخدمة]]="مخالفات", 50,
IF(Basic34567891011[[#This Row],[نوع الخدمة]]="كاش ان",
    IF(F70&lt;=100, 18, IF(F70&lt;=250, 23, IF(F70&lt;=500, 35, IF(F70&lt;=1000, 40, F70*0.04)))),
IF(Basic34567891011[[#This Row],[نوع الخدمة]]="كاش اوت",
    IF(F70&lt;=100, 15, IF(F70&lt;=250, 20, IF(F70&lt;=500, 30, IF(F70&lt;=1000, 35, F70*0.035)))),
0)))</f>
        <v>0</v>
      </c>
      <c r="H70" s="163">
        <f>IF(I70="مخالفات",50,Basic34567891011[[#This Row],[قيمة الرسوم / العموله]]+Basic34567891011[[#This Row],[قيمة الشحنه]])</f>
        <v>0</v>
      </c>
      <c r="I70" s="90"/>
      <c r="J70" s="142" t="str">
        <f t="shared" si="1"/>
        <v>22.5.2026</v>
      </c>
      <c r="L70" s="153">
        <v>59</v>
      </c>
      <c r="M70" s="92"/>
    </row>
    <row r="71" spans="1:13" ht="21.6" x14ac:dyDescent="0.65">
      <c r="A71" s="195"/>
      <c r="B71" s="140">
        <v>68</v>
      </c>
      <c r="C71" s="2"/>
      <c r="D71" s="1"/>
      <c r="E71" s="3"/>
      <c r="F71" s="1"/>
      <c r="G71" s="141">
        <f>IF(Basic34567891011[[#This Row],[نوع الخدمة]]="مخالفات", 50,
IF(Basic34567891011[[#This Row],[نوع الخدمة]]="كاش ان",
    IF(F71&lt;=100, 18, IF(F71&lt;=250, 23, IF(F71&lt;=500, 35, IF(F71&lt;=1000, 40, F71*0.04)))),
IF(Basic34567891011[[#This Row],[نوع الخدمة]]="كاش اوت",
    IF(F71&lt;=100, 15, IF(F71&lt;=250, 20, IF(F71&lt;=500, 30, IF(F71&lt;=1000, 35, F71*0.035)))),
0)))</f>
        <v>0</v>
      </c>
      <c r="H71" s="163">
        <f>IF(I71="مخالفات",50,Basic34567891011[[#This Row],[قيمة الرسوم / العموله]]+Basic34567891011[[#This Row],[قيمة الشحنه]])</f>
        <v>0</v>
      </c>
      <c r="I71" s="90"/>
      <c r="J71" s="142" t="str">
        <f t="shared" si="1"/>
        <v>22.5.2026</v>
      </c>
      <c r="L71" s="153">
        <v>60</v>
      </c>
      <c r="M71" s="92"/>
    </row>
    <row r="72" spans="1:13" ht="21.6" x14ac:dyDescent="0.65">
      <c r="A72" s="195"/>
      <c r="B72" s="140">
        <v>69</v>
      </c>
      <c r="C72" s="2"/>
      <c r="D72" s="1"/>
      <c r="E72" s="3"/>
      <c r="F72" s="1"/>
      <c r="G72" s="141">
        <f>IF(Basic34567891011[[#This Row],[نوع الخدمة]]="مخالفات", 50,
IF(Basic34567891011[[#This Row],[نوع الخدمة]]="كاش ان",
    IF(F72&lt;=100, 18, IF(F72&lt;=250, 23, IF(F72&lt;=500, 35, IF(F72&lt;=1000, 40, F72*0.04)))),
IF(Basic34567891011[[#This Row],[نوع الخدمة]]="كاش اوت",
    IF(F72&lt;=100, 15, IF(F72&lt;=250, 20, IF(F72&lt;=500, 30, IF(F72&lt;=1000, 35, F72*0.035)))),
0)))</f>
        <v>0</v>
      </c>
      <c r="H72" s="163">
        <f>IF(I72="مخالفات",50,Basic34567891011[[#This Row],[قيمة الرسوم / العموله]]+Basic34567891011[[#This Row],[قيمة الشحنه]])</f>
        <v>0</v>
      </c>
      <c r="I72" s="90"/>
      <c r="J72" s="142" t="str">
        <f t="shared" si="1"/>
        <v>22.5.2026</v>
      </c>
      <c r="L72" s="153">
        <v>61</v>
      </c>
      <c r="M72" s="92"/>
    </row>
    <row r="73" spans="1:13" ht="21.6" x14ac:dyDescent="0.65">
      <c r="A73" s="195"/>
      <c r="B73" s="144">
        <v>70</v>
      </c>
      <c r="C73" s="2"/>
      <c r="D73" s="1"/>
      <c r="E73" s="3"/>
      <c r="F73" s="1"/>
      <c r="G73" s="141">
        <f>IF(Basic34567891011[[#This Row],[نوع الخدمة]]="مخالفات", 50,
IF(Basic34567891011[[#This Row],[نوع الخدمة]]="كاش ان",
    IF(F73&lt;=100, 18, IF(F73&lt;=250, 23, IF(F73&lt;=500, 35, IF(F73&lt;=1000, 40, F73*0.04)))),
IF(Basic34567891011[[#This Row],[نوع الخدمة]]="كاش اوت",
    IF(F73&lt;=100, 15, IF(F73&lt;=250, 20, IF(F73&lt;=500, 30, IF(F73&lt;=1000, 35, F73*0.035)))),
0)))</f>
        <v>0</v>
      </c>
      <c r="H73" s="163">
        <f>IF(I73="مخالفات",50,Basic34567891011[[#This Row],[قيمة الرسوم / العموله]]+Basic34567891011[[#This Row],[قيمة الشحنه]])</f>
        <v>0</v>
      </c>
      <c r="I73" s="90"/>
      <c r="J73" s="142" t="str">
        <f t="shared" si="1"/>
        <v>22.5.2026</v>
      </c>
      <c r="L73" s="153">
        <v>62</v>
      </c>
      <c r="M73" s="92"/>
    </row>
    <row r="74" spans="1:13" ht="21.6" x14ac:dyDescent="0.65">
      <c r="A74" s="195"/>
      <c r="B74" s="140">
        <v>71</v>
      </c>
      <c r="C74" s="2"/>
      <c r="D74" s="1"/>
      <c r="E74" s="3"/>
      <c r="F74" s="1"/>
      <c r="G74" s="141">
        <f>IF(Basic34567891011[[#This Row],[نوع الخدمة]]="مخالفات", 50,
IF(Basic34567891011[[#This Row],[نوع الخدمة]]="كاش ان",
    IF(F74&lt;=100, 18, IF(F74&lt;=250, 23, IF(F74&lt;=500, 35, IF(F74&lt;=1000, 40, F74*0.04)))),
IF(Basic34567891011[[#This Row],[نوع الخدمة]]="كاش اوت",
    IF(F74&lt;=100, 15, IF(F74&lt;=250, 20, IF(F74&lt;=500, 30, IF(F74&lt;=1000, 35, F74*0.035)))),
0)))</f>
        <v>0</v>
      </c>
      <c r="H74" s="163">
        <f>IF(I74="مخالفات",50,Basic34567891011[[#This Row],[قيمة الرسوم / العموله]]+Basic34567891011[[#This Row],[قيمة الشحنه]])</f>
        <v>0</v>
      </c>
      <c r="I74" s="90"/>
      <c r="J74" s="142" t="str">
        <f t="shared" si="1"/>
        <v>22.5.2026</v>
      </c>
      <c r="L74" s="153">
        <v>63</v>
      </c>
      <c r="M74" s="92"/>
    </row>
    <row r="75" spans="1:13" ht="21.6" x14ac:dyDescent="0.65">
      <c r="A75" s="195"/>
      <c r="B75" s="140">
        <v>72</v>
      </c>
      <c r="C75" s="2"/>
      <c r="D75" s="1"/>
      <c r="E75" s="3"/>
      <c r="F75" s="1"/>
      <c r="G75" s="141">
        <f>IF(Basic34567891011[[#This Row],[نوع الخدمة]]="مخالفات", 50,
IF(Basic34567891011[[#This Row],[نوع الخدمة]]="كاش ان",
    IF(F75&lt;=100, 18, IF(F75&lt;=250, 23, IF(F75&lt;=500, 35, IF(F75&lt;=1000, 40, F75*0.04)))),
IF(Basic34567891011[[#This Row],[نوع الخدمة]]="كاش اوت",
    IF(F75&lt;=100, 15, IF(F75&lt;=250, 20, IF(F75&lt;=500, 30, IF(F75&lt;=1000, 35, F75*0.035)))),
0)))</f>
        <v>0</v>
      </c>
      <c r="H75" s="163">
        <f>IF(I75="مخالفات",50,Basic34567891011[[#This Row],[قيمة الرسوم / العموله]]+Basic34567891011[[#This Row],[قيمة الشحنه]])</f>
        <v>0</v>
      </c>
      <c r="I75" s="90"/>
      <c r="J75" s="142" t="str">
        <f t="shared" si="1"/>
        <v>22.5.2026</v>
      </c>
      <c r="L75" s="153">
        <v>64</v>
      </c>
      <c r="M75" s="92"/>
    </row>
    <row r="76" spans="1:13" ht="21.6" x14ac:dyDescent="0.65">
      <c r="A76" s="195"/>
      <c r="B76" s="140">
        <v>73</v>
      </c>
      <c r="C76" s="2"/>
      <c r="D76" s="1"/>
      <c r="E76" s="3"/>
      <c r="F76" s="1"/>
      <c r="G76" s="141">
        <f>IF(Basic34567891011[[#This Row],[نوع الخدمة]]="مخالفات", 50,
IF(Basic34567891011[[#This Row],[نوع الخدمة]]="كاش ان",
    IF(F76&lt;=100, 18, IF(F76&lt;=250, 23, IF(F76&lt;=500, 35, IF(F76&lt;=1000, 40, F76*0.04)))),
IF(Basic34567891011[[#This Row],[نوع الخدمة]]="كاش اوت",
    IF(F76&lt;=100, 15, IF(F76&lt;=250, 20, IF(F76&lt;=500, 30, IF(F76&lt;=1000, 35, F76*0.035)))),
0)))</f>
        <v>0</v>
      </c>
      <c r="H76" s="163">
        <f>IF(I76="مخالفات",50,Basic34567891011[[#This Row],[قيمة الرسوم / العموله]]+Basic34567891011[[#This Row],[قيمة الشحنه]])</f>
        <v>0</v>
      </c>
      <c r="I76" s="90"/>
      <c r="J76" s="142" t="str">
        <f t="shared" si="1"/>
        <v>22.5.2026</v>
      </c>
      <c r="L76" s="153">
        <v>65</v>
      </c>
      <c r="M76" s="92"/>
    </row>
    <row r="77" spans="1:13" ht="21.6" x14ac:dyDescent="0.65">
      <c r="A77" s="195"/>
      <c r="B77" s="144">
        <v>74</v>
      </c>
      <c r="C77" s="2"/>
      <c r="D77" s="1"/>
      <c r="E77" s="3"/>
      <c r="F77" s="1"/>
      <c r="G77" s="141">
        <f>IF(Basic34567891011[[#This Row],[نوع الخدمة]]="مخالفات", 50,
IF(Basic34567891011[[#This Row],[نوع الخدمة]]="كاش ان",
    IF(F77&lt;=100, 18, IF(F77&lt;=250, 23, IF(F77&lt;=500, 35, IF(F77&lt;=1000, 40, F77*0.04)))),
IF(Basic34567891011[[#This Row],[نوع الخدمة]]="كاش اوت",
    IF(F77&lt;=100, 15, IF(F77&lt;=250, 20, IF(F77&lt;=500, 30, IF(F77&lt;=1000, 35, F77*0.035)))),
0)))</f>
        <v>0</v>
      </c>
      <c r="H77" s="163">
        <f>IF(I77="مخالفات",50,Basic34567891011[[#This Row],[قيمة الرسوم / العموله]]+Basic34567891011[[#This Row],[قيمة الشحنه]])</f>
        <v>0</v>
      </c>
      <c r="I77" s="90"/>
      <c r="J77" s="142" t="str">
        <f t="shared" si="1"/>
        <v>22.5.2026</v>
      </c>
      <c r="L77" s="153">
        <v>66</v>
      </c>
      <c r="M77" s="92"/>
    </row>
    <row r="78" spans="1:13" ht="21.6" x14ac:dyDescent="0.65">
      <c r="A78" s="195"/>
      <c r="B78" s="140">
        <v>75</v>
      </c>
      <c r="C78" s="2"/>
      <c r="D78" s="1"/>
      <c r="E78" s="3"/>
      <c r="F78" s="1"/>
      <c r="G78" s="141">
        <f>IF(Basic34567891011[[#This Row],[نوع الخدمة]]="مخالفات", 50,
IF(Basic34567891011[[#This Row],[نوع الخدمة]]="كاش ان",
    IF(F78&lt;=100, 18, IF(F78&lt;=250, 23, IF(F78&lt;=500, 35, IF(F78&lt;=1000, 40, F78*0.04)))),
IF(Basic34567891011[[#This Row],[نوع الخدمة]]="كاش اوت",
    IF(F78&lt;=100, 15, IF(F78&lt;=250, 20, IF(F78&lt;=500, 30, IF(F78&lt;=1000, 35, F78*0.035)))),
0)))</f>
        <v>0</v>
      </c>
      <c r="H78" s="163">
        <f>IF(I78="مخالفات",50,Basic34567891011[[#This Row],[قيمة الرسوم / العموله]]+Basic34567891011[[#This Row],[قيمة الشحنه]])</f>
        <v>0</v>
      </c>
      <c r="I78" s="90"/>
      <c r="J78" s="142" t="str">
        <f t="shared" si="1"/>
        <v>22.5.2026</v>
      </c>
      <c r="L78" s="153">
        <v>67</v>
      </c>
      <c r="M78" s="92"/>
    </row>
    <row r="79" spans="1:13" ht="21.6" x14ac:dyDescent="0.65">
      <c r="A79" s="195"/>
      <c r="B79" s="140">
        <v>76</v>
      </c>
      <c r="C79" s="2"/>
      <c r="D79" s="1"/>
      <c r="E79" s="3"/>
      <c r="F79" s="1"/>
      <c r="G79" s="141">
        <f>IF(Basic34567891011[[#This Row],[نوع الخدمة]]="مخالفات", 50,
IF(Basic34567891011[[#This Row],[نوع الخدمة]]="كاش ان",
    IF(F79&lt;=100, 18, IF(F79&lt;=250, 23, IF(F79&lt;=500, 35, IF(F79&lt;=1000, 40, F79*0.04)))),
IF(Basic34567891011[[#This Row],[نوع الخدمة]]="كاش اوت",
    IF(F79&lt;=100, 15, IF(F79&lt;=250, 20, IF(F79&lt;=500, 30, IF(F79&lt;=1000, 35, F79*0.035)))),
0)))</f>
        <v>0</v>
      </c>
      <c r="H79" s="163">
        <f>IF(I79="مخالفات",50,Basic34567891011[[#This Row],[قيمة الرسوم / العموله]]+Basic34567891011[[#This Row],[قيمة الشحنه]])</f>
        <v>0</v>
      </c>
      <c r="I79" s="90"/>
      <c r="J79" s="142" t="str">
        <f t="shared" si="1"/>
        <v>22.5.2026</v>
      </c>
      <c r="L79" s="153">
        <v>68</v>
      </c>
      <c r="M79" s="92"/>
    </row>
    <row r="80" spans="1:13" ht="21.6" x14ac:dyDescent="0.65">
      <c r="A80" s="195"/>
      <c r="B80" s="140">
        <v>77</v>
      </c>
      <c r="C80" s="2"/>
      <c r="D80" s="1"/>
      <c r="E80" s="3"/>
      <c r="F80" s="1"/>
      <c r="G80" s="141">
        <f>IF(Basic34567891011[[#This Row],[نوع الخدمة]]="مخالفات", 50,
IF(Basic34567891011[[#This Row],[نوع الخدمة]]="كاش ان",
    IF(F80&lt;=100, 18, IF(F80&lt;=250, 23, IF(F80&lt;=500, 35, IF(F80&lt;=1000, 40, F80*0.04)))),
IF(Basic34567891011[[#This Row],[نوع الخدمة]]="كاش اوت",
    IF(F80&lt;=100, 15, IF(F80&lt;=250, 20, IF(F80&lt;=500, 30, IF(F80&lt;=1000, 35, F80*0.035)))),
0)))</f>
        <v>0</v>
      </c>
      <c r="H80" s="163">
        <f>IF(I80="مخالفات",50,Basic34567891011[[#This Row],[قيمة الرسوم / العموله]]+Basic34567891011[[#This Row],[قيمة الشحنه]])</f>
        <v>0</v>
      </c>
      <c r="I80" s="90"/>
      <c r="J80" s="142" t="str">
        <f t="shared" si="1"/>
        <v>22.5.2026</v>
      </c>
      <c r="L80" s="153">
        <v>69</v>
      </c>
      <c r="M80" s="92"/>
    </row>
    <row r="81" spans="1:13" ht="21.6" x14ac:dyDescent="0.65">
      <c r="A81" s="195"/>
      <c r="B81" s="144">
        <v>78</v>
      </c>
      <c r="C81" s="2"/>
      <c r="D81" s="1"/>
      <c r="E81" s="3"/>
      <c r="F81" s="1"/>
      <c r="G81" s="141">
        <f>IF(Basic34567891011[[#This Row],[نوع الخدمة]]="مخالفات", 50,
IF(Basic34567891011[[#This Row],[نوع الخدمة]]="كاش ان",
    IF(F81&lt;=100, 18, IF(F81&lt;=250, 23, IF(F81&lt;=500, 35, IF(F81&lt;=1000, 40, F81*0.04)))),
IF(Basic34567891011[[#This Row],[نوع الخدمة]]="كاش اوت",
    IF(F81&lt;=100, 15, IF(F81&lt;=250, 20, IF(F81&lt;=500, 30, IF(F81&lt;=1000, 35, F81*0.035)))),
0)))</f>
        <v>0</v>
      </c>
      <c r="H81" s="163">
        <f>IF(I81="مخالفات",50,Basic34567891011[[#This Row],[قيمة الرسوم / العموله]]+Basic34567891011[[#This Row],[قيمة الشحنه]])</f>
        <v>0</v>
      </c>
      <c r="I81" s="90"/>
      <c r="J81" s="142" t="str">
        <f t="shared" si="1"/>
        <v>22.5.2026</v>
      </c>
      <c r="L81" s="153">
        <v>70</v>
      </c>
      <c r="M81" s="92"/>
    </row>
    <row r="82" spans="1:13" ht="21.6" x14ac:dyDescent="0.65">
      <c r="A82" s="195"/>
      <c r="B82" s="140">
        <v>79</v>
      </c>
      <c r="C82" s="2"/>
      <c r="D82" s="1"/>
      <c r="E82" s="3"/>
      <c r="F82" s="1"/>
      <c r="G82" s="141">
        <f>IF(Basic34567891011[[#This Row],[نوع الخدمة]]="مخالفات", 50,
IF(Basic34567891011[[#This Row],[نوع الخدمة]]="كاش ان",
    IF(F82&lt;=100, 18, IF(F82&lt;=250, 23, IF(F82&lt;=500, 35, IF(F82&lt;=1000, 40, F82*0.04)))),
IF(Basic34567891011[[#This Row],[نوع الخدمة]]="كاش اوت",
    IF(F82&lt;=100, 15, IF(F82&lt;=250, 20, IF(F82&lt;=500, 30, IF(F82&lt;=1000, 35, F82*0.035)))),
0)))</f>
        <v>0</v>
      </c>
      <c r="H82" s="163">
        <f>IF(I82="مخالفات",50,Basic34567891011[[#This Row],[قيمة الرسوم / العموله]]+Basic34567891011[[#This Row],[قيمة الشحنه]])</f>
        <v>0</v>
      </c>
      <c r="I82" s="90"/>
      <c r="J82" s="142" t="str">
        <f t="shared" si="1"/>
        <v>22.5.2026</v>
      </c>
      <c r="L82" s="153">
        <v>71</v>
      </c>
      <c r="M82" s="92"/>
    </row>
    <row r="83" spans="1:13" ht="21.6" x14ac:dyDescent="0.65">
      <c r="A83" s="195"/>
      <c r="B83" s="140">
        <v>80</v>
      </c>
      <c r="C83" s="2"/>
      <c r="D83" s="1"/>
      <c r="E83" s="3"/>
      <c r="F83" s="1"/>
      <c r="G83" s="141">
        <f>IF(Basic34567891011[[#This Row],[نوع الخدمة]]="مخالفات", 50,
IF(Basic34567891011[[#This Row],[نوع الخدمة]]="كاش ان",
    IF(F83&lt;=100, 18, IF(F83&lt;=250, 23, IF(F83&lt;=500, 35, IF(F83&lt;=1000, 40, F83*0.04)))),
IF(Basic34567891011[[#This Row],[نوع الخدمة]]="كاش اوت",
    IF(F83&lt;=100, 15, IF(F83&lt;=250, 20, IF(F83&lt;=500, 30, IF(F83&lt;=1000, 35, F83*0.035)))),
0)))</f>
        <v>0</v>
      </c>
      <c r="H83" s="163">
        <f>IF(I83="مخالفات",50,Basic34567891011[[#This Row],[قيمة الرسوم / العموله]]+Basic34567891011[[#This Row],[قيمة الشحنه]])</f>
        <v>0</v>
      </c>
      <c r="I83" s="90"/>
      <c r="J83" s="142" t="str">
        <f t="shared" si="1"/>
        <v>22.5.2026</v>
      </c>
      <c r="L83" s="153">
        <v>72</v>
      </c>
      <c r="M83" s="92"/>
    </row>
    <row r="84" spans="1:13" ht="21.6" x14ac:dyDescent="0.65">
      <c r="A84" s="195"/>
      <c r="B84" s="140">
        <v>81</v>
      </c>
      <c r="C84" s="2"/>
      <c r="D84" s="1"/>
      <c r="E84" s="3"/>
      <c r="F84" s="1"/>
      <c r="G84" s="141">
        <f>IF(Basic34567891011[[#This Row],[نوع الخدمة]]="مخالفات", 50,
IF(Basic34567891011[[#This Row],[نوع الخدمة]]="كاش ان",
    IF(F84&lt;=100, 18, IF(F84&lt;=250, 23, IF(F84&lt;=500, 35, IF(F84&lt;=1000, 40, F84*0.04)))),
IF(Basic34567891011[[#This Row],[نوع الخدمة]]="كاش اوت",
    IF(F84&lt;=100, 15, IF(F84&lt;=250, 20, IF(F84&lt;=500, 30, IF(F84&lt;=1000, 35, F84*0.035)))),
0)))</f>
        <v>0</v>
      </c>
      <c r="H84" s="163">
        <f>IF(I84="مخالفات",50,Basic34567891011[[#This Row],[قيمة الرسوم / العموله]]+Basic34567891011[[#This Row],[قيمة الشحنه]])</f>
        <v>0</v>
      </c>
      <c r="I84" s="90"/>
      <c r="J84" s="142" t="str">
        <f t="shared" si="1"/>
        <v>22.5.2026</v>
      </c>
      <c r="L84" s="153">
        <v>73</v>
      </c>
      <c r="M84" s="92"/>
    </row>
    <row r="85" spans="1:13" ht="21.6" x14ac:dyDescent="0.65">
      <c r="A85" s="195"/>
      <c r="B85" s="144">
        <v>82</v>
      </c>
      <c r="C85" s="2"/>
      <c r="D85" s="1"/>
      <c r="E85" s="3"/>
      <c r="F85" s="1"/>
      <c r="G85" s="141">
        <f>IF(Basic34567891011[[#This Row],[نوع الخدمة]]="مخالفات", 50,
IF(Basic34567891011[[#This Row],[نوع الخدمة]]="كاش ان",
    IF(F85&lt;=100, 18, IF(F85&lt;=250, 23, IF(F85&lt;=500, 35, IF(F85&lt;=1000, 40, F85*0.04)))),
IF(Basic34567891011[[#This Row],[نوع الخدمة]]="كاش اوت",
    IF(F85&lt;=100, 15, IF(F85&lt;=250, 20, IF(F85&lt;=500, 30, IF(F85&lt;=1000, 35, F85*0.035)))),
0)))</f>
        <v>0</v>
      </c>
      <c r="H85" s="163">
        <f>IF(I85="مخالفات",50,Basic34567891011[[#This Row],[قيمة الرسوم / العموله]]+Basic34567891011[[#This Row],[قيمة الشحنه]])</f>
        <v>0</v>
      </c>
      <c r="I85" s="90"/>
      <c r="J85" s="142" t="str">
        <f t="shared" si="1"/>
        <v>22.5.2026</v>
      </c>
      <c r="L85" s="153">
        <v>74</v>
      </c>
      <c r="M85" s="92"/>
    </row>
    <row r="86" spans="1:13" ht="21.6" x14ac:dyDescent="0.65">
      <c r="A86" s="195"/>
      <c r="B86" s="140">
        <v>83</v>
      </c>
      <c r="C86" s="2"/>
      <c r="D86" s="1"/>
      <c r="E86" s="3"/>
      <c r="F86" s="1"/>
      <c r="G86" s="141">
        <f>IF(Basic34567891011[[#This Row],[نوع الخدمة]]="مخالفات", 50,
IF(Basic34567891011[[#This Row],[نوع الخدمة]]="كاش ان",
    IF(F86&lt;=100, 18, IF(F86&lt;=250, 23, IF(F86&lt;=500, 35, IF(F86&lt;=1000, 40, F86*0.04)))),
IF(Basic34567891011[[#This Row],[نوع الخدمة]]="كاش اوت",
    IF(F86&lt;=100, 15, IF(F86&lt;=250, 20, IF(F86&lt;=500, 30, IF(F86&lt;=1000, 35, F86*0.035)))),
0)))</f>
        <v>0</v>
      </c>
      <c r="H86" s="163">
        <f>IF(I86="مخالفات",50,Basic34567891011[[#This Row],[قيمة الرسوم / العموله]]+Basic34567891011[[#This Row],[قيمة الشحنه]])</f>
        <v>0</v>
      </c>
      <c r="I86" s="90"/>
      <c r="J86" s="142" t="str">
        <f t="shared" si="1"/>
        <v>22.5.2026</v>
      </c>
      <c r="L86" s="153">
        <v>75</v>
      </c>
      <c r="M86" s="92"/>
    </row>
    <row r="87" spans="1:13" ht="21.6" x14ac:dyDescent="0.65">
      <c r="A87" s="195"/>
      <c r="B87" s="140">
        <v>84</v>
      </c>
      <c r="C87" s="2"/>
      <c r="D87" s="1"/>
      <c r="E87" s="3"/>
      <c r="F87" s="1"/>
      <c r="G87" s="141">
        <f>IF(Basic34567891011[[#This Row],[نوع الخدمة]]="مخالفات", 50,
IF(Basic34567891011[[#This Row],[نوع الخدمة]]="كاش ان",
    IF(F87&lt;=100, 18, IF(F87&lt;=250, 23, IF(F87&lt;=500, 35, IF(F87&lt;=1000, 40, F87*0.04)))),
IF(Basic34567891011[[#This Row],[نوع الخدمة]]="كاش اوت",
    IF(F87&lt;=100, 15, IF(F87&lt;=250, 20, IF(F87&lt;=500, 30, IF(F87&lt;=1000, 35, F87*0.035)))),
0)))</f>
        <v>0</v>
      </c>
      <c r="H87" s="163">
        <f>IF(I87="مخالفات",50,Basic34567891011[[#This Row],[قيمة الرسوم / العموله]]+Basic34567891011[[#This Row],[قيمة الشحنه]])</f>
        <v>0</v>
      </c>
      <c r="I87" s="90"/>
      <c r="J87" s="142" t="str">
        <f t="shared" si="1"/>
        <v>22.5.2026</v>
      </c>
      <c r="L87" s="153">
        <v>76</v>
      </c>
      <c r="M87" s="92"/>
    </row>
    <row r="88" spans="1:13" ht="21.6" x14ac:dyDescent="0.65">
      <c r="A88" s="195"/>
      <c r="B88" s="140">
        <v>85</v>
      </c>
      <c r="C88" s="2"/>
      <c r="D88" s="1"/>
      <c r="E88" s="3"/>
      <c r="F88" s="1"/>
      <c r="G88" s="141">
        <f>IF(Basic34567891011[[#This Row],[نوع الخدمة]]="مخالفات", 50,
IF(Basic34567891011[[#This Row],[نوع الخدمة]]="كاش ان",
    IF(F88&lt;=100, 18, IF(F88&lt;=250, 23, IF(F88&lt;=500, 35, IF(F88&lt;=1000, 40, F88*0.04)))),
IF(Basic34567891011[[#This Row],[نوع الخدمة]]="كاش اوت",
    IF(F88&lt;=100, 15, IF(F88&lt;=250, 20, IF(F88&lt;=500, 30, IF(F88&lt;=1000, 35, F88*0.035)))),
0)))</f>
        <v>0</v>
      </c>
      <c r="H88" s="163">
        <f>IF(I88="مخالفات",50,Basic34567891011[[#This Row],[قيمة الرسوم / العموله]]+Basic34567891011[[#This Row],[قيمة الشحنه]])</f>
        <v>0</v>
      </c>
      <c r="I88" s="90"/>
      <c r="J88" s="142" t="str">
        <f t="shared" si="1"/>
        <v>22.5.2026</v>
      </c>
      <c r="L88" s="153">
        <v>77</v>
      </c>
      <c r="M88" s="92"/>
    </row>
    <row r="89" spans="1:13" ht="21.6" x14ac:dyDescent="0.65">
      <c r="A89" s="195"/>
      <c r="B89" s="144">
        <v>86</v>
      </c>
      <c r="C89" s="2"/>
      <c r="D89" s="1"/>
      <c r="E89" s="3"/>
      <c r="F89" s="1"/>
      <c r="G89" s="141">
        <f>IF(Basic34567891011[[#This Row],[نوع الخدمة]]="مخالفات", 50,
IF(Basic34567891011[[#This Row],[نوع الخدمة]]="كاش ان",
    IF(F89&lt;=100, 18, IF(F89&lt;=250, 23, IF(F89&lt;=500, 35, IF(F89&lt;=1000, 40, F89*0.04)))),
IF(Basic34567891011[[#This Row],[نوع الخدمة]]="كاش اوت",
    IF(F89&lt;=100, 15, IF(F89&lt;=250, 20, IF(F89&lt;=500, 30, IF(F89&lt;=1000, 35, F89*0.035)))),
0)))</f>
        <v>0</v>
      </c>
      <c r="H89" s="163">
        <f>IF(I89="مخالفات",50,Basic34567891011[[#This Row],[قيمة الرسوم / العموله]]+Basic34567891011[[#This Row],[قيمة الشحنه]])</f>
        <v>0</v>
      </c>
      <c r="I89" s="90"/>
      <c r="J89" s="142" t="str">
        <f t="shared" si="1"/>
        <v>22.5.2026</v>
      </c>
      <c r="L89" s="153">
        <v>78</v>
      </c>
      <c r="M89" s="92"/>
    </row>
    <row r="90" spans="1:13" ht="21.6" x14ac:dyDescent="0.65">
      <c r="A90" s="195"/>
      <c r="B90" s="140">
        <v>87</v>
      </c>
      <c r="C90" s="2"/>
      <c r="D90" s="1"/>
      <c r="E90" s="3"/>
      <c r="F90" s="1"/>
      <c r="G90" s="141">
        <f>IF(Basic34567891011[[#This Row],[نوع الخدمة]]="مخالفات", 50,
IF(Basic34567891011[[#This Row],[نوع الخدمة]]="كاش ان",
    IF(F90&lt;=100, 18, IF(F90&lt;=250, 23, IF(F90&lt;=500, 35, IF(F90&lt;=1000, 40, F90*0.04)))),
IF(Basic34567891011[[#This Row],[نوع الخدمة]]="كاش اوت",
    IF(F90&lt;=100, 15, IF(F90&lt;=250, 20, IF(F90&lt;=500, 30, IF(F90&lt;=1000, 35, F90*0.035)))),
0)))</f>
        <v>0</v>
      </c>
      <c r="H90" s="163">
        <f>IF(I90="مخالفات",50,Basic34567891011[[#This Row],[قيمة الرسوم / العموله]]+Basic34567891011[[#This Row],[قيمة الشحنه]])</f>
        <v>0</v>
      </c>
      <c r="I90" s="90"/>
      <c r="J90" s="142" t="str">
        <f t="shared" si="1"/>
        <v>22.5.2026</v>
      </c>
      <c r="L90" s="153">
        <v>79</v>
      </c>
      <c r="M90" s="92"/>
    </row>
    <row r="91" spans="1:13" ht="21.6" x14ac:dyDescent="0.65">
      <c r="A91" s="195"/>
      <c r="B91" s="140">
        <v>88</v>
      </c>
      <c r="C91" s="2"/>
      <c r="D91" s="1"/>
      <c r="E91" s="3"/>
      <c r="F91" s="1"/>
      <c r="G91" s="141">
        <f>IF(Basic34567891011[[#This Row],[نوع الخدمة]]="مخالفات", 50,
IF(Basic34567891011[[#This Row],[نوع الخدمة]]="كاش ان",
    IF(F91&lt;=100, 18, IF(F91&lt;=250, 23, IF(F91&lt;=500, 35, IF(F91&lt;=1000, 40, F91*0.04)))),
IF(Basic34567891011[[#This Row],[نوع الخدمة]]="كاش اوت",
    IF(F91&lt;=100, 15, IF(F91&lt;=250, 20, IF(F91&lt;=500, 30, IF(F91&lt;=1000, 35, F91*0.035)))),
0)))</f>
        <v>0</v>
      </c>
      <c r="H91" s="163">
        <f>IF(I91="مخالفات",50,Basic34567891011[[#This Row],[قيمة الرسوم / العموله]]+Basic34567891011[[#This Row],[قيمة الشحنه]])</f>
        <v>0</v>
      </c>
      <c r="I91" s="90"/>
      <c r="J91" s="142" t="str">
        <f t="shared" si="1"/>
        <v>22.5.2026</v>
      </c>
      <c r="L91" s="153">
        <v>80</v>
      </c>
      <c r="M91" s="92"/>
    </row>
    <row r="92" spans="1:13" ht="21.6" x14ac:dyDescent="0.65">
      <c r="A92" s="195"/>
      <c r="B92" s="140">
        <v>89</v>
      </c>
      <c r="C92" s="2"/>
      <c r="D92" s="1"/>
      <c r="E92" s="3"/>
      <c r="F92" s="1"/>
      <c r="G92" s="141">
        <f>IF(Basic34567891011[[#This Row],[نوع الخدمة]]="مخالفات", 50,
IF(Basic34567891011[[#This Row],[نوع الخدمة]]="كاش ان",
    IF(F92&lt;=100, 18, IF(F92&lt;=250, 23, IF(F92&lt;=500, 35, IF(F92&lt;=1000, 40, F92*0.04)))),
IF(Basic34567891011[[#This Row],[نوع الخدمة]]="كاش اوت",
    IF(F92&lt;=100, 15, IF(F92&lt;=250, 20, IF(F92&lt;=500, 30, IF(F92&lt;=1000, 35, F92*0.035)))),
0)))</f>
        <v>0</v>
      </c>
      <c r="H92" s="163">
        <f>IF(I92="مخالفات",50,Basic34567891011[[#This Row],[قيمة الرسوم / العموله]]+Basic34567891011[[#This Row],[قيمة الشحنه]])</f>
        <v>0</v>
      </c>
      <c r="I92" s="90"/>
      <c r="J92" s="142" t="str">
        <f t="shared" si="1"/>
        <v>22.5.2026</v>
      </c>
      <c r="L92" s="153">
        <v>81</v>
      </c>
      <c r="M92" s="92"/>
    </row>
    <row r="93" spans="1:13" ht="21.6" x14ac:dyDescent="0.65">
      <c r="A93" s="195"/>
      <c r="B93" s="144">
        <v>90</v>
      </c>
      <c r="C93" s="2"/>
      <c r="D93" s="1"/>
      <c r="E93" s="3"/>
      <c r="F93" s="1"/>
      <c r="G93" s="141">
        <f>IF(Basic34567891011[[#This Row],[نوع الخدمة]]="مخالفات", 50,
IF(Basic34567891011[[#This Row],[نوع الخدمة]]="كاش ان",
    IF(F93&lt;=100, 18, IF(F93&lt;=250, 23, IF(F93&lt;=500, 35, IF(F93&lt;=1000, 40, F93*0.04)))),
IF(Basic34567891011[[#This Row],[نوع الخدمة]]="كاش اوت",
    IF(F93&lt;=100, 15, IF(F93&lt;=250, 20, IF(F93&lt;=500, 30, IF(F93&lt;=1000, 35, F93*0.035)))),
0)))</f>
        <v>0</v>
      </c>
      <c r="H93" s="163">
        <f>IF(I93="مخالفات",50,Basic34567891011[[#This Row],[قيمة الرسوم / العموله]]+Basic34567891011[[#This Row],[قيمة الشحنه]])</f>
        <v>0</v>
      </c>
      <c r="I93" s="90"/>
      <c r="J93" s="142" t="str">
        <f t="shared" si="1"/>
        <v>22.5.2026</v>
      </c>
      <c r="L93" s="153">
        <v>82</v>
      </c>
      <c r="M93" s="92"/>
    </row>
    <row r="94" spans="1:13" ht="21.6" x14ac:dyDescent="0.65">
      <c r="A94" s="195"/>
      <c r="B94" s="140">
        <v>91</v>
      </c>
      <c r="C94" s="2"/>
      <c r="D94" s="1"/>
      <c r="E94" s="3"/>
      <c r="F94" s="1"/>
      <c r="G94" s="141">
        <f>IF(Basic34567891011[[#This Row],[نوع الخدمة]]="مخالفات", 50,
IF(Basic34567891011[[#This Row],[نوع الخدمة]]="كاش ان",
    IF(F94&lt;=100, 18, IF(F94&lt;=250, 23, IF(F94&lt;=500, 35, IF(F94&lt;=1000, 40, F94*0.04)))),
IF(Basic34567891011[[#This Row],[نوع الخدمة]]="كاش اوت",
    IF(F94&lt;=100, 15, IF(F94&lt;=250, 20, IF(F94&lt;=500, 30, IF(F94&lt;=1000, 35, F94*0.035)))),
0)))</f>
        <v>0</v>
      </c>
      <c r="H94" s="163">
        <f>IF(I94="مخالفات",50,Basic34567891011[[#This Row],[قيمة الرسوم / العموله]]+Basic34567891011[[#This Row],[قيمة الشحنه]])</f>
        <v>0</v>
      </c>
      <c r="I94" s="90"/>
      <c r="J94" s="142" t="str">
        <f t="shared" si="1"/>
        <v>22.5.2026</v>
      </c>
      <c r="L94" s="153">
        <v>83</v>
      </c>
      <c r="M94" s="92"/>
    </row>
    <row r="95" spans="1:13" ht="21.6" x14ac:dyDescent="0.65">
      <c r="A95" s="195"/>
      <c r="B95" s="140">
        <v>92</v>
      </c>
      <c r="C95" s="2"/>
      <c r="D95" s="1"/>
      <c r="E95" s="3"/>
      <c r="F95" s="1"/>
      <c r="G95" s="141">
        <f>IF(Basic34567891011[[#This Row],[نوع الخدمة]]="مخالفات", 50,
IF(Basic34567891011[[#This Row],[نوع الخدمة]]="كاش ان",
    IF(F95&lt;=100, 18, IF(F95&lt;=250, 23, IF(F95&lt;=500, 35, IF(F95&lt;=1000, 40, F95*0.04)))),
IF(Basic34567891011[[#This Row],[نوع الخدمة]]="كاش اوت",
    IF(F95&lt;=100, 15, IF(F95&lt;=250, 20, IF(F95&lt;=500, 30, IF(F95&lt;=1000, 35, F95*0.035)))),
0)))</f>
        <v>0</v>
      </c>
      <c r="H95" s="163">
        <f>IF(I95="مخالفات",50,Basic34567891011[[#This Row],[قيمة الرسوم / العموله]]+Basic34567891011[[#This Row],[قيمة الشحنه]])</f>
        <v>0</v>
      </c>
      <c r="I95" s="90"/>
      <c r="J95" s="142" t="str">
        <f t="shared" si="1"/>
        <v>22.5.2026</v>
      </c>
      <c r="L95" s="153">
        <v>84</v>
      </c>
      <c r="M95" s="92"/>
    </row>
    <row r="96" spans="1:13" ht="21.6" x14ac:dyDescent="0.65">
      <c r="A96" s="195"/>
      <c r="B96" s="140">
        <v>93</v>
      </c>
      <c r="C96" s="2"/>
      <c r="D96" s="1"/>
      <c r="E96" s="3"/>
      <c r="F96" s="1"/>
      <c r="G96" s="141">
        <f>IF(Basic34567891011[[#This Row],[نوع الخدمة]]="مخالفات", 50,
IF(Basic34567891011[[#This Row],[نوع الخدمة]]="كاش ان",
    IF(F96&lt;=100, 18, IF(F96&lt;=250, 23, IF(F96&lt;=500, 35, IF(F96&lt;=1000, 40, F96*0.04)))),
IF(Basic34567891011[[#This Row],[نوع الخدمة]]="كاش اوت",
    IF(F96&lt;=100, 15, IF(F96&lt;=250, 20, IF(F96&lt;=500, 30, IF(F96&lt;=1000, 35, F96*0.035)))),
0)))</f>
        <v>0</v>
      </c>
      <c r="H96" s="163">
        <f>IF(I96="مخالفات",50,Basic34567891011[[#This Row],[قيمة الرسوم / العموله]]+Basic34567891011[[#This Row],[قيمة الشحنه]])</f>
        <v>0</v>
      </c>
      <c r="I96" s="90"/>
      <c r="J96" s="142" t="str">
        <f t="shared" si="1"/>
        <v>22.5.2026</v>
      </c>
      <c r="L96" s="153">
        <v>85</v>
      </c>
      <c r="M96" s="92"/>
    </row>
    <row r="97" spans="1:13" ht="21.6" x14ac:dyDescent="0.65">
      <c r="A97" s="195"/>
      <c r="B97" s="144">
        <v>94</v>
      </c>
      <c r="C97" s="2"/>
      <c r="D97" s="1"/>
      <c r="E97" s="3"/>
      <c r="F97" s="1"/>
      <c r="G97" s="141">
        <f>IF(Basic34567891011[[#This Row],[نوع الخدمة]]="مخالفات", 50,
IF(Basic34567891011[[#This Row],[نوع الخدمة]]="كاش ان",
    IF(F97&lt;=100, 18, IF(F97&lt;=250, 23, IF(F97&lt;=500, 35, IF(F97&lt;=1000, 40, F97*0.04)))),
IF(Basic34567891011[[#This Row],[نوع الخدمة]]="كاش اوت",
    IF(F97&lt;=100, 15, IF(F97&lt;=250, 20, IF(F97&lt;=500, 30, IF(F97&lt;=1000, 35, F97*0.035)))),
0)))</f>
        <v>0</v>
      </c>
      <c r="H97" s="163">
        <f>IF(I97="مخالفات",50,Basic34567891011[[#This Row],[قيمة الرسوم / العموله]]+Basic34567891011[[#This Row],[قيمة الشحنه]])</f>
        <v>0</v>
      </c>
      <c r="I97" s="90"/>
      <c r="J97" s="142" t="str">
        <f t="shared" si="1"/>
        <v>22.5.2026</v>
      </c>
      <c r="L97" s="153">
        <v>86</v>
      </c>
      <c r="M97" s="92"/>
    </row>
    <row r="98" spans="1:13" ht="21.6" x14ac:dyDescent="0.65">
      <c r="A98" s="195"/>
      <c r="B98" s="140">
        <v>95</v>
      </c>
      <c r="C98" s="2"/>
      <c r="D98" s="1"/>
      <c r="E98" s="3"/>
      <c r="F98" s="1"/>
      <c r="G98" s="141">
        <f>IF(Basic34567891011[[#This Row],[نوع الخدمة]]="مخالفات", 50,
IF(Basic34567891011[[#This Row],[نوع الخدمة]]="كاش ان",
    IF(F98&lt;=100, 18, IF(F98&lt;=250, 23, IF(F98&lt;=500, 35, IF(F98&lt;=1000, 40, F98*0.04)))),
IF(Basic34567891011[[#This Row],[نوع الخدمة]]="كاش اوت",
    IF(F98&lt;=100, 15, IF(F98&lt;=250, 20, IF(F98&lt;=500, 30, IF(F98&lt;=1000, 35, F98*0.035)))),
0)))</f>
        <v>0</v>
      </c>
      <c r="H98" s="163">
        <f>IF(I98="مخالفات",50,Basic34567891011[[#This Row],[قيمة الرسوم / العموله]]+Basic34567891011[[#This Row],[قيمة الشحنه]])</f>
        <v>0</v>
      </c>
      <c r="I98" s="90"/>
      <c r="J98" s="142" t="str">
        <f t="shared" si="1"/>
        <v>22.5.2026</v>
      </c>
      <c r="L98" s="153">
        <v>87</v>
      </c>
      <c r="M98" s="92"/>
    </row>
    <row r="99" spans="1:13" ht="21.6" x14ac:dyDescent="0.65">
      <c r="A99" s="195"/>
      <c r="B99" s="140">
        <v>96</v>
      </c>
      <c r="C99" s="2"/>
      <c r="D99" s="1"/>
      <c r="E99" s="3"/>
      <c r="F99" s="1"/>
      <c r="G99" s="141">
        <f>IF(Basic34567891011[[#This Row],[نوع الخدمة]]="مخالفات", 50,
IF(Basic34567891011[[#This Row],[نوع الخدمة]]="كاش ان",
    IF(F99&lt;=100, 18, IF(F99&lt;=250, 23, IF(F99&lt;=500, 35, IF(F99&lt;=1000, 40, F99*0.04)))),
IF(Basic34567891011[[#This Row],[نوع الخدمة]]="كاش اوت",
    IF(F99&lt;=100, 15, IF(F99&lt;=250, 20, IF(F99&lt;=500, 30, IF(F99&lt;=1000, 35, F99*0.035)))),
0)))</f>
        <v>0</v>
      </c>
      <c r="H99" s="163">
        <f>IF(I99="مخالفات",50,Basic34567891011[[#This Row],[قيمة الرسوم / العموله]]+Basic34567891011[[#This Row],[قيمة الشحنه]])</f>
        <v>0</v>
      </c>
      <c r="I99" s="90"/>
      <c r="J99" s="142" t="str">
        <f t="shared" si="1"/>
        <v>22.5.2026</v>
      </c>
      <c r="L99" s="153">
        <v>88</v>
      </c>
      <c r="M99" s="92"/>
    </row>
    <row r="100" spans="1:13" ht="21.6" x14ac:dyDescent="0.65">
      <c r="A100" s="195"/>
      <c r="B100" s="140">
        <v>97</v>
      </c>
      <c r="C100" s="2"/>
      <c r="D100" s="1"/>
      <c r="E100" s="3"/>
      <c r="F100" s="1"/>
      <c r="G100" s="141">
        <f>IF(Basic34567891011[[#This Row],[نوع الخدمة]]="مخالفات", 50,
IF(Basic34567891011[[#This Row],[نوع الخدمة]]="كاش ان",
    IF(F100&lt;=100, 18, IF(F100&lt;=250, 23, IF(F100&lt;=500, 35, IF(F100&lt;=1000, 40, F100*0.04)))),
IF(Basic34567891011[[#This Row],[نوع الخدمة]]="كاش اوت",
    IF(F100&lt;=100, 15, IF(F100&lt;=250, 20, IF(F100&lt;=500, 30, IF(F100&lt;=1000, 35, F100*0.035)))),
0)))</f>
        <v>0</v>
      </c>
      <c r="H100" s="163">
        <f>IF(I100="مخالفات",50,Basic34567891011[[#This Row],[قيمة الرسوم / العموله]]+Basic34567891011[[#This Row],[قيمة الشحنه]])</f>
        <v>0</v>
      </c>
      <c r="I100" s="90"/>
      <c r="J100" s="142" t="str">
        <f t="shared" si="1"/>
        <v>22.5.2026</v>
      </c>
      <c r="L100" s="153">
        <v>89</v>
      </c>
      <c r="M100" s="92"/>
    </row>
    <row r="101" spans="1:13" ht="21.6" x14ac:dyDescent="0.65">
      <c r="A101" s="195"/>
      <c r="B101" s="144">
        <v>98</v>
      </c>
      <c r="C101" s="2"/>
      <c r="D101" s="1"/>
      <c r="E101" s="3"/>
      <c r="F101" s="1"/>
      <c r="G101" s="141">
        <f>IF(Basic34567891011[[#This Row],[نوع الخدمة]]="مخالفات", 50,
IF(Basic34567891011[[#This Row],[نوع الخدمة]]="كاش ان",
    IF(F101&lt;=100, 18, IF(F101&lt;=250, 23, IF(F101&lt;=500, 35, IF(F101&lt;=1000, 40, F101*0.04)))),
IF(Basic34567891011[[#This Row],[نوع الخدمة]]="كاش اوت",
    IF(F101&lt;=100, 15, IF(F101&lt;=250, 20, IF(F101&lt;=500, 30, IF(F101&lt;=1000, 35, F101*0.035)))),
0)))</f>
        <v>0</v>
      </c>
      <c r="H101" s="163">
        <f>IF(I101="مخالفات",50,Basic34567891011[[#This Row],[قيمة الرسوم / العموله]]+Basic34567891011[[#This Row],[قيمة الشحنه]])</f>
        <v>0</v>
      </c>
      <c r="I101" s="90"/>
      <c r="J101" s="142" t="str">
        <f t="shared" si="1"/>
        <v>22.5.2026</v>
      </c>
      <c r="L101" s="153">
        <v>90</v>
      </c>
      <c r="M101" s="92"/>
    </row>
    <row r="102" spans="1:13" ht="21.6" x14ac:dyDescent="0.65">
      <c r="A102" s="195"/>
      <c r="B102" s="140">
        <v>99</v>
      </c>
      <c r="C102" s="2"/>
      <c r="D102" s="1"/>
      <c r="E102" s="3"/>
      <c r="F102" s="1"/>
      <c r="G102" s="141">
        <f>IF(Basic34567891011[[#This Row],[نوع الخدمة]]="مخالفات", 50,
IF(Basic34567891011[[#This Row],[نوع الخدمة]]="كاش ان",
    IF(F102&lt;=100, 18, IF(F102&lt;=250, 23, IF(F102&lt;=500, 35, IF(F102&lt;=1000, 40, F102*0.04)))),
IF(Basic34567891011[[#This Row],[نوع الخدمة]]="كاش اوت",
    IF(F102&lt;=100, 15, IF(F102&lt;=250, 20, IF(F102&lt;=500, 30, IF(F102&lt;=1000, 35, F102*0.035)))),
0)))</f>
        <v>0</v>
      </c>
      <c r="H102" s="163">
        <f>IF(I102="مخالفات",50,Basic34567891011[[#This Row],[قيمة الرسوم / العموله]]+Basic34567891011[[#This Row],[قيمة الشحنه]])</f>
        <v>0</v>
      </c>
      <c r="I102" s="90"/>
      <c r="J102" s="142" t="str">
        <f t="shared" si="1"/>
        <v>22.5.2026</v>
      </c>
      <c r="L102" s="153">
        <v>91</v>
      </c>
      <c r="M102" s="92"/>
    </row>
    <row r="103" spans="1:13" ht="21.6" x14ac:dyDescent="0.65">
      <c r="A103" s="195"/>
      <c r="B103" s="140">
        <v>100</v>
      </c>
      <c r="C103" s="2"/>
      <c r="D103" s="1"/>
      <c r="E103" s="3"/>
      <c r="F103" s="1"/>
      <c r="G103" s="141">
        <f>IF(Basic34567891011[[#This Row],[نوع الخدمة]]="مخالفات", 50,
IF(Basic34567891011[[#This Row],[نوع الخدمة]]="كاش ان",
    IF(F103&lt;=100, 18, IF(F103&lt;=250, 23, IF(F103&lt;=500, 35, IF(F103&lt;=1000, 40, F103*0.04)))),
IF(Basic34567891011[[#This Row],[نوع الخدمة]]="كاش اوت",
    IF(F103&lt;=100, 15, IF(F103&lt;=250, 20, IF(F103&lt;=500, 30, IF(F103&lt;=1000, 35, F103*0.035)))),
0)))</f>
        <v>0</v>
      </c>
      <c r="H103" s="163">
        <f>IF(I103="مخالفات",50,Basic34567891011[[#This Row],[قيمة الرسوم / العموله]]+Basic34567891011[[#This Row],[قيمة الشحنه]])</f>
        <v>0</v>
      </c>
      <c r="I103" s="90"/>
      <c r="J103" s="142" t="str">
        <f t="shared" si="1"/>
        <v>22.5.2026</v>
      </c>
      <c r="L103" s="153">
        <v>92</v>
      </c>
      <c r="M103" s="92"/>
    </row>
    <row r="104" spans="1:13" ht="21.6" x14ac:dyDescent="0.65">
      <c r="A104" s="195"/>
      <c r="B104" s="140">
        <v>101</v>
      </c>
      <c r="C104" s="2"/>
      <c r="D104" s="1"/>
      <c r="E104" s="3"/>
      <c r="F104" s="1"/>
      <c r="G104" s="141">
        <f>IF(Basic34567891011[[#This Row],[نوع الخدمة]]="مخالفات", 50,
IF(Basic34567891011[[#This Row],[نوع الخدمة]]="كاش ان",
    IF(F104&lt;=100, 18, IF(F104&lt;=250, 23, IF(F104&lt;=500, 35, IF(F104&lt;=1000, 40, F104*0.04)))),
IF(Basic34567891011[[#This Row],[نوع الخدمة]]="كاش اوت",
    IF(F104&lt;=100, 15, IF(F104&lt;=250, 20, IF(F104&lt;=500, 30, IF(F104&lt;=1000, 35, F104*0.035)))),
0)))</f>
        <v>0</v>
      </c>
      <c r="H104" s="163">
        <f>IF(I104="مخالفات",50,Basic34567891011[[#This Row],[قيمة الرسوم / العموله]]+Basic34567891011[[#This Row],[قيمة الشحنه]])</f>
        <v>0</v>
      </c>
      <c r="I104" s="90"/>
      <c r="J104" s="142" t="str">
        <f t="shared" si="1"/>
        <v>22.5.2026</v>
      </c>
      <c r="L104" s="153">
        <v>93</v>
      </c>
      <c r="M104" s="92"/>
    </row>
    <row r="105" spans="1:13" ht="21.6" x14ac:dyDescent="0.65">
      <c r="A105" s="195"/>
      <c r="B105" s="144">
        <v>102</v>
      </c>
      <c r="C105" s="2"/>
      <c r="D105" s="1"/>
      <c r="E105" s="3"/>
      <c r="F105" s="1"/>
      <c r="G105" s="141">
        <f>IF(Basic34567891011[[#This Row],[نوع الخدمة]]="مخالفات", 50,
IF(Basic34567891011[[#This Row],[نوع الخدمة]]="كاش ان",
    IF(F105&lt;=100, 18, IF(F105&lt;=250, 23, IF(F105&lt;=500, 35, IF(F105&lt;=1000, 40, F105*0.04)))),
IF(Basic34567891011[[#This Row],[نوع الخدمة]]="كاش اوت",
    IF(F105&lt;=100, 15, IF(F105&lt;=250, 20, IF(F105&lt;=500, 30, IF(F105&lt;=1000, 35, F105*0.035)))),
0)))</f>
        <v>0</v>
      </c>
      <c r="H105" s="163">
        <f>IF(I105="مخالفات",50,Basic34567891011[[#This Row],[قيمة الرسوم / العموله]]+Basic34567891011[[#This Row],[قيمة الشحنه]])</f>
        <v>0</v>
      </c>
      <c r="I105" s="90"/>
      <c r="J105" s="142" t="str">
        <f t="shared" si="1"/>
        <v>22.5.2026</v>
      </c>
      <c r="L105" s="153">
        <v>94</v>
      </c>
      <c r="M105" s="92"/>
    </row>
    <row r="106" spans="1:13" ht="21.6" x14ac:dyDescent="0.65">
      <c r="A106" s="195"/>
      <c r="B106" s="140">
        <v>103</v>
      </c>
      <c r="C106" s="2"/>
      <c r="D106" s="1"/>
      <c r="E106" s="3"/>
      <c r="F106" s="1"/>
      <c r="G106" s="141">
        <f>IF(Basic34567891011[[#This Row],[نوع الخدمة]]="مخالفات", 50,
IF(Basic34567891011[[#This Row],[نوع الخدمة]]="كاش ان",
    IF(F106&lt;=100, 18, IF(F106&lt;=250, 23, IF(F106&lt;=500, 35, IF(F106&lt;=1000, 40, F106*0.04)))),
IF(Basic34567891011[[#This Row],[نوع الخدمة]]="كاش اوت",
    IF(F106&lt;=100, 15, IF(F106&lt;=250, 20, IF(F106&lt;=500, 30, IF(F106&lt;=1000, 35, F106*0.035)))),
0)))</f>
        <v>0</v>
      </c>
      <c r="H106" s="163">
        <f>IF(I106="مخالفات",50,Basic34567891011[[#This Row],[قيمة الرسوم / العموله]]+Basic34567891011[[#This Row],[قيمة الشحنه]])</f>
        <v>0</v>
      </c>
      <c r="I106" s="90"/>
      <c r="J106" s="142" t="str">
        <f t="shared" si="1"/>
        <v>22.5.2026</v>
      </c>
      <c r="L106" s="153">
        <v>95</v>
      </c>
      <c r="M106" s="92"/>
    </row>
    <row r="107" spans="1:13" ht="21.6" x14ac:dyDescent="0.65">
      <c r="A107" s="195"/>
      <c r="B107" s="140">
        <v>104</v>
      </c>
      <c r="C107" s="2"/>
      <c r="D107" s="1"/>
      <c r="E107" s="3"/>
      <c r="F107" s="1"/>
      <c r="G107" s="141">
        <f>IF(Basic34567891011[[#This Row],[نوع الخدمة]]="مخالفات", 50,
IF(Basic34567891011[[#This Row],[نوع الخدمة]]="كاش ان",
    IF(F107&lt;=100, 18, IF(F107&lt;=250, 23, IF(F107&lt;=500, 35, IF(F107&lt;=1000, 40, F107*0.04)))),
IF(Basic34567891011[[#This Row],[نوع الخدمة]]="كاش اوت",
    IF(F107&lt;=100, 15, IF(F107&lt;=250, 20, IF(F107&lt;=500, 30, IF(F107&lt;=1000, 35, F107*0.035)))),
0)))</f>
        <v>0</v>
      </c>
      <c r="H107" s="163">
        <f>IF(I107="مخالفات",50,Basic34567891011[[#This Row],[قيمة الرسوم / العموله]]+Basic34567891011[[#This Row],[قيمة الشحنه]])</f>
        <v>0</v>
      </c>
      <c r="I107" s="90"/>
      <c r="J107" s="142" t="str">
        <f t="shared" si="1"/>
        <v>22.5.2026</v>
      </c>
      <c r="L107" s="153">
        <v>96</v>
      </c>
      <c r="M107" s="92"/>
    </row>
    <row r="108" spans="1:13" ht="21.6" x14ac:dyDescent="0.65">
      <c r="A108" s="195"/>
      <c r="B108" s="140">
        <v>105</v>
      </c>
      <c r="C108" s="2"/>
      <c r="D108" s="1"/>
      <c r="E108" s="3"/>
      <c r="F108" s="1"/>
      <c r="G108" s="141">
        <f>IF(Basic34567891011[[#This Row],[نوع الخدمة]]="مخالفات", 50,
IF(Basic34567891011[[#This Row],[نوع الخدمة]]="كاش ان",
    IF(F108&lt;=100, 18, IF(F108&lt;=250, 23, IF(F108&lt;=500, 35, IF(F108&lt;=1000, 40, F108*0.04)))),
IF(Basic34567891011[[#This Row],[نوع الخدمة]]="كاش اوت",
    IF(F108&lt;=100, 15, IF(F108&lt;=250, 20, IF(F108&lt;=500, 30, IF(F108&lt;=1000, 35, F108*0.035)))),
0)))</f>
        <v>0</v>
      </c>
      <c r="H108" s="163">
        <f>IF(I108="مخالفات",50,Basic34567891011[[#This Row],[قيمة الرسوم / العموله]]+Basic34567891011[[#This Row],[قيمة الشحنه]])</f>
        <v>0</v>
      </c>
      <c r="I108" s="90"/>
      <c r="J108" s="142" t="str">
        <f t="shared" si="1"/>
        <v>22.5.2026</v>
      </c>
      <c r="L108" s="153">
        <v>97</v>
      </c>
      <c r="M108" s="92"/>
    </row>
    <row r="109" spans="1:13" ht="21.6" x14ac:dyDescent="0.65">
      <c r="A109" s="195"/>
      <c r="B109" s="144">
        <v>106</v>
      </c>
      <c r="C109" s="2"/>
      <c r="D109" s="1"/>
      <c r="E109" s="3"/>
      <c r="F109" s="1"/>
      <c r="G109" s="141">
        <f>IF(Basic34567891011[[#This Row],[نوع الخدمة]]="مخالفات", 50,
IF(Basic34567891011[[#This Row],[نوع الخدمة]]="كاش ان",
    IF(F109&lt;=100, 18, IF(F109&lt;=250, 23, IF(F109&lt;=500, 35, IF(F109&lt;=1000, 40, F109*0.04)))),
IF(Basic34567891011[[#This Row],[نوع الخدمة]]="كاش اوت",
    IF(F109&lt;=100, 15, IF(F109&lt;=250, 20, IF(F109&lt;=500, 30, IF(F109&lt;=1000, 35, F109*0.035)))),
0)))</f>
        <v>0</v>
      </c>
      <c r="H109" s="163">
        <f>IF(I109="مخالفات",50,Basic34567891011[[#This Row],[قيمة الرسوم / العموله]]+Basic34567891011[[#This Row],[قيمة الشحنه]])</f>
        <v>0</v>
      </c>
      <c r="I109" s="90"/>
      <c r="J109" s="142" t="str">
        <f t="shared" si="1"/>
        <v>22.5.2026</v>
      </c>
      <c r="L109" s="153">
        <v>98</v>
      </c>
      <c r="M109" s="92"/>
    </row>
    <row r="110" spans="1:13" ht="21.6" x14ac:dyDescent="0.65">
      <c r="A110" s="195"/>
      <c r="B110" s="140">
        <v>107</v>
      </c>
      <c r="C110" s="2"/>
      <c r="D110" s="1"/>
      <c r="E110" s="3"/>
      <c r="F110" s="1"/>
      <c r="G110" s="141">
        <f>IF(Basic34567891011[[#This Row],[نوع الخدمة]]="مخالفات", 50,
IF(Basic34567891011[[#This Row],[نوع الخدمة]]="كاش ان",
    IF(F110&lt;=100, 18, IF(F110&lt;=250, 23, IF(F110&lt;=500, 35, IF(F110&lt;=1000, 40, F110*0.04)))),
IF(Basic34567891011[[#This Row],[نوع الخدمة]]="كاش اوت",
    IF(F110&lt;=100, 15, IF(F110&lt;=250, 20, IF(F110&lt;=500, 30, IF(F110&lt;=1000, 35, F110*0.035)))),
0)))</f>
        <v>0</v>
      </c>
      <c r="H110" s="163">
        <f>IF(I110="مخالفات",50,Basic34567891011[[#This Row],[قيمة الرسوم / العموله]]+Basic34567891011[[#This Row],[قيمة الشحنه]])</f>
        <v>0</v>
      </c>
      <c r="I110" s="90"/>
      <c r="J110" s="142" t="str">
        <f t="shared" si="1"/>
        <v>22.5.2026</v>
      </c>
      <c r="L110" s="153">
        <v>99</v>
      </c>
      <c r="M110" s="92"/>
    </row>
    <row r="111" spans="1:13" ht="21.6" x14ac:dyDescent="0.65">
      <c r="A111" s="195"/>
      <c r="B111" s="140">
        <v>108</v>
      </c>
      <c r="C111" s="2"/>
      <c r="D111" s="1"/>
      <c r="E111" s="3"/>
      <c r="F111" s="1"/>
      <c r="G111" s="141">
        <f>IF(Basic34567891011[[#This Row],[نوع الخدمة]]="مخالفات", 50,
IF(Basic34567891011[[#This Row],[نوع الخدمة]]="كاش ان",
    IF(F111&lt;=100, 18, IF(F111&lt;=250, 23, IF(F111&lt;=500, 35, IF(F111&lt;=1000, 40, F111*0.04)))),
IF(Basic34567891011[[#This Row],[نوع الخدمة]]="كاش اوت",
    IF(F111&lt;=100, 15, IF(F111&lt;=250, 20, IF(F111&lt;=500, 30, IF(F111&lt;=1000, 35, F111*0.035)))),
0)))</f>
        <v>0</v>
      </c>
      <c r="H111" s="163">
        <f>IF(I111="مخالفات",50,Basic34567891011[[#This Row],[قيمة الرسوم / العموله]]+Basic34567891011[[#This Row],[قيمة الشحنه]])</f>
        <v>0</v>
      </c>
      <c r="I111" s="90"/>
      <c r="J111" s="142" t="str">
        <f t="shared" si="1"/>
        <v>22.5.2026</v>
      </c>
      <c r="L111" s="153">
        <v>100</v>
      </c>
      <c r="M111" s="92"/>
    </row>
    <row r="112" spans="1:13" ht="21.6" x14ac:dyDescent="0.65">
      <c r="A112" s="195"/>
      <c r="B112" s="140">
        <v>109</v>
      </c>
      <c r="C112" s="2"/>
      <c r="D112" s="1"/>
      <c r="E112" s="3"/>
      <c r="F112" s="1"/>
      <c r="G112" s="141">
        <f>IF(Basic34567891011[[#This Row],[نوع الخدمة]]="مخالفات", 50,
IF(Basic34567891011[[#This Row],[نوع الخدمة]]="كاش ان",
    IF(F112&lt;=100, 18, IF(F112&lt;=250, 23, IF(F112&lt;=500, 35, IF(F112&lt;=1000, 40, F112*0.04)))),
IF(Basic34567891011[[#This Row],[نوع الخدمة]]="كاش اوت",
    IF(F112&lt;=100, 15, IF(F112&lt;=250, 20, IF(F112&lt;=500, 30, IF(F112&lt;=1000, 35, F112*0.035)))),
0)))</f>
        <v>0</v>
      </c>
      <c r="H112" s="163">
        <f>IF(I112="مخالفات",50,Basic34567891011[[#This Row],[قيمة الرسوم / العموله]]+Basic34567891011[[#This Row],[قيمة الشحنه]])</f>
        <v>0</v>
      </c>
      <c r="I112" s="90"/>
      <c r="J112" s="142" t="str">
        <f t="shared" si="1"/>
        <v>22.5.2026</v>
      </c>
      <c r="L112" s="153">
        <v>101</v>
      </c>
      <c r="M112" s="92"/>
    </row>
    <row r="113" spans="1:13" ht="21.6" x14ac:dyDescent="0.65">
      <c r="A113" s="195"/>
      <c r="B113" s="144">
        <v>110</v>
      </c>
      <c r="C113" s="2"/>
      <c r="D113" s="1"/>
      <c r="E113" s="3"/>
      <c r="F113" s="1"/>
      <c r="G113" s="141">
        <f>IF(Basic34567891011[[#This Row],[نوع الخدمة]]="مخالفات", 50,
IF(Basic34567891011[[#This Row],[نوع الخدمة]]="كاش ان",
    IF(F113&lt;=100, 18, IF(F113&lt;=250, 23, IF(F113&lt;=500, 35, IF(F113&lt;=1000, 40, F113*0.04)))),
IF(Basic34567891011[[#This Row],[نوع الخدمة]]="كاش اوت",
    IF(F113&lt;=100, 15, IF(F113&lt;=250, 20, IF(F113&lt;=500, 30, IF(F113&lt;=1000, 35, F113*0.035)))),
0)))</f>
        <v>0</v>
      </c>
      <c r="H113" s="163">
        <f>IF(I113="مخالفات",50,Basic34567891011[[#This Row],[قيمة الرسوم / العموله]]+Basic34567891011[[#This Row],[قيمة الشحنه]])</f>
        <v>0</v>
      </c>
      <c r="I113" s="90"/>
      <c r="J113" s="142" t="str">
        <f t="shared" si="1"/>
        <v>22.5.2026</v>
      </c>
      <c r="L113" s="153">
        <v>102</v>
      </c>
      <c r="M113" s="92"/>
    </row>
    <row r="114" spans="1:13" ht="21.6" x14ac:dyDescent="0.65">
      <c r="A114" s="195"/>
      <c r="B114" s="140">
        <v>111</v>
      </c>
      <c r="C114" s="2"/>
      <c r="D114" s="1"/>
      <c r="E114" s="3"/>
      <c r="F114" s="1"/>
      <c r="G114" s="141">
        <f>IF(Basic34567891011[[#This Row],[نوع الخدمة]]="مخالفات", 50,
IF(Basic34567891011[[#This Row],[نوع الخدمة]]="كاش ان",
    IF(F114&lt;=100, 18, IF(F114&lt;=250, 23, IF(F114&lt;=500, 35, IF(F114&lt;=1000, 40, F114*0.04)))),
IF(Basic34567891011[[#This Row],[نوع الخدمة]]="كاش اوت",
    IF(F114&lt;=100, 15, IF(F114&lt;=250, 20, IF(F114&lt;=500, 30, IF(F114&lt;=1000, 35, F114*0.035)))),
0)))</f>
        <v>0</v>
      </c>
      <c r="H114" s="163">
        <f>IF(I114="مخالفات",50,Basic34567891011[[#This Row],[قيمة الرسوم / العموله]]+Basic34567891011[[#This Row],[قيمة الشحنه]])</f>
        <v>0</v>
      </c>
      <c r="I114" s="90"/>
      <c r="J114" s="142" t="str">
        <f t="shared" si="1"/>
        <v>22.5.2026</v>
      </c>
      <c r="L114" s="153">
        <v>103</v>
      </c>
      <c r="M114" s="92"/>
    </row>
    <row r="115" spans="1:13" ht="21.6" x14ac:dyDescent="0.65">
      <c r="A115" s="195"/>
      <c r="B115" s="140">
        <v>112</v>
      </c>
      <c r="C115" s="2"/>
      <c r="D115" s="1"/>
      <c r="E115" s="3"/>
      <c r="F115" s="1"/>
      <c r="G115" s="141">
        <f>IF(Basic34567891011[[#This Row],[نوع الخدمة]]="مخالفات", 50,
IF(Basic34567891011[[#This Row],[نوع الخدمة]]="كاش ان",
    IF(F115&lt;=100, 18, IF(F115&lt;=250, 23, IF(F115&lt;=500, 35, IF(F115&lt;=1000, 40, F115*0.04)))),
IF(Basic34567891011[[#This Row],[نوع الخدمة]]="كاش اوت",
    IF(F115&lt;=100, 15, IF(F115&lt;=250, 20, IF(F115&lt;=500, 30, IF(F115&lt;=1000, 35, F115*0.035)))),
0)))</f>
        <v>0</v>
      </c>
      <c r="H115" s="163">
        <f>IF(I115="مخالفات",50,Basic34567891011[[#This Row],[قيمة الرسوم / العموله]]+Basic34567891011[[#This Row],[قيمة الشحنه]])</f>
        <v>0</v>
      </c>
      <c r="I115" s="90"/>
      <c r="J115" s="142" t="str">
        <f t="shared" si="1"/>
        <v>22.5.2026</v>
      </c>
      <c r="L115" s="153">
        <v>104</v>
      </c>
      <c r="M115" s="92"/>
    </row>
    <row r="116" spans="1:13" ht="21.6" x14ac:dyDescent="0.65">
      <c r="A116" s="195"/>
      <c r="B116" s="140">
        <v>113</v>
      </c>
      <c r="C116" s="2"/>
      <c r="D116" s="1"/>
      <c r="E116" s="3"/>
      <c r="F116" s="1"/>
      <c r="G116" s="141">
        <f>IF(Basic34567891011[[#This Row],[نوع الخدمة]]="مخالفات", 50,
IF(Basic34567891011[[#This Row],[نوع الخدمة]]="كاش ان",
    IF(F116&lt;=100, 18, IF(F116&lt;=250, 23, IF(F116&lt;=500, 35, IF(F116&lt;=1000, 40, F116*0.04)))),
IF(Basic34567891011[[#This Row],[نوع الخدمة]]="كاش اوت",
    IF(F116&lt;=100, 15, IF(F116&lt;=250, 20, IF(F116&lt;=500, 30, IF(F116&lt;=1000, 35, F116*0.035)))),
0)))</f>
        <v>0</v>
      </c>
      <c r="H116" s="163">
        <f>IF(I116="مخالفات",50,Basic34567891011[[#This Row],[قيمة الرسوم / العموله]]+Basic34567891011[[#This Row],[قيمة الشحنه]])</f>
        <v>0</v>
      </c>
      <c r="I116" s="90"/>
      <c r="J116" s="142" t="str">
        <f t="shared" si="1"/>
        <v>22.5.2026</v>
      </c>
      <c r="L116" s="153">
        <v>105</v>
      </c>
      <c r="M116" s="92"/>
    </row>
    <row r="117" spans="1:13" ht="21.6" x14ac:dyDescent="0.65">
      <c r="A117" s="195"/>
      <c r="B117" s="144">
        <v>114</v>
      </c>
      <c r="C117" s="2"/>
      <c r="D117" s="1"/>
      <c r="E117" s="3"/>
      <c r="F117" s="1"/>
      <c r="G117" s="141">
        <f>IF(Basic34567891011[[#This Row],[نوع الخدمة]]="مخالفات", 50,
IF(Basic34567891011[[#This Row],[نوع الخدمة]]="كاش ان",
    IF(F117&lt;=100, 18, IF(F117&lt;=250, 23, IF(F117&lt;=500, 35, IF(F117&lt;=1000, 40, F117*0.04)))),
IF(Basic34567891011[[#This Row],[نوع الخدمة]]="كاش اوت",
    IF(F117&lt;=100, 15, IF(F117&lt;=250, 20, IF(F117&lt;=500, 30, IF(F117&lt;=1000, 35, F117*0.035)))),
0)))</f>
        <v>0</v>
      </c>
      <c r="H117" s="163">
        <f>IF(I117="مخالفات",50,Basic34567891011[[#This Row],[قيمة الرسوم / العموله]]+Basic34567891011[[#This Row],[قيمة الشحنه]])</f>
        <v>0</v>
      </c>
      <c r="I117" s="90"/>
      <c r="J117" s="142" t="str">
        <f t="shared" si="1"/>
        <v>22.5.2026</v>
      </c>
      <c r="L117" s="153">
        <v>106</v>
      </c>
      <c r="M117" s="92"/>
    </row>
    <row r="118" spans="1:13" ht="21.6" x14ac:dyDescent="0.65">
      <c r="A118" s="195"/>
      <c r="B118" s="140">
        <v>115</v>
      </c>
      <c r="C118" s="2"/>
      <c r="D118" s="1"/>
      <c r="E118" s="3"/>
      <c r="F118" s="1"/>
      <c r="G118" s="141">
        <f>IF(Basic34567891011[[#This Row],[نوع الخدمة]]="مخالفات", 50,
IF(Basic34567891011[[#This Row],[نوع الخدمة]]="كاش ان",
    IF(F118&lt;=100, 18, IF(F118&lt;=250, 23, IF(F118&lt;=500, 35, IF(F118&lt;=1000, 40, F118*0.04)))),
IF(Basic34567891011[[#This Row],[نوع الخدمة]]="كاش اوت",
    IF(F118&lt;=100, 15, IF(F118&lt;=250, 20, IF(F118&lt;=500, 30, IF(F118&lt;=1000, 35, F118*0.035)))),
0)))</f>
        <v>0</v>
      </c>
      <c r="H118" s="163">
        <f>IF(I118="مخالفات",50,Basic34567891011[[#This Row],[قيمة الرسوم / العموله]]+Basic34567891011[[#This Row],[قيمة الشحنه]])</f>
        <v>0</v>
      </c>
      <c r="I118" s="90"/>
      <c r="J118" s="142" t="str">
        <f t="shared" si="1"/>
        <v>22.5.2026</v>
      </c>
      <c r="L118" s="153">
        <v>107</v>
      </c>
      <c r="M118" s="92"/>
    </row>
    <row r="119" spans="1:13" ht="21.6" x14ac:dyDescent="0.65">
      <c r="A119" s="195"/>
      <c r="B119" s="140">
        <v>116</v>
      </c>
      <c r="C119" s="2"/>
      <c r="D119" s="1"/>
      <c r="E119" s="3"/>
      <c r="F119" s="1"/>
      <c r="G119" s="141">
        <f>IF(Basic34567891011[[#This Row],[نوع الخدمة]]="مخالفات", 50,
IF(Basic34567891011[[#This Row],[نوع الخدمة]]="كاش ان",
    IF(F119&lt;=100, 18, IF(F119&lt;=250, 23, IF(F119&lt;=500, 35, IF(F119&lt;=1000, 40, F119*0.04)))),
IF(Basic34567891011[[#This Row],[نوع الخدمة]]="كاش اوت",
    IF(F119&lt;=100, 15, IF(F119&lt;=250, 20, IF(F119&lt;=500, 30, IF(F119&lt;=1000, 35, F119*0.035)))),
0)))</f>
        <v>0</v>
      </c>
      <c r="H119" s="163">
        <f>IF(I119="مخالفات",50,Basic34567891011[[#This Row],[قيمة الرسوم / العموله]]+Basic34567891011[[#This Row],[قيمة الشحنه]])</f>
        <v>0</v>
      </c>
      <c r="I119" s="90"/>
      <c r="J119" s="142" t="str">
        <f t="shared" si="1"/>
        <v>22.5.2026</v>
      </c>
      <c r="L119" s="153">
        <v>108</v>
      </c>
      <c r="M119" s="92"/>
    </row>
    <row r="120" spans="1:13" ht="21.6" x14ac:dyDescent="0.65">
      <c r="A120" s="195"/>
      <c r="B120" s="140">
        <v>117</v>
      </c>
      <c r="C120" s="2"/>
      <c r="D120" s="1"/>
      <c r="E120" s="3"/>
      <c r="F120" s="1"/>
      <c r="G120" s="141">
        <f>IF(Basic34567891011[[#This Row],[نوع الخدمة]]="مخالفات", 50,
IF(Basic34567891011[[#This Row],[نوع الخدمة]]="كاش ان",
    IF(F120&lt;=100, 18, IF(F120&lt;=250, 23, IF(F120&lt;=500, 35, IF(F120&lt;=1000, 40, F120*0.04)))),
IF(Basic34567891011[[#This Row],[نوع الخدمة]]="كاش اوت",
    IF(F120&lt;=100, 15, IF(F120&lt;=250, 20, IF(F120&lt;=500, 30, IF(F120&lt;=1000, 35, F120*0.035)))),
0)))</f>
        <v>0</v>
      </c>
      <c r="H120" s="163">
        <f>IF(I120="مخالفات",50,Basic34567891011[[#This Row],[قيمة الرسوم / العموله]]+Basic34567891011[[#This Row],[قيمة الشحنه]])</f>
        <v>0</v>
      </c>
      <c r="I120" s="90"/>
      <c r="J120" s="142" t="str">
        <f t="shared" si="1"/>
        <v>22.5.2026</v>
      </c>
      <c r="L120" s="153">
        <v>109</v>
      </c>
      <c r="M120" s="92"/>
    </row>
    <row r="121" spans="1:13" ht="21.6" x14ac:dyDescent="0.65">
      <c r="A121" s="195"/>
      <c r="B121" s="144">
        <v>118</v>
      </c>
      <c r="C121" s="2"/>
      <c r="D121" s="1"/>
      <c r="E121" s="3"/>
      <c r="F121" s="1"/>
      <c r="G121" s="141">
        <f>IF(Basic34567891011[[#This Row],[نوع الخدمة]]="مخالفات", 50,
IF(Basic34567891011[[#This Row],[نوع الخدمة]]="كاش ان",
    IF(F121&lt;=100, 18, IF(F121&lt;=250, 23, IF(F121&lt;=500, 35, IF(F121&lt;=1000, 40, F121*0.04)))),
IF(Basic34567891011[[#This Row],[نوع الخدمة]]="كاش اوت",
    IF(F121&lt;=100, 15, IF(F121&lt;=250, 20, IF(F121&lt;=500, 30, IF(F121&lt;=1000, 35, F121*0.035)))),
0)))</f>
        <v>0</v>
      </c>
      <c r="H121" s="163">
        <f>IF(I121="مخالفات",50,Basic34567891011[[#This Row],[قيمة الرسوم / العموله]]+Basic34567891011[[#This Row],[قيمة الشحنه]])</f>
        <v>0</v>
      </c>
      <c r="I121" s="90"/>
      <c r="J121" s="142" t="str">
        <f t="shared" si="1"/>
        <v>22.5.2026</v>
      </c>
      <c r="L121" s="153">
        <v>110</v>
      </c>
      <c r="M121" s="92"/>
    </row>
    <row r="122" spans="1:13" ht="21.6" x14ac:dyDescent="0.65">
      <c r="A122" s="195"/>
      <c r="B122" s="140">
        <v>119</v>
      </c>
      <c r="C122" s="2"/>
      <c r="D122" s="1"/>
      <c r="E122" s="3"/>
      <c r="F122" s="1"/>
      <c r="G122" s="141">
        <f>IF(Basic34567891011[[#This Row],[نوع الخدمة]]="مخالفات", 50,
IF(Basic34567891011[[#This Row],[نوع الخدمة]]="كاش ان",
    IF(F122&lt;=100, 18, IF(F122&lt;=250, 23, IF(F122&lt;=500, 35, IF(F122&lt;=1000, 40, F122*0.04)))),
IF(Basic34567891011[[#This Row],[نوع الخدمة]]="كاش اوت",
    IF(F122&lt;=100, 15, IF(F122&lt;=250, 20, IF(F122&lt;=500, 30, IF(F122&lt;=1000, 35, F122*0.035)))),
0)))</f>
        <v>0</v>
      </c>
      <c r="H122" s="163">
        <f>IF(I122="مخالفات",50,Basic34567891011[[#This Row],[قيمة الرسوم / العموله]]+Basic34567891011[[#This Row],[قيمة الشحنه]])</f>
        <v>0</v>
      </c>
      <c r="I122" s="90"/>
      <c r="J122" s="142" t="str">
        <f t="shared" si="1"/>
        <v>22.5.2026</v>
      </c>
      <c r="L122" s="153">
        <v>111</v>
      </c>
      <c r="M122" s="92"/>
    </row>
    <row r="123" spans="1:13" ht="21.6" x14ac:dyDescent="0.65">
      <c r="A123" s="195"/>
      <c r="B123" s="140">
        <v>120</v>
      </c>
      <c r="C123" s="2"/>
      <c r="D123" s="1"/>
      <c r="E123" s="3"/>
      <c r="F123" s="1"/>
      <c r="G123" s="141">
        <f>IF(Basic34567891011[[#This Row],[نوع الخدمة]]="مخالفات", 50,
IF(Basic34567891011[[#This Row],[نوع الخدمة]]="كاش ان",
    IF(F123&lt;=100, 18, IF(F123&lt;=250, 23, IF(F123&lt;=500, 35, IF(F123&lt;=1000, 40, F123*0.04)))),
IF(Basic34567891011[[#This Row],[نوع الخدمة]]="كاش اوت",
    IF(F123&lt;=100, 15, IF(F123&lt;=250, 20, IF(F123&lt;=500, 30, IF(F123&lt;=1000, 35, F123*0.035)))),
0)))</f>
        <v>0</v>
      </c>
      <c r="H123" s="163">
        <f>IF(I123="مخالفات",50,Basic34567891011[[#This Row],[قيمة الرسوم / العموله]]+Basic34567891011[[#This Row],[قيمة الشحنه]])</f>
        <v>0</v>
      </c>
      <c r="I123" s="90"/>
      <c r="J123" s="142" t="str">
        <f t="shared" si="1"/>
        <v>22.5.2026</v>
      </c>
      <c r="L123" s="153">
        <v>112</v>
      </c>
      <c r="M123" s="92"/>
    </row>
    <row r="124" spans="1:13" ht="21.6" x14ac:dyDescent="0.65">
      <c r="A124" s="195"/>
      <c r="B124" s="140">
        <v>121</v>
      </c>
      <c r="C124" s="2"/>
      <c r="D124" s="1"/>
      <c r="E124" s="3"/>
      <c r="F124" s="1"/>
      <c r="G124" s="141">
        <f>IF(Basic34567891011[[#This Row],[نوع الخدمة]]="مخالفات", 50,
IF(Basic34567891011[[#This Row],[نوع الخدمة]]="كاش ان",
    IF(F124&lt;=100, 18, IF(F124&lt;=250, 23, IF(F124&lt;=500, 35, IF(F124&lt;=1000, 40, F124*0.04)))),
IF(Basic34567891011[[#This Row],[نوع الخدمة]]="كاش اوت",
    IF(F124&lt;=100, 15, IF(F124&lt;=250, 20, IF(F124&lt;=500, 30, IF(F124&lt;=1000, 35, F124*0.035)))),
0)))</f>
        <v>0</v>
      </c>
      <c r="H124" s="163">
        <f>IF(I124="مخالفات",50,Basic34567891011[[#This Row],[قيمة الرسوم / العموله]]+Basic34567891011[[#This Row],[قيمة الشحنه]])</f>
        <v>0</v>
      </c>
      <c r="I124" s="90"/>
      <c r="J124" s="142" t="str">
        <f t="shared" si="1"/>
        <v>22.5.2026</v>
      </c>
      <c r="L124" s="153">
        <v>113</v>
      </c>
      <c r="M124" s="92"/>
    </row>
    <row r="125" spans="1:13" ht="21.6" x14ac:dyDescent="0.65">
      <c r="A125" s="195"/>
      <c r="B125" s="144">
        <v>122</v>
      </c>
      <c r="C125" s="2"/>
      <c r="D125" s="1"/>
      <c r="E125" s="3"/>
      <c r="F125" s="1"/>
      <c r="G125" s="141">
        <f>IF(Basic34567891011[[#This Row],[نوع الخدمة]]="مخالفات", 50,
IF(Basic34567891011[[#This Row],[نوع الخدمة]]="كاش ان",
    IF(F125&lt;=100, 18, IF(F125&lt;=250, 23, IF(F125&lt;=500, 35, IF(F125&lt;=1000, 40, F125*0.04)))),
IF(Basic34567891011[[#This Row],[نوع الخدمة]]="كاش اوت",
    IF(F125&lt;=100, 15, IF(F125&lt;=250, 20, IF(F125&lt;=500, 30, IF(F125&lt;=1000, 35, F125*0.035)))),
0)))</f>
        <v>0</v>
      </c>
      <c r="H125" s="163">
        <f>IF(I125="مخالفات",50,Basic34567891011[[#This Row],[قيمة الرسوم / العموله]]+Basic34567891011[[#This Row],[قيمة الشحنه]])</f>
        <v>0</v>
      </c>
      <c r="I125" s="90"/>
      <c r="J125" s="142" t="str">
        <f t="shared" si="1"/>
        <v>22.5.2026</v>
      </c>
      <c r="L125" s="153">
        <v>114</v>
      </c>
      <c r="M125" s="92"/>
    </row>
    <row r="126" spans="1:13" ht="21.6" x14ac:dyDescent="0.65">
      <c r="A126" s="195"/>
      <c r="B126" s="140">
        <v>123</v>
      </c>
      <c r="C126" s="2"/>
      <c r="D126" s="1"/>
      <c r="E126" s="3"/>
      <c r="F126" s="1"/>
      <c r="G126" s="141">
        <f>IF(Basic34567891011[[#This Row],[نوع الخدمة]]="مخالفات", 50,
IF(Basic34567891011[[#This Row],[نوع الخدمة]]="كاش ان",
    IF(F126&lt;=100, 18, IF(F126&lt;=250, 23, IF(F126&lt;=500, 35, IF(F126&lt;=1000, 40, F126*0.04)))),
IF(Basic34567891011[[#This Row],[نوع الخدمة]]="كاش اوت",
    IF(F126&lt;=100, 15, IF(F126&lt;=250, 20, IF(F126&lt;=500, 30, IF(F126&lt;=1000, 35, F126*0.035)))),
0)))</f>
        <v>0</v>
      </c>
      <c r="H126" s="163">
        <f>IF(I126="مخالفات",50,Basic34567891011[[#This Row],[قيمة الرسوم / العموله]]+Basic34567891011[[#This Row],[قيمة الشحنه]])</f>
        <v>0</v>
      </c>
      <c r="I126" s="90"/>
      <c r="J126" s="142" t="str">
        <f t="shared" si="1"/>
        <v>22.5.2026</v>
      </c>
      <c r="L126" s="153">
        <v>115</v>
      </c>
      <c r="M126" s="92"/>
    </row>
    <row r="127" spans="1:13" ht="21.6" x14ac:dyDescent="0.65">
      <c r="A127" s="195"/>
      <c r="B127" s="140">
        <v>124</v>
      </c>
      <c r="C127" s="2"/>
      <c r="D127" s="1"/>
      <c r="E127" s="3"/>
      <c r="F127" s="1"/>
      <c r="G127" s="141">
        <f>IF(Basic34567891011[[#This Row],[نوع الخدمة]]="مخالفات", 50,
IF(Basic34567891011[[#This Row],[نوع الخدمة]]="كاش ان",
    IF(F127&lt;=100, 18, IF(F127&lt;=250, 23, IF(F127&lt;=500, 35, IF(F127&lt;=1000, 40, F127*0.04)))),
IF(Basic34567891011[[#This Row],[نوع الخدمة]]="كاش اوت",
    IF(F127&lt;=100, 15, IF(F127&lt;=250, 20, IF(F127&lt;=500, 30, IF(F127&lt;=1000, 35, F127*0.035)))),
0)))</f>
        <v>0</v>
      </c>
      <c r="H127" s="163">
        <f>IF(I127="مخالفات",50,Basic34567891011[[#This Row],[قيمة الرسوم / العموله]]+Basic34567891011[[#This Row],[قيمة الشحنه]])</f>
        <v>0</v>
      </c>
      <c r="I127" s="90"/>
      <c r="J127" s="142" t="str">
        <f t="shared" si="1"/>
        <v>22.5.2026</v>
      </c>
      <c r="L127" s="153">
        <v>116</v>
      </c>
      <c r="M127" s="92"/>
    </row>
    <row r="128" spans="1:13" ht="21.6" x14ac:dyDescent="0.65">
      <c r="A128" s="195"/>
      <c r="B128" s="140">
        <v>125</v>
      </c>
      <c r="C128" s="2"/>
      <c r="D128" s="1"/>
      <c r="E128" s="3"/>
      <c r="F128" s="1"/>
      <c r="G128" s="141">
        <f>IF(Basic34567891011[[#This Row],[نوع الخدمة]]="مخالفات", 50,
IF(Basic34567891011[[#This Row],[نوع الخدمة]]="كاش ان",
    IF(F128&lt;=100, 18, IF(F128&lt;=250, 23, IF(F128&lt;=500, 35, IF(F128&lt;=1000, 40, F128*0.04)))),
IF(Basic34567891011[[#This Row],[نوع الخدمة]]="كاش اوت",
    IF(F128&lt;=100, 15, IF(F128&lt;=250, 20, IF(F128&lt;=500, 30, IF(F128&lt;=1000, 35, F128*0.035)))),
0)))</f>
        <v>0</v>
      </c>
      <c r="H128" s="163">
        <f>IF(I128="مخالفات",50,Basic34567891011[[#This Row],[قيمة الرسوم / العموله]]+Basic34567891011[[#This Row],[قيمة الشحنه]])</f>
        <v>0</v>
      </c>
      <c r="I128" s="90"/>
      <c r="J128" s="142" t="str">
        <f t="shared" si="1"/>
        <v>22.5.2026</v>
      </c>
      <c r="L128" s="153">
        <v>117</v>
      </c>
      <c r="M128" s="92"/>
    </row>
    <row r="129" spans="1:13" ht="21.6" x14ac:dyDescent="0.65">
      <c r="A129" s="195"/>
      <c r="B129" s="144">
        <v>126</v>
      </c>
      <c r="C129" s="2"/>
      <c r="D129" s="1"/>
      <c r="E129" s="3"/>
      <c r="F129" s="1"/>
      <c r="G129" s="141">
        <f>IF(Basic34567891011[[#This Row],[نوع الخدمة]]="مخالفات", 50,
IF(Basic34567891011[[#This Row],[نوع الخدمة]]="كاش ان",
    IF(F129&lt;=100, 18, IF(F129&lt;=250, 23, IF(F129&lt;=500, 35, IF(F129&lt;=1000, 40, F129*0.04)))),
IF(Basic34567891011[[#This Row],[نوع الخدمة]]="كاش اوت",
    IF(F129&lt;=100, 15, IF(F129&lt;=250, 20, IF(F129&lt;=500, 30, IF(F129&lt;=1000, 35, F129*0.035)))),
0)))</f>
        <v>0</v>
      </c>
      <c r="H129" s="163">
        <f>IF(I129="مخالفات",50,Basic34567891011[[#This Row],[قيمة الرسوم / العموله]]+Basic34567891011[[#This Row],[قيمة الشحنه]])</f>
        <v>0</v>
      </c>
      <c r="I129" s="90"/>
      <c r="J129" s="142" t="str">
        <f t="shared" si="1"/>
        <v>22.5.2026</v>
      </c>
      <c r="L129" s="153">
        <v>118</v>
      </c>
      <c r="M129" s="92"/>
    </row>
    <row r="130" spans="1:13" ht="21.6" x14ac:dyDescent="0.65">
      <c r="A130" s="195"/>
      <c r="B130" s="140">
        <v>127</v>
      </c>
      <c r="C130" s="2"/>
      <c r="D130" s="1"/>
      <c r="E130" s="3"/>
      <c r="F130" s="1"/>
      <c r="G130" s="141">
        <f>IF(Basic34567891011[[#This Row],[نوع الخدمة]]="مخالفات", 50,
IF(Basic34567891011[[#This Row],[نوع الخدمة]]="كاش ان",
    IF(F130&lt;=100, 18, IF(F130&lt;=250, 23, IF(F130&lt;=500, 35, IF(F130&lt;=1000, 40, F130*0.04)))),
IF(Basic34567891011[[#This Row],[نوع الخدمة]]="كاش اوت",
    IF(F130&lt;=100, 15, IF(F130&lt;=250, 20, IF(F130&lt;=500, 30, IF(F130&lt;=1000, 35, F130*0.035)))),
0)))</f>
        <v>0</v>
      </c>
      <c r="H130" s="163">
        <f>IF(I130="مخالفات",50,Basic34567891011[[#This Row],[قيمة الرسوم / العموله]]+Basic34567891011[[#This Row],[قيمة الشحنه]])</f>
        <v>0</v>
      </c>
      <c r="I130" s="90"/>
      <c r="J130" s="142" t="str">
        <f t="shared" si="1"/>
        <v>22.5.2026</v>
      </c>
      <c r="L130" s="153">
        <v>119</v>
      </c>
      <c r="M130" s="92"/>
    </row>
    <row r="131" spans="1:13" ht="21.6" x14ac:dyDescent="0.65">
      <c r="A131" s="195"/>
      <c r="B131" s="140">
        <v>128</v>
      </c>
      <c r="C131" s="2"/>
      <c r="D131" s="1"/>
      <c r="E131" s="3"/>
      <c r="F131" s="1"/>
      <c r="G131" s="141">
        <f>IF(Basic34567891011[[#This Row],[نوع الخدمة]]="مخالفات", 50,
IF(Basic34567891011[[#This Row],[نوع الخدمة]]="كاش ان",
    IF(F131&lt;=100, 18, IF(F131&lt;=250, 23, IF(F131&lt;=500, 35, IF(F131&lt;=1000, 40, F131*0.04)))),
IF(Basic34567891011[[#This Row],[نوع الخدمة]]="كاش اوت",
    IF(F131&lt;=100, 15, IF(F131&lt;=250, 20, IF(F131&lt;=500, 30, IF(F131&lt;=1000, 35, F131*0.035)))),
0)))</f>
        <v>0</v>
      </c>
      <c r="H131" s="163">
        <f>IF(I131="مخالفات",50,Basic34567891011[[#This Row],[قيمة الرسوم / العموله]]+Basic34567891011[[#This Row],[قيمة الشحنه]])</f>
        <v>0</v>
      </c>
      <c r="I131" s="90"/>
      <c r="J131" s="142" t="str">
        <f t="shared" si="1"/>
        <v>22.5.2026</v>
      </c>
      <c r="L131" s="153">
        <v>120</v>
      </c>
      <c r="M131" s="92"/>
    </row>
    <row r="132" spans="1:13" ht="21.6" x14ac:dyDescent="0.65">
      <c r="A132" s="195"/>
      <c r="B132" s="140">
        <v>129</v>
      </c>
      <c r="C132" s="2"/>
      <c r="D132" s="1"/>
      <c r="E132" s="3"/>
      <c r="F132" s="1"/>
      <c r="G132" s="141">
        <f>IF(Basic34567891011[[#This Row],[نوع الخدمة]]="مخالفات", 50,
IF(Basic34567891011[[#This Row],[نوع الخدمة]]="كاش ان",
    IF(F132&lt;=100, 18, IF(F132&lt;=250, 23, IF(F132&lt;=500, 35, IF(F132&lt;=1000, 40, F132*0.04)))),
IF(Basic34567891011[[#This Row],[نوع الخدمة]]="كاش اوت",
    IF(F132&lt;=100, 15, IF(F132&lt;=250, 20, IF(F132&lt;=500, 30, IF(F132&lt;=1000, 35, F132*0.035)))),
0)))</f>
        <v>0</v>
      </c>
      <c r="H132" s="163">
        <f>IF(I132="مخالفات",50,Basic34567891011[[#This Row],[قيمة الرسوم / العموله]]+Basic34567891011[[#This Row],[قيمة الشحنه]])</f>
        <v>0</v>
      </c>
      <c r="I132" s="90"/>
      <c r="J132" s="142" t="str">
        <f t="shared" ref="J132:J195" si="2">M$3</f>
        <v>22.5.2026</v>
      </c>
      <c r="L132" s="153">
        <v>121</v>
      </c>
      <c r="M132" s="92"/>
    </row>
    <row r="133" spans="1:13" ht="21.6" x14ac:dyDescent="0.65">
      <c r="A133" s="195"/>
      <c r="B133" s="144">
        <v>130</v>
      </c>
      <c r="C133" s="2"/>
      <c r="D133" s="1"/>
      <c r="E133" s="3"/>
      <c r="F133" s="1"/>
      <c r="G133" s="141">
        <f>IF(Basic34567891011[[#This Row],[نوع الخدمة]]="مخالفات", 50,
IF(Basic34567891011[[#This Row],[نوع الخدمة]]="كاش ان",
    IF(F133&lt;=100, 18, IF(F133&lt;=250, 23, IF(F133&lt;=500, 35, IF(F133&lt;=1000, 40, F133*0.04)))),
IF(Basic34567891011[[#This Row],[نوع الخدمة]]="كاش اوت",
    IF(F133&lt;=100, 15, IF(F133&lt;=250, 20, IF(F133&lt;=500, 30, IF(F133&lt;=1000, 35, F133*0.035)))),
0)))</f>
        <v>0</v>
      </c>
      <c r="H133" s="163">
        <f>IF(I133="مخالفات",50,Basic34567891011[[#This Row],[قيمة الرسوم / العموله]]+Basic34567891011[[#This Row],[قيمة الشحنه]])</f>
        <v>0</v>
      </c>
      <c r="I133" s="90"/>
      <c r="J133" s="142" t="str">
        <f t="shared" si="2"/>
        <v>22.5.2026</v>
      </c>
      <c r="L133" s="153">
        <v>122</v>
      </c>
      <c r="M133" s="92"/>
    </row>
    <row r="134" spans="1:13" ht="21.6" x14ac:dyDescent="0.65">
      <c r="A134" s="195"/>
      <c r="B134" s="140">
        <v>131</v>
      </c>
      <c r="C134" s="2"/>
      <c r="D134" s="1"/>
      <c r="E134" s="3"/>
      <c r="F134" s="1"/>
      <c r="G134" s="141">
        <f>IF(Basic34567891011[[#This Row],[نوع الخدمة]]="مخالفات", 50,
IF(Basic34567891011[[#This Row],[نوع الخدمة]]="كاش ان",
    IF(F134&lt;=100, 18, IF(F134&lt;=250, 23, IF(F134&lt;=500, 35, IF(F134&lt;=1000, 40, F134*0.04)))),
IF(Basic34567891011[[#This Row],[نوع الخدمة]]="كاش اوت",
    IF(F134&lt;=100, 15, IF(F134&lt;=250, 20, IF(F134&lt;=500, 30, IF(F134&lt;=1000, 35, F134*0.035)))),
0)))</f>
        <v>0</v>
      </c>
      <c r="H134" s="163">
        <f>IF(I134="مخالفات",50,Basic34567891011[[#This Row],[قيمة الرسوم / العموله]]+Basic34567891011[[#This Row],[قيمة الشحنه]])</f>
        <v>0</v>
      </c>
      <c r="I134" s="90"/>
      <c r="J134" s="142" t="str">
        <f t="shared" si="2"/>
        <v>22.5.2026</v>
      </c>
      <c r="L134" s="153">
        <v>123</v>
      </c>
      <c r="M134" s="92"/>
    </row>
    <row r="135" spans="1:13" ht="21.6" x14ac:dyDescent="0.65">
      <c r="A135" s="195"/>
      <c r="B135" s="140">
        <v>132</v>
      </c>
      <c r="C135" s="2"/>
      <c r="D135" s="1"/>
      <c r="E135" s="3"/>
      <c r="F135" s="1"/>
      <c r="G135" s="141">
        <f>IF(Basic34567891011[[#This Row],[نوع الخدمة]]="مخالفات", 50,
IF(Basic34567891011[[#This Row],[نوع الخدمة]]="كاش ان",
    IF(F135&lt;=100, 18, IF(F135&lt;=250, 23, IF(F135&lt;=500, 35, IF(F135&lt;=1000, 40, F135*0.04)))),
IF(Basic34567891011[[#This Row],[نوع الخدمة]]="كاش اوت",
    IF(F135&lt;=100, 15, IF(F135&lt;=250, 20, IF(F135&lt;=500, 30, IF(F135&lt;=1000, 35, F135*0.035)))),
0)))</f>
        <v>0</v>
      </c>
      <c r="H135" s="163">
        <f>IF(I135="مخالفات",50,Basic34567891011[[#This Row],[قيمة الرسوم / العموله]]+Basic34567891011[[#This Row],[قيمة الشحنه]])</f>
        <v>0</v>
      </c>
      <c r="I135" s="90"/>
      <c r="J135" s="142" t="str">
        <f t="shared" si="2"/>
        <v>22.5.2026</v>
      </c>
      <c r="L135" s="153">
        <v>124</v>
      </c>
      <c r="M135" s="92"/>
    </row>
    <row r="136" spans="1:13" ht="21.6" x14ac:dyDescent="0.65">
      <c r="A136" s="195"/>
      <c r="B136" s="140">
        <v>133</v>
      </c>
      <c r="C136" s="2"/>
      <c r="D136" s="1"/>
      <c r="E136" s="3"/>
      <c r="F136" s="1"/>
      <c r="G136" s="141">
        <f>IF(Basic34567891011[[#This Row],[نوع الخدمة]]="مخالفات", 50,
IF(Basic34567891011[[#This Row],[نوع الخدمة]]="كاش ان",
    IF(F136&lt;=100, 18, IF(F136&lt;=250, 23, IF(F136&lt;=500, 35, IF(F136&lt;=1000, 40, F136*0.04)))),
IF(Basic34567891011[[#This Row],[نوع الخدمة]]="كاش اوت",
    IF(F136&lt;=100, 15, IF(F136&lt;=250, 20, IF(F136&lt;=500, 30, IF(F136&lt;=1000, 35, F136*0.035)))),
0)))</f>
        <v>0</v>
      </c>
      <c r="H136" s="163">
        <f>IF(I136="مخالفات",50,Basic34567891011[[#This Row],[قيمة الرسوم / العموله]]+Basic34567891011[[#This Row],[قيمة الشحنه]])</f>
        <v>0</v>
      </c>
      <c r="I136" s="90"/>
      <c r="J136" s="142" t="str">
        <f t="shared" si="2"/>
        <v>22.5.2026</v>
      </c>
      <c r="L136" s="153">
        <v>125</v>
      </c>
      <c r="M136" s="92"/>
    </row>
    <row r="137" spans="1:13" ht="21.6" x14ac:dyDescent="0.65">
      <c r="A137" s="195"/>
      <c r="B137" s="144">
        <v>134</v>
      </c>
      <c r="C137" s="2"/>
      <c r="D137" s="1"/>
      <c r="E137" s="3"/>
      <c r="F137" s="1"/>
      <c r="G137" s="141">
        <f>IF(Basic34567891011[[#This Row],[نوع الخدمة]]="مخالفات", 50,
IF(Basic34567891011[[#This Row],[نوع الخدمة]]="كاش ان",
    IF(F137&lt;=100, 18, IF(F137&lt;=250, 23, IF(F137&lt;=500, 35, IF(F137&lt;=1000, 40, F137*0.04)))),
IF(Basic34567891011[[#This Row],[نوع الخدمة]]="كاش اوت",
    IF(F137&lt;=100, 15, IF(F137&lt;=250, 20, IF(F137&lt;=500, 30, IF(F137&lt;=1000, 35, F137*0.035)))),
0)))</f>
        <v>0</v>
      </c>
      <c r="H137" s="163">
        <f>IF(I137="مخالفات",50,Basic34567891011[[#This Row],[قيمة الرسوم / العموله]]+Basic34567891011[[#This Row],[قيمة الشحنه]])</f>
        <v>0</v>
      </c>
      <c r="I137" s="90"/>
      <c r="J137" s="142" t="str">
        <f t="shared" si="2"/>
        <v>22.5.2026</v>
      </c>
      <c r="L137" s="153">
        <v>126</v>
      </c>
      <c r="M137" s="92"/>
    </row>
    <row r="138" spans="1:13" ht="21.6" x14ac:dyDescent="0.65">
      <c r="A138" s="195"/>
      <c r="B138" s="140">
        <v>135</v>
      </c>
      <c r="C138" s="2"/>
      <c r="D138" s="1"/>
      <c r="E138" s="3"/>
      <c r="F138" s="1"/>
      <c r="G138" s="141">
        <f>IF(Basic34567891011[[#This Row],[نوع الخدمة]]="مخالفات", 50,
IF(Basic34567891011[[#This Row],[نوع الخدمة]]="كاش ان",
    IF(F138&lt;=100, 18, IF(F138&lt;=250, 23, IF(F138&lt;=500, 35, IF(F138&lt;=1000, 40, F138*0.04)))),
IF(Basic34567891011[[#This Row],[نوع الخدمة]]="كاش اوت",
    IF(F138&lt;=100, 15, IF(F138&lt;=250, 20, IF(F138&lt;=500, 30, IF(F138&lt;=1000, 35, F138*0.035)))),
0)))</f>
        <v>0</v>
      </c>
      <c r="H138" s="163">
        <f>IF(I138="مخالفات",50,Basic34567891011[[#This Row],[قيمة الرسوم / العموله]]+Basic34567891011[[#This Row],[قيمة الشحنه]])</f>
        <v>0</v>
      </c>
      <c r="I138" s="90"/>
      <c r="J138" s="142" t="str">
        <f t="shared" si="2"/>
        <v>22.5.2026</v>
      </c>
      <c r="L138" s="153">
        <v>127</v>
      </c>
      <c r="M138" s="92"/>
    </row>
    <row r="139" spans="1:13" ht="21.6" x14ac:dyDescent="0.65">
      <c r="A139" s="195"/>
      <c r="B139" s="140">
        <v>136</v>
      </c>
      <c r="C139" s="2"/>
      <c r="D139" s="1"/>
      <c r="E139" s="3"/>
      <c r="F139" s="1"/>
      <c r="G139" s="141">
        <f>IF(Basic34567891011[[#This Row],[نوع الخدمة]]="مخالفات", 50,
IF(Basic34567891011[[#This Row],[نوع الخدمة]]="كاش ان",
    IF(F139&lt;=100, 18, IF(F139&lt;=250, 23, IF(F139&lt;=500, 35, IF(F139&lt;=1000, 40, F139*0.04)))),
IF(Basic34567891011[[#This Row],[نوع الخدمة]]="كاش اوت",
    IF(F139&lt;=100, 15, IF(F139&lt;=250, 20, IF(F139&lt;=500, 30, IF(F139&lt;=1000, 35, F139*0.035)))),
0)))</f>
        <v>0</v>
      </c>
      <c r="H139" s="163">
        <f>IF(I139="مخالفات",50,Basic34567891011[[#This Row],[قيمة الرسوم / العموله]]+Basic34567891011[[#This Row],[قيمة الشحنه]])</f>
        <v>0</v>
      </c>
      <c r="I139" s="90"/>
      <c r="J139" s="142" t="str">
        <f t="shared" si="2"/>
        <v>22.5.2026</v>
      </c>
      <c r="L139" s="153">
        <v>128</v>
      </c>
      <c r="M139" s="92"/>
    </row>
    <row r="140" spans="1:13" ht="21.6" x14ac:dyDescent="0.65">
      <c r="A140" s="195"/>
      <c r="B140" s="140">
        <v>137</v>
      </c>
      <c r="C140" s="2"/>
      <c r="D140" s="1"/>
      <c r="E140" s="3"/>
      <c r="F140" s="1"/>
      <c r="G140" s="141">
        <f>IF(Basic34567891011[[#This Row],[نوع الخدمة]]="مخالفات", 50,
IF(Basic34567891011[[#This Row],[نوع الخدمة]]="كاش ان",
    IF(F140&lt;=100, 18, IF(F140&lt;=250, 23, IF(F140&lt;=500, 35, IF(F140&lt;=1000, 40, F140*0.04)))),
IF(Basic34567891011[[#This Row],[نوع الخدمة]]="كاش اوت",
    IF(F140&lt;=100, 15, IF(F140&lt;=250, 20, IF(F140&lt;=500, 30, IF(F140&lt;=1000, 35, F140*0.035)))),
0)))</f>
        <v>0</v>
      </c>
      <c r="H140" s="163">
        <f>IF(I140="مخالفات",50,Basic34567891011[[#This Row],[قيمة الرسوم / العموله]]+Basic34567891011[[#This Row],[قيمة الشحنه]])</f>
        <v>0</v>
      </c>
      <c r="I140" s="90"/>
      <c r="J140" s="142" t="str">
        <f t="shared" si="2"/>
        <v>22.5.2026</v>
      </c>
      <c r="L140" s="153">
        <v>129</v>
      </c>
      <c r="M140" s="92"/>
    </row>
    <row r="141" spans="1:13" ht="21.6" x14ac:dyDescent="0.65">
      <c r="A141" s="195"/>
      <c r="B141" s="144">
        <v>138</v>
      </c>
      <c r="C141" s="2"/>
      <c r="D141" s="1"/>
      <c r="E141" s="3"/>
      <c r="F141" s="1"/>
      <c r="G141" s="141">
        <f>IF(Basic34567891011[[#This Row],[نوع الخدمة]]="مخالفات", 50,
IF(Basic34567891011[[#This Row],[نوع الخدمة]]="كاش ان",
    IF(F141&lt;=100, 18, IF(F141&lt;=250, 23, IF(F141&lt;=500, 35, IF(F141&lt;=1000, 40, F141*0.04)))),
IF(Basic34567891011[[#This Row],[نوع الخدمة]]="كاش اوت",
    IF(F141&lt;=100, 15, IF(F141&lt;=250, 20, IF(F141&lt;=500, 30, IF(F141&lt;=1000, 35, F141*0.035)))),
0)))</f>
        <v>0</v>
      </c>
      <c r="H141" s="163">
        <f>IF(I141="مخالفات",50,Basic34567891011[[#This Row],[قيمة الرسوم / العموله]]+Basic34567891011[[#This Row],[قيمة الشحنه]])</f>
        <v>0</v>
      </c>
      <c r="I141" s="90"/>
      <c r="J141" s="142" t="str">
        <f t="shared" si="2"/>
        <v>22.5.2026</v>
      </c>
      <c r="L141" s="153">
        <v>130</v>
      </c>
      <c r="M141" s="92"/>
    </row>
    <row r="142" spans="1:13" ht="21.6" x14ac:dyDescent="0.65">
      <c r="A142" s="195"/>
      <c r="B142" s="140">
        <v>139</v>
      </c>
      <c r="C142" s="2"/>
      <c r="D142" s="1"/>
      <c r="E142" s="3"/>
      <c r="F142" s="1"/>
      <c r="G142" s="141">
        <f>IF(Basic34567891011[[#This Row],[نوع الخدمة]]="مخالفات", 50,
IF(Basic34567891011[[#This Row],[نوع الخدمة]]="كاش ان",
    IF(F142&lt;=100, 18, IF(F142&lt;=250, 23, IF(F142&lt;=500, 35, IF(F142&lt;=1000, 40, F142*0.04)))),
IF(Basic34567891011[[#This Row],[نوع الخدمة]]="كاش اوت",
    IF(F142&lt;=100, 15, IF(F142&lt;=250, 20, IF(F142&lt;=500, 30, IF(F142&lt;=1000, 35, F142*0.035)))),
0)))</f>
        <v>0</v>
      </c>
      <c r="H142" s="163">
        <f>IF(I142="مخالفات",50,Basic34567891011[[#This Row],[قيمة الرسوم / العموله]]+Basic34567891011[[#This Row],[قيمة الشحنه]])</f>
        <v>0</v>
      </c>
      <c r="I142" s="90"/>
      <c r="J142" s="142" t="str">
        <f t="shared" si="2"/>
        <v>22.5.2026</v>
      </c>
      <c r="L142" s="153">
        <v>131</v>
      </c>
      <c r="M142" s="92"/>
    </row>
    <row r="143" spans="1:13" ht="21.6" x14ac:dyDescent="0.65">
      <c r="A143" s="195"/>
      <c r="B143" s="140">
        <v>140</v>
      </c>
      <c r="C143" s="2"/>
      <c r="D143" s="1"/>
      <c r="E143" s="3"/>
      <c r="F143" s="1"/>
      <c r="G143" s="141">
        <f>IF(Basic34567891011[[#This Row],[نوع الخدمة]]="مخالفات", 50,
IF(Basic34567891011[[#This Row],[نوع الخدمة]]="كاش ان",
    IF(F143&lt;=100, 18, IF(F143&lt;=250, 23, IF(F143&lt;=500, 35, IF(F143&lt;=1000, 40, F143*0.04)))),
IF(Basic34567891011[[#This Row],[نوع الخدمة]]="كاش اوت",
    IF(F143&lt;=100, 15, IF(F143&lt;=250, 20, IF(F143&lt;=500, 30, IF(F143&lt;=1000, 35, F143*0.035)))),
0)))</f>
        <v>0</v>
      </c>
      <c r="H143" s="163">
        <f>IF(I143="مخالفات",50,Basic34567891011[[#This Row],[قيمة الرسوم / العموله]]+Basic34567891011[[#This Row],[قيمة الشحنه]])</f>
        <v>0</v>
      </c>
      <c r="I143" s="90"/>
      <c r="J143" s="142" t="str">
        <f t="shared" si="2"/>
        <v>22.5.2026</v>
      </c>
      <c r="L143" s="153">
        <v>132</v>
      </c>
      <c r="M143" s="92"/>
    </row>
    <row r="144" spans="1:13" ht="21.6" x14ac:dyDescent="0.65">
      <c r="A144" s="195"/>
      <c r="B144" s="140">
        <v>141</v>
      </c>
      <c r="C144" s="2"/>
      <c r="D144" s="1"/>
      <c r="E144" s="3"/>
      <c r="F144" s="1"/>
      <c r="G144" s="141">
        <f>IF(Basic34567891011[[#This Row],[نوع الخدمة]]="مخالفات", 50,
IF(Basic34567891011[[#This Row],[نوع الخدمة]]="كاش ان",
    IF(F144&lt;=100, 18, IF(F144&lt;=250, 23, IF(F144&lt;=500, 35, IF(F144&lt;=1000, 40, F144*0.04)))),
IF(Basic34567891011[[#This Row],[نوع الخدمة]]="كاش اوت",
    IF(F144&lt;=100, 15, IF(F144&lt;=250, 20, IF(F144&lt;=500, 30, IF(F144&lt;=1000, 35, F144*0.035)))),
0)))</f>
        <v>0</v>
      </c>
      <c r="H144" s="163">
        <f>IF(I144="مخالفات",50,Basic34567891011[[#This Row],[قيمة الرسوم / العموله]]+Basic34567891011[[#This Row],[قيمة الشحنه]])</f>
        <v>0</v>
      </c>
      <c r="I144" s="90"/>
      <c r="J144" s="142" t="str">
        <f t="shared" si="2"/>
        <v>22.5.2026</v>
      </c>
      <c r="L144" s="153">
        <v>133</v>
      </c>
      <c r="M144" s="92"/>
    </row>
    <row r="145" spans="1:13" ht="21.6" x14ac:dyDescent="0.65">
      <c r="A145" s="195"/>
      <c r="B145" s="144">
        <v>142</v>
      </c>
      <c r="C145" s="2"/>
      <c r="D145" s="1"/>
      <c r="E145" s="3"/>
      <c r="F145" s="1"/>
      <c r="G145" s="141">
        <f>IF(Basic34567891011[[#This Row],[نوع الخدمة]]="مخالفات", 50,
IF(Basic34567891011[[#This Row],[نوع الخدمة]]="كاش ان",
    IF(F145&lt;=100, 18, IF(F145&lt;=250, 23, IF(F145&lt;=500, 35, IF(F145&lt;=1000, 40, F145*0.04)))),
IF(Basic34567891011[[#This Row],[نوع الخدمة]]="كاش اوت",
    IF(F145&lt;=100, 15, IF(F145&lt;=250, 20, IF(F145&lt;=500, 30, IF(F145&lt;=1000, 35, F145*0.035)))),
0)))</f>
        <v>0</v>
      </c>
      <c r="H145" s="163">
        <f>IF(I145="مخالفات",50,Basic34567891011[[#This Row],[قيمة الرسوم / العموله]]+Basic34567891011[[#This Row],[قيمة الشحنه]])</f>
        <v>0</v>
      </c>
      <c r="I145" s="90"/>
      <c r="J145" s="142" t="str">
        <f t="shared" si="2"/>
        <v>22.5.2026</v>
      </c>
      <c r="L145" s="153">
        <v>134</v>
      </c>
      <c r="M145" s="92"/>
    </row>
    <row r="146" spans="1:13" ht="21.6" x14ac:dyDescent="0.65">
      <c r="A146" s="195"/>
      <c r="B146" s="140">
        <v>143</v>
      </c>
      <c r="C146" s="2"/>
      <c r="D146" s="1"/>
      <c r="E146" s="3"/>
      <c r="F146" s="1"/>
      <c r="G146" s="141">
        <f>IF(Basic34567891011[[#This Row],[نوع الخدمة]]="مخالفات", 50,
IF(Basic34567891011[[#This Row],[نوع الخدمة]]="كاش ان",
    IF(F146&lt;=100, 18, IF(F146&lt;=250, 23, IF(F146&lt;=500, 35, IF(F146&lt;=1000, 40, F146*0.04)))),
IF(Basic34567891011[[#This Row],[نوع الخدمة]]="كاش اوت",
    IF(F146&lt;=100, 15, IF(F146&lt;=250, 20, IF(F146&lt;=500, 30, IF(F146&lt;=1000, 35, F146*0.035)))),
0)))</f>
        <v>0</v>
      </c>
      <c r="H146" s="163">
        <f>IF(I146="مخالفات",50,Basic34567891011[[#This Row],[قيمة الرسوم / العموله]]+Basic34567891011[[#This Row],[قيمة الشحنه]])</f>
        <v>0</v>
      </c>
      <c r="I146" s="90"/>
      <c r="J146" s="142" t="str">
        <f t="shared" si="2"/>
        <v>22.5.2026</v>
      </c>
      <c r="L146" s="153">
        <v>135</v>
      </c>
      <c r="M146" s="92"/>
    </row>
    <row r="147" spans="1:13" ht="21.6" x14ac:dyDescent="0.65">
      <c r="A147" s="195"/>
      <c r="B147" s="140">
        <v>144</v>
      </c>
      <c r="C147" s="2"/>
      <c r="D147" s="1"/>
      <c r="E147" s="3"/>
      <c r="F147" s="1"/>
      <c r="G147" s="141">
        <f>IF(Basic34567891011[[#This Row],[نوع الخدمة]]="مخالفات", 50,
IF(Basic34567891011[[#This Row],[نوع الخدمة]]="كاش ان",
    IF(F147&lt;=100, 18, IF(F147&lt;=250, 23, IF(F147&lt;=500, 35, IF(F147&lt;=1000, 40, F147*0.04)))),
IF(Basic34567891011[[#This Row],[نوع الخدمة]]="كاش اوت",
    IF(F147&lt;=100, 15, IF(F147&lt;=250, 20, IF(F147&lt;=500, 30, IF(F147&lt;=1000, 35, F147*0.035)))),
0)))</f>
        <v>0</v>
      </c>
      <c r="H147" s="163">
        <f>IF(I147="مخالفات",50,Basic34567891011[[#This Row],[قيمة الرسوم / العموله]]+Basic34567891011[[#This Row],[قيمة الشحنه]])</f>
        <v>0</v>
      </c>
      <c r="I147" s="90"/>
      <c r="J147" s="142" t="str">
        <f t="shared" si="2"/>
        <v>22.5.2026</v>
      </c>
      <c r="L147" s="153">
        <v>136</v>
      </c>
      <c r="M147" s="92"/>
    </row>
    <row r="148" spans="1:13" ht="21.6" x14ac:dyDescent="0.65">
      <c r="A148" s="195"/>
      <c r="B148" s="140">
        <v>145</v>
      </c>
      <c r="C148" s="2"/>
      <c r="D148" s="1"/>
      <c r="E148" s="3"/>
      <c r="F148" s="1"/>
      <c r="G148" s="141">
        <f>IF(Basic34567891011[[#This Row],[نوع الخدمة]]="مخالفات", 50,
IF(Basic34567891011[[#This Row],[نوع الخدمة]]="كاش ان",
    IF(F148&lt;=100, 18, IF(F148&lt;=250, 23, IF(F148&lt;=500, 35, IF(F148&lt;=1000, 40, F148*0.04)))),
IF(Basic34567891011[[#This Row],[نوع الخدمة]]="كاش اوت",
    IF(F148&lt;=100, 15, IF(F148&lt;=250, 20, IF(F148&lt;=500, 30, IF(F148&lt;=1000, 35, F148*0.035)))),
0)))</f>
        <v>0</v>
      </c>
      <c r="H148" s="163">
        <f>IF(I148="مخالفات",50,Basic34567891011[[#This Row],[قيمة الرسوم / العموله]]+Basic34567891011[[#This Row],[قيمة الشحنه]])</f>
        <v>0</v>
      </c>
      <c r="I148" s="90"/>
      <c r="J148" s="142" t="str">
        <f t="shared" si="2"/>
        <v>22.5.2026</v>
      </c>
      <c r="L148" s="153">
        <v>137</v>
      </c>
      <c r="M148" s="92"/>
    </row>
    <row r="149" spans="1:13" ht="21.6" x14ac:dyDescent="0.65">
      <c r="A149" s="195"/>
      <c r="B149" s="144">
        <v>146</v>
      </c>
      <c r="C149" s="2"/>
      <c r="D149" s="1"/>
      <c r="E149" s="3"/>
      <c r="F149" s="1"/>
      <c r="G149" s="141">
        <f>IF(Basic34567891011[[#This Row],[نوع الخدمة]]="مخالفات", 50,
IF(Basic34567891011[[#This Row],[نوع الخدمة]]="كاش ان",
    IF(F149&lt;=100, 18, IF(F149&lt;=250, 23, IF(F149&lt;=500, 35, IF(F149&lt;=1000, 40, F149*0.04)))),
IF(Basic34567891011[[#This Row],[نوع الخدمة]]="كاش اوت",
    IF(F149&lt;=100, 15, IF(F149&lt;=250, 20, IF(F149&lt;=500, 30, IF(F149&lt;=1000, 35, F149*0.035)))),
0)))</f>
        <v>0</v>
      </c>
      <c r="H149" s="163">
        <f>IF(I149="مخالفات",50,Basic34567891011[[#This Row],[قيمة الرسوم / العموله]]+Basic34567891011[[#This Row],[قيمة الشحنه]])</f>
        <v>0</v>
      </c>
      <c r="I149" s="90"/>
      <c r="J149" s="142" t="str">
        <f t="shared" si="2"/>
        <v>22.5.2026</v>
      </c>
      <c r="L149" s="153">
        <v>138</v>
      </c>
      <c r="M149" s="92"/>
    </row>
    <row r="150" spans="1:13" ht="21.6" x14ac:dyDescent="0.65">
      <c r="A150" s="195"/>
      <c r="B150" s="140">
        <v>147</v>
      </c>
      <c r="C150" s="2"/>
      <c r="D150" s="1"/>
      <c r="E150" s="3"/>
      <c r="F150" s="1"/>
      <c r="G150" s="141">
        <f>IF(Basic34567891011[[#This Row],[نوع الخدمة]]="مخالفات", 50,
IF(Basic34567891011[[#This Row],[نوع الخدمة]]="كاش ان",
    IF(F150&lt;=100, 18, IF(F150&lt;=250, 23, IF(F150&lt;=500, 35, IF(F150&lt;=1000, 40, F150*0.04)))),
IF(Basic34567891011[[#This Row],[نوع الخدمة]]="كاش اوت",
    IF(F150&lt;=100, 15, IF(F150&lt;=250, 20, IF(F150&lt;=500, 30, IF(F150&lt;=1000, 35, F150*0.035)))),
0)))</f>
        <v>0</v>
      </c>
      <c r="H150" s="163">
        <f>IF(I150="مخالفات",50,Basic34567891011[[#This Row],[قيمة الرسوم / العموله]]+Basic34567891011[[#This Row],[قيمة الشحنه]])</f>
        <v>0</v>
      </c>
      <c r="I150" s="90"/>
      <c r="J150" s="142" t="str">
        <f t="shared" si="2"/>
        <v>22.5.2026</v>
      </c>
      <c r="L150" s="153">
        <v>139</v>
      </c>
      <c r="M150" s="92"/>
    </row>
    <row r="151" spans="1:13" ht="21.6" x14ac:dyDescent="0.65">
      <c r="A151" s="195"/>
      <c r="B151" s="140">
        <v>148</v>
      </c>
      <c r="C151" s="2"/>
      <c r="D151" s="1"/>
      <c r="E151" s="3"/>
      <c r="F151" s="1"/>
      <c r="G151" s="141">
        <f>IF(Basic34567891011[[#This Row],[نوع الخدمة]]="مخالفات", 50,
IF(Basic34567891011[[#This Row],[نوع الخدمة]]="كاش ان",
    IF(F151&lt;=100, 18, IF(F151&lt;=250, 23, IF(F151&lt;=500, 35, IF(F151&lt;=1000, 40, F151*0.04)))),
IF(Basic34567891011[[#This Row],[نوع الخدمة]]="كاش اوت",
    IF(F151&lt;=100, 15, IF(F151&lt;=250, 20, IF(F151&lt;=500, 30, IF(F151&lt;=1000, 35, F151*0.035)))),
0)))</f>
        <v>0</v>
      </c>
      <c r="H151" s="163">
        <f>IF(I151="مخالفات",50,Basic34567891011[[#This Row],[قيمة الرسوم / العموله]]+Basic34567891011[[#This Row],[قيمة الشحنه]])</f>
        <v>0</v>
      </c>
      <c r="I151" s="90"/>
      <c r="J151" s="142" t="str">
        <f t="shared" si="2"/>
        <v>22.5.2026</v>
      </c>
      <c r="L151" s="153">
        <v>140</v>
      </c>
      <c r="M151" s="92"/>
    </row>
    <row r="152" spans="1:13" ht="21.6" x14ac:dyDescent="0.65">
      <c r="A152" s="195"/>
      <c r="B152" s="140">
        <v>149</v>
      </c>
      <c r="C152" s="2"/>
      <c r="D152" s="1"/>
      <c r="E152" s="3"/>
      <c r="F152" s="1"/>
      <c r="G152" s="141">
        <f>IF(Basic34567891011[[#This Row],[نوع الخدمة]]="مخالفات", 50,
IF(Basic34567891011[[#This Row],[نوع الخدمة]]="كاش ان",
    IF(F152&lt;=100, 18, IF(F152&lt;=250, 23, IF(F152&lt;=500, 35, IF(F152&lt;=1000, 40, F152*0.04)))),
IF(Basic34567891011[[#This Row],[نوع الخدمة]]="كاش اوت",
    IF(F152&lt;=100, 15, IF(F152&lt;=250, 20, IF(F152&lt;=500, 30, IF(F152&lt;=1000, 35, F152*0.035)))),
0)))</f>
        <v>0</v>
      </c>
      <c r="H152" s="163">
        <f>IF(I152="مخالفات",50,Basic34567891011[[#This Row],[قيمة الرسوم / العموله]]+Basic34567891011[[#This Row],[قيمة الشحنه]])</f>
        <v>0</v>
      </c>
      <c r="I152" s="90"/>
      <c r="J152" s="142" t="str">
        <f t="shared" si="2"/>
        <v>22.5.2026</v>
      </c>
      <c r="L152" s="153">
        <v>141</v>
      </c>
      <c r="M152" s="92"/>
    </row>
    <row r="153" spans="1:13" ht="21.6" x14ac:dyDescent="0.65">
      <c r="A153" s="195"/>
      <c r="B153" s="144">
        <v>150</v>
      </c>
      <c r="C153" s="2"/>
      <c r="D153" s="1"/>
      <c r="E153" s="3"/>
      <c r="F153" s="1"/>
      <c r="G153" s="141">
        <f>IF(Basic34567891011[[#This Row],[نوع الخدمة]]="مخالفات", 50,
IF(Basic34567891011[[#This Row],[نوع الخدمة]]="كاش ان",
    IF(F153&lt;=100, 18, IF(F153&lt;=250, 23, IF(F153&lt;=500, 35, IF(F153&lt;=1000, 40, F153*0.04)))),
IF(Basic34567891011[[#This Row],[نوع الخدمة]]="كاش اوت",
    IF(F153&lt;=100, 15, IF(F153&lt;=250, 20, IF(F153&lt;=500, 30, IF(F153&lt;=1000, 35, F153*0.035)))),
0)))</f>
        <v>0</v>
      </c>
      <c r="H153" s="163">
        <f>IF(I153="مخالفات",50,Basic34567891011[[#This Row],[قيمة الرسوم / العموله]]+Basic34567891011[[#This Row],[قيمة الشحنه]])</f>
        <v>0</v>
      </c>
      <c r="I153" s="90"/>
      <c r="J153" s="142" t="str">
        <f t="shared" si="2"/>
        <v>22.5.2026</v>
      </c>
      <c r="L153" s="153">
        <v>142</v>
      </c>
      <c r="M153" s="92"/>
    </row>
    <row r="154" spans="1:13" ht="21.6" x14ac:dyDescent="0.65">
      <c r="A154" s="195"/>
      <c r="B154" s="140">
        <v>151</v>
      </c>
      <c r="C154" s="2"/>
      <c r="D154" s="1"/>
      <c r="E154" s="3"/>
      <c r="F154" s="1"/>
      <c r="G154" s="141">
        <f>IF(Basic34567891011[[#This Row],[نوع الخدمة]]="مخالفات", 50,
IF(Basic34567891011[[#This Row],[نوع الخدمة]]="كاش ان",
    IF(F154&lt;=100, 18, IF(F154&lt;=250, 23, IF(F154&lt;=500, 35, IF(F154&lt;=1000, 40, F154*0.04)))),
IF(Basic34567891011[[#This Row],[نوع الخدمة]]="كاش اوت",
    IF(F154&lt;=100, 15, IF(F154&lt;=250, 20, IF(F154&lt;=500, 30, IF(F154&lt;=1000, 35, F154*0.035)))),
0)))</f>
        <v>0</v>
      </c>
      <c r="H154" s="163">
        <f>IF(I154="مخالفات",50,Basic34567891011[[#This Row],[قيمة الرسوم / العموله]]+Basic34567891011[[#This Row],[قيمة الشحنه]])</f>
        <v>0</v>
      </c>
      <c r="I154" s="90"/>
      <c r="J154" s="142" t="str">
        <f t="shared" si="2"/>
        <v>22.5.2026</v>
      </c>
      <c r="L154" s="153">
        <v>143</v>
      </c>
      <c r="M154" s="92"/>
    </row>
    <row r="155" spans="1:13" ht="21.6" x14ac:dyDescent="0.65">
      <c r="A155" s="195"/>
      <c r="B155" s="140">
        <v>152</v>
      </c>
      <c r="C155" s="2"/>
      <c r="D155" s="1"/>
      <c r="E155" s="3"/>
      <c r="F155" s="1"/>
      <c r="G155" s="141">
        <f>IF(Basic34567891011[[#This Row],[نوع الخدمة]]="مخالفات", 50,
IF(Basic34567891011[[#This Row],[نوع الخدمة]]="كاش ان",
    IF(F155&lt;=100, 18, IF(F155&lt;=250, 23, IF(F155&lt;=500, 35, IF(F155&lt;=1000, 40, F155*0.04)))),
IF(Basic34567891011[[#This Row],[نوع الخدمة]]="كاش اوت",
    IF(F155&lt;=100, 15, IF(F155&lt;=250, 20, IF(F155&lt;=500, 30, IF(F155&lt;=1000, 35, F155*0.035)))),
0)))</f>
        <v>0</v>
      </c>
      <c r="H155" s="163">
        <f>IF(I155="مخالفات",50,Basic34567891011[[#This Row],[قيمة الرسوم / العموله]]+Basic34567891011[[#This Row],[قيمة الشحنه]])</f>
        <v>0</v>
      </c>
      <c r="I155" s="90"/>
      <c r="J155" s="142" t="str">
        <f t="shared" si="2"/>
        <v>22.5.2026</v>
      </c>
      <c r="L155" s="153">
        <v>144</v>
      </c>
      <c r="M155" s="92"/>
    </row>
    <row r="156" spans="1:13" ht="21.6" x14ac:dyDescent="0.65">
      <c r="A156" s="195"/>
      <c r="B156" s="140">
        <v>153</v>
      </c>
      <c r="C156" s="2"/>
      <c r="D156" s="1"/>
      <c r="E156" s="3"/>
      <c r="F156" s="1"/>
      <c r="G156" s="141">
        <f>IF(Basic34567891011[[#This Row],[نوع الخدمة]]="مخالفات", 50,
IF(Basic34567891011[[#This Row],[نوع الخدمة]]="كاش ان",
    IF(F156&lt;=100, 18, IF(F156&lt;=250, 23, IF(F156&lt;=500, 35, IF(F156&lt;=1000, 40, F156*0.04)))),
IF(Basic34567891011[[#This Row],[نوع الخدمة]]="كاش اوت",
    IF(F156&lt;=100, 15, IF(F156&lt;=250, 20, IF(F156&lt;=500, 30, IF(F156&lt;=1000, 35, F156*0.035)))),
0)))</f>
        <v>0</v>
      </c>
      <c r="H156" s="163">
        <f>IF(I156="مخالفات",50,Basic34567891011[[#This Row],[قيمة الرسوم / العموله]]+Basic34567891011[[#This Row],[قيمة الشحنه]])</f>
        <v>0</v>
      </c>
      <c r="I156" s="90"/>
      <c r="J156" s="142" t="str">
        <f t="shared" si="2"/>
        <v>22.5.2026</v>
      </c>
      <c r="L156" s="153">
        <v>145</v>
      </c>
      <c r="M156" s="92"/>
    </row>
    <row r="157" spans="1:13" ht="21.6" x14ac:dyDescent="0.65">
      <c r="A157" s="195"/>
      <c r="B157" s="144">
        <v>154</v>
      </c>
      <c r="C157" s="2"/>
      <c r="D157" s="1"/>
      <c r="E157" s="3"/>
      <c r="F157" s="1"/>
      <c r="G157" s="141">
        <f>IF(Basic34567891011[[#This Row],[نوع الخدمة]]="مخالفات", 50,
IF(Basic34567891011[[#This Row],[نوع الخدمة]]="كاش ان",
    IF(F157&lt;=100, 18, IF(F157&lt;=250, 23, IF(F157&lt;=500, 35, IF(F157&lt;=1000, 40, F157*0.04)))),
IF(Basic34567891011[[#This Row],[نوع الخدمة]]="كاش اوت",
    IF(F157&lt;=100, 15, IF(F157&lt;=250, 20, IF(F157&lt;=500, 30, IF(F157&lt;=1000, 35, F157*0.035)))),
0)))</f>
        <v>0</v>
      </c>
      <c r="H157" s="163">
        <f>IF(I157="مخالفات",50,Basic34567891011[[#This Row],[قيمة الرسوم / العموله]]+Basic34567891011[[#This Row],[قيمة الشحنه]])</f>
        <v>0</v>
      </c>
      <c r="I157" s="90"/>
      <c r="J157" s="142" t="str">
        <f t="shared" si="2"/>
        <v>22.5.2026</v>
      </c>
      <c r="L157" s="153">
        <v>146</v>
      </c>
      <c r="M157" s="92"/>
    </row>
    <row r="158" spans="1:13" ht="21.6" x14ac:dyDescent="0.65">
      <c r="A158" s="195"/>
      <c r="B158" s="140">
        <v>155</v>
      </c>
      <c r="C158" s="2"/>
      <c r="D158" s="1"/>
      <c r="E158" s="3"/>
      <c r="F158" s="1"/>
      <c r="G158" s="141">
        <f>IF(Basic34567891011[[#This Row],[نوع الخدمة]]="مخالفات", 50,
IF(Basic34567891011[[#This Row],[نوع الخدمة]]="كاش ان",
    IF(F158&lt;=100, 18, IF(F158&lt;=250, 23, IF(F158&lt;=500, 35, IF(F158&lt;=1000, 40, F158*0.04)))),
IF(Basic34567891011[[#This Row],[نوع الخدمة]]="كاش اوت",
    IF(F158&lt;=100, 15, IF(F158&lt;=250, 20, IF(F158&lt;=500, 30, IF(F158&lt;=1000, 35, F158*0.035)))),
0)))</f>
        <v>0</v>
      </c>
      <c r="H158" s="163">
        <f>IF(I158="مخالفات",50,Basic34567891011[[#This Row],[قيمة الرسوم / العموله]]+Basic34567891011[[#This Row],[قيمة الشحنه]])</f>
        <v>0</v>
      </c>
      <c r="I158" s="90"/>
      <c r="J158" s="142" t="str">
        <f t="shared" si="2"/>
        <v>22.5.2026</v>
      </c>
      <c r="L158" s="153">
        <v>147</v>
      </c>
      <c r="M158" s="92"/>
    </row>
    <row r="159" spans="1:13" ht="21.6" x14ac:dyDescent="0.65">
      <c r="A159" s="195"/>
      <c r="B159" s="140">
        <v>156</v>
      </c>
      <c r="C159" s="2"/>
      <c r="D159" s="1"/>
      <c r="E159" s="3"/>
      <c r="F159" s="1"/>
      <c r="G159" s="141">
        <f>IF(Basic34567891011[[#This Row],[نوع الخدمة]]="مخالفات", 50,
IF(Basic34567891011[[#This Row],[نوع الخدمة]]="كاش ان",
    IF(F159&lt;=100, 18, IF(F159&lt;=250, 23, IF(F159&lt;=500, 35, IF(F159&lt;=1000, 40, F159*0.04)))),
IF(Basic34567891011[[#This Row],[نوع الخدمة]]="كاش اوت",
    IF(F159&lt;=100, 15, IF(F159&lt;=250, 20, IF(F159&lt;=500, 30, IF(F159&lt;=1000, 35, F159*0.035)))),
0)))</f>
        <v>0</v>
      </c>
      <c r="H159" s="163">
        <f>IF(I159="مخالفات",50,Basic34567891011[[#This Row],[قيمة الرسوم / العموله]]+Basic34567891011[[#This Row],[قيمة الشحنه]])</f>
        <v>0</v>
      </c>
      <c r="I159" s="90"/>
      <c r="J159" s="142" t="str">
        <f t="shared" si="2"/>
        <v>22.5.2026</v>
      </c>
      <c r="L159" s="153">
        <v>148</v>
      </c>
      <c r="M159" s="92"/>
    </row>
    <row r="160" spans="1:13" ht="21.6" x14ac:dyDescent="0.65">
      <c r="A160" s="195"/>
      <c r="B160" s="140">
        <v>157</v>
      </c>
      <c r="C160" s="2"/>
      <c r="D160" s="1"/>
      <c r="E160" s="3"/>
      <c r="F160" s="1"/>
      <c r="G160" s="141">
        <f>IF(Basic34567891011[[#This Row],[نوع الخدمة]]="مخالفات", 50,
IF(Basic34567891011[[#This Row],[نوع الخدمة]]="كاش ان",
    IF(F160&lt;=100, 18, IF(F160&lt;=250, 23, IF(F160&lt;=500, 35, IF(F160&lt;=1000, 40, F160*0.04)))),
IF(Basic34567891011[[#This Row],[نوع الخدمة]]="كاش اوت",
    IF(F160&lt;=100, 15, IF(F160&lt;=250, 20, IF(F160&lt;=500, 30, IF(F160&lt;=1000, 35, F160*0.035)))),
0)))</f>
        <v>0</v>
      </c>
      <c r="H160" s="163">
        <f>IF(I160="مخالفات",50,Basic34567891011[[#This Row],[قيمة الرسوم / العموله]]+Basic34567891011[[#This Row],[قيمة الشحنه]])</f>
        <v>0</v>
      </c>
      <c r="I160" s="90"/>
      <c r="J160" s="142" t="str">
        <f t="shared" si="2"/>
        <v>22.5.2026</v>
      </c>
      <c r="L160" s="153">
        <v>149</v>
      </c>
      <c r="M160" s="92"/>
    </row>
    <row r="161" spans="1:13" ht="21.6" x14ac:dyDescent="0.65">
      <c r="A161" s="195"/>
      <c r="B161" s="144">
        <v>158</v>
      </c>
      <c r="C161" s="2"/>
      <c r="D161" s="1"/>
      <c r="E161" s="3"/>
      <c r="F161" s="1"/>
      <c r="G161" s="141">
        <f>IF(Basic34567891011[[#This Row],[نوع الخدمة]]="مخالفات", 50,
IF(Basic34567891011[[#This Row],[نوع الخدمة]]="كاش ان",
    IF(F161&lt;=100, 18, IF(F161&lt;=250, 23, IF(F161&lt;=500, 35, IF(F161&lt;=1000, 40, F161*0.04)))),
IF(Basic34567891011[[#This Row],[نوع الخدمة]]="كاش اوت",
    IF(F161&lt;=100, 15, IF(F161&lt;=250, 20, IF(F161&lt;=500, 30, IF(F161&lt;=1000, 35, F161*0.035)))),
0)))</f>
        <v>0</v>
      </c>
      <c r="H161" s="163">
        <f>IF(I161="مخالفات",50,Basic34567891011[[#This Row],[قيمة الرسوم / العموله]]+Basic34567891011[[#This Row],[قيمة الشحنه]])</f>
        <v>0</v>
      </c>
      <c r="I161" s="90"/>
      <c r="J161" s="142" t="str">
        <f t="shared" si="2"/>
        <v>22.5.2026</v>
      </c>
      <c r="L161" s="153">
        <v>150</v>
      </c>
      <c r="M161" s="92"/>
    </row>
    <row r="162" spans="1:13" ht="21.6" x14ac:dyDescent="0.65">
      <c r="A162" s="195"/>
      <c r="B162" s="140">
        <v>159</v>
      </c>
      <c r="C162" s="2"/>
      <c r="D162" s="1"/>
      <c r="E162" s="3"/>
      <c r="F162" s="1"/>
      <c r="G162" s="141">
        <f>IF(Basic34567891011[[#This Row],[نوع الخدمة]]="مخالفات", 50,
IF(Basic34567891011[[#This Row],[نوع الخدمة]]="كاش ان",
    IF(F162&lt;=100, 18, IF(F162&lt;=250, 23, IF(F162&lt;=500, 35, IF(F162&lt;=1000, 40, F162*0.04)))),
IF(Basic34567891011[[#This Row],[نوع الخدمة]]="كاش اوت",
    IF(F162&lt;=100, 15, IF(F162&lt;=250, 20, IF(F162&lt;=500, 30, IF(F162&lt;=1000, 35, F162*0.035)))),
0)))</f>
        <v>0</v>
      </c>
      <c r="H162" s="163">
        <f>IF(I162="مخالفات",50,Basic34567891011[[#This Row],[قيمة الرسوم / العموله]]+Basic34567891011[[#This Row],[قيمة الشحنه]])</f>
        <v>0</v>
      </c>
      <c r="I162" s="90"/>
      <c r="J162" s="142" t="str">
        <f t="shared" si="2"/>
        <v>22.5.2026</v>
      </c>
      <c r="L162" s="153">
        <v>151</v>
      </c>
      <c r="M162" s="92"/>
    </row>
    <row r="163" spans="1:13" ht="21.6" x14ac:dyDescent="0.65">
      <c r="A163" s="195"/>
      <c r="B163" s="140">
        <v>160</v>
      </c>
      <c r="C163" s="2"/>
      <c r="D163" s="1"/>
      <c r="E163" s="3"/>
      <c r="F163" s="1"/>
      <c r="G163" s="141">
        <f>IF(Basic34567891011[[#This Row],[نوع الخدمة]]="مخالفات", 50,
IF(Basic34567891011[[#This Row],[نوع الخدمة]]="كاش ان",
    IF(F163&lt;=100, 18, IF(F163&lt;=250, 23, IF(F163&lt;=500, 35, IF(F163&lt;=1000, 40, F163*0.04)))),
IF(Basic34567891011[[#This Row],[نوع الخدمة]]="كاش اوت",
    IF(F163&lt;=100, 15, IF(F163&lt;=250, 20, IF(F163&lt;=500, 30, IF(F163&lt;=1000, 35, F163*0.035)))),
0)))</f>
        <v>0</v>
      </c>
      <c r="H163" s="163">
        <f>IF(I163="مخالفات",50,Basic34567891011[[#This Row],[قيمة الرسوم / العموله]]+Basic34567891011[[#This Row],[قيمة الشحنه]])</f>
        <v>0</v>
      </c>
      <c r="I163" s="90"/>
      <c r="J163" s="142" t="str">
        <f t="shared" si="2"/>
        <v>22.5.2026</v>
      </c>
      <c r="L163" s="153">
        <v>152</v>
      </c>
      <c r="M163" s="92"/>
    </row>
    <row r="164" spans="1:13" ht="21.6" x14ac:dyDescent="0.65">
      <c r="A164" s="195"/>
      <c r="B164" s="140">
        <v>161</v>
      </c>
      <c r="C164" s="2"/>
      <c r="D164" s="1"/>
      <c r="E164" s="3"/>
      <c r="F164" s="1"/>
      <c r="G164" s="141">
        <f>IF(Basic34567891011[[#This Row],[نوع الخدمة]]="مخالفات", 50,
IF(Basic34567891011[[#This Row],[نوع الخدمة]]="كاش ان",
    IF(F164&lt;=100, 18, IF(F164&lt;=250, 23, IF(F164&lt;=500, 35, IF(F164&lt;=1000, 40, F164*0.04)))),
IF(Basic34567891011[[#This Row],[نوع الخدمة]]="كاش اوت",
    IF(F164&lt;=100, 15, IF(F164&lt;=250, 20, IF(F164&lt;=500, 30, IF(F164&lt;=1000, 35, F164*0.035)))),
0)))</f>
        <v>0</v>
      </c>
      <c r="H164" s="163">
        <f>IF(I164="مخالفات",50,Basic34567891011[[#This Row],[قيمة الرسوم / العموله]]+Basic34567891011[[#This Row],[قيمة الشحنه]])</f>
        <v>0</v>
      </c>
      <c r="I164" s="90"/>
      <c r="J164" s="142" t="str">
        <f t="shared" si="2"/>
        <v>22.5.2026</v>
      </c>
      <c r="L164" s="153">
        <v>153</v>
      </c>
      <c r="M164" s="92"/>
    </row>
    <row r="165" spans="1:13" ht="21.6" x14ac:dyDescent="0.65">
      <c r="A165" s="195"/>
      <c r="B165" s="144">
        <v>162</v>
      </c>
      <c r="C165" s="2"/>
      <c r="D165" s="1"/>
      <c r="E165" s="3"/>
      <c r="F165" s="1"/>
      <c r="G165" s="141">
        <f>IF(Basic34567891011[[#This Row],[نوع الخدمة]]="مخالفات", 50,
IF(Basic34567891011[[#This Row],[نوع الخدمة]]="كاش ان",
    IF(F165&lt;=100, 18, IF(F165&lt;=250, 23, IF(F165&lt;=500, 35, IF(F165&lt;=1000, 40, F165*0.04)))),
IF(Basic34567891011[[#This Row],[نوع الخدمة]]="كاش اوت",
    IF(F165&lt;=100, 15, IF(F165&lt;=250, 20, IF(F165&lt;=500, 30, IF(F165&lt;=1000, 35, F165*0.035)))),
0)))</f>
        <v>0</v>
      </c>
      <c r="H165" s="163">
        <f>IF(I165="مخالفات",50,Basic34567891011[[#This Row],[قيمة الرسوم / العموله]]+Basic34567891011[[#This Row],[قيمة الشحنه]])</f>
        <v>0</v>
      </c>
      <c r="I165" s="90"/>
      <c r="J165" s="142" t="str">
        <f t="shared" si="2"/>
        <v>22.5.2026</v>
      </c>
      <c r="L165" s="153">
        <v>154</v>
      </c>
      <c r="M165" s="92"/>
    </row>
    <row r="166" spans="1:13" ht="21.6" x14ac:dyDescent="0.65">
      <c r="A166" s="195"/>
      <c r="B166" s="140">
        <v>163</v>
      </c>
      <c r="C166" s="2"/>
      <c r="D166" s="1"/>
      <c r="E166" s="3"/>
      <c r="F166" s="1"/>
      <c r="G166" s="141">
        <f>IF(Basic34567891011[[#This Row],[نوع الخدمة]]="مخالفات", 50,
IF(Basic34567891011[[#This Row],[نوع الخدمة]]="كاش ان",
    IF(F166&lt;=100, 18, IF(F166&lt;=250, 23, IF(F166&lt;=500, 35, IF(F166&lt;=1000, 40, F166*0.04)))),
IF(Basic34567891011[[#This Row],[نوع الخدمة]]="كاش اوت",
    IF(F166&lt;=100, 15, IF(F166&lt;=250, 20, IF(F166&lt;=500, 30, IF(F166&lt;=1000, 35, F166*0.035)))),
0)))</f>
        <v>0</v>
      </c>
      <c r="H166" s="163">
        <f>IF(I166="مخالفات",50,Basic34567891011[[#This Row],[قيمة الرسوم / العموله]]+Basic34567891011[[#This Row],[قيمة الشحنه]])</f>
        <v>0</v>
      </c>
      <c r="I166" s="90"/>
      <c r="J166" s="142" t="str">
        <f t="shared" si="2"/>
        <v>22.5.2026</v>
      </c>
      <c r="L166" s="153">
        <v>155</v>
      </c>
      <c r="M166" s="92"/>
    </row>
    <row r="167" spans="1:13" ht="21.6" x14ac:dyDescent="0.65">
      <c r="A167" s="195"/>
      <c r="B167" s="140">
        <v>164</v>
      </c>
      <c r="C167" s="2"/>
      <c r="D167" s="1"/>
      <c r="E167" s="3"/>
      <c r="F167" s="1"/>
      <c r="G167" s="141">
        <f>IF(Basic34567891011[[#This Row],[نوع الخدمة]]="مخالفات", 50,
IF(Basic34567891011[[#This Row],[نوع الخدمة]]="كاش ان",
    IF(F167&lt;=100, 18, IF(F167&lt;=250, 23, IF(F167&lt;=500, 35, IF(F167&lt;=1000, 40, F167*0.04)))),
IF(Basic34567891011[[#This Row],[نوع الخدمة]]="كاش اوت",
    IF(F167&lt;=100, 15, IF(F167&lt;=250, 20, IF(F167&lt;=500, 30, IF(F167&lt;=1000, 35, F167*0.035)))),
0)))</f>
        <v>0</v>
      </c>
      <c r="H167" s="163">
        <f>IF(I167="مخالفات",50,Basic34567891011[[#This Row],[قيمة الرسوم / العموله]]+Basic34567891011[[#This Row],[قيمة الشحنه]])</f>
        <v>0</v>
      </c>
      <c r="I167" s="90"/>
      <c r="J167" s="142" t="str">
        <f t="shared" si="2"/>
        <v>22.5.2026</v>
      </c>
      <c r="L167" s="153">
        <v>156</v>
      </c>
      <c r="M167" s="92"/>
    </row>
    <row r="168" spans="1:13" ht="21.6" x14ac:dyDescent="0.65">
      <c r="A168" s="195"/>
      <c r="B168" s="140">
        <v>165</v>
      </c>
      <c r="C168" s="2"/>
      <c r="D168" s="1"/>
      <c r="E168" s="3"/>
      <c r="F168" s="1"/>
      <c r="G168" s="141">
        <f>IF(Basic34567891011[[#This Row],[نوع الخدمة]]="مخالفات", 50,
IF(Basic34567891011[[#This Row],[نوع الخدمة]]="كاش ان",
    IF(F168&lt;=100, 18, IF(F168&lt;=250, 23, IF(F168&lt;=500, 35, IF(F168&lt;=1000, 40, F168*0.04)))),
IF(Basic34567891011[[#This Row],[نوع الخدمة]]="كاش اوت",
    IF(F168&lt;=100, 15, IF(F168&lt;=250, 20, IF(F168&lt;=500, 30, IF(F168&lt;=1000, 35, F168*0.035)))),
0)))</f>
        <v>0</v>
      </c>
      <c r="H168" s="163">
        <f>IF(I168="مخالفات",50,Basic34567891011[[#This Row],[قيمة الرسوم / العموله]]+Basic34567891011[[#This Row],[قيمة الشحنه]])</f>
        <v>0</v>
      </c>
      <c r="I168" s="90"/>
      <c r="J168" s="142" t="str">
        <f t="shared" si="2"/>
        <v>22.5.2026</v>
      </c>
      <c r="L168" s="153">
        <v>157</v>
      </c>
      <c r="M168" s="92"/>
    </row>
    <row r="169" spans="1:13" ht="21.6" x14ac:dyDescent="0.65">
      <c r="A169" s="195"/>
      <c r="B169" s="144">
        <v>166</v>
      </c>
      <c r="C169" s="2"/>
      <c r="D169" s="1"/>
      <c r="E169" s="3"/>
      <c r="F169" s="1"/>
      <c r="G169" s="141">
        <f>IF(Basic34567891011[[#This Row],[نوع الخدمة]]="مخالفات", 50,
IF(Basic34567891011[[#This Row],[نوع الخدمة]]="كاش ان",
    IF(F169&lt;=100, 18, IF(F169&lt;=250, 23, IF(F169&lt;=500, 35, IF(F169&lt;=1000, 40, F169*0.04)))),
IF(Basic34567891011[[#This Row],[نوع الخدمة]]="كاش اوت",
    IF(F169&lt;=100, 15, IF(F169&lt;=250, 20, IF(F169&lt;=500, 30, IF(F169&lt;=1000, 35, F169*0.035)))),
0)))</f>
        <v>0</v>
      </c>
      <c r="H169" s="163">
        <f>IF(I169="مخالفات",50,Basic34567891011[[#This Row],[قيمة الرسوم / العموله]]+Basic34567891011[[#This Row],[قيمة الشحنه]])</f>
        <v>0</v>
      </c>
      <c r="I169" s="90"/>
      <c r="J169" s="142" t="str">
        <f t="shared" si="2"/>
        <v>22.5.2026</v>
      </c>
      <c r="L169" s="153">
        <v>158</v>
      </c>
      <c r="M169" s="92"/>
    </row>
    <row r="170" spans="1:13" ht="21.6" x14ac:dyDescent="0.65">
      <c r="A170" s="195"/>
      <c r="B170" s="140">
        <v>167</v>
      </c>
      <c r="C170" s="2"/>
      <c r="D170" s="1"/>
      <c r="E170" s="3"/>
      <c r="F170" s="1"/>
      <c r="G170" s="141">
        <f>IF(Basic34567891011[[#This Row],[نوع الخدمة]]="مخالفات", 50,
IF(Basic34567891011[[#This Row],[نوع الخدمة]]="كاش ان",
    IF(F170&lt;=100, 18, IF(F170&lt;=250, 23, IF(F170&lt;=500, 35, IF(F170&lt;=1000, 40, F170*0.04)))),
IF(Basic34567891011[[#This Row],[نوع الخدمة]]="كاش اوت",
    IF(F170&lt;=100, 15, IF(F170&lt;=250, 20, IF(F170&lt;=500, 30, IF(F170&lt;=1000, 35, F170*0.035)))),
0)))</f>
        <v>0</v>
      </c>
      <c r="H170" s="163">
        <f>IF(I170="مخالفات",50,Basic34567891011[[#This Row],[قيمة الرسوم / العموله]]+Basic34567891011[[#This Row],[قيمة الشحنه]])</f>
        <v>0</v>
      </c>
      <c r="I170" s="90"/>
      <c r="J170" s="142" t="str">
        <f t="shared" si="2"/>
        <v>22.5.2026</v>
      </c>
      <c r="L170" s="153">
        <v>159</v>
      </c>
      <c r="M170" s="92"/>
    </row>
    <row r="171" spans="1:13" ht="21.6" x14ac:dyDescent="0.65">
      <c r="A171" s="195"/>
      <c r="B171" s="140">
        <v>168</v>
      </c>
      <c r="C171" s="2"/>
      <c r="D171" s="1"/>
      <c r="E171" s="3"/>
      <c r="F171" s="1"/>
      <c r="G171" s="141">
        <f>IF(Basic34567891011[[#This Row],[نوع الخدمة]]="مخالفات", 50,
IF(Basic34567891011[[#This Row],[نوع الخدمة]]="كاش ان",
    IF(F171&lt;=100, 18, IF(F171&lt;=250, 23, IF(F171&lt;=500, 35, IF(F171&lt;=1000, 40, F171*0.04)))),
IF(Basic34567891011[[#This Row],[نوع الخدمة]]="كاش اوت",
    IF(F171&lt;=100, 15, IF(F171&lt;=250, 20, IF(F171&lt;=500, 30, IF(F171&lt;=1000, 35, F171*0.035)))),
0)))</f>
        <v>0</v>
      </c>
      <c r="H171" s="163">
        <f>IF(I171="مخالفات",50,Basic34567891011[[#This Row],[قيمة الرسوم / العموله]]+Basic34567891011[[#This Row],[قيمة الشحنه]])</f>
        <v>0</v>
      </c>
      <c r="I171" s="90"/>
      <c r="J171" s="142" t="str">
        <f t="shared" si="2"/>
        <v>22.5.2026</v>
      </c>
      <c r="L171" s="153">
        <v>160</v>
      </c>
      <c r="M171" s="92"/>
    </row>
    <row r="172" spans="1:13" ht="21.6" x14ac:dyDescent="0.65">
      <c r="A172" s="195"/>
      <c r="B172" s="140">
        <v>169</v>
      </c>
      <c r="C172" s="2"/>
      <c r="D172" s="1"/>
      <c r="E172" s="3"/>
      <c r="F172" s="1"/>
      <c r="G172" s="141">
        <f>IF(Basic34567891011[[#This Row],[نوع الخدمة]]="مخالفات", 50,
IF(Basic34567891011[[#This Row],[نوع الخدمة]]="كاش ان",
    IF(F172&lt;=100, 18, IF(F172&lt;=250, 23, IF(F172&lt;=500, 35, IF(F172&lt;=1000, 40, F172*0.04)))),
IF(Basic34567891011[[#This Row],[نوع الخدمة]]="كاش اوت",
    IF(F172&lt;=100, 15, IF(F172&lt;=250, 20, IF(F172&lt;=500, 30, IF(F172&lt;=1000, 35, F172*0.035)))),
0)))</f>
        <v>0</v>
      </c>
      <c r="H172" s="163">
        <f>IF(I172="مخالفات",50,Basic34567891011[[#This Row],[قيمة الرسوم / العموله]]+Basic34567891011[[#This Row],[قيمة الشحنه]])</f>
        <v>0</v>
      </c>
      <c r="I172" s="90"/>
      <c r="J172" s="142" t="str">
        <f t="shared" si="2"/>
        <v>22.5.2026</v>
      </c>
      <c r="L172" s="153">
        <v>161</v>
      </c>
      <c r="M172" s="92"/>
    </row>
    <row r="173" spans="1:13" ht="21.6" x14ac:dyDescent="0.65">
      <c r="A173" s="195"/>
      <c r="B173" s="144">
        <v>170</v>
      </c>
      <c r="C173" s="2"/>
      <c r="D173" s="1"/>
      <c r="E173" s="3"/>
      <c r="F173" s="1"/>
      <c r="G173" s="141">
        <f>IF(Basic34567891011[[#This Row],[نوع الخدمة]]="مخالفات", 50,
IF(Basic34567891011[[#This Row],[نوع الخدمة]]="كاش ان",
    IF(F173&lt;=100, 18, IF(F173&lt;=250, 23, IF(F173&lt;=500, 35, IF(F173&lt;=1000, 40, F173*0.04)))),
IF(Basic34567891011[[#This Row],[نوع الخدمة]]="كاش اوت",
    IF(F173&lt;=100, 15, IF(F173&lt;=250, 20, IF(F173&lt;=500, 30, IF(F173&lt;=1000, 35, F173*0.035)))),
0)))</f>
        <v>0</v>
      </c>
      <c r="H173" s="163">
        <f>IF(I173="مخالفات",50,Basic34567891011[[#This Row],[قيمة الرسوم / العموله]]+Basic34567891011[[#This Row],[قيمة الشحنه]])</f>
        <v>0</v>
      </c>
      <c r="I173" s="90"/>
      <c r="J173" s="142" t="str">
        <f t="shared" si="2"/>
        <v>22.5.2026</v>
      </c>
      <c r="L173" s="153">
        <v>162</v>
      </c>
      <c r="M173" s="92"/>
    </row>
    <row r="174" spans="1:13" ht="21.6" x14ac:dyDescent="0.65">
      <c r="A174" s="195"/>
      <c r="B174" s="140">
        <v>171</v>
      </c>
      <c r="C174" s="2"/>
      <c r="D174" s="1"/>
      <c r="E174" s="3"/>
      <c r="F174" s="1"/>
      <c r="G174" s="141">
        <f>IF(Basic34567891011[[#This Row],[نوع الخدمة]]="مخالفات", 50,
IF(Basic34567891011[[#This Row],[نوع الخدمة]]="كاش ان",
    IF(F174&lt;=100, 18, IF(F174&lt;=250, 23, IF(F174&lt;=500, 35, IF(F174&lt;=1000, 40, F174*0.04)))),
IF(Basic34567891011[[#This Row],[نوع الخدمة]]="كاش اوت",
    IF(F174&lt;=100, 15, IF(F174&lt;=250, 20, IF(F174&lt;=500, 30, IF(F174&lt;=1000, 35, F174*0.035)))),
0)))</f>
        <v>0</v>
      </c>
      <c r="H174" s="163">
        <f>IF(I174="مخالفات",50,Basic34567891011[[#This Row],[قيمة الرسوم / العموله]]+Basic34567891011[[#This Row],[قيمة الشحنه]])</f>
        <v>0</v>
      </c>
      <c r="I174" s="90"/>
      <c r="J174" s="142" t="str">
        <f t="shared" si="2"/>
        <v>22.5.2026</v>
      </c>
      <c r="L174" s="153">
        <v>163</v>
      </c>
      <c r="M174" s="92"/>
    </row>
    <row r="175" spans="1:13" ht="21.6" x14ac:dyDescent="0.65">
      <c r="A175" s="195"/>
      <c r="B175" s="140">
        <v>172</v>
      </c>
      <c r="C175" s="2"/>
      <c r="D175" s="1"/>
      <c r="E175" s="3"/>
      <c r="F175" s="1"/>
      <c r="G175" s="141">
        <f>IF(Basic34567891011[[#This Row],[نوع الخدمة]]="مخالفات", 50,
IF(Basic34567891011[[#This Row],[نوع الخدمة]]="كاش ان",
    IF(F175&lt;=100, 18, IF(F175&lt;=250, 23, IF(F175&lt;=500, 35, IF(F175&lt;=1000, 40, F175*0.04)))),
IF(Basic34567891011[[#This Row],[نوع الخدمة]]="كاش اوت",
    IF(F175&lt;=100, 15, IF(F175&lt;=250, 20, IF(F175&lt;=500, 30, IF(F175&lt;=1000, 35, F175*0.035)))),
0)))</f>
        <v>0</v>
      </c>
      <c r="H175" s="163">
        <f>IF(I175="مخالفات",50,Basic34567891011[[#This Row],[قيمة الرسوم / العموله]]+Basic34567891011[[#This Row],[قيمة الشحنه]])</f>
        <v>0</v>
      </c>
      <c r="I175" s="90"/>
      <c r="J175" s="142" t="str">
        <f t="shared" si="2"/>
        <v>22.5.2026</v>
      </c>
      <c r="L175" s="153">
        <v>164</v>
      </c>
      <c r="M175" s="92"/>
    </row>
    <row r="176" spans="1:13" ht="21.6" x14ac:dyDescent="0.65">
      <c r="A176" s="195"/>
      <c r="B176" s="140">
        <v>173</v>
      </c>
      <c r="C176" s="2"/>
      <c r="D176" s="1"/>
      <c r="E176" s="3"/>
      <c r="F176" s="1"/>
      <c r="G176" s="141">
        <f>IF(Basic34567891011[[#This Row],[نوع الخدمة]]="مخالفات", 50,
IF(Basic34567891011[[#This Row],[نوع الخدمة]]="كاش ان",
    IF(F176&lt;=100, 18, IF(F176&lt;=250, 23, IF(F176&lt;=500, 35, IF(F176&lt;=1000, 40, F176*0.04)))),
IF(Basic34567891011[[#This Row],[نوع الخدمة]]="كاش اوت",
    IF(F176&lt;=100, 15, IF(F176&lt;=250, 20, IF(F176&lt;=500, 30, IF(F176&lt;=1000, 35, F176*0.035)))),
0)))</f>
        <v>0</v>
      </c>
      <c r="H176" s="163">
        <f>IF(I176="مخالفات",50,Basic34567891011[[#This Row],[قيمة الرسوم / العموله]]+Basic34567891011[[#This Row],[قيمة الشحنه]])</f>
        <v>0</v>
      </c>
      <c r="I176" s="90"/>
      <c r="J176" s="142" t="str">
        <f t="shared" si="2"/>
        <v>22.5.2026</v>
      </c>
      <c r="L176" s="153">
        <v>165</v>
      </c>
      <c r="M176" s="92"/>
    </row>
    <row r="177" spans="1:13" ht="21.6" x14ac:dyDescent="0.65">
      <c r="A177" s="195"/>
      <c r="B177" s="144">
        <v>174</v>
      </c>
      <c r="C177" s="2"/>
      <c r="D177" s="1"/>
      <c r="E177" s="3"/>
      <c r="F177" s="1"/>
      <c r="G177" s="141">
        <f>IF(Basic34567891011[[#This Row],[نوع الخدمة]]="مخالفات", 50,
IF(Basic34567891011[[#This Row],[نوع الخدمة]]="كاش ان",
    IF(F177&lt;=100, 18, IF(F177&lt;=250, 23, IF(F177&lt;=500, 35, IF(F177&lt;=1000, 40, F177*0.04)))),
IF(Basic34567891011[[#This Row],[نوع الخدمة]]="كاش اوت",
    IF(F177&lt;=100, 15, IF(F177&lt;=250, 20, IF(F177&lt;=500, 30, IF(F177&lt;=1000, 35, F177*0.035)))),
0)))</f>
        <v>0</v>
      </c>
      <c r="H177" s="163">
        <f>IF(I177="مخالفات",50,Basic34567891011[[#This Row],[قيمة الرسوم / العموله]]+Basic34567891011[[#This Row],[قيمة الشحنه]])</f>
        <v>0</v>
      </c>
      <c r="I177" s="90"/>
      <c r="J177" s="142" t="str">
        <f t="shared" si="2"/>
        <v>22.5.2026</v>
      </c>
      <c r="L177" s="153">
        <v>166</v>
      </c>
      <c r="M177" s="92"/>
    </row>
    <row r="178" spans="1:13" ht="21.6" x14ac:dyDescent="0.65">
      <c r="A178" s="195"/>
      <c r="B178" s="140">
        <v>175</v>
      </c>
      <c r="C178" s="2"/>
      <c r="D178" s="1"/>
      <c r="E178" s="3"/>
      <c r="F178" s="1"/>
      <c r="G178" s="141">
        <f>IF(Basic34567891011[[#This Row],[نوع الخدمة]]="مخالفات", 50,
IF(Basic34567891011[[#This Row],[نوع الخدمة]]="كاش ان",
    IF(F178&lt;=100, 18, IF(F178&lt;=250, 23, IF(F178&lt;=500, 35, IF(F178&lt;=1000, 40, F178*0.04)))),
IF(Basic34567891011[[#This Row],[نوع الخدمة]]="كاش اوت",
    IF(F178&lt;=100, 15, IF(F178&lt;=250, 20, IF(F178&lt;=500, 30, IF(F178&lt;=1000, 35, F178*0.035)))),
0)))</f>
        <v>0</v>
      </c>
      <c r="H178" s="163">
        <f>IF(I178="مخالفات",50,Basic34567891011[[#This Row],[قيمة الرسوم / العموله]]+Basic34567891011[[#This Row],[قيمة الشحنه]])</f>
        <v>0</v>
      </c>
      <c r="I178" s="90"/>
      <c r="J178" s="142" t="str">
        <f t="shared" si="2"/>
        <v>22.5.2026</v>
      </c>
      <c r="L178" s="153">
        <v>167</v>
      </c>
      <c r="M178" s="92"/>
    </row>
    <row r="179" spans="1:13" ht="21.6" x14ac:dyDescent="0.65">
      <c r="A179" s="195"/>
      <c r="B179" s="140">
        <v>176</v>
      </c>
      <c r="C179" s="2"/>
      <c r="D179" s="1"/>
      <c r="E179" s="3"/>
      <c r="F179" s="1"/>
      <c r="G179" s="141">
        <f>IF(Basic34567891011[[#This Row],[نوع الخدمة]]="مخالفات", 50,
IF(Basic34567891011[[#This Row],[نوع الخدمة]]="كاش ان",
    IF(F179&lt;=100, 18, IF(F179&lt;=250, 23, IF(F179&lt;=500, 35, IF(F179&lt;=1000, 40, F179*0.04)))),
IF(Basic34567891011[[#This Row],[نوع الخدمة]]="كاش اوت",
    IF(F179&lt;=100, 15, IF(F179&lt;=250, 20, IF(F179&lt;=500, 30, IF(F179&lt;=1000, 35, F179*0.035)))),
0)))</f>
        <v>0</v>
      </c>
      <c r="H179" s="163">
        <f>IF(I179="مخالفات",50,Basic34567891011[[#This Row],[قيمة الرسوم / العموله]]+Basic34567891011[[#This Row],[قيمة الشحنه]])</f>
        <v>0</v>
      </c>
      <c r="I179" s="90"/>
      <c r="J179" s="142" t="str">
        <f t="shared" si="2"/>
        <v>22.5.2026</v>
      </c>
      <c r="L179" s="153">
        <v>168</v>
      </c>
      <c r="M179" s="92"/>
    </row>
    <row r="180" spans="1:13" ht="21.6" x14ac:dyDescent="0.65">
      <c r="A180" s="195"/>
      <c r="B180" s="140">
        <v>177</v>
      </c>
      <c r="C180" s="2"/>
      <c r="D180" s="1"/>
      <c r="E180" s="3"/>
      <c r="F180" s="1"/>
      <c r="G180" s="141">
        <f>IF(Basic34567891011[[#This Row],[نوع الخدمة]]="مخالفات", 50,
IF(Basic34567891011[[#This Row],[نوع الخدمة]]="كاش ان",
    IF(F180&lt;=100, 18, IF(F180&lt;=250, 23, IF(F180&lt;=500, 35, IF(F180&lt;=1000, 40, F180*0.04)))),
IF(Basic34567891011[[#This Row],[نوع الخدمة]]="كاش اوت",
    IF(F180&lt;=100, 15, IF(F180&lt;=250, 20, IF(F180&lt;=500, 30, IF(F180&lt;=1000, 35, F180*0.035)))),
0)))</f>
        <v>0</v>
      </c>
      <c r="H180" s="163">
        <f>IF(I180="مخالفات",50,Basic34567891011[[#This Row],[قيمة الرسوم / العموله]]+Basic34567891011[[#This Row],[قيمة الشحنه]])</f>
        <v>0</v>
      </c>
      <c r="I180" s="90"/>
      <c r="J180" s="142" t="str">
        <f t="shared" si="2"/>
        <v>22.5.2026</v>
      </c>
      <c r="L180" s="153">
        <v>169</v>
      </c>
      <c r="M180" s="92"/>
    </row>
    <row r="181" spans="1:13" ht="21.6" x14ac:dyDescent="0.65">
      <c r="A181" s="195"/>
      <c r="B181" s="144">
        <v>178</v>
      </c>
      <c r="C181" s="2"/>
      <c r="D181" s="1"/>
      <c r="E181" s="3"/>
      <c r="F181" s="1"/>
      <c r="G181" s="141">
        <f>IF(Basic34567891011[[#This Row],[نوع الخدمة]]="مخالفات", 50,
IF(Basic34567891011[[#This Row],[نوع الخدمة]]="كاش ان",
    IF(F181&lt;=100, 18, IF(F181&lt;=250, 23, IF(F181&lt;=500, 35, IF(F181&lt;=1000, 40, F181*0.04)))),
IF(Basic34567891011[[#This Row],[نوع الخدمة]]="كاش اوت",
    IF(F181&lt;=100, 15, IF(F181&lt;=250, 20, IF(F181&lt;=500, 30, IF(F181&lt;=1000, 35, F181*0.035)))),
0)))</f>
        <v>0</v>
      </c>
      <c r="H181" s="163">
        <f>IF(I181="مخالفات",50,Basic34567891011[[#This Row],[قيمة الرسوم / العموله]]+Basic34567891011[[#This Row],[قيمة الشحنه]])</f>
        <v>0</v>
      </c>
      <c r="I181" s="90"/>
      <c r="J181" s="142" t="str">
        <f t="shared" si="2"/>
        <v>22.5.2026</v>
      </c>
      <c r="L181" s="153">
        <v>170</v>
      </c>
      <c r="M181" s="92"/>
    </row>
    <row r="182" spans="1:13" ht="21.6" x14ac:dyDescent="0.65">
      <c r="A182" s="195"/>
      <c r="B182" s="140">
        <v>179</v>
      </c>
      <c r="C182" s="2"/>
      <c r="D182" s="1"/>
      <c r="E182" s="3"/>
      <c r="F182" s="1"/>
      <c r="G182" s="141">
        <f>IF(Basic34567891011[[#This Row],[نوع الخدمة]]="مخالفات", 50,
IF(Basic34567891011[[#This Row],[نوع الخدمة]]="كاش ان",
    IF(F182&lt;=100, 18, IF(F182&lt;=250, 23, IF(F182&lt;=500, 35, IF(F182&lt;=1000, 40, F182*0.04)))),
IF(Basic34567891011[[#This Row],[نوع الخدمة]]="كاش اوت",
    IF(F182&lt;=100, 15, IF(F182&lt;=250, 20, IF(F182&lt;=500, 30, IF(F182&lt;=1000, 35, F182*0.035)))),
0)))</f>
        <v>0</v>
      </c>
      <c r="H182" s="163">
        <f>IF(I182="مخالفات",50,Basic34567891011[[#This Row],[قيمة الرسوم / العموله]]+Basic34567891011[[#This Row],[قيمة الشحنه]])</f>
        <v>0</v>
      </c>
      <c r="I182" s="90"/>
      <c r="J182" s="142" t="str">
        <f t="shared" si="2"/>
        <v>22.5.2026</v>
      </c>
      <c r="L182" s="153">
        <v>171</v>
      </c>
      <c r="M182" s="92"/>
    </row>
    <row r="183" spans="1:13" ht="21.6" x14ac:dyDescent="0.65">
      <c r="A183" s="195"/>
      <c r="B183" s="140">
        <v>180</v>
      </c>
      <c r="C183" s="2"/>
      <c r="D183" s="1"/>
      <c r="E183" s="3"/>
      <c r="F183" s="1"/>
      <c r="G183" s="141">
        <f>IF(Basic34567891011[[#This Row],[نوع الخدمة]]="مخالفات", 50,
IF(Basic34567891011[[#This Row],[نوع الخدمة]]="كاش ان",
    IF(F183&lt;=100, 18, IF(F183&lt;=250, 23, IF(F183&lt;=500, 35, IF(F183&lt;=1000, 40, F183*0.04)))),
IF(Basic34567891011[[#This Row],[نوع الخدمة]]="كاش اوت",
    IF(F183&lt;=100, 15, IF(F183&lt;=250, 20, IF(F183&lt;=500, 30, IF(F183&lt;=1000, 35, F183*0.035)))),
0)))</f>
        <v>0</v>
      </c>
      <c r="H183" s="163">
        <f>IF(I183="مخالفات",50,Basic34567891011[[#This Row],[قيمة الرسوم / العموله]]+Basic34567891011[[#This Row],[قيمة الشحنه]])</f>
        <v>0</v>
      </c>
      <c r="I183" s="90"/>
      <c r="J183" s="142" t="str">
        <f t="shared" si="2"/>
        <v>22.5.2026</v>
      </c>
      <c r="L183" s="153">
        <v>172</v>
      </c>
      <c r="M183" s="92"/>
    </row>
    <row r="184" spans="1:13" ht="21.6" x14ac:dyDescent="0.65">
      <c r="A184" s="195"/>
      <c r="B184" s="140">
        <v>181</v>
      </c>
      <c r="C184" s="2"/>
      <c r="D184" s="1"/>
      <c r="E184" s="3"/>
      <c r="F184" s="1"/>
      <c r="G184" s="141">
        <f>IF(Basic34567891011[[#This Row],[نوع الخدمة]]="مخالفات", 50,
IF(Basic34567891011[[#This Row],[نوع الخدمة]]="كاش ان",
    IF(F184&lt;=100, 18, IF(F184&lt;=250, 23, IF(F184&lt;=500, 35, IF(F184&lt;=1000, 40, F184*0.04)))),
IF(Basic34567891011[[#This Row],[نوع الخدمة]]="كاش اوت",
    IF(F184&lt;=100, 15, IF(F184&lt;=250, 20, IF(F184&lt;=500, 30, IF(F184&lt;=1000, 35, F184*0.035)))),
0)))</f>
        <v>0</v>
      </c>
      <c r="H184" s="163">
        <f>IF(I184="مخالفات",50,Basic34567891011[[#This Row],[قيمة الرسوم / العموله]]+Basic34567891011[[#This Row],[قيمة الشحنه]])</f>
        <v>0</v>
      </c>
      <c r="I184" s="90"/>
      <c r="J184" s="142" t="str">
        <f t="shared" si="2"/>
        <v>22.5.2026</v>
      </c>
      <c r="L184" s="153">
        <v>173</v>
      </c>
      <c r="M184" s="92"/>
    </row>
    <row r="185" spans="1:13" ht="21.6" x14ac:dyDescent="0.65">
      <c r="A185" s="195"/>
      <c r="B185" s="144">
        <v>182</v>
      </c>
      <c r="C185" s="2"/>
      <c r="D185" s="1"/>
      <c r="E185" s="3"/>
      <c r="F185" s="1"/>
      <c r="G185" s="141">
        <f>IF(Basic34567891011[[#This Row],[نوع الخدمة]]="مخالفات", 50,
IF(Basic34567891011[[#This Row],[نوع الخدمة]]="كاش ان",
    IF(F185&lt;=100, 18, IF(F185&lt;=250, 23, IF(F185&lt;=500, 35, IF(F185&lt;=1000, 40, F185*0.04)))),
IF(Basic34567891011[[#This Row],[نوع الخدمة]]="كاش اوت",
    IF(F185&lt;=100, 15, IF(F185&lt;=250, 20, IF(F185&lt;=500, 30, IF(F185&lt;=1000, 35, F185*0.035)))),
0)))</f>
        <v>0</v>
      </c>
      <c r="H185" s="163">
        <f>IF(I185="مخالفات",50,Basic34567891011[[#This Row],[قيمة الرسوم / العموله]]+Basic34567891011[[#This Row],[قيمة الشحنه]])</f>
        <v>0</v>
      </c>
      <c r="I185" s="90"/>
      <c r="J185" s="142" t="str">
        <f t="shared" si="2"/>
        <v>22.5.2026</v>
      </c>
      <c r="L185" s="153">
        <v>174</v>
      </c>
      <c r="M185" s="92"/>
    </row>
    <row r="186" spans="1:13" ht="21.6" x14ac:dyDescent="0.65">
      <c r="A186" s="195"/>
      <c r="B186" s="140">
        <v>183</v>
      </c>
      <c r="C186" s="2"/>
      <c r="D186" s="1"/>
      <c r="E186" s="3"/>
      <c r="F186" s="1"/>
      <c r="G186" s="141">
        <f>IF(Basic34567891011[[#This Row],[نوع الخدمة]]="مخالفات", 50,
IF(Basic34567891011[[#This Row],[نوع الخدمة]]="كاش ان",
    IF(F186&lt;=100, 18, IF(F186&lt;=250, 23, IF(F186&lt;=500, 35, IF(F186&lt;=1000, 40, F186*0.04)))),
IF(Basic34567891011[[#This Row],[نوع الخدمة]]="كاش اوت",
    IF(F186&lt;=100, 15, IF(F186&lt;=250, 20, IF(F186&lt;=500, 30, IF(F186&lt;=1000, 35, F186*0.035)))),
0)))</f>
        <v>0</v>
      </c>
      <c r="H186" s="163">
        <f>IF(I186="مخالفات",50,Basic34567891011[[#This Row],[قيمة الرسوم / العموله]]+Basic34567891011[[#This Row],[قيمة الشحنه]])</f>
        <v>0</v>
      </c>
      <c r="I186" s="90"/>
      <c r="J186" s="142" t="str">
        <f t="shared" si="2"/>
        <v>22.5.2026</v>
      </c>
      <c r="L186" s="153">
        <v>175</v>
      </c>
      <c r="M186" s="92"/>
    </row>
    <row r="187" spans="1:13" ht="21.6" x14ac:dyDescent="0.65">
      <c r="A187" s="195"/>
      <c r="B187" s="140">
        <v>184</v>
      </c>
      <c r="C187" s="2"/>
      <c r="D187" s="1"/>
      <c r="E187" s="3"/>
      <c r="F187" s="1"/>
      <c r="G187" s="141">
        <f>IF(Basic34567891011[[#This Row],[نوع الخدمة]]="مخالفات", 50,
IF(Basic34567891011[[#This Row],[نوع الخدمة]]="كاش ان",
    IF(F187&lt;=100, 18, IF(F187&lt;=250, 23, IF(F187&lt;=500, 35, IF(F187&lt;=1000, 40, F187*0.04)))),
IF(Basic34567891011[[#This Row],[نوع الخدمة]]="كاش اوت",
    IF(F187&lt;=100, 15, IF(F187&lt;=250, 20, IF(F187&lt;=500, 30, IF(F187&lt;=1000, 35, F187*0.035)))),
0)))</f>
        <v>0</v>
      </c>
      <c r="H187" s="163">
        <f>IF(I187="مخالفات",50,Basic34567891011[[#This Row],[قيمة الرسوم / العموله]]+Basic34567891011[[#This Row],[قيمة الشحنه]])</f>
        <v>0</v>
      </c>
      <c r="I187" s="90"/>
      <c r="J187" s="142" t="str">
        <f t="shared" si="2"/>
        <v>22.5.2026</v>
      </c>
      <c r="L187" s="153">
        <v>176</v>
      </c>
      <c r="M187" s="92"/>
    </row>
    <row r="188" spans="1:13" ht="21.6" x14ac:dyDescent="0.65">
      <c r="A188" s="195"/>
      <c r="B188" s="140">
        <v>185</v>
      </c>
      <c r="C188" s="2"/>
      <c r="D188" s="1"/>
      <c r="E188" s="3"/>
      <c r="F188" s="1"/>
      <c r="G188" s="141">
        <f>IF(Basic34567891011[[#This Row],[نوع الخدمة]]="مخالفات", 50,
IF(Basic34567891011[[#This Row],[نوع الخدمة]]="كاش ان",
    IF(F188&lt;=100, 18, IF(F188&lt;=250, 23, IF(F188&lt;=500, 35, IF(F188&lt;=1000, 40, F188*0.04)))),
IF(Basic34567891011[[#This Row],[نوع الخدمة]]="كاش اوت",
    IF(F188&lt;=100, 15, IF(F188&lt;=250, 20, IF(F188&lt;=500, 30, IF(F188&lt;=1000, 35, F188*0.035)))),
0)))</f>
        <v>0</v>
      </c>
      <c r="H188" s="163">
        <f>IF(I188="مخالفات",50,Basic34567891011[[#This Row],[قيمة الرسوم / العموله]]+Basic34567891011[[#This Row],[قيمة الشحنه]])</f>
        <v>0</v>
      </c>
      <c r="I188" s="90"/>
      <c r="J188" s="142" t="str">
        <f t="shared" si="2"/>
        <v>22.5.2026</v>
      </c>
      <c r="L188" s="153">
        <v>177</v>
      </c>
      <c r="M188" s="92"/>
    </row>
    <row r="189" spans="1:13" ht="21.6" x14ac:dyDescent="0.65">
      <c r="A189" s="195"/>
      <c r="B189" s="144">
        <v>186</v>
      </c>
      <c r="C189" s="2"/>
      <c r="D189" s="1"/>
      <c r="E189" s="3"/>
      <c r="F189" s="1"/>
      <c r="G189" s="141">
        <f>IF(Basic34567891011[[#This Row],[نوع الخدمة]]="مخالفات", 50,
IF(Basic34567891011[[#This Row],[نوع الخدمة]]="كاش ان",
    IF(F189&lt;=100, 18, IF(F189&lt;=250, 23, IF(F189&lt;=500, 35, IF(F189&lt;=1000, 40, F189*0.04)))),
IF(Basic34567891011[[#This Row],[نوع الخدمة]]="كاش اوت",
    IF(F189&lt;=100, 15, IF(F189&lt;=250, 20, IF(F189&lt;=500, 30, IF(F189&lt;=1000, 35, F189*0.035)))),
0)))</f>
        <v>0</v>
      </c>
      <c r="H189" s="163">
        <f>IF(I189="مخالفات",50,Basic34567891011[[#This Row],[قيمة الرسوم / العموله]]+Basic34567891011[[#This Row],[قيمة الشحنه]])</f>
        <v>0</v>
      </c>
      <c r="I189" s="90"/>
      <c r="J189" s="142" t="str">
        <f t="shared" si="2"/>
        <v>22.5.2026</v>
      </c>
      <c r="L189" s="153">
        <v>178</v>
      </c>
      <c r="M189" s="92"/>
    </row>
    <row r="190" spans="1:13" ht="21.6" x14ac:dyDescent="0.65">
      <c r="A190" s="195"/>
      <c r="B190" s="140">
        <v>187</v>
      </c>
      <c r="C190" s="2"/>
      <c r="D190" s="1"/>
      <c r="E190" s="3"/>
      <c r="F190" s="1"/>
      <c r="G190" s="141">
        <f>IF(Basic34567891011[[#This Row],[نوع الخدمة]]="مخالفات", 50,
IF(Basic34567891011[[#This Row],[نوع الخدمة]]="كاش ان",
    IF(F190&lt;=100, 18, IF(F190&lt;=250, 23, IF(F190&lt;=500, 35, IF(F190&lt;=1000, 40, F190*0.04)))),
IF(Basic34567891011[[#This Row],[نوع الخدمة]]="كاش اوت",
    IF(F190&lt;=100, 15, IF(F190&lt;=250, 20, IF(F190&lt;=500, 30, IF(F190&lt;=1000, 35, F190*0.035)))),
0)))</f>
        <v>0</v>
      </c>
      <c r="H190" s="163">
        <f>IF(I190="مخالفات",50,Basic34567891011[[#This Row],[قيمة الرسوم / العموله]]+Basic34567891011[[#This Row],[قيمة الشحنه]])</f>
        <v>0</v>
      </c>
      <c r="I190" s="90"/>
      <c r="J190" s="142" t="str">
        <f t="shared" si="2"/>
        <v>22.5.2026</v>
      </c>
      <c r="L190" s="153">
        <v>179</v>
      </c>
      <c r="M190" s="92"/>
    </row>
    <row r="191" spans="1:13" ht="21.6" x14ac:dyDescent="0.65">
      <c r="A191" s="195"/>
      <c r="B191" s="140">
        <v>188</v>
      </c>
      <c r="C191" s="2"/>
      <c r="D191" s="1"/>
      <c r="E191" s="3"/>
      <c r="F191" s="1"/>
      <c r="G191" s="141">
        <f>IF(Basic34567891011[[#This Row],[نوع الخدمة]]="مخالفات", 50,
IF(Basic34567891011[[#This Row],[نوع الخدمة]]="كاش ان",
    IF(F191&lt;=100, 18, IF(F191&lt;=250, 23, IF(F191&lt;=500, 35, IF(F191&lt;=1000, 40, F191*0.04)))),
IF(Basic34567891011[[#This Row],[نوع الخدمة]]="كاش اوت",
    IF(F191&lt;=100, 15, IF(F191&lt;=250, 20, IF(F191&lt;=500, 30, IF(F191&lt;=1000, 35, F191*0.035)))),
0)))</f>
        <v>0</v>
      </c>
      <c r="H191" s="163">
        <f>IF(I191="مخالفات",50,Basic34567891011[[#This Row],[قيمة الرسوم / العموله]]+Basic34567891011[[#This Row],[قيمة الشحنه]])</f>
        <v>0</v>
      </c>
      <c r="I191" s="90"/>
      <c r="J191" s="142" t="str">
        <f t="shared" si="2"/>
        <v>22.5.2026</v>
      </c>
      <c r="L191" s="153">
        <v>180</v>
      </c>
      <c r="M191" s="92"/>
    </row>
    <row r="192" spans="1:13" ht="21.6" x14ac:dyDescent="0.65">
      <c r="A192" s="195"/>
      <c r="B192" s="140">
        <v>189</v>
      </c>
      <c r="C192" s="2"/>
      <c r="D192" s="1"/>
      <c r="E192" s="3"/>
      <c r="F192" s="1"/>
      <c r="G192" s="141">
        <f>IF(Basic34567891011[[#This Row],[نوع الخدمة]]="مخالفات", 50,
IF(Basic34567891011[[#This Row],[نوع الخدمة]]="كاش ان",
    IF(F192&lt;=100, 18, IF(F192&lt;=250, 23, IF(F192&lt;=500, 35, IF(F192&lt;=1000, 40, F192*0.04)))),
IF(Basic34567891011[[#This Row],[نوع الخدمة]]="كاش اوت",
    IF(F192&lt;=100, 15, IF(F192&lt;=250, 20, IF(F192&lt;=500, 30, IF(F192&lt;=1000, 35, F192*0.035)))),
0)))</f>
        <v>0</v>
      </c>
      <c r="H192" s="163">
        <f>IF(I192="مخالفات",50,Basic34567891011[[#This Row],[قيمة الرسوم / العموله]]+Basic34567891011[[#This Row],[قيمة الشحنه]])</f>
        <v>0</v>
      </c>
      <c r="I192" s="90"/>
      <c r="J192" s="142" t="str">
        <f t="shared" si="2"/>
        <v>22.5.2026</v>
      </c>
      <c r="L192" s="153">
        <v>181</v>
      </c>
      <c r="M192" s="92"/>
    </row>
    <row r="193" spans="1:13" ht="21.6" x14ac:dyDescent="0.65">
      <c r="A193" s="195"/>
      <c r="B193" s="144">
        <v>190</v>
      </c>
      <c r="C193" s="2"/>
      <c r="D193" s="1"/>
      <c r="E193" s="3"/>
      <c r="F193" s="1"/>
      <c r="G193" s="141">
        <f>IF(Basic34567891011[[#This Row],[نوع الخدمة]]="مخالفات", 50,
IF(Basic34567891011[[#This Row],[نوع الخدمة]]="كاش ان",
    IF(F193&lt;=100, 18, IF(F193&lt;=250, 23, IF(F193&lt;=500, 35, IF(F193&lt;=1000, 40, F193*0.04)))),
IF(Basic34567891011[[#This Row],[نوع الخدمة]]="كاش اوت",
    IF(F193&lt;=100, 15, IF(F193&lt;=250, 20, IF(F193&lt;=500, 30, IF(F193&lt;=1000, 35, F193*0.035)))),
0)))</f>
        <v>0</v>
      </c>
      <c r="H193" s="163">
        <f>IF(I193="مخالفات",50,Basic34567891011[[#This Row],[قيمة الرسوم / العموله]]+Basic34567891011[[#This Row],[قيمة الشحنه]])</f>
        <v>0</v>
      </c>
      <c r="I193" s="90"/>
      <c r="J193" s="142" t="str">
        <f t="shared" si="2"/>
        <v>22.5.2026</v>
      </c>
      <c r="L193" s="153">
        <v>182</v>
      </c>
      <c r="M193" s="92"/>
    </row>
    <row r="194" spans="1:13" ht="21.6" x14ac:dyDescent="0.65">
      <c r="A194" s="195"/>
      <c r="B194" s="140">
        <v>191</v>
      </c>
      <c r="C194" s="2"/>
      <c r="D194" s="1"/>
      <c r="E194" s="3"/>
      <c r="F194" s="1"/>
      <c r="G194" s="141">
        <f>IF(Basic34567891011[[#This Row],[نوع الخدمة]]="مخالفات", 50,
IF(Basic34567891011[[#This Row],[نوع الخدمة]]="كاش ان",
    IF(F194&lt;=100, 18, IF(F194&lt;=250, 23, IF(F194&lt;=500, 35, IF(F194&lt;=1000, 40, F194*0.04)))),
IF(Basic34567891011[[#This Row],[نوع الخدمة]]="كاش اوت",
    IF(F194&lt;=100, 15, IF(F194&lt;=250, 20, IF(F194&lt;=500, 30, IF(F194&lt;=1000, 35, F194*0.035)))),
0)))</f>
        <v>0</v>
      </c>
      <c r="H194" s="163">
        <f>IF(I194="مخالفات",50,Basic34567891011[[#This Row],[قيمة الرسوم / العموله]]+Basic34567891011[[#This Row],[قيمة الشحنه]])</f>
        <v>0</v>
      </c>
      <c r="I194" s="90"/>
      <c r="J194" s="142" t="str">
        <f t="shared" si="2"/>
        <v>22.5.2026</v>
      </c>
      <c r="L194" s="153">
        <v>183</v>
      </c>
      <c r="M194" s="92"/>
    </row>
    <row r="195" spans="1:13" ht="21.6" x14ac:dyDescent="0.65">
      <c r="A195" s="195"/>
      <c r="B195" s="140">
        <v>192</v>
      </c>
      <c r="C195" s="2"/>
      <c r="D195" s="1"/>
      <c r="E195" s="3"/>
      <c r="F195" s="1"/>
      <c r="G195" s="141">
        <f>IF(Basic34567891011[[#This Row],[نوع الخدمة]]="مخالفات", 50,
IF(Basic34567891011[[#This Row],[نوع الخدمة]]="كاش ان",
    IF(F195&lt;=100, 18, IF(F195&lt;=250, 23, IF(F195&lt;=500, 35, IF(F195&lt;=1000, 40, F195*0.04)))),
IF(Basic34567891011[[#This Row],[نوع الخدمة]]="كاش اوت",
    IF(F195&lt;=100, 15, IF(F195&lt;=250, 20, IF(F195&lt;=500, 30, IF(F195&lt;=1000, 35, F195*0.035)))),
0)))</f>
        <v>0</v>
      </c>
      <c r="H195" s="163">
        <f>IF(I195="مخالفات",50,Basic34567891011[[#This Row],[قيمة الرسوم / العموله]]+Basic34567891011[[#This Row],[قيمة الشحنه]])</f>
        <v>0</v>
      </c>
      <c r="I195" s="90"/>
      <c r="J195" s="142" t="str">
        <f t="shared" si="2"/>
        <v>22.5.2026</v>
      </c>
      <c r="L195" s="153">
        <v>184</v>
      </c>
      <c r="M195" s="92"/>
    </row>
    <row r="196" spans="1:13" ht="21.6" x14ac:dyDescent="0.65">
      <c r="A196" s="195"/>
      <c r="B196" s="140">
        <v>193</v>
      </c>
      <c r="C196" s="2"/>
      <c r="D196" s="1"/>
      <c r="E196" s="3"/>
      <c r="F196" s="1"/>
      <c r="G196" s="141">
        <f>IF(Basic34567891011[[#This Row],[نوع الخدمة]]="مخالفات", 50,
IF(Basic34567891011[[#This Row],[نوع الخدمة]]="كاش ان",
    IF(F196&lt;=100, 18, IF(F196&lt;=250, 23, IF(F196&lt;=500, 35, IF(F196&lt;=1000, 40, F196*0.04)))),
IF(Basic34567891011[[#This Row],[نوع الخدمة]]="كاش اوت",
    IF(F196&lt;=100, 15, IF(F196&lt;=250, 20, IF(F196&lt;=500, 30, IF(F196&lt;=1000, 35, F196*0.035)))),
0)))</f>
        <v>0</v>
      </c>
      <c r="H196" s="163">
        <f>IF(I196="مخالفات",50,Basic34567891011[[#This Row],[قيمة الرسوم / العموله]]+Basic34567891011[[#This Row],[قيمة الشحنه]])</f>
        <v>0</v>
      </c>
      <c r="I196" s="90"/>
      <c r="J196" s="142" t="str">
        <f t="shared" ref="J196:J226" si="3">M$3</f>
        <v>22.5.2026</v>
      </c>
      <c r="L196" s="153">
        <v>185</v>
      </c>
      <c r="M196" s="92"/>
    </row>
    <row r="197" spans="1:13" ht="21.6" x14ac:dyDescent="0.65">
      <c r="A197" s="195"/>
      <c r="B197" s="144">
        <v>194</v>
      </c>
      <c r="C197" s="2"/>
      <c r="D197" s="1"/>
      <c r="E197" s="3"/>
      <c r="F197" s="1"/>
      <c r="G197" s="141">
        <f>IF(Basic34567891011[[#This Row],[نوع الخدمة]]="مخالفات", 50,
IF(Basic34567891011[[#This Row],[نوع الخدمة]]="كاش ان",
    IF(F197&lt;=100, 18, IF(F197&lt;=250, 23, IF(F197&lt;=500, 35, IF(F197&lt;=1000, 40, F197*0.04)))),
IF(Basic34567891011[[#This Row],[نوع الخدمة]]="كاش اوت",
    IF(F197&lt;=100, 15, IF(F197&lt;=250, 20, IF(F197&lt;=500, 30, IF(F197&lt;=1000, 35, F197*0.035)))),
0)))</f>
        <v>0</v>
      </c>
      <c r="H197" s="163">
        <f>IF(I197="مخالفات",50,Basic34567891011[[#This Row],[قيمة الرسوم / العموله]]+Basic34567891011[[#This Row],[قيمة الشحنه]])</f>
        <v>0</v>
      </c>
      <c r="I197" s="90"/>
      <c r="J197" s="142" t="str">
        <f t="shared" si="3"/>
        <v>22.5.2026</v>
      </c>
      <c r="L197" s="153">
        <v>186</v>
      </c>
      <c r="M197" s="92"/>
    </row>
    <row r="198" spans="1:13" ht="21.6" x14ac:dyDescent="0.65">
      <c r="A198" s="195"/>
      <c r="B198" s="140">
        <v>195</v>
      </c>
      <c r="C198" s="2"/>
      <c r="D198" s="1"/>
      <c r="E198" s="3"/>
      <c r="F198" s="1"/>
      <c r="G198" s="141">
        <f>IF(Basic34567891011[[#This Row],[نوع الخدمة]]="مخالفات", 50,
IF(Basic34567891011[[#This Row],[نوع الخدمة]]="كاش ان",
    IF(F198&lt;=100, 18, IF(F198&lt;=250, 23, IF(F198&lt;=500, 35, IF(F198&lt;=1000, 40, F198*0.04)))),
IF(Basic34567891011[[#This Row],[نوع الخدمة]]="كاش اوت",
    IF(F198&lt;=100, 15, IF(F198&lt;=250, 20, IF(F198&lt;=500, 30, IF(F198&lt;=1000, 35, F198*0.035)))),
0)))</f>
        <v>0</v>
      </c>
      <c r="H198" s="163">
        <f>IF(I198="مخالفات",50,Basic34567891011[[#This Row],[قيمة الرسوم / العموله]]+Basic34567891011[[#This Row],[قيمة الشحنه]])</f>
        <v>0</v>
      </c>
      <c r="I198" s="90"/>
      <c r="J198" s="142" t="str">
        <f t="shared" si="3"/>
        <v>22.5.2026</v>
      </c>
      <c r="L198" s="153">
        <v>187</v>
      </c>
      <c r="M198" s="92"/>
    </row>
    <row r="199" spans="1:13" ht="21.6" x14ac:dyDescent="0.65">
      <c r="A199" s="195"/>
      <c r="B199" s="140">
        <v>196</v>
      </c>
      <c r="C199" s="2"/>
      <c r="D199" s="1"/>
      <c r="E199" s="3"/>
      <c r="F199" s="1"/>
      <c r="G199" s="141">
        <f>IF(Basic34567891011[[#This Row],[نوع الخدمة]]="مخالفات", 50,
IF(Basic34567891011[[#This Row],[نوع الخدمة]]="كاش ان",
    IF(F199&lt;=100, 18, IF(F199&lt;=250, 23, IF(F199&lt;=500, 35, IF(F199&lt;=1000, 40, F199*0.04)))),
IF(Basic34567891011[[#This Row],[نوع الخدمة]]="كاش اوت",
    IF(F199&lt;=100, 15, IF(F199&lt;=250, 20, IF(F199&lt;=500, 30, IF(F199&lt;=1000, 35, F199*0.035)))),
0)))</f>
        <v>0</v>
      </c>
      <c r="H199" s="163">
        <f>IF(I199="مخالفات",50,Basic34567891011[[#This Row],[قيمة الرسوم / العموله]]+Basic34567891011[[#This Row],[قيمة الشحنه]])</f>
        <v>0</v>
      </c>
      <c r="I199" s="90"/>
      <c r="J199" s="142" t="str">
        <f t="shared" si="3"/>
        <v>22.5.2026</v>
      </c>
      <c r="L199" s="153">
        <v>188</v>
      </c>
      <c r="M199" s="92"/>
    </row>
    <row r="200" spans="1:13" ht="21.6" x14ac:dyDescent="0.65">
      <c r="A200" s="195"/>
      <c r="B200" s="140">
        <v>197</v>
      </c>
      <c r="C200" s="2"/>
      <c r="D200" s="1"/>
      <c r="E200" s="3"/>
      <c r="F200" s="1"/>
      <c r="G200" s="141">
        <f>IF(Basic34567891011[[#This Row],[نوع الخدمة]]="مخالفات", 50,
IF(Basic34567891011[[#This Row],[نوع الخدمة]]="كاش ان",
    IF(F200&lt;=100, 18, IF(F200&lt;=250, 23, IF(F200&lt;=500, 35, IF(F200&lt;=1000, 40, F200*0.04)))),
IF(Basic34567891011[[#This Row],[نوع الخدمة]]="كاش اوت",
    IF(F200&lt;=100, 15, IF(F200&lt;=250, 20, IF(F200&lt;=500, 30, IF(F200&lt;=1000, 35, F200*0.035)))),
0)))</f>
        <v>0</v>
      </c>
      <c r="H200" s="163">
        <f>IF(I200="مخالفات",50,Basic34567891011[[#This Row],[قيمة الرسوم / العموله]]+Basic34567891011[[#This Row],[قيمة الشحنه]])</f>
        <v>0</v>
      </c>
      <c r="I200" s="90"/>
      <c r="J200" s="142" t="str">
        <f t="shared" si="3"/>
        <v>22.5.2026</v>
      </c>
      <c r="L200" s="153">
        <v>189</v>
      </c>
      <c r="M200" s="92"/>
    </row>
    <row r="201" spans="1:13" ht="21.6" x14ac:dyDescent="0.65">
      <c r="A201" s="195"/>
      <c r="B201" s="144">
        <v>198</v>
      </c>
      <c r="C201" s="2"/>
      <c r="D201" s="1"/>
      <c r="E201" s="3"/>
      <c r="F201" s="1"/>
      <c r="G201" s="141">
        <f>IF(Basic34567891011[[#This Row],[نوع الخدمة]]="مخالفات", 50,
IF(Basic34567891011[[#This Row],[نوع الخدمة]]="كاش ان",
    IF(F201&lt;=100, 18, IF(F201&lt;=250, 23, IF(F201&lt;=500, 35, IF(F201&lt;=1000, 40, F201*0.04)))),
IF(Basic34567891011[[#This Row],[نوع الخدمة]]="كاش اوت",
    IF(F201&lt;=100, 15, IF(F201&lt;=250, 20, IF(F201&lt;=500, 30, IF(F201&lt;=1000, 35, F201*0.035)))),
0)))</f>
        <v>0</v>
      </c>
      <c r="H201" s="163">
        <f>IF(I201="مخالفات",50,Basic34567891011[[#This Row],[قيمة الرسوم / العموله]]+Basic34567891011[[#This Row],[قيمة الشحنه]])</f>
        <v>0</v>
      </c>
      <c r="I201" s="90"/>
      <c r="J201" s="142" t="str">
        <f t="shared" si="3"/>
        <v>22.5.2026</v>
      </c>
      <c r="L201" s="153">
        <v>190</v>
      </c>
      <c r="M201" s="92"/>
    </row>
    <row r="202" spans="1:13" ht="21.6" x14ac:dyDescent="0.65">
      <c r="A202" s="195"/>
      <c r="B202" s="140">
        <v>199</v>
      </c>
      <c r="C202" s="2"/>
      <c r="D202" s="1"/>
      <c r="E202" s="3"/>
      <c r="F202" s="1"/>
      <c r="G202" s="141">
        <f>IF(Basic34567891011[[#This Row],[نوع الخدمة]]="مخالفات", 50,
IF(Basic34567891011[[#This Row],[نوع الخدمة]]="كاش ان",
    IF(F202&lt;=100, 18, IF(F202&lt;=250, 23, IF(F202&lt;=500, 35, IF(F202&lt;=1000, 40, F202*0.04)))),
IF(Basic34567891011[[#This Row],[نوع الخدمة]]="كاش اوت",
    IF(F202&lt;=100, 15, IF(F202&lt;=250, 20, IF(F202&lt;=500, 30, IF(F202&lt;=1000, 35, F202*0.035)))),
0)))</f>
        <v>0</v>
      </c>
      <c r="H202" s="163">
        <f>IF(I202="مخالفات",50,Basic34567891011[[#This Row],[قيمة الرسوم / العموله]]+Basic34567891011[[#This Row],[قيمة الشحنه]])</f>
        <v>0</v>
      </c>
      <c r="I202" s="90"/>
      <c r="J202" s="142" t="str">
        <f t="shared" si="3"/>
        <v>22.5.2026</v>
      </c>
      <c r="L202" s="153">
        <v>191</v>
      </c>
      <c r="M202" s="92"/>
    </row>
    <row r="203" spans="1:13" ht="21.6" x14ac:dyDescent="0.65">
      <c r="A203" s="195"/>
      <c r="B203" s="140">
        <v>200</v>
      </c>
      <c r="C203" s="2"/>
      <c r="D203" s="1"/>
      <c r="E203" s="3"/>
      <c r="F203" s="1"/>
      <c r="G203" s="141">
        <f>IF(Basic34567891011[[#This Row],[نوع الخدمة]]="مخالفات", 50,
IF(Basic34567891011[[#This Row],[نوع الخدمة]]="كاش ان",
    IF(F203&lt;=100, 18, IF(F203&lt;=250, 23, IF(F203&lt;=500, 35, IF(F203&lt;=1000, 40, F203*0.04)))),
IF(Basic34567891011[[#This Row],[نوع الخدمة]]="كاش اوت",
    IF(F203&lt;=100, 15, IF(F203&lt;=250, 20, IF(F203&lt;=500, 30, IF(F203&lt;=1000, 35, F203*0.035)))),
0)))</f>
        <v>0</v>
      </c>
      <c r="H203" s="163">
        <f>IF(I203="مخالفات",50,Basic34567891011[[#This Row],[قيمة الرسوم / العموله]]+Basic34567891011[[#This Row],[قيمة الشحنه]])</f>
        <v>0</v>
      </c>
      <c r="I203" s="90"/>
      <c r="J203" s="142" t="str">
        <f t="shared" si="3"/>
        <v>22.5.2026</v>
      </c>
      <c r="L203" s="153">
        <v>192</v>
      </c>
      <c r="M203" s="92"/>
    </row>
    <row r="204" spans="1:13" ht="21.6" x14ac:dyDescent="0.65">
      <c r="A204" s="195"/>
      <c r="B204" s="140">
        <v>201</v>
      </c>
      <c r="C204" s="2"/>
      <c r="D204" s="1"/>
      <c r="E204" s="3"/>
      <c r="F204" s="1"/>
      <c r="G204" s="141">
        <f>IF(Basic34567891011[[#This Row],[نوع الخدمة]]="مخالفات", 50,
IF(Basic34567891011[[#This Row],[نوع الخدمة]]="كاش ان",
    IF(F204&lt;=100, 18, IF(F204&lt;=250, 23, IF(F204&lt;=500, 35, IF(F204&lt;=1000, 40, F204*0.04)))),
IF(Basic34567891011[[#This Row],[نوع الخدمة]]="كاش اوت",
    IF(F204&lt;=100, 15, IF(F204&lt;=250, 20, IF(F204&lt;=500, 30, IF(F204&lt;=1000, 35, F204*0.035)))),
0)))</f>
        <v>0</v>
      </c>
      <c r="H204" s="163">
        <f>IF(I204="مخالفات",50,Basic34567891011[[#This Row],[قيمة الرسوم / العموله]]+Basic34567891011[[#This Row],[قيمة الشحنه]])</f>
        <v>0</v>
      </c>
      <c r="I204" s="90"/>
      <c r="J204" s="142" t="str">
        <f t="shared" si="3"/>
        <v>22.5.2026</v>
      </c>
      <c r="L204" s="153">
        <v>193</v>
      </c>
      <c r="M204" s="92"/>
    </row>
    <row r="205" spans="1:13" ht="21.6" x14ac:dyDescent="0.65">
      <c r="A205" s="195"/>
      <c r="B205" s="144">
        <v>202</v>
      </c>
      <c r="C205" s="2"/>
      <c r="D205" s="1"/>
      <c r="E205" s="3"/>
      <c r="F205" s="1"/>
      <c r="G205" s="141">
        <f>IF(Basic34567891011[[#This Row],[نوع الخدمة]]="مخالفات", 50,
IF(Basic34567891011[[#This Row],[نوع الخدمة]]="كاش ان",
    IF(F205&lt;=100, 18, IF(F205&lt;=250, 23, IF(F205&lt;=500, 35, IF(F205&lt;=1000, 40, F205*0.04)))),
IF(Basic34567891011[[#This Row],[نوع الخدمة]]="كاش اوت",
    IF(F205&lt;=100, 15, IF(F205&lt;=250, 20, IF(F205&lt;=500, 30, IF(F205&lt;=1000, 35, F205*0.035)))),
0)))</f>
        <v>0</v>
      </c>
      <c r="H205" s="163">
        <f>IF(I205="مخالفات",50,Basic34567891011[[#This Row],[قيمة الرسوم / العموله]]+Basic34567891011[[#This Row],[قيمة الشحنه]])</f>
        <v>0</v>
      </c>
      <c r="I205" s="90"/>
      <c r="J205" s="142" t="str">
        <f t="shared" si="3"/>
        <v>22.5.2026</v>
      </c>
      <c r="L205" s="153">
        <v>194</v>
      </c>
      <c r="M205" s="92"/>
    </row>
    <row r="206" spans="1:13" ht="21.6" x14ac:dyDescent="0.65">
      <c r="A206" s="195"/>
      <c r="B206" s="140">
        <v>203</v>
      </c>
      <c r="C206" s="2"/>
      <c r="D206" s="1"/>
      <c r="E206" s="3"/>
      <c r="F206" s="1"/>
      <c r="G206" s="141">
        <f>IF(Basic34567891011[[#This Row],[نوع الخدمة]]="مخالفات", 50,
IF(Basic34567891011[[#This Row],[نوع الخدمة]]="كاش ان",
    IF(F206&lt;=100, 18, IF(F206&lt;=250, 23, IF(F206&lt;=500, 35, IF(F206&lt;=1000, 40, F206*0.04)))),
IF(Basic34567891011[[#This Row],[نوع الخدمة]]="كاش اوت",
    IF(F206&lt;=100, 15, IF(F206&lt;=250, 20, IF(F206&lt;=500, 30, IF(F206&lt;=1000, 35, F206*0.035)))),
0)))</f>
        <v>0</v>
      </c>
      <c r="H206" s="163">
        <f>IF(I206="مخالفات",50,Basic34567891011[[#This Row],[قيمة الرسوم / العموله]]+Basic34567891011[[#This Row],[قيمة الشحنه]])</f>
        <v>0</v>
      </c>
      <c r="I206" s="90"/>
      <c r="J206" s="142" t="str">
        <f t="shared" si="3"/>
        <v>22.5.2026</v>
      </c>
      <c r="L206" s="153">
        <v>195</v>
      </c>
      <c r="M206" s="92"/>
    </row>
    <row r="207" spans="1:13" ht="21.6" x14ac:dyDescent="0.65">
      <c r="A207" s="195"/>
      <c r="B207" s="140">
        <v>204</v>
      </c>
      <c r="C207" s="2"/>
      <c r="D207" s="1"/>
      <c r="E207" s="3"/>
      <c r="F207" s="1"/>
      <c r="G207" s="141">
        <f>IF(Basic34567891011[[#This Row],[نوع الخدمة]]="مخالفات", 50,
IF(Basic34567891011[[#This Row],[نوع الخدمة]]="كاش ان",
    IF(F207&lt;=100, 18, IF(F207&lt;=250, 23, IF(F207&lt;=500, 35, IF(F207&lt;=1000, 40, F207*0.04)))),
IF(Basic34567891011[[#This Row],[نوع الخدمة]]="كاش اوت",
    IF(F207&lt;=100, 15, IF(F207&lt;=250, 20, IF(F207&lt;=500, 30, IF(F207&lt;=1000, 35, F207*0.035)))),
0)))</f>
        <v>0</v>
      </c>
      <c r="H207" s="163">
        <f>IF(I207="مخالفات",50,Basic34567891011[[#This Row],[قيمة الرسوم / العموله]]+Basic34567891011[[#This Row],[قيمة الشحنه]])</f>
        <v>0</v>
      </c>
      <c r="I207" s="90"/>
      <c r="J207" s="142" t="str">
        <f t="shared" si="3"/>
        <v>22.5.2026</v>
      </c>
      <c r="L207" s="153">
        <v>196</v>
      </c>
      <c r="M207" s="92"/>
    </row>
    <row r="208" spans="1:13" ht="21.6" x14ac:dyDescent="0.65">
      <c r="A208" s="195"/>
      <c r="B208" s="140">
        <v>205</v>
      </c>
      <c r="C208" s="2"/>
      <c r="D208" s="1"/>
      <c r="E208" s="3"/>
      <c r="F208" s="1"/>
      <c r="G208" s="141">
        <f>IF(Basic34567891011[[#This Row],[نوع الخدمة]]="مخالفات", 50,
IF(Basic34567891011[[#This Row],[نوع الخدمة]]="كاش ان",
    IF(F208&lt;=100, 18, IF(F208&lt;=250, 23, IF(F208&lt;=500, 35, IF(F208&lt;=1000, 40, F208*0.04)))),
IF(Basic34567891011[[#This Row],[نوع الخدمة]]="كاش اوت",
    IF(F208&lt;=100, 15, IF(F208&lt;=250, 20, IF(F208&lt;=500, 30, IF(F208&lt;=1000, 35, F208*0.035)))),
0)))</f>
        <v>0</v>
      </c>
      <c r="H208" s="163">
        <f>IF(I208="مخالفات",50,Basic34567891011[[#This Row],[قيمة الرسوم / العموله]]+Basic34567891011[[#This Row],[قيمة الشحنه]])</f>
        <v>0</v>
      </c>
      <c r="I208" s="90"/>
      <c r="J208" s="142" t="str">
        <f t="shared" si="3"/>
        <v>22.5.2026</v>
      </c>
      <c r="L208" s="153">
        <v>197</v>
      </c>
      <c r="M208" s="92"/>
    </row>
    <row r="209" spans="1:13" ht="21.6" x14ac:dyDescent="0.65">
      <c r="A209" s="195"/>
      <c r="B209" s="144">
        <v>206</v>
      </c>
      <c r="C209" s="2"/>
      <c r="D209" s="1"/>
      <c r="E209" s="3"/>
      <c r="F209" s="1"/>
      <c r="G209" s="141">
        <f>IF(Basic34567891011[[#This Row],[نوع الخدمة]]="مخالفات", 50,
IF(Basic34567891011[[#This Row],[نوع الخدمة]]="كاش ان",
    IF(F209&lt;=100, 18, IF(F209&lt;=250, 23, IF(F209&lt;=500, 35, IF(F209&lt;=1000, 40, F209*0.04)))),
IF(Basic34567891011[[#This Row],[نوع الخدمة]]="كاش اوت",
    IF(F209&lt;=100, 15, IF(F209&lt;=250, 20, IF(F209&lt;=500, 30, IF(F209&lt;=1000, 35, F209*0.035)))),
0)))</f>
        <v>0</v>
      </c>
      <c r="H209" s="163">
        <f>IF(I209="مخالفات",50,Basic34567891011[[#This Row],[قيمة الرسوم / العموله]]+Basic34567891011[[#This Row],[قيمة الشحنه]])</f>
        <v>0</v>
      </c>
      <c r="I209" s="90"/>
      <c r="J209" s="142" t="str">
        <f t="shared" si="3"/>
        <v>22.5.2026</v>
      </c>
      <c r="L209" s="153">
        <v>198</v>
      </c>
      <c r="M209" s="92"/>
    </row>
    <row r="210" spans="1:13" ht="21.6" x14ac:dyDescent="0.65">
      <c r="A210" s="195"/>
      <c r="B210" s="140">
        <v>207</v>
      </c>
      <c r="C210" s="2"/>
      <c r="D210" s="1"/>
      <c r="E210" s="3"/>
      <c r="F210" s="1"/>
      <c r="G210" s="141">
        <f>IF(Basic34567891011[[#This Row],[نوع الخدمة]]="مخالفات", 50,
IF(Basic34567891011[[#This Row],[نوع الخدمة]]="كاش ان",
    IF(F210&lt;=100, 18, IF(F210&lt;=250, 23, IF(F210&lt;=500, 35, IF(F210&lt;=1000, 40, F210*0.04)))),
IF(Basic34567891011[[#This Row],[نوع الخدمة]]="كاش اوت",
    IF(F210&lt;=100, 15, IF(F210&lt;=250, 20, IF(F210&lt;=500, 30, IF(F210&lt;=1000, 35, F210*0.035)))),
0)))</f>
        <v>0</v>
      </c>
      <c r="H210" s="163">
        <f>IF(I210="مخالفات",50,Basic34567891011[[#This Row],[قيمة الرسوم / العموله]]+Basic34567891011[[#This Row],[قيمة الشحنه]])</f>
        <v>0</v>
      </c>
      <c r="I210" s="90"/>
      <c r="J210" s="142" t="str">
        <f t="shared" si="3"/>
        <v>22.5.2026</v>
      </c>
      <c r="L210" s="153">
        <v>199</v>
      </c>
      <c r="M210" s="92"/>
    </row>
    <row r="211" spans="1:13" ht="21.6" x14ac:dyDescent="0.65">
      <c r="A211" s="195"/>
      <c r="B211" s="140">
        <v>208</v>
      </c>
      <c r="C211" s="2"/>
      <c r="D211" s="1"/>
      <c r="E211" s="3"/>
      <c r="F211" s="1"/>
      <c r="G211" s="141">
        <f>IF(Basic34567891011[[#This Row],[نوع الخدمة]]="مخالفات", 50,
IF(Basic34567891011[[#This Row],[نوع الخدمة]]="كاش ان",
    IF(F211&lt;=100, 18, IF(F211&lt;=250, 23, IF(F211&lt;=500, 35, IF(F211&lt;=1000, 40, F211*0.04)))),
IF(Basic34567891011[[#This Row],[نوع الخدمة]]="كاش اوت",
    IF(F211&lt;=100, 15, IF(F211&lt;=250, 20, IF(F211&lt;=500, 30, IF(F211&lt;=1000, 35, F211*0.035)))),
0)))</f>
        <v>0</v>
      </c>
      <c r="H211" s="163">
        <f>IF(I211="مخالفات",50,Basic34567891011[[#This Row],[قيمة الرسوم / العموله]]+Basic34567891011[[#This Row],[قيمة الشحنه]])</f>
        <v>0</v>
      </c>
      <c r="I211" s="90"/>
      <c r="J211" s="142" t="str">
        <f t="shared" si="3"/>
        <v>22.5.2026</v>
      </c>
      <c r="L211" s="153">
        <v>200</v>
      </c>
      <c r="M211" s="92"/>
    </row>
    <row r="212" spans="1:13" ht="21.6" x14ac:dyDescent="0.65">
      <c r="A212" s="195"/>
      <c r="B212" s="140">
        <v>209</v>
      </c>
      <c r="C212" s="2"/>
      <c r="D212" s="1"/>
      <c r="E212" s="3"/>
      <c r="F212" s="1"/>
      <c r="G212" s="141">
        <f>IF(Basic34567891011[[#This Row],[نوع الخدمة]]="مخالفات", 50,
IF(Basic34567891011[[#This Row],[نوع الخدمة]]="كاش ان",
    IF(F212&lt;=100, 18, IF(F212&lt;=250, 23, IF(F212&lt;=500, 35, IF(F212&lt;=1000, 40, F212*0.04)))),
IF(Basic34567891011[[#This Row],[نوع الخدمة]]="كاش اوت",
    IF(F212&lt;=100, 15, IF(F212&lt;=250, 20, IF(F212&lt;=500, 30, IF(F212&lt;=1000, 35, F212*0.035)))),
0)))</f>
        <v>0</v>
      </c>
      <c r="H212" s="163">
        <f>IF(I212="مخالفات",50,Basic34567891011[[#This Row],[قيمة الرسوم / العموله]]+Basic34567891011[[#This Row],[قيمة الشحنه]])</f>
        <v>0</v>
      </c>
      <c r="I212" s="90"/>
      <c r="J212" s="142" t="str">
        <f t="shared" si="3"/>
        <v>22.5.2026</v>
      </c>
      <c r="L212" s="153">
        <v>201</v>
      </c>
      <c r="M212" s="92"/>
    </row>
    <row r="213" spans="1:13" ht="21.6" x14ac:dyDescent="0.65">
      <c r="A213" s="195"/>
      <c r="B213" s="144">
        <v>210</v>
      </c>
      <c r="C213" s="2"/>
      <c r="D213" s="1"/>
      <c r="E213" s="3"/>
      <c r="F213" s="1"/>
      <c r="G213" s="141">
        <f>IF(Basic34567891011[[#This Row],[نوع الخدمة]]="مخالفات", 50,
IF(Basic34567891011[[#This Row],[نوع الخدمة]]="كاش ان",
    IF(F213&lt;=100, 18, IF(F213&lt;=250, 23, IF(F213&lt;=500, 35, IF(F213&lt;=1000, 40, F213*0.04)))),
IF(Basic34567891011[[#This Row],[نوع الخدمة]]="كاش اوت",
    IF(F213&lt;=100, 15, IF(F213&lt;=250, 20, IF(F213&lt;=500, 30, IF(F213&lt;=1000, 35, F213*0.035)))),
0)))</f>
        <v>0</v>
      </c>
      <c r="H213" s="163">
        <f>IF(I213="مخالفات",50,Basic34567891011[[#This Row],[قيمة الرسوم / العموله]]+Basic34567891011[[#This Row],[قيمة الشحنه]])</f>
        <v>0</v>
      </c>
      <c r="I213" s="90"/>
      <c r="J213" s="142" t="str">
        <f t="shared" si="3"/>
        <v>22.5.2026</v>
      </c>
      <c r="L213" s="153">
        <v>202</v>
      </c>
      <c r="M213" s="92"/>
    </row>
    <row r="214" spans="1:13" ht="21.6" x14ac:dyDescent="0.65">
      <c r="A214" s="195"/>
      <c r="B214" s="140">
        <v>211</v>
      </c>
      <c r="C214" s="2"/>
      <c r="D214" s="1"/>
      <c r="E214" s="3"/>
      <c r="F214" s="1"/>
      <c r="G214" s="141">
        <f>IF(Basic34567891011[[#This Row],[نوع الخدمة]]="مخالفات", 50,
IF(Basic34567891011[[#This Row],[نوع الخدمة]]="كاش ان",
    IF(F214&lt;=100, 18, IF(F214&lt;=250, 23, IF(F214&lt;=500, 35, IF(F214&lt;=1000, 40, F214*0.04)))),
IF(Basic34567891011[[#This Row],[نوع الخدمة]]="كاش اوت",
    IF(F214&lt;=100, 15, IF(F214&lt;=250, 20, IF(F214&lt;=500, 30, IF(F214&lt;=1000, 35, F214*0.035)))),
0)))</f>
        <v>0</v>
      </c>
      <c r="H214" s="163">
        <f>IF(I214="مخالفات",50,Basic34567891011[[#This Row],[قيمة الرسوم / العموله]]+Basic34567891011[[#This Row],[قيمة الشحنه]])</f>
        <v>0</v>
      </c>
      <c r="I214" s="90"/>
      <c r="J214" s="142" t="str">
        <f t="shared" si="3"/>
        <v>22.5.2026</v>
      </c>
      <c r="L214" s="153">
        <v>203</v>
      </c>
      <c r="M214" s="92"/>
    </row>
    <row r="215" spans="1:13" ht="21.6" x14ac:dyDescent="0.65">
      <c r="A215" s="195"/>
      <c r="B215" s="140">
        <v>212</v>
      </c>
      <c r="C215" s="2"/>
      <c r="D215" s="1"/>
      <c r="E215" s="3"/>
      <c r="F215" s="1"/>
      <c r="G215" s="141">
        <f>IF(Basic34567891011[[#This Row],[نوع الخدمة]]="مخالفات", 50,
IF(Basic34567891011[[#This Row],[نوع الخدمة]]="كاش ان",
    IF(F215&lt;=100, 18, IF(F215&lt;=250, 23, IF(F215&lt;=500, 35, IF(F215&lt;=1000, 40, F215*0.04)))),
IF(Basic34567891011[[#This Row],[نوع الخدمة]]="كاش اوت",
    IF(F215&lt;=100, 15, IF(F215&lt;=250, 20, IF(F215&lt;=500, 30, IF(F215&lt;=1000, 35, F215*0.035)))),
0)))</f>
        <v>0</v>
      </c>
      <c r="H215" s="163">
        <f>IF(I215="مخالفات",50,Basic34567891011[[#This Row],[قيمة الرسوم / العموله]]+Basic34567891011[[#This Row],[قيمة الشحنه]])</f>
        <v>0</v>
      </c>
      <c r="I215" s="90"/>
      <c r="J215" s="142" t="str">
        <f t="shared" si="3"/>
        <v>22.5.2026</v>
      </c>
      <c r="L215" s="153">
        <v>204</v>
      </c>
      <c r="M215" s="92"/>
    </row>
    <row r="216" spans="1:13" ht="21.6" x14ac:dyDescent="0.65">
      <c r="A216" s="195"/>
      <c r="B216" s="140">
        <v>213</v>
      </c>
      <c r="C216" s="2"/>
      <c r="D216" s="1"/>
      <c r="E216" s="3"/>
      <c r="F216" s="1"/>
      <c r="G216" s="141">
        <f>IF(Basic34567891011[[#This Row],[نوع الخدمة]]="مخالفات", 50,
IF(Basic34567891011[[#This Row],[نوع الخدمة]]="كاش ان",
    IF(F216&lt;=100, 18, IF(F216&lt;=250, 23, IF(F216&lt;=500, 35, IF(F216&lt;=1000, 40, F216*0.04)))),
IF(Basic34567891011[[#This Row],[نوع الخدمة]]="كاش اوت",
    IF(F216&lt;=100, 15, IF(F216&lt;=250, 20, IF(F216&lt;=500, 30, IF(F216&lt;=1000, 35, F216*0.035)))),
0)))</f>
        <v>0</v>
      </c>
      <c r="H216" s="163">
        <f>IF(I216="مخالفات",50,Basic34567891011[[#This Row],[قيمة الرسوم / العموله]]+Basic34567891011[[#This Row],[قيمة الشحنه]])</f>
        <v>0</v>
      </c>
      <c r="I216" s="90"/>
      <c r="J216" s="142" t="str">
        <f t="shared" si="3"/>
        <v>22.5.2026</v>
      </c>
      <c r="L216" s="153">
        <v>205</v>
      </c>
      <c r="M216" s="92"/>
    </row>
    <row r="217" spans="1:13" ht="21.6" x14ac:dyDescent="0.65">
      <c r="A217" s="195"/>
      <c r="B217" s="144">
        <v>214</v>
      </c>
      <c r="C217" s="2"/>
      <c r="D217" s="1"/>
      <c r="E217" s="3"/>
      <c r="F217" s="1"/>
      <c r="G217" s="141">
        <f>IF(Basic34567891011[[#This Row],[نوع الخدمة]]="مخالفات", 50,
IF(Basic34567891011[[#This Row],[نوع الخدمة]]="كاش ان",
    IF(F217&lt;=100, 18, IF(F217&lt;=250, 23, IF(F217&lt;=500, 35, IF(F217&lt;=1000, 40, F217*0.04)))),
IF(Basic34567891011[[#This Row],[نوع الخدمة]]="كاش اوت",
    IF(F217&lt;=100, 15, IF(F217&lt;=250, 20, IF(F217&lt;=500, 30, IF(F217&lt;=1000, 35, F217*0.035)))),
0)))</f>
        <v>0</v>
      </c>
      <c r="H217" s="163">
        <f>IF(I217="مخالفات",50,Basic34567891011[[#This Row],[قيمة الرسوم / العموله]]+Basic34567891011[[#This Row],[قيمة الشحنه]])</f>
        <v>0</v>
      </c>
      <c r="I217" s="90"/>
      <c r="J217" s="142" t="str">
        <f t="shared" si="3"/>
        <v>22.5.2026</v>
      </c>
      <c r="L217" s="153">
        <v>206</v>
      </c>
      <c r="M217" s="92"/>
    </row>
    <row r="218" spans="1:13" ht="21.6" x14ac:dyDescent="0.65">
      <c r="A218" s="195"/>
      <c r="B218" s="140">
        <v>215</v>
      </c>
      <c r="C218" s="2"/>
      <c r="D218" s="1"/>
      <c r="E218" s="3"/>
      <c r="F218" s="1"/>
      <c r="G218" s="141">
        <f>IF(Basic34567891011[[#This Row],[نوع الخدمة]]="مخالفات", 50,
IF(Basic34567891011[[#This Row],[نوع الخدمة]]="كاش ان",
    IF(F218&lt;=100, 18, IF(F218&lt;=250, 23, IF(F218&lt;=500, 35, IF(F218&lt;=1000, 40, F218*0.04)))),
IF(Basic34567891011[[#This Row],[نوع الخدمة]]="كاش اوت",
    IF(F218&lt;=100, 15, IF(F218&lt;=250, 20, IF(F218&lt;=500, 30, IF(F218&lt;=1000, 35, F218*0.035)))),
0)))</f>
        <v>0</v>
      </c>
      <c r="H218" s="163">
        <f>IF(I218="مخالفات",50,Basic34567891011[[#This Row],[قيمة الرسوم / العموله]]+Basic34567891011[[#This Row],[قيمة الشحنه]])</f>
        <v>0</v>
      </c>
      <c r="I218" s="90"/>
      <c r="J218" s="142" t="str">
        <f t="shared" si="3"/>
        <v>22.5.2026</v>
      </c>
      <c r="L218" s="153">
        <v>207</v>
      </c>
      <c r="M218" s="92"/>
    </row>
    <row r="219" spans="1:13" ht="21.6" x14ac:dyDescent="0.65">
      <c r="A219" s="195"/>
      <c r="B219" s="140">
        <v>216</v>
      </c>
      <c r="C219" s="2"/>
      <c r="D219" s="1"/>
      <c r="E219" s="3"/>
      <c r="F219" s="1"/>
      <c r="G219" s="141">
        <f>IF(Basic34567891011[[#This Row],[نوع الخدمة]]="مخالفات", 50,
IF(Basic34567891011[[#This Row],[نوع الخدمة]]="كاش ان",
    IF(F219&lt;=100, 18, IF(F219&lt;=250, 23, IF(F219&lt;=500, 35, IF(F219&lt;=1000, 40, F219*0.04)))),
IF(Basic34567891011[[#This Row],[نوع الخدمة]]="كاش اوت",
    IF(F219&lt;=100, 15, IF(F219&lt;=250, 20, IF(F219&lt;=500, 30, IF(F219&lt;=1000, 35, F219*0.035)))),
0)))</f>
        <v>0</v>
      </c>
      <c r="H219" s="163">
        <f>IF(I219="مخالفات",50,Basic34567891011[[#This Row],[قيمة الرسوم / العموله]]+Basic34567891011[[#This Row],[قيمة الشحنه]])</f>
        <v>0</v>
      </c>
      <c r="I219" s="90"/>
      <c r="J219" s="142" t="str">
        <f t="shared" si="3"/>
        <v>22.5.2026</v>
      </c>
      <c r="L219" s="153">
        <v>208</v>
      </c>
      <c r="M219" s="92"/>
    </row>
    <row r="220" spans="1:13" ht="21.6" x14ac:dyDescent="0.65">
      <c r="A220" s="195"/>
      <c r="B220" s="140">
        <v>217</v>
      </c>
      <c r="C220" s="2"/>
      <c r="D220" s="1"/>
      <c r="E220" s="3"/>
      <c r="F220" s="1"/>
      <c r="G220" s="141">
        <f>IF(Basic34567891011[[#This Row],[نوع الخدمة]]="مخالفات", 50,
IF(Basic34567891011[[#This Row],[نوع الخدمة]]="كاش ان",
    IF(F220&lt;=100, 18, IF(F220&lt;=250, 23, IF(F220&lt;=500, 35, IF(F220&lt;=1000, 40, F220*0.04)))),
IF(Basic34567891011[[#This Row],[نوع الخدمة]]="كاش اوت",
    IF(F220&lt;=100, 15, IF(F220&lt;=250, 20, IF(F220&lt;=500, 30, IF(F220&lt;=1000, 35, F220*0.035)))),
0)))</f>
        <v>0</v>
      </c>
      <c r="H220" s="163">
        <f>IF(I220="مخالفات",50,Basic34567891011[[#This Row],[قيمة الرسوم / العموله]]+Basic34567891011[[#This Row],[قيمة الشحنه]])</f>
        <v>0</v>
      </c>
      <c r="I220" s="90"/>
      <c r="J220" s="142" t="str">
        <f t="shared" si="3"/>
        <v>22.5.2026</v>
      </c>
      <c r="L220" s="153">
        <v>209</v>
      </c>
      <c r="M220" s="92"/>
    </row>
    <row r="221" spans="1:13" ht="21.6" x14ac:dyDescent="0.65">
      <c r="A221" s="195"/>
      <c r="B221" s="144">
        <v>218</v>
      </c>
      <c r="C221" s="2"/>
      <c r="D221" s="1"/>
      <c r="E221" s="3"/>
      <c r="F221" s="1"/>
      <c r="G221" s="141">
        <f>IF(Basic34567891011[[#This Row],[نوع الخدمة]]="مخالفات", 50,
IF(Basic34567891011[[#This Row],[نوع الخدمة]]="كاش ان",
    IF(F221&lt;=100, 18, IF(F221&lt;=250, 23, IF(F221&lt;=500, 35, IF(F221&lt;=1000, 40, F221*0.04)))),
IF(Basic34567891011[[#This Row],[نوع الخدمة]]="كاش اوت",
    IF(F221&lt;=100, 15, IF(F221&lt;=250, 20, IF(F221&lt;=500, 30, IF(F221&lt;=1000, 35, F221*0.035)))),
0)))</f>
        <v>0</v>
      </c>
      <c r="H221" s="163">
        <f>IF(I221="مخالفات",50,Basic34567891011[[#This Row],[قيمة الرسوم / العموله]]+Basic34567891011[[#This Row],[قيمة الشحنه]])</f>
        <v>0</v>
      </c>
      <c r="I221" s="90"/>
      <c r="J221" s="142" t="str">
        <f t="shared" si="3"/>
        <v>22.5.2026</v>
      </c>
      <c r="L221" s="153">
        <v>210</v>
      </c>
      <c r="M221" s="92"/>
    </row>
    <row r="222" spans="1:13" ht="21.6" x14ac:dyDescent="0.65">
      <c r="A222" s="195"/>
      <c r="B222" s="140">
        <v>219</v>
      </c>
      <c r="C222" s="2"/>
      <c r="D222" s="1"/>
      <c r="E222" s="3"/>
      <c r="F222" s="1"/>
      <c r="G222" s="141">
        <f>IF(Basic34567891011[[#This Row],[نوع الخدمة]]="مخالفات", 50,
IF(Basic34567891011[[#This Row],[نوع الخدمة]]="كاش ان",
    IF(F222&lt;=100, 18, IF(F222&lt;=250, 23, IF(F222&lt;=500, 35, IF(F222&lt;=1000, 40, F222*0.04)))),
IF(Basic34567891011[[#This Row],[نوع الخدمة]]="كاش اوت",
    IF(F222&lt;=100, 15, IF(F222&lt;=250, 20, IF(F222&lt;=500, 30, IF(F222&lt;=1000, 35, F222*0.035)))),
0)))</f>
        <v>0</v>
      </c>
      <c r="H222" s="163">
        <f>IF(I222="مخالفات",50,Basic34567891011[[#This Row],[قيمة الرسوم / العموله]]+Basic34567891011[[#This Row],[قيمة الشحنه]])</f>
        <v>0</v>
      </c>
      <c r="I222" s="90"/>
      <c r="J222" s="142" t="str">
        <f t="shared" si="3"/>
        <v>22.5.2026</v>
      </c>
      <c r="L222" s="153">
        <v>211</v>
      </c>
      <c r="M222" s="92"/>
    </row>
    <row r="223" spans="1:13" ht="21.6" x14ac:dyDescent="0.65">
      <c r="A223" s="195"/>
      <c r="B223" s="140">
        <v>220</v>
      </c>
      <c r="C223" s="2"/>
      <c r="D223" s="1"/>
      <c r="E223" s="3"/>
      <c r="F223" s="1"/>
      <c r="G223" s="141">
        <f>IF(Basic34567891011[[#This Row],[نوع الخدمة]]="مخالفات", 50,
IF(Basic34567891011[[#This Row],[نوع الخدمة]]="كاش ان",
    IF(F223&lt;=100, 18, IF(F223&lt;=250, 23, IF(F223&lt;=500, 35, IF(F223&lt;=1000, 40, F223*0.04)))),
IF(Basic34567891011[[#This Row],[نوع الخدمة]]="كاش اوت",
    IF(F223&lt;=100, 15, IF(F223&lt;=250, 20, IF(F223&lt;=500, 30, IF(F223&lt;=1000, 35, F223*0.035)))),
0)))</f>
        <v>0</v>
      </c>
      <c r="H223" s="163">
        <f>IF(I223="مخالفات",50,Basic34567891011[[#This Row],[قيمة الرسوم / العموله]]+Basic34567891011[[#This Row],[قيمة الشحنه]])</f>
        <v>0</v>
      </c>
      <c r="I223" s="90"/>
      <c r="J223" s="142" t="str">
        <f t="shared" si="3"/>
        <v>22.5.2026</v>
      </c>
      <c r="L223" s="153">
        <v>212</v>
      </c>
      <c r="M223" s="92"/>
    </row>
    <row r="224" spans="1:13" ht="21.6" x14ac:dyDescent="0.65">
      <c r="A224" s="195"/>
      <c r="B224" s="140">
        <v>221</v>
      </c>
      <c r="C224" s="2"/>
      <c r="D224" s="1"/>
      <c r="E224" s="3"/>
      <c r="F224" s="1"/>
      <c r="G224" s="141">
        <f>IF(Basic34567891011[[#This Row],[نوع الخدمة]]="مخالفات", 50,
IF(Basic34567891011[[#This Row],[نوع الخدمة]]="كاش ان",
    IF(F224&lt;=100, 18, IF(F224&lt;=250, 23, IF(F224&lt;=500, 35, IF(F224&lt;=1000, 40, F224*0.04)))),
IF(Basic34567891011[[#This Row],[نوع الخدمة]]="كاش اوت",
    IF(F224&lt;=100, 15, IF(F224&lt;=250, 20, IF(F224&lt;=500, 30, IF(F224&lt;=1000, 35, F224*0.035)))),
0)))</f>
        <v>0</v>
      </c>
      <c r="H224" s="163">
        <f>IF(I224="مخالفات",50,Basic34567891011[[#This Row],[قيمة الرسوم / العموله]]+Basic34567891011[[#This Row],[قيمة الشحنه]])</f>
        <v>0</v>
      </c>
      <c r="I224" s="90"/>
      <c r="J224" s="142" t="str">
        <f t="shared" si="3"/>
        <v>22.5.2026</v>
      </c>
      <c r="L224" s="153">
        <v>213</v>
      </c>
      <c r="M224" s="92"/>
    </row>
    <row r="225" spans="1:13" ht="21.6" x14ac:dyDescent="0.65">
      <c r="A225" s="195"/>
      <c r="B225" s="144">
        <v>222</v>
      </c>
      <c r="C225" s="2"/>
      <c r="D225" s="1"/>
      <c r="E225" s="3"/>
      <c r="F225" s="1"/>
      <c r="G225" s="141">
        <f>IF(Basic34567891011[[#This Row],[نوع الخدمة]]="مخالفات", 50,
IF(Basic34567891011[[#This Row],[نوع الخدمة]]="كاش ان",
    IF(F225&lt;=100, 18, IF(F225&lt;=250, 23, IF(F225&lt;=500, 35, IF(F225&lt;=1000, 40, F225*0.04)))),
IF(Basic34567891011[[#This Row],[نوع الخدمة]]="كاش اوت",
    IF(F225&lt;=100, 15, IF(F225&lt;=250, 20, IF(F225&lt;=500, 30, IF(F225&lt;=1000, 35, F225*0.035)))),
0)))</f>
        <v>0</v>
      </c>
      <c r="H225" s="163">
        <f>IF(I225="مخالفات",50,Basic34567891011[[#This Row],[قيمة الرسوم / العموله]]+Basic34567891011[[#This Row],[قيمة الشحنه]])</f>
        <v>0</v>
      </c>
      <c r="I225" s="90"/>
      <c r="J225" s="142" t="str">
        <f t="shared" si="3"/>
        <v>22.5.2026</v>
      </c>
      <c r="L225" s="153">
        <v>214</v>
      </c>
      <c r="M225" s="92"/>
    </row>
    <row r="226" spans="1:13" ht="21.6" x14ac:dyDescent="0.65">
      <c r="A226" s="195"/>
      <c r="B226" s="140">
        <v>223</v>
      </c>
      <c r="C226" s="4"/>
      <c r="D226" s="5"/>
      <c r="E226" s="6"/>
      <c r="F226" s="5"/>
      <c r="G226" s="141">
        <f>IF(Basic34567891011[[#This Row],[نوع الخدمة]]="مخالفات", 50,
IF(Basic34567891011[[#This Row],[نوع الخدمة]]="كاش ان",
    IF(F226&lt;=100, 18, IF(F226&lt;=250, 23, IF(F226&lt;=500, 35, IF(F226&lt;=1000, 40, F226*0.04)))),
IF(Basic34567891011[[#This Row],[نوع الخدمة]]="كاش اوت",
    IF(F226&lt;=100, 15, IF(F226&lt;=250, 20, IF(F226&lt;=500, 30, IF(F226&lt;=1000, 35, F226*0.035)))),
0)))</f>
        <v>0</v>
      </c>
      <c r="H226" s="164">
        <f>IF(I226="مخالفات",50,Basic34567891011[[#This Row],[قيمة الرسوم / العموله]]+Basic34567891011[[#This Row],[قيمة الشحنه]])</f>
        <v>0</v>
      </c>
      <c r="I226" s="90"/>
      <c r="J226" s="142" t="str">
        <f t="shared" si="3"/>
        <v>22.5.2026</v>
      </c>
      <c r="L226" s="156">
        <v>215</v>
      </c>
      <c r="M226" s="93"/>
    </row>
  </sheetData>
  <sheetProtection algorithmName="SHA-512" hashValue="IN/2cjkEUZ7ZhPlHWPMmP2fDqp2kZj7I5GMNrj1WzzSUaqpxsqsEcqrCdPYhsOU5wZr1/K3s2GsstCVXxcMjHQ==" saltValue="/Yj/TV3nQ8y3FLXNS7dkTA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39" priority="12" operator="equal">
      <formula>$BH$10</formula>
    </cfRule>
    <cfRule type="cellIs" dxfId="38" priority="13" operator="equal">
      <formula>$BH$9</formula>
    </cfRule>
    <cfRule type="cellIs" dxfId="37" priority="14" operator="equal">
      <formula>$BH$8</formula>
    </cfRule>
  </conditionalFormatting>
  <conditionalFormatting sqref="P11">
    <cfRule type="cellIs" dxfId="36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{14B94DE8-DA1B-4DB4-ABDE-92A8D6CFB83F}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{7AC9EFA8-959A-465A-B95C-4EB6962992A4}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{428DCB7D-7110-42DF-9B3B-3633F0D5FB24}</x14:id>
        </ext>
      </extLst>
    </cfRule>
  </conditionalFormatting>
  <dataValidations count="2">
    <dataValidation type="textLength" operator="equal" allowBlank="1" showInputMessage="1" showErrorMessage="1" errorTitle="يجب إخال رقم IPN صحيح 13 رقم" sqref="C1:C1048576" xr:uid="{00000000-0002-0000-1500-000000000000}">
      <formula1>13</formula1>
    </dataValidation>
    <dataValidation type="list" allowBlank="1" showInputMessage="1" showErrorMessage="1" sqref="I4:I226" xr:uid="{00000000-0002-0000-1500-000001000000}">
      <formula1>$BH$8:$BH$10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4B94DE8-DA1B-4DB4-ABDE-92A8D6CFB83F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7AC9EFA8-959A-465A-B95C-4EB6962992A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428DCB7D-7110-42DF-9B3B-3633F0D5FB2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H226"/>
  <sheetViews>
    <sheetView showGridLines="0" showRowColHeaders="0" rightToLeft="1" topLeftCell="D2" zoomScale="80" zoomScaleNormal="80" workbookViewId="0">
      <selection activeCell="P12" sqref="P12"/>
    </sheetView>
  </sheetViews>
  <sheetFormatPr defaultColWidth="9.109375" defaultRowHeight="14.4" x14ac:dyDescent="0.3"/>
  <cols>
    <col min="1" max="1" width="4.109375" style="124" customWidth="1"/>
    <col min="2" max="2" width="6.5546875" style="125" bestFit="1" customWidth="1"/>
    <col min="3" max="3" width="27.6640625" style="126" customWidth="1"/>
    <col min="4" max="4" width="15.6640625" style="124" customWidth="1"/>
    <col min="5" max="5" width="17.5546875" style="157" customWidth="1"/>
    <col min="6" max="6" width="12.88671875" style="124" bestFit="1" customWidth="1"/>
    <col min="7" max="7" width="19" style="124" bestFit="1" customWidth="1"/>
    <col min="8" max="8" width="19" style="124" customWidth="1"/>
    <col min="9" max="9" width="12.44140625" style="128" bestFit="1" customWidth="1"/>
    <col min="10" max="10" width="17.5546875" style="129" customWidth="1"/>
    <col min="11" max="11" width="2.88671875" style="124" customWidth="1"/>
    <col min="12" max="12" width="8.5546875" style="124" bestFit="1" customWidth="1"/>
    <col min="13" max="13" width="26.88671875" style="124" customWidth="1"/>
    <col min="14" max="14" width="8.33203125" style="124" bestFit="1" customWidth="1"/>
    <col min="15" max="15" width="26.5546875" style="124" bestFit="1" customWidth="1"/>
    <col min="16" max="16" width="14.109375" style="124" customWidth="1"/>
    <col min="17" max="17" width="3.5546875" style="124" customWidth="1"/>
    <col min="18" max="18" width="18.109375" style="124" customWidth="1"/>
    <col min="19" max="19" width="16" style="124" customWidth="1"/>
    <col min="20" max="20" width="11.5546875" style="124" bestFit="1" customWidth="1"/>
    <col min="21" max="22" width="11" style="124" customWidth="1"/>
    <col min="23" max="23" width="8.44140625" style="124" customWidth="1"/>
    <col min="24" max="24" width="12.6640625" style="124" customWidth="1"/>
    <col min="25" max="16384" width="9.109375" style="124"/>
  </cols>
  <sheetData>
    <row r="1" spans="1:60" x14ac:dyDescent="0.3">
      <c r="E1" s="127">
        <f>Total!F5</f>
        <v>69</v>
      </c>
      <c r="F1" s="192" t="str">
        <f>Total!G5</f>
        <v>العبور</v>
      </c>
      <c r="G1" s="192"/>
      <c r="H1" s="192"/>
    </row>
    <row r="3" spans="1:60" ht="15.6" x14ac:dyDescent="0.3">
      <c r="B3" s="130" t="s">
        <v>0</v>
      </c>
      <c r="C3" s="131" t="s">
        <v>1</v>
      </c>
      <c r="D3" s="132" t="s">
        <v>2</v>
      </c>
      <c r="E3" s="133" t="s">
        <v>3</v>
      </c>
      <c r="F3" s="132" t="s">
        <v>4</v>
      </c>
      <c r="G3" s="132" t="s">
        <v>5</v>
      </c>
      <c r="H3" s="132" t="s">
        <v>76</v>
      </c>
      <c r="I3" s="132" t="s">
        <v>6</v>
      </c>
      <c r="J3" s="134" t="s">
        <v>7</v>
      </c>
      <c r="L3" s="135" t="s">
        <v>7</v>
      </c>
      <c r="M3" s="7" t="s">
        <v>106</v>
      </c>
      <c r="O3" s="137" t="s">
        <v>17</v>
      </c>
      <c r="P3" s="138">
        <f>M5+M6</f>
        <v>0</v>
      </c>
      <c r="T3" s="139"/>
      <c r="U3" s="139"/>
      <c r="V3" s="139"/>
      <c r="W3" s="139"/>
      <c r="X3" s="139"/>
    </row>
    <row r="4" spans="1:60" ht="21.6" x14ac:dyDescent="0.65">
      <c r="A4" s="195"/>
      <c r="B4" s="140">
        <v>1</v>
      </c>
      <c r="C4" s="8"/>
      <c r="D4" s="9"/>
      <c r="E4" s="10"/>
      <c r="F4" s="9"/>
      <c r="G4" s="141">
        <f>IF(Basic345678910[[#This Row],[نوع الخدمة]]="مخالفات", 50,
IF(Basic345678910[[#This Row],[نوع الخدمة]]="كاش ان",
    IF(F4&lt;=100, 18, IF(F4&lt;=250, 23, IF(F4&lt;=500, 35, IF(F4&lt;=1000, 40, F4*0.04)))),
IF(Basic345678910[[#This Row],[نوع الخدمة]]="كاش اوت",
    IF(F4&lt;=100, 15, IF(F4&lt;=250, 20, IF(F4&lt;=500, 30, IF(F4&lt;=1000, 35, F4*0.035)))),
0)))</f>
        <v>0</v>
      </c>
      <c r="H4" s="141">
        <f>IF(I4="مخالفات",50,Basic345678910[[#This Row],[قيمة الرسوم / العموله]]+Basic345678910[[#This Row],[قيمة الشحنه]])</f>
        <v>0</v>
      </c>
      <c r="I4" s="90"/>
      <c r="J4" s="142" t="str">
        <f t="shared" ref="J4:J67" si="0">M$3</f>
        <v>23.5.2026</v>
      </c>
      <c r="L4" s="135" t="s">
        <v>26</v>
      </c>
      <c r="M4" s="90">
        <v>0</v>
      </c>
      <c r="O4" s="137" t="s">
        <v>18</v>
      </c>
      <c r="P4" s="138">
        <f>M4</f>
        <v>0</v>
      </c>
      <c r="S4" s="143" t="s">
        <v>22</v>
      </c>
      <c r="T4" s="143" t="s">
        <v>23</v>
      </c>
      <c r="U4" s="139"/>
      <c r="V4" s="139"/>
      <c r="W4" s="139"/>
      <c r="X4" s="139"/>
    </row>
    <row r="5" spans="1:60" ht="21.6" x14ac:dyDescent="0.65">
      <c r="A5" s="195"/>
      <c r="B5" s="144">
        <v>2</v>
      </c>
      <c r="C5" s="8"/>
      <c r="D5" s="9"/>
      <c r="E5" s="10"/>
      <c r="F5" s="9"/>
      <c r="G5" s="141">
        <f>IF(Basic345678910[[#This Row],[نوع الخدمة]]="مخالفات", 50,
IF(Basic345678910[[#This Row],[نوع الخدمة]]="كاش ان",
    IF(F5&lt;=100, 18, IF(F5&lt;=250, 23, IF(F5&lt;=500, 35, IF(F5&lt;=1000, 40, F5*0.04)))),
IF(Basic345678910[[#This Row],[نوع الخدمة]]="كاش اوت",
    IF(F5&lt;=100, 15, IF(F5&lt;=250, 20, IF(F5&lt;=500, 30, IF(F5&lt;=1000, 35, F5*0.035)))),
0)))</f>
        <v>0</v>
      </c>
      <c r="H5" s="141">
        <f>IF(I5="مخالفات",50,Basic345678910[[#This Row],[قيمة الرسوم / العموله]]+Basic345678910[[#This Row],[قيمة الشحنه]])</f>
        <v>0</v>
      </c>
      <c r="I5" s="90"/>
      <c r="J5" s="142" t="str">
        <f t="shared" si="0"/>
        <v>23.5.2026</v>
      </c>
      <c r="L5" s="135" t="s">
        <v>27</v>
      </c>
      <c r="M5" s="90"/>
      <c r="O5" s="137" t="s">
        <v>19</v>
      </c>
      <c r="P5" s="138">
        <f>SUMIF(Basic345678910[نوع الخدمة],"كاش ان",Basic345678910[قيمة الشحنه])</f>
        <v>0</v>
      </c>
      <c r="S5" s="145">
        <f>P5+P9+P12+P7</f>
        <v>0</v>
      </c>
      <c r="T5" s="145">
        <f>P3</f>
        <v>0</v>
      </c>
    </row>
    <row r="6" spans="1:60" ht="21.6" x14ac:dyDescent="0.65">
      <c r="A6" s="195"/>
      <c r="B6" s="140">
        <v>3</v>
      </c>
      <c r="C6" s="8"/>
      <c r="D6" s="9"/>
      <c r="E6" s="10"/>
      <c r="F6" s="9"/>
      <c r="G6" s="141">
        <f>IF(Basic345678910[[#This Row],[نوع الخدمة]]="مخالفات", 50,
IF(Basic345678910[[#This Row],[نوع الخدمة]]="كاش ان",
    IF(F6&lt;=100, 18, IF(F6&lt;=250, 23, IF(F6&lt;=500, 35, IF(F6&lt;=1000, 40, F6*0.04)))),
IF(Basic345678910[[#This Row],[نوع الخدمة]]="كاش اوت",
    IF(F6&lt;=100, 15, IF(F6&lt;=250, 20, IF(F6&lt;=500, 30, IF(F6&lt;=1000, 35, F6*0.035)))),
0)))</f>
        <v>0</v>
      </c>
      <c r="H6" s="141">
        <f>IF(I6="مخالفات",50,Basic345678910[[#This Row],[قيمة الرسوم / العموله]]+Basic345678910[[#This Row],[قيمة الشحنه]])</f>
        <v>0</v>
      </c>
      <c r="I6" s="90"/>
      <c r="J6" s="142" t="str">
        <f t="shared" si="0"/>
        <v>23.5.2026</v>
      </c>
      <c r="L6" s="135" t="s">
        <v>28</v>
      </c>
      <c r="M6" s="90"/>
      <c r="O6" s="146" t="s">
        <v>12</v>
      </c>
      <c r="P6" s="138">
        <f>P3*150</f>
        <v>0</v>
      </c>
    </row>
    <row r="7" spans="1:60" ht="21.6" x14ac:dyDescent="0.65">
      <c r="A7" s="195"/>
      <c r="B7" s="140">
        <v>4</v>
      </c>
      <c r="C7" s="8"/>
      <c r="D7" s="9"/>
      <c r="E7" s="10"/>
      <c r="F7" s="9"/>
      <c r="G7" s="141">
        <f>IF(Basic345678910[[#This Row],[نوع الخدمة]]="مخالفات", 50,
IF(Basic345678910[[#This Row],[نوع الخدمة]]="كاش ان",
    IF(F7&lt;=100, 18, IF(F7&lt;=250, 23, IF(F7&lt;=500, 35, IF(F7&lt;=1000, 40, F7*0.04)))),
IF(Basic345678910[[#This Row],[نوع الخدمة]]="كاش اوت",
    IF(F7&lt;=100, 15, IF(F7&lt;=250, 20, IF(F7&lt;=500, 30, IF(F7&lt;=1000, 35, F7*0.035)))),
0)))</f>
        <v>0</v>
      </c>
      <c r="H7" s="141">
        <f>IF(I7="مخالفات",50,Basic345678910[[#This Row],[قيمة الرسوم / العموله]]+Basic345678910[[#This Row],[قيمة الشحنه]])</f>
        <v>0</v>
      </c>
      <c r="I7" s="90"/>
      <c r="J7" s="142" t="str">
        <f t="shared" si="0"/>
        <v>23.5.2026</v>
      </c>
      <c r="L7" s="137" t="s">
        <v>11</v>
      </c>
      <c r="M7" s="165"/>
      <c r="O7" s="146" t="s">
        <v>75</v>
      </c>
      <c r="P7" s="138">
        <f>SUMIF(Basic345678910[نوع الخدمة],"مخالفات",Basic345678910[الاجمــــــــــالي])</f>
        <v>0</v>
      </c>
      <c r="R7" s="139"/>
      <c r="S7" s="139"/>
    </row>
    <row r="8" spans="1:60" ht="21.6" x14ac:dyDescent="0.65">
      <c r="A8" s="195"/>
      <c r="B8" s="140">
        <v>5</v>
      </c>
      <c r="C8" s="8"/>
      <c r="D8" s="9"/>
      <c r="E8" s="10"/>
      <c r="F8" s="9"/>
      <c r="G8" s="141">
        <f>IF(Basic345678910[[#This Row],[نوع الخدمة]]="مخالفات", 50,
IF(Basic345678910[[#This Row],[نوع الخدمة]]="كاش ان",
    IF(F8&lt;=100, 18, IF(F8&lt;=250, 23, IF(F8&lt;=500, 35, IF(F8&lt;=1000, 40, F8*0.04)))),
IF(Basic345678910[[#This Row],[نوع الخدمة]]="كاش اوت",
    IF(F8&lt;=100, 15, IF(F8&lt;=250, 20, IF(F8&lt;=500, 30, IF(F8&lt;=1000, 35, F8*0.035)))),
0)))</f>
        <v>0</v>
      </c>
      <c r="H8" s="141">
        <f>IF(I8="مخالفات",50,Basic345678910[[#This Row],[قيمة الرسوم / العموله]]+Basic345678910[[#This Row],[قيمة الشحنه]])</f>
        <v>0</v>
      </c>
      <c r="I8" s="90"/>
      <c r="J8" s="142" t="str">
        <f t="shared" si="0"/>
        <v>23.5.2026</v>
      </c>
      <c r="L8" s="166" t="s">
        <v>79</v>
      </c>
      <c r="M8" s="167">
        <v>0</v>
      </c>
      <c r="O8" s="137" t="s">
        <v>11</v>
      </c>
      <c r="P8" s="138">
        <f>M7</f>
        <v>0</v>
      </c>
      <c r="R8" s="143" t="s">
        <v>72</v>
      </c>
      <c r="S8" s="143" t="s">
        <v>25</v>
      </c>
      <c r="T8" s="143" t="s">
        <v>24</v>
      </c>
      <c r="U8" s="143" t="s">
        <v>73</v>
      </c>
      <c r="V8" s="143" t="s">
        <v>25</v>
      </c>
      <c r="W8" s="143" t="s">
        <v>24</v>
      </c>
      <c r="BH8" s="148" t="s">
        <v>8</v>
      </c>
    </row>
    <row r="9" spans="1:60" ht="18" customHeight="1" x14ac:dyDescent="0.65">
      <c r="A9" s="195"/>
      <c r="B9" s="144">
        <v>6</v>
      </c>
      <c r="C9" s="8"/>
      <c r="D9" s="9"/>
      <c r="E9" s="10"/>
      <c r="F9" s="9"/>
      <c r="G9" s="141">
        <f>IF(Basic345678910[[#This Row],[نوع الخدمة]]="مخالفات", 50,
IF(Basic345678910[[#This Row],[نوع الخدمة]]="كاش ان",
    IF(F9&lt;=100, 18, IF(F9&lt;=250, 23, IF(F9&lt;=500, 35, IF(F9&lt;=1000, 40, F9*0.04)))),
IF(Basic345678910[[#This Row],[نوع الخدمة]]="كاش اوت",
    IF(F9&lt;=100, 15, IF(F9&lt;=250, 20, IF(F9&lt;=500, 30, IF(F9&lt;=1000, 35, F9*0.035)))),
0)))</f>
        <v>0</v>
      </c>
      <c r="H9" s="141">
        <f>IF(I9="مخالفات",50,Basic345678910[[#This Row],[قيمة الرسوم / العموله]]+Basic345678910[[#This Row],[قيمة الشحنه]])</f>
        <v>0</v>
      </c>
      <c r="I9" s="90"/>
      <c r="J9" s="142" t="str">
        <f t="shared" si="0"/>
        <v>23.5.2026</v>
      </c>
      <c r="L9" s="166" t="s">
        <v>80</v>
      </c>
      <c r="M9" s="167">
        <v>0</v>
      </c>
      <c r="O9" s="137" t="s">
        <v>20</v>
      </c>
      <c r="P9" s="138">
        <f>SUMIF(Basic345678910[نوع الخدمة],"كاش ان",Basic345678910[قيمة الرسوم / العموله])</f>
        <v>0</v>
      </c>
      <c r="R9" s="182">
        <f>Total!H5/24</f>
        <v>29166.666666666668</v>
      </c>
      <c r="S9" s="182">
        <f>S5</f>
        <v>0</v>
      </c>
      <c r="T9" s="183">
        <f>S9/R9</f>
        <v>0</v>
      </c>
      <c r="U9" s="182">
        <f>Total!K5/24</f>
        <v>2.9166666666666665</v>
      </c>
      <c r="V9" s="182">
        <f>T5</f>
        <v>0</v>
      </c>
      <c r="W9" s="183">
        <f>V9/U9</f>
        <v>0</v>
      </c>
      <c r="BH9" s="148" t="s">
        <v>9</v>
      </c>
    </row>
    <row r="10" spans="1:60" ht="21.6" x14ac:dyDescent="0.65">
      <c r="A10" s="195"/>
      <c r="B10" s="140">
        <v>7</v>
      </c>
      <c r="C10" s="8"/>
      <c r="D10" s="9"/>
      <c r="E10" s="10"/>
      <c r="F10" s="9"/>
      <c r="G10" s="141">
        <f>IF(Basic345678910[[#This Row],[نوع الخدمة]]="مخالفات", 50,
IF(Basic345678910[[#This Row],[نوع الخدمة]]="كاش ان",
    IF(F10&lt;=100, 18, IF(F10&lt;=250, 23, IF(F10&lt;=500, 35, IF(F10&lt;=1000, 40, F10*0.04)))),
IF(Basic345678910[[#This Row],[نوع الخدمة]]="كاش اوت",
    IF(F10&lt;=100, 15, IF(F10&lt;=250, 20, IF(F10&lt;=500, 30, IF(F10&lt;=1000, 35, F10*0.035)))),
0)))</f>
        <v>0</v>
      </c>
      <c r="H10" s="141">
        <f>IF(I10="مخالفات",50,Basic345678910[[#This Row],[قيمة الرسوم / العموله]]+Basic345678910[[#This Row],[قيمة الشحنه]])</f>
        <v>0</v>
      </c>
      <c r="I10" s="90"/>
      <c r="J10" s="142" t="str">
        <f t="shared" si="0"/>
        <v>23.5.2026</v>
      </c>
      <c r="O10" s="137" t="s">
        <v>16</v>
      </c>
      <c r="P10" s="138">
        <f>SUMIF(Basic345678910[نوع الخدمة],"كاش اوت",Basic345678910[قيمة الشحنه])</f>
        <v>0</v>
      </c>
      <c r="R10" s="211">
        <f>(W9+T9)/2</f>
        <v>0</v>
      </c>
      <c r="S10" s="211"/>
      <c r="T10" s="211"/>
      <c r="U10" s="211"/>
      <c r="V10" s="211"/>
      <c r="W10" s="211"/>
      <c r="BH10" s="148" t="s">
        <v>10</v>
      </c>
    </row>
    <row r="11" spans="1:60" ht="21.6" x14ac:dyDescent="0.65">
      <c r="A11" s="195"/>
      <c r="B11" s="140">
        <v>8</v>
      </c>
      <c r="C11" s="8"/>
      <c r="D11" s="9"/>
      <c r="E11" s="10"/>
      <c r="F11" s="9"/>
      <c r="G11" s="141">
        <f>IF(Basic345678910[[#This Row],[نوع الخدمة]]="مخالفات", 50,
IF(Basic345678910[[#This Row],[نوع الخدمة]]="كاش ان",
    IF(F11&lt;=100, 18, IF(F11&lt;=250, 23, IF(F11&lt;=500, 35, IF(F11&lt;=1000, 40, F11*0.04)))),
IF(Basic345678910[[#This Row],[نوع الخدمة]]="كاش اوت",
    IF(F11&lt;=100, 15, IF(F11&lt;=250, 20, IF(F11&lt;=500, 30, IF(F11&lt;=1000, 35, F11*0.035)))),
0)))</f>
        <v>0</v>
      </c>
      <c r="H11" s="141">
        <f>IF(I11="مخالفات",50,Basic345678910[[#This Row],[قيمة الرسوم / العموله]]+Basic345678910[[#This Row],[قيمة الشحنه]])</f>
        <v>0</v>
      </c>
      <c r="I11" s="90"/>
      <c r="J11" s="142" t="str">
        <f t="shared" si="0"/>
        <v>23.5.2026</v>
      </c>
      <c r="L11" s="169" t="s">
        <v>77</v>
      </c>
      <c r="M11" s="168" t="s">
        <v>78</v>
      </c>
      <c r="O11" s="151" t="s">
        <v>21</v>
      </c>
      <c r="P11" s="152">
        <f>(P5+P6+P9+P7+P4)-P10-P8</f>
        <v>0</v>
      </c>
      <c r="T11" s="139"/>
    </row>
    <row r="12" spans="1:60" ht="21.6" x14ac:dyDescent="0.65">
      <c r="A12" s="195"/>
      <c r="B12" s="140">
        <v>9</v>
      </c>
      <c r="C12" s="8"/>
      <c r="D12" s="9"/>
      <c r="E12" s="10"/>
      <c r="F12" s="9"/>
      <c r="G12" s="141">
        <f>IF(Basic345678910[[#This Row],[نوع الخدمة]]="مخالفات", 50,
IF(Basic345678910[[#This Row],[نوع الخدمة]]="كاش ان",
    IF(F12&lt;=100, 18, IF(F12&lt;=250, 23, IF(F12&lt;=500, 35, IF(F12&lt;=1000, 40, F12*0.04)))),
IF(Basic345678910[[#This Row],[نوع الخدمة]]="كاش اوت",
    IF(F12&lt;=100, 15, IF(F12&lt;=250, 20, IF(F12&lt;=500, 30, IF(F12&lt;=1000, 35, F12*0.035)))),
0)))</f>
        <v>0</v>
      </c>
      <c r="H12" s="141">
        <f>IF(I12="مخالفات",50,Basic345678910[[#This Row],[قيمة الرسوم / العموله]]+Basic345678910[[#This Row],[قيمة الشحنه]])</f>
        <v>0</v>
      </c>
      <c r="I12" s="90"/>
      <c r="J12" s="142" t="str">
        <f t="shared" si="0"/>
        <v>23.5.2026</v>
      </c>
      <c r="L12" s="153">
        <v>1</v>
      </c>
      <c r="M12" s="91"/>
      <c r="O12" s="137" t="s">
        <v>29</v>
      </c>
      <c r="P12" s="138">
        <f>SUMIF(Basic345678910[نوع الخدمة],"كاش اوت",Basic345678910[الاجمــــــــــالي])</f>
        <v>0</v>
      </c>
    </row>
    <row r="13" spans="1:60" ht="21.6" x14ac:dyDescent="0.65">
      <c r="A13" s="195"/>
      <c r="B13" s="144">
        <v>10</v>
      </c>
      <c r="C13" s="8"/>
      <c r="D13" s="9"/>
      <c r="E13" s="10"/>
      <c r="F13" s="9"/>
      <c r="G13" s="141">
        <f>IF(Basic345678910[[#This Row],[نوع الخدمة]]="مخالفات", 50,
IF(Basic345678910[[#This Row],[نوع الخدمة]]="كاش ان",
    IF(F13&lt;=100, 18, IF(F13&lt;=250, 23, IF(F13&lt;=500, 35, IF(F13&lt;=1000, 40, F13*0.04)))),
IF(Basic345678910[[#This Row],[نوع الخدمة]]="كاش اوت",
    IF(F13&lt;=100, 15, IF(F13&lt;=250, 20, IF(F13&lt;=500, 30, IF(F13&lt;=1000, 35, F13*0.035)))),
0)))</f>
        <v>0</v>
      </c>
      <c r="H13" s="141">
        <f>IF(I13="مخالفات",50,Basic345678910[[#This Row],[قيمة الرسوم / العموله]]+Basic345678910[[#This Row],[قيمة الشحنه]])</f>
        <v>0</v>
      </c>
      <c r="I13" s="90"/>
      <c r="J13" s="142" t="str">
        <f t="shared" si="0"/>
        <v>23.5.2026</v>
      </c>
      <c r="L13" s="153">
        <v>2</v>
      </c>
      <c r="M13" s="92"/>
    </row>
    <row r="14" spans="1:60" ht="21.6" x14ac:dyDescent="0.65">
      <c r="A14" s="195"/>
      <c r="B14" s="140">
        <v>11</v>
      </c>
      <c r="C14" s="2"/>
      <c r="D14" s="1"/>
      <c r="E14" s="3"/>
      <c r="F14" s="1"/>
      <c r="G14" s="141">
        <f>IF(Basic345678910[[#This Row],[نوع الخدمة]]="مخالفات", 50,
IF(Basic345678910[[#This Row],[نوع الخدمة]]="كاش ان",
    IF(F14&lt;=100, 18, IF(F14&lt;=250, 23, IF(F14&lt;=500, 35, IF(F14&lt;=1000, 40, F14*0.04)))),
IF(Basic345678910[[#This Row],[نوع الخدمة]]="كاش اوت",
    IF(F14&lt;=100, 15, IF(F14&lt;=250, 20, IF(F14&lt;=500, 30, IF(F14&lt;=1000, 35, F14*0.035)))),
0)))</f>
        <v>0</v>
      </c>
      <c r="H14" s="159">
        <f>IF(I14="مخالفات",50,Basic345678910[[#This Row],[قيمة الرسوم / العموله]]+Basic345678910[[#This Row],[قيمة الشحنه]])</f>
        <v>0</v>
      </c>
      <c r="I14" s="90"/>
      <c r="J14" s="142" t="str">
        <f t="shared" si="0"/>
        <v>23.5.2026</v>
      </c>
      <c r="L14" s="153">
        <v>3</v>
      </c>
      <c r="M14" s="92"/>
    </row>
    <row r="15" spans="1:60" ht="21.6" x14ac:dyDescent="0.65">
      <c r="A15" s="195"/>
      <c r="B15" s="140">
        <v>12</v>
      </c>
      <c r="C15" s="2"/>
      <c r="D15" s="1"/>
      <c r="E15" s="3"/>
      <c r="F15" s="1"/>
      <c r="G15" s="141">
        <f>IF(Basic345678910[[#This Row],[نوع الخدمة]]="مخالفات", 50,
IF(Basic345678910[[#This Row],[نوع الخدمة]]="كاش ان",
    IF(F15&lt;=100, 18, IF(F15&lt;=250, 23, IF(F15&lt;=500, 35, IF(F15&lt;=1000, 40, F15*0.04)))),
IF(Basic345678910[[#This Row],[نوع الخدمة]]="كاش اوت",
    IF(F15&lt;=100, 15, IF(F15&lt;=250, 20, IF(F15&lt;=500, 30, IF(F15&lt;=1000, 35, F15*0.035)))),
0)))</f>
        <v>0</v>
      </c>
      <c r="H15" s="159">
        <f>IF(I15="مخالفات",50,Basic345678910[[#This Row],[قيمة الرسوم / العموله]]+Basic345678910[[#This Row],[قيمة الشحنه]])</f>
        <v>0</v>
      </c>
      <c r="I15" s="90"/>
      <c r="J15" s="142" t="str">
        <f t="shared" si="0"/>
        <v>23.5.2026</v>
      </c>
      <c r="L15" s="153">
        <v>4</v>
      </c>
      <c r="M15" s="92"/>
      <c r="O15" s="154" t="s">
        <v>10</v>
      </c>
      <c r="P15" s="155">
        <f>COUNTIF(Basic345678910[نوع الخدمة],"مخالفات")</f>
        <v>0</v>
      </c>
    </row>
    <row r="16" spans="1:60" ht="21.6" x14ac:dyDescent="0.65">
      <c r="A16" s="195"/>
      <c r="B16" s="140">
        <v>13</v>
      </c>
      <c r="C16" s="2"/>
      <c r="D16" s="1"/>
      <c r="E16" s="3"/>
      <c r="F16" s="1"/>
      <c r="G16" s="141">
        <f>IF(Basic345678910[[#This Row],[نوع الخدمة]]="مخالفات", 50,
IF(Basic345678910[[#This Row],[نوع الخدمة]]="كاش ان",
    IF(F16&lt;=100, 18, IF(F16&lt;=250, 23, IF(F16&lt;=500, 35, IF(F16&lt;=1000, 40, F16*0.04)))),
IF(Basic345678910[[#This Row],[نوع الخدمة]]="كاش اوت",
    IF(F16&lt;=100, 15, IF(F16&lt;=250, 20, IF(F16&lt;=500, 30, IF(F16&lt;=1000, 35, F16*0.035)))),
0)))</f>
        <v>0</v>
      </c>
      <c r="H16" s="159">
        <f>IF(I16="مخالفات",50,Basic345678910[[#This Row],[قيمة الرسوم / العموله]]+Basic345678910[[#This Row],[قيمة الشحنه]])</f>
        <v>0</v>
      </c>
      <c r="I16" s="90"/>
      <c r="J16" s="142" t="str">
        <f t="shared" si="0"/>
        <v>23.5.2026</v>
      </c>
      <c r="L16" s="153">
        <v>5</v>
      </c>
      <c r="M16" s="92"/>
      <c r="O16" s="154" t="s">
        <v>13</v>
      </c>
      <c r="P16" s="155">
        <f>COUNTIF(Basic345678910[نوع الخدمة],"كاش ان")</f>
        <v>0</v>
      </c>
    </row>
    <row r="17" spans="1:21" ht="21.6" x14ac:dyDescent="0.65">
      <c r="A17" s="195"/>
      <c r="B17" s="144">
        <v>14</v>
      </c>
      <c r="C17" s="2"/>
      <c r="D17" s="1"/>
      <c r="E17" s="3"/>
      <c r="F17" s="1"/>
      <c r="G17" s="141">
        <f>IF(Basic345678910[[#This Row],[نوع الخدمة]]="مخالفات", 50,
IF(Basic345678910[[#This Row],[نوع الخدمة]]="كاش ان",
    IF(F17&lt;=100, 18, IF(F17&lt;=250, 23, IF(F17&lt;=500, 35, IF(F17&lt;=1000, 40, F17*0.04)))),
IF(Basic345678910[[#This Row],[نوع الخدمة]]="كاش اوت",
    IF(F17&lt;=100, 15, IF(F17&lt;=250, 20, IF(F17&lt;=500, 30, IF(F17&lt;=1000, 35, F17*0.035)))),
0)))</f>
        <v>0</v>
      </c>
      <c r="H17" s="159">
        <f>IF(I17="مخالفات",50,Basic345678910[[#This Row],[قيمة الرسوم / العموله]]+Basic345678910[[#This Row],[قيمة الشحنه]])</f>
        <v>0</v>
      </c>
      <c r="I17" s="90"/>
      <c r="J17" s="142" t="str">
        <f t="shared" si="0"/>
        <v>23.5.2026</v>
      </c>
      <c r="L17" s="153">
        <v>6</v>
      </c>
      <c r="M17" s="92"/>
      <c r="O17" s="154" t="s">
        <v>14</v>
      </c>
      <c r="P17" s="155">
        <f>COUNTIF(Basic345678910[نوع الخدمة],"كاش اوت")</f>
        <v>0</v>
      </c>
    </row>
    <row r="18" spans="1:21" ht="21.6" x14ac:dyDescent="0.65">
      <c r="A18" s="195"/>
      <c r="B18" s="140">
        <v>15</v>
      </c>
      <c r="C18" s="2"/>
      <c r="D18" s="1"/>
      <c r="E18" s="3"/>
      <c r="F18" s="1"/>
      <c r="G18" s="141">
        <f>IF(Basic345678910[[#This Row],[نوع الخدمة]]="مخالفات", 50,
IF(Basic345678910[[#This Row],[نوع الخدمة]]="كاش ان",
    IF(F18&lt;=100, 18, IF(F18&lt;=250, 23, IF(F18&lt;=500, 35, IF(F18&lt;=1000, 40, F18*0.04)))),
IF(Basic345678910[[#This Row],[نوع الخدمة]]="كاش اوت",
    IF(F18&lt;=100, 15, IF(F18&lt;=250, 20, IF(F18&lt;=500, 30, IF(F18&lt;=1000, 35, F18*0.035)))),
0)))</f>
        <v>0</v>
      </c>
      <c r="H18" s="159">
        <f>IF(I18="مخالفات",50,Basic345678910[[#This Row],[قيمة الرسوم / العموله]]+Basic345678910[[#This Row],[قيمة الشحنه]])</f>
        <v>0</v>
      </c>
      <c r="I18" s="90"/>
      <c r="J18" s="142" t="str">
        <f t="shared" si="0"/>
        <v>23.5.2026</v>
      </c>
      <c r="L18" s="153">
        <v>7</v>
      </c>
      <c r="M18" s="92"/>
      <c r="O18" s="154" t="s">
        <v>15</v>
      </c>
      <c r="P18" s="155">
        <f>P16+P17</f>
        <v>0</v>
      </c>
    </row>
    <row r="19" spans="1:21" ht="21.6" x14ac:dyDescent="0.65">
      <c r="A19" s="195"/>
      <c r="B19" s="140">
        <v>16</v>
      </c>
      <c r="C19" s="2"/>
      <c r="D19" s="1"/>
      <c r="E19" s="3"/>
      <c r="F19" s="1"/>
      <c r="G19" s="141">
        <f>IF(Basic345678910[[#This Row],[نوع الخدمة]]="مخالفات", 50,
IF(Basic345678910[[#This Row],[نوع الخدمة]]="كاش ان",
    IF(F19&lt;=100, 18, IF(F19&lt;=250, 23, IF(F19&lt;=500, 35, IF(F19&lt;=1000, 40, F19*0.04)))),
IF(Basic345678910[[#This Row],[نوع الخدمة]]="كاش اوت",
    IF(F19&lt;=100, 15, IF(F19&lt;=250, 20, IF(F19&lt;=500, 30, IF(F19&lt;=1000, 35, F19*0.035)))),
0)))</f>
        <v>0</v>
      </c>
      <c r="H19" s="159">
        <f>IF(I19="مخالفات",50,Basic345678910[[#This Row],[قيمة الرسوم / العموله]]+Basic345678910[[#This Row],[قيمة الشحنه]])</f>
        <v>0</v>
      </c>
      <c r="I19" s="90"/>
      <c r="J19" s="142" t="str">
        <f t="shared" si="0"/>
        <v>23.5.2026</v>
      </c>
      <c r="L19" s="153">
        <v>8</v>
      </c>
      <c r="M19" s="92"/>
    </row>
    <row r="20" spans="1:21" ht="21.6" x14ac:dyDescent="0.65">
      <c r="A20" s="195"/>
      <c r="B20" s="140">
        <v>17</v>
      </c>
      <c r="C20" s="2"/>
      <c r="D20" s="1"/>
      <c r="E20" s="3"/>
      <c r="F20" s="1"/>
      <c r="G20" s="141">
        <f>IF(Basic345678910[[#This Row],[نوع الخدمة]]="مخالفات", 50,
IF(Basic345678910[[#This Row],[نوع الخدمة]]="كاش ان",
    IF(F20&lt;=100, 18, IF(F20&lt;=250, 23, IF(F20&lt;=500, 35, IF(F20&lt;=1000, 40, F20*0.04)))),
IF(Basic345678910[[#This Row],[نوع الخدمة]]="كاش اوت",
    IF(F20&lt;=100, 15, IF(F20&lt;=250, 20, IF(F20&lt;=500, 30, IF(F20&lt;=1000, 35, F20*0.035)))),
0)))</f>
        <v>0</v>
      </c>
      <c r="H20" s="159">
        <f>IF(I20="مخالفات",50,Basic345678910[[#This Row],[قيمة الرسوم / العموله]]+Basic345678910[[#This Row],[قيمة الشحنه]])</f>
        <v>0</v>
      </c>
      <c r="I20" s="90"/>
      <c r="J20" s="142" t="str">
        <f t="shared" si="0"/>
        <v>23.5.2026</v>
      </c>
      <c r="L20" s="153">
        <v>9</v>
      </c>
      <c r="M20" s="92"/>
      <c r="O20" s="193" t="s">
        <v>30</v>
      </c>
      <c r="P20" s="194"/>
    </row>
    <row r="21" spans="1:21" ht="21.6" x14ac:dyDescent="0.65">
      <c r="A21" s="195"/>
      <c r="B21" s="144">
        <v>18</v>
      </c>
      <c r="C21" s="2"/>
      <c r="D21" s="1"/>
      <c r="E21" s="3"/>
      <c r="F21" s="1"/>
      <c r="G21" s="141">
        <f>IF(Basic345678910[[#This Row],[نوع الخدمة]]="مخالفات", 50,
IF(Basic345678910[[#This Row],[نوع الخدمة]]="كاش ان",
    IF(F21&lt;=100, 18, IF(F21&lt;=250, 23, IF(F21&lt;=500, 35, IF(F21&lt;=1000, 40, F21*0.04)))),
IF(Basic345678910[[#This Row],[نوع الخدمة]]="كاش اوت",
    IF(F21&lt;=100, 15, IF(F21&lt;=250, 20, IF(F21&lt;=500, 30, IF(F21&lt;=1000, 35, F21*0.035)))),
0)))</f>
        <v>0</v>
      </c>
      <c r="H21" s="159">
        <f>IF(I21="مخالفات",50,Basic345678910[[#This Row],[قيمة الرسوم / العموله]]+Basic345678910[[#This Row],[قيمة الشحنه]])</f>
        <v>0</v>
      </c>
      <c r="I21" s="90"/>
      <c r="J21" s="142" t="str">
        <f t="shared" si="0"/>
        <v>23.5.2026</v>
      </c>
      <c r="L21" s="153">
        <v>10</v>
      </c>
      <c r="M21" s="92"/>
      <c r="O21" s="196" t="s">
        <v>31</v>
      </c>
      <c r="P21" s="197"/>
    </row>
    <row r="22" spans="1:21" ht="21.6" x14ac:dyDescent="0.65">
      <c r="A22" s="195"/>
      <c r="B22" s="140">
        <v>19</v>
      </c>
      <c r="C22" s="2"/>
      <c r="D22" s="1"/>
      <c r="E22" s="3"/>
      <c r="F22" s="1"/>
      <c r="G22" s="141">
        <f>IF(Basic345678910[[#This Row],[نوع الخدمة]]="مخالفات", 50,
IF(Basic345678910[[#This Row],[نوع الخدمة]]="كاش ان",
    IF(F22&lt;=100, 18, IF(F22&lt;=250, 23, IF(F22&lt;=500, 35, IF(F22&lt;=1000, 40, F22*0.04)))),
IF(Basic345678910[[#This Row],[نوع الخدمة]]="كاش اوت",
    IF(F22&lt;=100, 15, IF(F22&lt;=250, 20, IF(F22&lt;=500, 30, IF(F22&lt;=1000, 35, F22*0.035)))),
0)))</f>
        <v>0</v>
      </c>
      <c r="H22" s="159">
        <f>IF(I22="مخالفات",50,Basic345678910[[#This Row],[قيمة الرسوم / العموله]]+Basic345678910[[#This Row],[قيمة الشحنه]])</f>
        <v>0</v>
      </c>
      <c r="I22" s="90"/>
      <c r="J22" s="142" t="str">
        <f t="shared" si="0"/>
        <v>23.5.2026</v>
      </c>
      <c r="L22" s="153">
        <v>11</v>
      </c>
      <c r="M22" s="92"/>
      <c r="O22" s="147" t="s">
        <v>27</v>
      </c>
      <c r="P22" s="135">
        <f>M8+'22'!P28</f>
        <v>-4</v>
      </c>
    </row>
    <row r="23" spans="1:21" ht="21.6" x14ac:dyDescent="0.65">
      <c r="A23" s="195"/>
      <c r="B23" s="140">
        <v>20</v>
      </c>
      <c r="C23" s="2"/>
      <c r="D23" s="1"/>
      <c r="E23" s="3"/>
      <c r="F23" s="1"/>
      <c r="G23" s="141">
        <f>IF(Basic345678910[[#This Row],[نوع الخدمة]]="مخالفات", 50,
IF(Basic345678910[[#This Row],[نوع الخدمة]]="كاش ان",
    IF(F23&lt;=100, 18, IF(F23&lt;=250, 23, IF(F23&lt;=500, 35, IF(F23&lt;=1000, 40, F23*0.04)))),
IF(Basic345678910[[#This Row],[نوع الخدمة]]="كاش اوت",
    IF(F23&lt;=100, 15, IF(F23&lt;=250, 20, IF(F23&lt;=500, 30, IF(F23&lt;=1000, 35, F23*0.035)))),
0)))</f>
        <v>0</v>
      </c>
      <c r="H23" s="159">
        <f>IF(I23="مخالفات",50,Basic345678910[[#This Row],[قيمة الرسوم / العموله]]+Basic345678910[[#This Row],[قيمة الشحنه]])</f>
        <v>0</v>
      </c>
      <c r="I23" s="90"/>
      <c r="J23" s="142" t="str">
        <f t="shared" si="0"/>
        <v>23.5.2026</v>
      </c>
      <c r="L23" s="153">
        <v>12</v>
      </c>
      <c r="M23" s="92"/>
      <c r="O23" s="147" t="s">
        <v>28</v>
      </c>
      <c r="P23" s="135">
        <f>M9+'22'!P29</f>
        <v>0</v>
      </c>
      <c r="T23" s="139"/>
      <c r="U23" s="139"/>
    </row>
    <row r="24" spans="1:21" ht="21.6" x14ac:dyDescent="0.65">
      <c r="A24" s="195"/>
      <c r="B24" s="140">
        <v>21</v>
      </c>
      <c r="C24" s="2"/>
      <c r="D24" s="1"/>
      <c r="E24" s="3"/>
      <c r="F24" s="1"/>
      <c r="G24" s="141">
        <f>IF(Basic345678910[[#This Row],[نوع الخدمة]]="مخالفات", 50,
IF(Basic345678910[[#This Row],[نوع الخدمة]]="كاش ان",
    IF(F24&lt;=100, 18, IF(F24&lt;=250, 23, IF(F24&lt;=500, 35, IF(F24&lt;=1000, 40, F24*0.04)))),
IF(Basic345678910[[#This Row],[نوع الخدمة]]="كاش اوت",
    IF(F24&lt;=100, 15, IF(F24&lt;=250, 20, IF(F24&lt;=500, 30, IF(F24&lt;=1000, 35, F24*0.035)))),
0)))</f>
        <v>0</v>
      </c>
      <c r="H24" s="159">
        <f>IF(I24="مخالفات",50,Basic345678910[[#This Row],[قيمة الرسوم / العموله]]+Basic345678910[[#This Row],[قيمة الشحنه]])</f>
        <v>0</v>
      </c>
      <c r="I24" s="90"/>
      <c r="J24" s="142" t="str">
        <f t="shared" si="0"/>
        <v>23.5.2026</v>
      </c>
      <c r="L24" s="153">
        <v>13</v>
      </c>
      <c r="M24" s="92"/>
      <c r="O24" s="196" t="s">
        <v>32</v>
      </c>
      <c r="P24" s="197"/>
    </row>
    <row r="25" spans="1:21" ht="21.6" x14ac:dyDescent="0.65">
      <c r="A25" s="195"/>
      <c r="B25" s="144">
        <v>22</v>
      </c>
      <c r="C25" s="2"/>
      <c r="D25" s="1"/>
      <c r="E25" s="3"/>
      <c r="F25" s="1"/>
      <c r="G25" s="141">
        <f>IF(Basic345678910[[#This Row],[نوع الخدمة]]="مخالفات", 50,
IF(Basic345678910[[#This Row],[نوع الخدمة]]="كاش ان",
    IF(F25&lt;=100, 18, IF(F25&lt;=250, 23, IF(F25&lt;=500, 35, IF(F25&lt;=1000, 40, F25*0.04)))),
IF(Basic345678910[[#This Row],[نوع الخدمة]]="كاش اوت",
    IF(F25&lt;=100, 15, IF(F25&lt;=250, 20, IF(F25&lt;=500, 30, IF(F25&lt;=1000, 35, F25*0.035)))),
0)))</f>
        <v>0</v>
      </c>
      <c r="H25" s="159">
        <f>IF(I25="مخالفات",50,Basic345678910[[#This Row],[قيمة الرسوم / العموله]]+Basic345678910[[#This Row],[قيمة الشحنه]])</f>
        <v>0</v>
      </c>
      <c r="I25" s="90"/>
      <c r="J25" s="142" t="str">
        <f t="shared" si="0"/>
        <v>23.5.2026</v>
      </c>
      <c r="L25" s="153">
        <v>14</v>
      </c>
      <c r="M25" s="92"/>
      <c r="O25" s="147" t="s">
        <v>27</v>
      </c>
      <c r="P25" s="135">
        <f>M5</f>
        <v>0</v>
      </c>
    </row>
    <row r="26" spans="1:21" ht="21.6" x14ac:dyDescent="0.65">
      <c r="A26" s="195"/>
      <c r="B26" s="140">
        <v>23</v>
      </c>
      <c r="C26" s="2"/>
      <c r="D26" s="1"/>
      <c r="E26" s="3"/>
      <c r="F26" s="1"/>
      <c r="G26" s="141">
        <f>IF(Basic345678910[[#This Row],[نوع الخدمة]]="مخالفات", 50,
IF(Basic345678910[[#This Row],[نوع الخدمة]]="كاش ان",
    IF(F26&lt;=100, 18, IF(F26&lt;=250, 23, IF(F26&lt;=500, 35, IF(F26&lt;=1000, 40, F26*0.04)))),
IF(Basic345678910[[#This Row],[نوع الخدمة]]="كاش اوت",
    IF(F26&lt;=100, 15, IF(F26&lt;=250, 20, IF(F26&lt;=500, 30, IF(F26&lt;=1000, 35, F26*0.035)))),
0)))</f>
        <v>0</v>
      </c>
      <c r="H26" s="159">
        <f>IF(I26="مخالفات",50,Basic345678910[[#This Row],[قيمة الرسوم / العموله]]+Basic345678910[[#This Row],[قيمة الشحنه]])</f>
        <v>0</v>
      </c>
      <c r="I26" s="90"/>
      <c r="J26" s="142" t="str">
        <f t="shared" si="0"/>
        <v>23.5.2026</v>
      </c>
      <c r="L26" s="153">
        <v>15</v>
      </c>
      <c r="M26" s="92"/>
      <c r="O26" s="147" t="s">
        <v>28</v>
      </c>
      <c r="P26" s="135">
        <f>M6</f>
        <v>0</v>
      </c>
    </row>
    <row r="27" spans="1:21" ht="21.6" x14ac:dyDescent="0.65">
      <c r="A27" s="195"/>
      <c r="B27" s="140">
        <v>24</v>
      </c>
      <c r="C27" s="2"/>
      <c r="D27" s="1"/>
      <c r="E27" s="3"/>
      <c r="F27" s="1"/>
      <c r="G27" s="141">
        <f>IF(Basic345678910[[#This Row],[نوع الخدمة]]="مخالفات", 50,
IF(Basic345678910[[#This Row],[نوع الخدمة]]="كاش ان",
    IF(F27&lt;=100, 18, IF(F27&lt;=250, 23, IF(F27&lt;=500, 35, IF(F27&lt;=1000, 40, F27*0.04)))),
IF(Basic345678910[[#This Row],[نوع الخدمة]]="كاش اوت",
    IF(F27&lt;=100, 15, IF(F27&lt;=250, 20, IF(F27&lt;=500, 30, IF(F27&lt;=1000, 35, F27*0.035)))),
0)))</f>
        <v>0</v>
      </c>
      <c r="H27" s="159">
        <f>IF(I27="مخالفات",50,Basic345678910[[#This Row],[قيمة الرسوم / العموله]]+Basic345678910[[#This Row],[قيمة الشحنه]])</f>
        <v>0</v>
      </c>
      <c r="I27" s="90"/>
      <c r="J27" s="142" t="str">
        <f t="shared" si="0"/>
        <v>23.5.2026</v>
      </c>
      <c r="L27" s="153">
        <v>16</v>
      </c>
      <c r="M27" s="92"/>
      <c r="O27" s="196" t="s">
        <v>33</v>
      </c>
      <c r="P27" s="197"/>
    </row>
    <row r="28" spans="1:21" ht="21.6" x14ac:dyDescent="0.65">
      <c r="A28" s="195"/>
      <c r="B28" s="140">
        <v>25</v>
      </c>
      <c r="C28" s="2"/>
      <c r="D28" s="1"/>
      <c r="E28" s="3"/>
      <c r="F28" s="1"/>
      <c r="G28" s="141">
        <f>IF(Basic345678910[[#This Row],[نوع الخدمة]]="مخالفات", 50,
IF(Basic345678910[[#This Row],[نوع الخدمة]]="كاش ان",
    IF(F28&lt;=100, 18, IF(F28&lt;=250, 23, IF(F28&lt;=500, 35, IF(F28&lt;=1000, 40, F28*0.04)))),
IF(Basic345678910[[#This Row],[نوع الخدمة]]="كاش اوت",
    IF(F28&lt;=100, 15, IF(F28&lt;=250, 20, IF(F28&lt;=500, 30, IF(F28&lt;=1000, 35, F28*0.035)))),
0)))</f>
        <v>0</v>
      </c>
      <c r="H28" s="159">
        <f>IF(I28="مخالفات",50,Basic345678910[[#This Row],[قيمة الرسوم / العموله]]+Basic345678910[[#This Row],[قيمة الشحنه]])</f>
        <v>0</v>
      </c>
      <c r="I28" s="90"/>
      <c r="J28" s="142" t="str">
        <f t="shared" si="0"/>
        <v>23.5.2026</v>
      </c>
      <c r="L28" s="153">
        <v>17</v>
      </c>
      <c r="M28" s="92"/>
      <c r="O28" s="147" t="s">
        <v>27</v>
      </c>
      <c r="P28" s="135">
        <f>P22-P25</f>
        <v>-4</v>
      </c>
    </row>
    <row r="29" spans="1:21" ht="21.6" x14ac:dyDescent="0.65">
      <c r="A29" s="195"/>
      <c r="B29" s="144">
        <v>26</v>
      </c>
      <c r="C29" s="2"/>
      <c r="D29" s="1"/>
      <c r="E29" s="3"/>
      <c r="F29" s="1"/>
      <c r="G29" s="141">
        <f>IF(Basic345678910[[#This Row],[نوع الخدمة]]="مخالفات", 50,
IF(Basic345678910[[#This Row],[نوع الخدمة]]="كاش ان",
    IF(F29&lt;=100, 18, IF(F29&lt;=250, 23, IF(F29&lt;=500, 35, IF(F29&lt;=1000, 40, F29*0.04)))),
IF(Basic345678910[[#This Row],[نوع الخدمة]]="كاش اوت",
    IF(F29&lt;=100, 15, IF(F29&lt;=250, 20, IF(F29&lt;=500, 30, IF(F29&lt;=1000, 35, F29*0.035)))),
0)))</f>
        <v>0</v>
      </c>
      <c r="H29" s="159">
        <f>IF(I29="مخالفات",50,Basic345678910[[#This Row],[قيمة الرسوم / العموله]]+Basic345678910[[#This Row],[قيمة الشحنه]])</f>
        <v>0</v>
      </c>
      <c r="I29" s="90"/>
      <c r="J29" s="142" t="str">
        <f t="shared" si="0"/>
        <v>23.5.2026</v>
      </c>
      <c r="L29" s="153">
        <v>18</v>
      </c>
      <c r="M29" s="92"/>
      <c r="O29" s="147" t="s">
        <v>28</v>
      </c>
      <c r="P29" s="135">
        <f>P23-P26</f>
        <v>0</v>
      </c>
    </row>
    <row r="30" spans="1:21" ht="21.6" x14ac:dyDescent="0.65">
      <c r="A30" s="195"/>
      <c r="B30" s="140">
        <v>27</v>
      </c>
      <c r="C30" s="2"/>
      <c r="D30" s="1"/>
      <c r="E30" s="3"/>
      <c r="F30" s="1"/>
      <c r="G30" s="141">
        <f>IF(Basic345678910[[#This Row],[نوع الخدمة]]="مخالفات", 50,
IF(Basic345678910[[#This Row],[نوع الخدمة]]="كاش ان",
    IF(F30&lt;=100, 18, IF(F30&lt;=250, 23, IF(F30&lt;=500, 35, IF(F30&lt;=1000, 40, F30*0.04)))),
IF(Basic345678910[[#This Row],[نوع الخدمة]]="كاش اوت",
    IF(F30&lt;=100, 15, IF(F30&lt;=250, 20, IF(F30&lt;=500, 30, IF(F30&lt;=1000, 35, F30*0.035)))),
0)))</f>
        <v>0</v>
      </c>
      <c r="H30" s="159">
        <f>IF(I30="مخالفات",50,Basic345678910[[#This Row],[قيمة الرسوم / العموله]]+Basic345678910[[#This Row],[قيمة الشحنه]])</f>
        <v>0</v>
      </c>
      <c r="I30" s="90"/>
      <c r="J30" s="142" t="str">
        <f t="shared" si="0"/>
        <v>23.5.2026</v>
      </c>
      <c r="L30" s="153">
        <v>19</v>
      </c>
      <c r="M30" s="92"/>
    </row>
    <row r="31" spans="1:21" ht="21.6" x14ac:dyDescent="0.65">
      <c r="A31" s="195"/>
      <c r="B31" s="140">
        <v>28</v>
      </c>
      <c r="C31" s="2"/>
      <c r="D31" s="1"/>
      <c r="E31" s="3"/>
      <c r="F31" s="1"/>
      <c r="G31" s="141">
        <f>IF(Basic345678910[[#This Row],[نوع الخدمة]]="مخالفات", 50,
IF(Basic345678910[[#This Row],[نوع الخدمة]]="كاش ان",
    IF(F31&lt;=100, 18, IF(F31&lt;=250, 23, IF(F31&lt;=500, 35, IF(F31&lt;=1000, 40, F31*0.04)))),
IF(Basic345678910[[#This Row],[نوع الخدمة]]="كاش اوت",
    IF(F31&lt;=100, 15, IF(F31&lt;=250, 20, IF(F31&lt;=500, 30, IF(F31&lt;=1000, 35, F31*0.035)))),
0)))</f>
        <v>0</v>
      </c>
      <c r="H31" s="159">
        <f>IF(I31="مخالفات",50,Basic345678910[[#This Row],[قيمة الرسوم / العموله]]+Basic345678910[[#This Row],[قيمة الشحنه]])</f>
        <v>0</v>
      </c>
      <c r="I31" s="90"/>
      <c r="J31" s="142" t="str">
        <f t="shared" si="0"/>
        <v>23.5.2026</v>
      </c>
      <c r="L31" s="153">
        <v>20</v>
      </c>
      <c r="M31" s="92"/>
    </row>
    <row r="32" spans="1:21" ht="21.6" x14ac:dyDescent="0.65">
      <c r="A32" s="195"/>
      <c r="B32" s="140">
        <v>29</v>
      </c>
      <c r="C32" s="2"/>
      <c r="D32" s="1"/>
      <c r="E32" s="3"/>
      <c r="F32" s="1"/>
      <c r="G32" s="141">
        <f>IF(Basic345678910[[#This Row],[نوع الخدمة]]="مخالفات", 50,
IF(Basic345678910[[#This Row],[نوع الخدمة]]="كاش ان",
    IF(F32&lt;=100, 18, IF(F32&lt;=250, 23, IF(F32&lt;=500, 35, IF(F32&lt;=1000, 40, F32*0.04)))),
IF(Basic345678910[[#This Row],[نوع الخدمة]]="كاش اوت",
    IF(F32&lt;=100, 15, IF(F32&lt;=250, 20, IF(F32&lt;=500, 30, IF(F32&lt;=1000, 35, F32*0.035)))),
0)))</f>
        <v>0</v>
      </c>
      <c r="H32" s="159">
        <f>IF(I32="مخالفات",50,Basic345678910[[#This Row],[قيمة الرسوم / العموله]]+Basic345678910[[#This Row],[قيمة الشحنه]])</f>
        <v>0</v>
      </c>
      <c r="I32" s="90"/>
      <c r="J32" s="142" t="str">
        <f t="shared" si="0"/>
        <v>23.5.2026</v>
      </c>
      <c r="L32" s="153">
        <v>21</v>
      </c>
      <c r="M32" s="92"/>
    </row>
    <row r="33" spans="1:13" ht="21.6" x14ac:dyDescent="0.65">
      <c r="A33" s="195"/>
      <c r="B33" s="144">
        <v>30</v>
      </c>
      <c r="C33" s="2"/>
      <c r="D33" s="1"/>
      <c r="E33" s="3"/>
      <c r="F33" s="1"/>
      <c r="G33" s="141">
        <f>IF(Basic345678910[[#This Row],[نوع الخدمة]]="مخالفات", 50,
IF(Basic345678910[[#This Row],[نوع الخدمة]]="كاش ان",
    IF(F33&lt;=100, 18, IF(F33&lt;=250, 23, IF(F33&lt;=500, 35, IF(F33&lt;=1000, 40, F33*0.04)))),
IF(Basic345678910[[#This Row],[نوع الخدمة]]="كاش اوت",
    IF(F33&lt;=100, 15, IF(F33&lt;=250, 20, IF(F33&lt;=500, 30, IF(F33&lt;=1000, 35, F33*0.035)))),
0)))</f>
        <v>0</v>
      </c>
      <c r="H33" s="159">
        <f>IF(I33="مخالفات",50,Basic345678910[[#This Row],[قيمة الرسوم / العموله]]+Basic345678910[[#This Row],[قيمة الشحنه]])</f>
        <v>0</v>
      </c>
      <c r="I33" s="90"/>
      <c r="J33" s="142" t="str">
        <f t="shared" si="0"/>
        <v>23.5.2026</v>
      </c>
      <c r="L33" s="153">
        <v>22</v>
      </c>
      <c r="M33" s="92"/>
    </row>
    <row r="34" spans="1:13" ht="21.6" x14ac:dyDescent="0.65">
      <c r="A34" s="195"/>
      <c r="B34" s="140">
        <v>31</v>
      </c>
      <c r="C34" s="2"/>
      <c r="D34" s="1"/>
      <c r="E34" s="3"/>
      <c r="F34" s="1"/>
      <c r="G34" s="141">
        <f>IF(Basic345678910[[#This Row],[نوع الخدمة]]="مخالفات", 50,
IF(Basic345678910[[#This Row],[نوع الخدمة]]="كاش ان",
    IF(F34&lt;=100, 18, IF(F34&lt;=250, 23, IF(F34&lt;=500, 35, IF(F34&lt;=1000, 40, F34*0.04)))),
IF(Basic345678910[[#This Row],[نوع الخدمة]]="كاش اوت",
    IF(F34&lt;=100, 15, IF(F34&lt;=250, 20, IF(F34&lt;=500, 30, IF(F34&lt;=1000, 35, F34*0.035)))),
0)))</f>
        <v>0</v>
      </c>
      <c r="H34" s="159">
        <f>IF(I34="مخالفات",50,Basic345678910[[#This Row],[قيمة الرسوم / العموله]]+Basic345678910[[#This Row],[قيمة الشحنه]])</f>
        <v>0</v>
      </c>
      <c r="I34" s="90"/>
      <c r="J34" s="142" t="str">
        <f t="shared" si="0"/>
        <v>23.5.2026</v>
      </c>
      <c r="L34" s="153">
        <v>23</v>
      </c>
      <c r="M34" s="92"/>
    </row>
    <row r="35" spans="1:13" ht="21.6" x14ac:dyDescent="0.65">
      <c r="A35" s="195"/>
      <c r="B35" s="140">
        <v>32</v>
      </c>
      <c r="C35" s="2"/>
      <c r="D35" s="1"/>
      <c r="E35" s="3"/>
      <c r="F35" s="1"/>
      <c r="G35" s="141">
        <f>IF(Basic345678910[[#This Row],[نوع الخدمة]]="مخالفات", 50,
IF(Basic345678910[[#This Row],[نوع الخدمة]]="كاش ان",
    IF(F35&lt;=100, 18, IF(F35&lt;=250, 23, IF(F35&lt;=500, 35, IF(F35&lt;=1000, 40, F35*0.04)))),
IF(Basic345678910[[#This Row],[نوع الخدمة]]="كاش اوت",
    IF(F35&lt;=100, 15, IF(F35&lt;=250, 20, IF(F35&lt;=500, 30, IF(F35&lt;=1000, 35, F35*0.035)))),
0)))</f>
        <v>0</v>
      </c>
      <c r="H35" s="159">
        <f>IF(I35="مخالفات",50,Basic345678910[[#This Row],[قيمة الرسوم / العموله]]+Basic345678910[[#This Row],[قيمة الشحنه]])</f>
        <v>0</v>
      </c>
      <c r="I35" s="90"/>
      <c r="J35" s="142" t="str">
        <f t="shared" si="0"/>
        <v>23.5.2026</v>
      </c>
      <c r="L35" s="153">
        <v>24</v>
      </c>
      <c r="M35" s="92"/>
    </row>
    <row r="36" spans="1:13" ht="21.6" x14ac:dyDescent="0.65">
      <c r="A36" s="195"/>
      <c r="B36" s="140">
        <v>33</v>
      </c>
      <c r="C36" s="2"/>
      <c r="D36" s="1"/>
      <c r="E36" s="3"/>
      <c r="F36" s="1"/>
      <c r="G36" s="141">
        <f>IF(Basic345678910[[#This Row],[نوع الخدمة]]="مخالفات", 50,
IF(Basic345678910[[#This Row],[نوع الخدمة]]="كاش ان",
    IF(F36&lt;=100, 18, IF(F36&lt;=250, 23, IF(F36&lt;=500, 35, IF(F36&lt;=1000, 40, F36*0.04)))),
IF(Basic345678910[[#This Row],[نوع الخدمة]]="كاش اوت",
    IF(F36&lt;=100, 15, IF(F36&lt;=250, 20, IF(F36&lt;=500, 30, IF(F36&lt;=1000, 35, F36*0.035)))),
0)))</f>
        <v>0</v>
      </c>
      <c r="H36" s="159">
        <f>IF(I36="مخالفات",50,Basic345678910[[#This Row],[قيمة الرسوم / العموله]]+Basic345678910[[#This Row],[قيمة الشحنه]])</f>
        <v>0</v>
      </c>
      <c r="I36" s="90"/>
      <c r="J36" s="142" t="str">
        <f t="shared" si="0"/>
        <v>23.5.2026</v>
      </c>
      <c r="L36" s="153">
        <v>25</v>
      </c>
      <c r="M36" s="92"/>
    </row>
    <row r="37" spans="1:13" ht="21.6" x14ac:dyDescent="0.65">
      <c r="A37" s="195"/>
      <c r="B37" s="144">
        <v>34</v>
      </c>
      <c r="C37" s="2"/>
      <c r="D37" s="1"/>
      <c r="E37" s="3"/>
      <c r="F37" s="1"/>
      <c r="G37" s="141">
        <f>IF(Basic345678910[[#This Row],[نوع الخدمة]]="مخالفات", 50,
IF(Basic345678910[[#This Row],[نوع الخدمة]]="كاش ان",
    IF(F37&lt;=100, 18, IF(F37&lt;=250, 23, IF(F37&lt;=500, 35, IF(F37&lt;=1000, 40, F37*0.04)))),
IF(Basic345678910[[#This Row],[نوع الخدمة]]="كاش اوت",
    IF(F37&lt;=100, 15, IF(F37&lt;=250, 20, IF(F37&lt;=500, 30, IF(F37&lt;=1000, 35, F37*0.035)))),
0)))</f>
        <v>0</v>
      </c>
      <c r="H37" s="159">
        <f>IF(I37="مخالفات",50,Basic345678910[[#This Row],[قيمة الرسوم / العموله]]+Basic345678910[[#This Row],[قيمة الشحنه]])</f>
        <v>0</v>
      </c>
      <c r="I37" s="90"/>
      <c r="J37" s="142" t="str">
        <f t="shared" si="0"/>
        <v>23.5.2026</v>
      </c>
      <c r="L37" s="153">
        <v>26</v>
      </c>
      <c r="M37" s="92"/>
    </row>
    <row r="38" spans="1:13" ht="21.6" x14ac:dyDescent="0.65">
      <c r="A38" s="195"/>
      <c r="B38" s="140">
        <v>35</v>
      </c>
      <c r="C38" s="2"/>
      <c r="D38" s="1"/>
      <c r="E38" s="3"/>
      <c r="F38" s="1"/>
      <c r="G38" s="141">
        <f>IF(Basic345678910[[#This Row],[نوع الخدمة]]="مخالفات", 50,
IF(Basic345678910[[#This Row],[نوع الخدمة]]="كاش ان",
    IF(F38&lt;=100, 18, IF(F38&lt;=250, 23, IF(F38&lt;=500, 35, IF(F38&lt;=1000, 40, F38*0.04)))),
IF(Basic345678910[[#This Row],[نوع الخدمة]]="كاش اوت",
    IF(F38&lt;=100, 15, IF(F38&lt;=250, 20, IF(F38&lt;=500, 30, IF(F38&lt;=1000, 35, F38*0.035)))),
0)))</f>
        <v>0</v>
      </c>
      <c r="H38" s="159">
        <f>IF(I38="مخالفات",50,Basic345678910[[#This Row],[قيمة الرسوم / العموله]]+Basic345678910[[#This Row],[قيمة الشحنه]])</f>
        <v>0</v>
      </c>
      <c r="I38" s="90"/>
      <c r="J38" s="142" t="str">
        <f t="shared" si="0"/>
        <v>23.5.2026</v>
      </c>
      <c r="L38" s="153">
        <v>27</v>
      </c>
      <c r="M38" s="92"/>
    </row>
    <row r="39" spans="1:13" ht="21.6" x14ac:dyDescent="0.65">
      <c r="A39" s="195"/>
      <c r="B39" s="140">
        <v>36</v>
      </c>
      <c r="C39" s="2"/>
      <c r="D39" s="1"/>
      <c r="E39" s="3"/>
      <c r="F39" s="1"/>
      <c r="G39" s="141">
        <f>IF(Basic345678910[[#This Row],[نوع الخدمة]]="مخالفات", 50,
IF(Basic345678910[[#This Row],[نوع الخدمة]]="كاش ان",
    IF(F39&lt;=100, 18, IF(F39&lt;=250, 23, IF(F39&lt;=500, 35, IF(F39&lt;=1000, 40, F39*0.04)))),
IF(Basic345678910[[#This Row],[نوع الخدمة]]="كاش اوت",
    IF(F39&lt;=100, 15, IF(F39&lt;=250, 20, IF(F39&lt;=500, 30, IF(F39&lt;=1000, 35, F39*0.035)))),
0)))</f>
        <v>0</v>
      </c>
      <c r="H39" s="159">
        <f>IF(I39="مخالفات",50,Basic345678910[[#This Row],[قيمة الرسوم / العموله]]+Basic345678910[[#This Row],[قيمة الشحنه]])</f>
        <v>0</v>
      </c>
      <c r="I39" s="90"/>
      <c r="J39" s="142" t="str">
        <f t="shared" si="0"/>
        <v>23.5.2026</v>
      </c>
      <c r="L39" s="153">
        <v>28</v>
      </c>
      <c r="M39" s="92"/>
    </row>
    <row r="40" spans="1:13" ht="21.6" x14ac:dyDescent="0.65">
      <c r="A40" s="195"/>
      <c r="B40" s="140">
        <v>37</v>
      </c>
      <c r="C40" s="2"/>
      <c r="D40" s="1"/>
      <c r="E40" s="3"/>
      <c r="F40" s="1"/>
      <c r="G40" s="141">
        <f>IF(Basic345678910[[#This Row],[نوع الخدمة]]="مخالفات", 50,
IF(Basic345678910[[#This Row],[نوع الخدمة]]="كاش ان",
    IF(F40&lt;=100, 18, IF(F40&lt;=250, 23, IF(F40&lt;=500, 35, IF(F40&lt;=1000, 40, F40*0.04)))),
IF(Basic345678910[[#This Row],[نوع الخدمة]]="كاش اوت",
    IF(F40&lt;=100, 15, IF(F40&lt;=250, 20, IF(F40&lt;=500, 30, IF(F40&lt;=1000, 35, F40*0.035)))),
0)))</f>
        <v>0</v>
      </c>
      <c r="H40" s="159">
        <f>IF(I40="مخالفات",50,Basic345678910[[#This Row],[قيمة الرسوم / العموله]]+Basic345678910[[#This Row],[قيمة الشحنه]])</f>
        <v>0</v>
      </c>
      <c r="I40" s="90"/>
      <c r="J40" s="142" t="str">
        <f t="shared" si="0"/>
        <v>23.5.2026</v>
      </c>
      <c r="L40" s="153">
        <v>29</v>
      </c>
      <c r="M40" s="92"/>
    </row>
    <row r="41" spans="1:13" ht="21.6" x14ac:dyDescent="0.65">
      <c r="A41" s="195"/>
      <c r="B41" s="144">
        <v>38</v>
      </c>
      <c r="C41" s="2"/>
      <c r="D41" s="1"/>
      <c r="E41" s="3"/>
      <c r="F41" s="1"/>
      <c r="G41" s="141">
        <f>IF(Basic345678910[[#This Row],[نوع الخدمة]]="مخالفات", 50,
IF(Basic345678910[[#This Row],[نوع الخدمة]]="كاش ان",
    IF(F41&lt;=100, 18, IF(F41&lt;=250, 23, IF(F41&lt;=500, 35, IF(F41&lt;=1000, 40, F41*0.04)))),
IF(Basic345678910[[#This Row],[نوع الخدمة]]="كاش اوت",
    IF(F41&lt;=100, 15, IF(F41&lt;=250, 20, IF(F41&lt;=500, 30, IF(F41&lt;=1000, 35, F41*0.035)))),
0)))</f>
        <v>0</v>
      </c>
      <c r="H41" s="159">
        <f>IF(I41="مخالفات",50,Basic345678910[[#This Row],[قيمة الرسوم / العموله]]+Basic345678910[[#This Row],[قيمة الشحنه]])</f>
        <v>0</v>
      </c>
      <c r="I41" s="90"/>
      <c r="J41" s="142" t="str">
        <f t="shared" si="0"/>
        <v>23.5.2026</v>
      </c>
      <c r="L41" s="153">
        <v>30</v>
      </c>
      <c r="M41" s="92"/>
    </row>
    <row r="42" spans="1:13" ht="21.6" x14ac:dyDescent="0.65">
      <c r="A42" s="195"/>
      <c r="B42" s="140">
        <v>39</v>
      </c>
      <c r="C42" s="2"/>
      <c r="D42" s="1"/>
      <c r="E42" s="3"/>
      <c r="F42" s="1"/>
      <c r="G42" s="141">
        <f>IF(Basic345678910[[#This Row],[نوع الخدمة]]="مخالفات", 50,
IF(Basic345678910[[#This Row],[نوع الخدمة]]="كاش ان",
    IF(F42&lt;=100, 18, IF(F42&lt;=250, 23, IF(F42&lt;=500, 35, IF(F42&lt;=1000, 40, F42*0.04)))),
IF(Basic345678910[[#This Row],[نوع الخدمة]]="كاش اوت",
    IF(F42&lt;=100, 15, IF(F42&lt;=250, 20, IF(F42&lt;=500, 30, IF(F42&lt;=1000, 35, F42*0.035)))),
0)))</f>
        <v>0</v>
      </c>
      <c r="H42" s="159">
        <f>IF(I42="مخالفات",50,Basic345678910[[#This Row],[قيمة الرسوم / العموله]]+Basic345678910[[#This Row],[قيمة الشحنه]])</f>
        <v>0</v>
      </c>
      <c r="I42" s="90"/>
      <c r="J42" s="142" t="str">
        <f t="shared" si="0"/>
        <v>23.5.2026</v>
      </c>
      <c r="L42" s="153">
        <v>31</v>
      </c>
      <c r="M42" s="92"/>
    </row>
    <row r="43" spans="1:13" ht="21.6" x14ac:dyDescent="0.65">
      <c r="A43" s="195"/>
      <c r="B43" s="140">
        <v>40</v>
      </c>
      <c r="C43" s="2"/>
      <c r="D43" s="1"/>
      <c r="E43" s="3"/>
      <c r="F43" s="1"/>
      <c r="G43" s="141">
        <f>IF(Basic345678910[[#This Row],[نوع الخدمة]]="مخالفات", 50,
IF(Basic345678910[[#This Row],[نوع الخدمة]]="كاش ان",
    IF(F43&lt;=100, 18, IF(F43&lt;=250, 23, IF(F43&lt;=500, 35, IF(F43&lt;=1000, 40, F43*0.04)))),
IF(Basic345678910[[#This Row],[نوع الخدمة]]="كاش اوت",
    IF(F43&lt;=100, 15, IF(F43&lt;=250, 20, IF(F43&lt;=500, 30, IF(F43&lt;=1000, 35, F43*0.035)))),
0)))</f>
        <v>0</v>
      </c>
      <c r="H43" s="159">
        <f>IF(I43="مخالفات",50,Basic345678910[[#This Row],[قيمة الرسوم / العموله]]+Basic345678910[[#This Row],[قيمة الشحنه]])</f>
        <v>0</v>
      </c>
      <c r="I43" s="90"/>
      <c r="J43" s="142" t="str">
        <f t="shared" si="0"/>
        <v>23.5.2026</v>
      </c>
      <c r="L43" s="153">
        <v>32</v>
      </c>
      <c r="M43" s="92"/>
    </row>
    <row r="44" spans="1:13" ht="21.6" x14ac:dyDescent="0.65">
      <c r="A44" s="195"/>
      <c r="B44" s="140">
        <v>41</v>
      </c>
      <c r="C44" s="2"/>
      <c r="D44" s="1"/>
      <c r="E44" s="3"/>
      <c r="F44" s="1"/>
      <c r="G44" s="141">
        <f>IF(Basic345678910[[#This Row],[نوع الخدمة]]="مخالفات", 50,
IF(Basic345678910[[#This Row],[نوع الخدمة]]="كاش ان",
    IF(F44&lt;=100, 18, IF(F44&lt;=250, 23, IF(F44&lt;=500, 35, IF(F44&lt;=1000, 40, F44*0.04)))),
IF(Basic345678910[[#This Row],[نوع الخدمة]]="كاش اوت",
    IF(F44&lt;=100, 15, IF(F44&lt;=250, 20, IF(F44&lt;=500, 30, IF(F44&lt;=1000, 35, F44*0.035)))),
0)))</f>
        <v>0</v>
      </c>
      <c r="H44" s="159">
        <f>IF(I44="مخالفات",50,Basic345678910[[#This Row],[قيمة الرسوم / العموله]]+Basic345678910[[#This Row],[قيمة الشحنه]])</f>
        <v>0</v>
      </c>
      <c r="I44" s="90"/>
      <c r="J44" s="142" t="str">
        <f t="shared" si="0"/>
        <v>23.5.2026</v>
      </c>
      <c r="L44" s="153">
        <v>33</v>
      </c>
      <c r="M44" s="92"/>
    </row>
    <row r="45" spans="1:13" ht="21.6" x14ac:dyDescent="0.65">
      <c r="A45" s="195"/>
      <c r="B45" s="144">
        <v>42</v>
      </c>
      <c r="C45" s="2"/>
      <c r="D45" s="1"/>
      <c r="E45" s="3"/>
      <c r="F45" s="1"/>
      <c r="G45" s="141">
        <f>IF(Basic345678910[[#This Row],[نوع الخدمة]]="مخالفات", 50,
IF(Basic345678910[[#This Row],[نوع الخدمة]]="كاش ان",
    IF(F45&lt;=100, 18, IF(F45&lt;=250, 23, IF(F45&lt;=500, 35, IF(F45&lt;=1000, 40, F45*0.04)))),
IF(Basic345678910[[#This Row],[نوع الخدمة]]="كاش اوت",
    IF(F45&lt;=100, 15, IF(F45&lt;=250, 20, IF(F45&lt;=500, 30, IF(F45&lt;=1000, 35, F45*0.035)))),
0)))</f>
        <v>0</v>
      </c>
      <c r="H45" s="159">
        <f>IF(I45="مخالفات",50,Basic345678910[[#This Row],[قيمة الرسوم / العموله]]+Basic345678910[[#This Row],[قيمة الشحنه]])</f>
        <v>0</v>
      </c>
      <c r="I45" s="90"/>
      <c r="J45" s="142" t="str">
        <f t="shared" si="0"/>
        <v>23.5.2026</v>
      </c>
      <c r="L45" s="153">
        <v>34</v>
      </c>
      <c r="M45" s="92"/>
    </row>
    <row r="46" spans="1:13" ht="21.6" x14ac:dyDescent="0.65">
      <c r="A46" s="195"/>
      <c r="B46" s="140">
        <v>43</v>
      </c>
      <c r="C46" s="2"/>
      <c r="D46" s="1"/>
      <c r="E46" s="3"/>
      <c r="F46" s="1"/>
      <c r="G46" s="141">
        <f>IF(Basic345678910[[#This Row],[نوع الخدمة]]="مخالفات", 50,
IF(Basic345678910[[#This Row],[نوع الخدمة]]="كاش ان",
    IF(F46&lt;=100, 18, IF(F46&lt;=250, 23, IF(F46&lt;=500, 35, IF(F46&lt;=1000, 40, F46*0.04)))),
IF(Basic345678910[[#This Row],[نوع الخدمة]]="كاش اوت",
    IF(F46&lt;=100, 15, IF(F46&lt;=250, 20, IF(F46&lt;=500, 30, IF(F46&lt;=1000, 35, F46*0.035)))),
0)))</f>
        <v>0</v>
      </c>
      <c r="H46" s="159">
        <f>IF(I46="مخالفات",50,Basic345678910[[#This Row],[قيمة الرسوم / العموله]]+Basic345678910[[#This Row],[قيمة الشحنه]])</f>
        <v>0</v>
      </c>
      <c r="I46" s="90"/>
      <c r="J46" s="142" t="str">
        <f t="shared" si="0"/>
        <v>23.5.2026</v>
      </c>
      <c r="L46" s="153">
        <v>35</v>
      </c>
      <c r="M46" s="92"/>
    </row>
    <row r="47" spans="1:13" ht="21.6" x14ac:dyDescent="0.65">
      <c r="A47" s="195"/>
      <c r="B47" s="140">
        <v>44</v>
      </c>
      <c r="C47" s="2"/>
      <c r="D47" s="1"/>
      <c r="E47" s="3"/>
      <c r="F47" s="1"/>
      <c r="G47" s="141">
        <f>IF(Basic345678910[[#This Row],[نوع الخدمة]]="مخالفات", 50,
IF(Basic345678910[[#This Row],[نوع الخدمة]]="كاش ان",
    IF(F47&lt;=100, 18, IF(F47&lt;=250, 23, IF(F47&lt;=500, 35, IF(F47&lt;=1000, 40, F47*0.04)))),
IF(Basic345678910[[#This Row],[نوع الخدمة]]="كاش اوت",
    IF(F47&lt;=100, 15, IF(F47&lt;=250, 20, IF(F47&lt;=500, 30, IF(F47&lt;=1000, 35, F47*0.035)))),
0)))</f>
        <v>0</v>
      </c>
      <c r="H47" s="159">
        <f>IF(I47="مخالفات",50,Basic345678910[[#This Row],[قيمة الرسوم / العموله]]+Basic345678910[[#This Row],[قيمة الشحنه]])</f>
        <v>0</v>
      </c>
      <c r="I47" s="90"/>
      <c r="J47" s="142" t="str">
        <f t="shared" si="0"/>
        <v>23.5.2026</v>
      </c>
      <c r="L47" s="153">
        <v>36</v>
      </c>
      <c r="M47" s="92"/>
    </row>
    <row r="48" spans="1:13" ht="21.6" x14ac:dyDescent="0.65">
      <c r="A48" s="195"/>
      <c r="B48" s="140">
        <v>45</v>
      </c>
      <c r="C48" s="2"/>
      <c r="D48" s="1"/>
      <c r="E48" s="3"/>
      <c r="F48" s="1"/>
      <c r="G48" s="141">
        <f>IF(Basic345678910[[#This Row],[نوع الخدمة]]="مخالفات", 50,
IF(Basic345678910[[#This Row],[نوع الخدمة]]="كاش ان",
    IF(F48&lt;=100, 18, IF(F48&lt;=250, 23, IF(F48&lt;=500, 35, IF(F48&lt;=1000, 40, F48*0.04)))),
IF(Basic345678910[[#This Row],[نوع الخدمة]]="كاش اوت",
    IF(F48&lt;=100, 15, IF(F48&lt;=250, 20, IF(F48&lt;=500, 30, IF(F48&lt;=1000, 35, F48*0.035)))),
0)))</f>
        <v>0</v>
      </c>
      <c r="H48" s="159">
        <f>IF(I48="مخالفات",50,Basic345678910[[#This Row],[قيمة الرسوم / العموله]]+Basic345678910[[#This Row],[قيمة الشحنه]])</f>
        <v>0</v>
      </c>
      <c r="I48" s="90"/>
      <c r="J48" s="142" t="str">
        <f t="shared" si="0"/>
        <v>23.5.2026</v>
      </c>
      <c r="L48" s="153">
        <v>37</v>
      </c>
      <c r="M48" s="92"/>
    </row>
    <row r="49" spans="1:13" ht="21.6" x14ac:dyDescent="0.65">
      <c r="A49" s="195"/>
      <c r="B49" s="144">
        <v>46</v>
      </c>
      <c r="C49" s="2"/>
      <c r="D49" s="1"/>
      <c r="E49" s="3"/>
      <c r="F49" s="1"/>
      <c r="G49" s="141">
        <f>IF(Basic345678910[[#This Row],[نوع الخدمة]]="مخالفات", 50,
IF(Basic345678910[[#This Row],[نوع الخدمة]]="كاش ان",
    IF(F49&lt;=100, 18, IF(F49&lt;=250, 23, IF(F49&lt;=500, 35, IF(F49&lt;=1000, 40, F49*0.04)))),
IF(Basic345678910[[#This Row],[نوع الخدمة]]="كاش اوت",
    IF(F49&lt;=100, 15, IF(F49&lt;=250, 20, IF(F49&lt;=500, 30, IF(F49&lt;=1000, 35, F49*0.035)))),
0)))</f>
        <v>0</v>
      </c>
      <c r="H49" s="159">
        <f>IF(I49="مخالفات",50,Basic345678910[[#This Row],[قيمة الرسوم / العموله]]+Basic345678910[[#This Row],[قيمة الشحنه]])</f>
        <v>0</v>
      </c>
      <c r="I49" s="90"/>
      <c r="J49" s="142" t="str">
        <f t="shared" si="0"/>
        <v>23.5.2026</v>
      </c>
      <c r="L49" s="153">
        <v>38</v>
      </c>
      <c r="M49" s="92"/>
    </row>
    <row r="50" spans="1:13" ht="21.6" x14ac:dyDescent="0.65">
      <c r="A50" s="195"/>
      <c r="B50" s="140">
        <v>47</v>
      </c>
      <c r="C50" s="2"/>
      <c r="D50" s="1"/>
      <c r="E50" s="3"/>
      <c r="F50" s="1"/>
      <c r="G50" s="141">
        <f>IF(Basic345678910[[#This Row],[نوع الخدمة]]="مخالفات", 50,
IF(Basic345678910[[#This Row],[نوع الخدمة]]="كاش ان",
    IF(F50&lt;=100, 18, IF(F50&lt;=250, 23, IF(F50&lt;=500, 35, IF(F50&lt;=1000, 40, F50*0.04)))),
IF(Basic345678910[[#This Row],[نوع الخدمة]]="كاش اوت",
    IF(F50&lt;=100, 15, IF(F50&lt;=250, 20, IF(F50&lt;=500, 30, IF(F50&lt;=1000, 35, F50*0.035)))),
0)))</f>
        <v>0</v>
      </c>
      <c r="H50" s="159">
        <f>IF(I50="مخالفات",50,Basic345678910[[#This Row],[قيمة الرسوم / العموله]]+Basic345678910[[#This Row],[قيمة الشحنه]])</f>
        <v>0</v>
      </c>
      <c r="I50" s="90"/>
      <c r="J50" s="142" t="str">
        <f t="shared" si="0"/>
        <v>23.5.2026</v>
      </c>
      <c r="L50" s="153">
        <v>39</v>
      </c>
      <c r="M50" s="92"/>
    </row>
    <row r="51" spans="1:13" ht="21.6" x14ac:dyDescent="0.65">
      <c r="A51" s="195"/>
      <c r="B51" s="140">
        <v>48</v>
      </c>
      <c r="C51" s="2"/>
      <c r="D51" s="1"/>
      <c r="E51" s="3"/>
      <c r="F51" s="1"/>
      <c r="G51" s="141">
        <f>IF(Basic345678910[[#This Row],[نوع الخدمة]]="مخالفات", 50,
IF(Basic345678910[[#This Row],[نوع الخدمة]]="كاش ان",
    IF(F51&lt;=100, 18, IF(F51&lt;=250, 23, IF(F51&lt;=500, 35, IF(F51&lt;=1000, 40, F51*0.04)))),
IF(Basic345678910[[#This Row],[نوع الخدمة]]="كاش اوت",
    IF(F51&lt;=100, 15, IF(F51&lt;=250, 20, IF(F51&lt;=500, 30, IF(F51&lt;=1000, 35, F51*0.035)))),
0)))</f>
        <v>0</v>
      </c>
      <c r="H51" s="159">
        <f>IF(I51="مخالفات",50,Basic345678910[[#This Row],[قيمة الرسوم / العموله]]+Basic345678910[[#This Row],[قيمة الشحنه]])</f>
        <v>0</v>
      </c>
      <c r="I51" s="90"/>
      <c r="J51" s="142" t="str">
        <f t="shared" si="0"/>
        <v>23.5.2026</v>
      </c>
      <c r="L51" s="153">
        <v>40</v>
      </c>
      <c r="M51" s="92"/>
    </row>
    <row r="52" spans="1:13" ht="21.6" x14ac:dyDescent="0.65">
      <c r="A52" s="195"/>
      <c r="B52" s="140">
        <v>49</v>
      </c>
      <c r="C52" s="2"/>
      <c r="D52" s="1"/>
      <c r="E52" s="3"/>
      <c r="F52" s="1"/>
      <c r="G52" s="141">
        <f>IF(Basic345678910[[#This Row],[نوع الخدمة]]="مخالفات", 50,
IF(Basic345678910[[#This Row],[نوع الخدمة]]="كاش ان",
    IF(F52&lt;=100, 18, IF(F52&lt;=250, 23, IF(F52&lt;=500, 35, IF(F52&lt;=1000, 40, F52*0.04)))),
IF(Basic345678910[[#This Row],[نوع الخدمة]]="كاش اوت",
    IF(F52&lt;=100, 15, IF(F52&lt;=250, 20, IF(F52&lt;=500, 30, IF(F52&lt;=1000, 35, F52*0.035)))),
0)))</f>
        <v>0</v>
      </c>
      <c r="H52" s="159">
        <f>IF(I52="مخالفات",50,Basic345678910[[#This Row],[قيمة الرسوم / العموله]]+Basic345678910[[#This Row],[قيمة الشحنه]])</f>
        <v>0</v>
      </c>
      <c r="I52" s="90"/>
      <c r="J52" s="142" t="str">
        <f t="shared" si="0"/>
        <v>23.5.2026</v>
      </c>
      <c r="L52" s="153">
        <v>41</v>
      </c>
      <c r="M52" s="92"/>
    </row>
    <row r="53" spans="1:13" ht="21.6" x14ac:dyDescent="0.65">
      <c r="A53" s="195"/>
      <c r="B53" s="144">
        <v>50</v>
      </c>
      <c r="C53" s="2"/>
      <c r="D53" s="1"/>
      <c r="E53" s="3"/>
      <c r="F53" s="1"/>
      <c r="G53" s="141">
        <f>IF(Basic345678910[[#This Row],[نوع الخدمة]]="مخالفات", 50,
IF(Basic345678910[[#This Row],[نوع الخدمة]]="كاش ان",
    IF(F53&lt;=100, 18, IF(F53&lt;=250, 23, IF(F53&lt;=500, 35, IF(F53&lt;=1000, 40, F53*0.04)))),
IF(Basic345678910[[#This Row],[نوع الخدمة]]="كاش اوت",
    IF(F53&lt;=100, 15, IF(F53&lt;=250, 20, IF(F53&lt;=500, 30, IF(F53&lt;=1000, 35, F53*0.035)))),
0)))</f>
        <v>0</v>
      </c>
      <c r="H53" s="159">
        <f>IF(I53="مخالفات",50,Basic345678910[[#This Row],[قيمة الرسوم / العموله]]+Basic345678910[[#This Row],[قيمة الشحنه]])</f>
        <v>0</v>
      </c>
      <c r="I53" s="90"/>
      <c r="J53" s="142" t="str">
        <f t="shared" si="0"/>
        <v>23.5.2026</v>
      </c>
      <c r="L53" s="153">
        <v>42</v>
      </c>
      <c r="M53" s="92"/>
    </row>
    <row r="54" spans="1:13" ht="21.6" x14ac:dyDescent="0.65">
      <c r="A54" s="195"/>
      <c r="B54" s="140">
        <v>51</v>
      </c>
      <c r="C54" s="2"/>
      <c r="D54" s="1"/>
      <c r="E54" s="3"/>
      <c r="F54" s="1"/>
      <c r="G54" s="141">
        <f>IF(Basic345678910[[#This Row],[نوع الخدمة]]="مخالفات", 50,
IF(Basic345678910[[#This Row],[نوع الخدمة]]="كاش ان",
    IF(F54&lt;=100, 18, IF(F54&lt;=250, 23, IF(F54&lt;=500, 35, IF(F54&lt;=1000, 40, F54*0.04)))),
IF(Basic345678910[[#This Row],[نوع الخدمة]]="كاش اوت",
    IF(F54&lt;=100, 15, IF(F54&lt;=250, 20, IF(F54&lt;=500, 30, IF(F54&lt;=1000, 35, F54*0.035)))),
0)))</f>
        <v>0</v>
      </c>
      <c r="H54" s="159">
        <f>IF(I54="مخالفات",50,Basic345678910[[#This Row],[قيمة الرسوم / العموله]]+Basic345678910[[#This Row],[قيمة الشحنه]])</f>
        <v>0</v>
      </c>
      <c r="I54" s="90"/>
      <c r="J54" s="142" t="str">
        <f t="shared" si="0"/>
        <v>23.5.2026</v>
      </c>
      <c r="L54" s="153">
        <v>43</v>
      </c>
      <c r="M54" s="92"/>
    </row>
    <row r="55" spans="1:13" ht="21.6" x14ac:dyDescent="0.65">
      <c r="A55" s="195"/>
      <c r="B55" s="140">
        <v>52</v>
      </c>
      <c r="C55" s="2"/>
      <c r="D55" s="1"/>
      <c r="E55" s="3"/>
      <c r="F55" s="1"/>
      <c r="G55" s="141">
        <f>IF(Basic345678910[[#This Row],[نوع الخدمة]]="مخالفات", 50,
IF(Basic345678910[[#This Row],[نوع الخدمة]]="كاش ان",
    IF(F55&lt;=100, 18, IF(F55&lt;=250, 23, IF(F55&lt;=500, 35, IF(F55&lt;=1000, 40, F55*0.04)))),
IF(Basic345678910[[#This Row],[نوع الخدمة]]="كاش اوت",
    IF(F55&lt;=100, 15, IF(F55&lt;=250, 20, IF(F55&lt;=500, 30, IF(F55&lt;=1000, 35, F55*0.035)))),
0)))</f>
        <v>0</v>
      </c>
      <c r="H55" s="159">
        <f>IF(I55="مخالفات",50,Basic345678910[[#This Row],[قيمة الرسوم / العموله]]+Basic345678910[[#This Row],[قيمة الشحنه]])</f>
        <v>0</v>
      </c>
      <c r="I55" s="90"/>
      <c r="J55" s="142" t="str">
        <f t="shared" si="0"/>
        <v>23.5.2026</v>
      </c>
      <c r="L55" s="153">
        <v>44</v>
      </c>
      <c r="M55" s="92"/>
    </row>
    <row r="56" spans="1:13" ht="21.6" x14ac:dyDescent="0.65">
      <c r="A56" s="195"/>
      <c r="B56" s="140">
        <v>53</v>
      </c>
      <c r="C56" s="2"/>
      <c r="D56" s="1"/>
      <c r="E56" s="3"/>
      <c r="F56" s="1"/>
      <c r="G56" s="141">
        <f>IF(Basic345678910[[#This Row],[نوع الخدمة]]="مخالفات", 50,
IF(Basic345678910[[#This Row],[نوع الخدمة]]="كاش ان",
    IF(F56&lt;=100, 18, IF(F56&lt;=250, 23, IF(F56&lt;=500, 35, IF(F56&lt;=1000, 40, F56*0.04)))),
IF(Basic345678910[[#This Row],[نوع الخدمة]]="كاش اوت",
    IF(F56&lt;=100, 15, IF(F56&lt;=250, 20, IF(F56&lt;=500, 30, IF(F56&lt;=1000, 35, F56*0.035)))),
0)))</f>
        <v>0</v>
      </c>
      <c r="H56" s="159">
        <f>IF(I56="مخالفات",50,Basic345678910[[#This Row],[قيمة الرسوم / العموله]]+Basic345678910[[#This Row],[قيمة الشحنه]])</f>
        <v>0</v>
      </c>
      <c r="I56" s="90"/>
      <c r="J56" s="142" t="str">
        <f t="shared" si="0"/>
        <v>23.5.2026</v>
      </c>
      <c r="L56" s="153">
        <v>45</v>
      </c>
      <c r="M56" s="92"/>
    </row>
    <row r="57" spans="1:13" ht="21.6" x14ac:dyDescent="0.65">
      <c r="A57" s="195"/>
      <c r="B57" s="144">
        <v>54</v>
      </c>
      <c r="C57" s="2"/>
      <c r="D57" s="1"/>
      <c r="E57" s="3"/>
      <c r="F57" s="1"/>
      <c r="G57" s="141">
        <f>IF(Basic345678910[[#This Row],[نوع الخدمة]]="مخالفات", 50,
IF(Basic345678910[[#This Row],[نوع الخدمة]]="كاش ان",
    IF(F57&lt;=100, 18, IF(F57&lt;=250, 23, IF(F57&lt;=500, 35, IF(F57&lt;=1000, 40, F57*0.04)))),
IF(Basic345678910[[#This Row],[نوع الخدمة]]="كاش اوت",
    IF(F57&lt;=100, 15, IF(F57&lt;=250, 20, IF(F57&lt;=500, 30, IF(F57&lt;=1000, 35, F57*0.035)))),
0)))</f>
        <v>0</v>
      </c>
      <c r="H57" s="159">
        <f>IF(I57="مخالفات",50,Basic345678910[[#This Row],[قيمة الرسوم / العموله]]+Basic345678910[[#This Row],[قيمة الشحنه]])</f>
        <v>0</v>
      </c>
      <c r="I57" s="90"/>
      <c r="J57" s="142" t="str">
        <f t="shared" si="0"/>
        <v>23.5.2026</v>
      </c>
      <c r="L57" s="153">
        <v>46</v>
      </c>
      <c r="M57" s="92"/>
    </row>
    <row r="58" spans="1:13" ht="21.6" x14ac:dyDescent="0.65">
      <c r="A58" s="195"/>
      <c r="B58" s="140">
        <v>55</v>
      </c>
      <c r="C58" s="2"/>
      <c r="D58" s="1"/>
      <c r="E58" s="3"/>
      <c r="F58" s="1"/>
      <c r="G58" s="141">
        <f>IF(Basic345678910[[#This Row],[نوع الخدمة]]="مخالفات", 50,
IF(Basic345678910[[#This Row],[نوع الخدمة]]="كاش ان",
    IF(F58&lt;=100, 18, IF(F58&lt;=250, 23, IF(F58&lt;=500, 35, IF(F58&lt;=1000, 40, F58*0.04)))),
IF(Basic345678910[[#This Row],[نوع الخدمة]]="كاش اوت",
    IF(F58&lt;=100, 15, IF(F58&lt;=250, 20, IF(F58&lt;=500, 30, IF(F58&lt;=1000, 35, F58*0.035)))),
0)))</f>
        <v>0</v>
      </c>
      <c r="H58" s="159">
        <f>IF(I58="مخالفات",50,Basic345678910[[#This Row],[قيمة الرسوم / العموله]]+Basic345678910[[#This Row],[قيمة الشحنه]])</f>
        <v>0</v>
      </c>
      <c r="I58" s="90"/>
      <c r="J58" s="142" t="str">
        <f t="shared" si="0"/>
        <v>23.5.2026</v>
      </c>
      <c r="L58" s="153">
        <v>47</v>
      </c>
      <c r="M58" s="92"/>
    </row>
    <row r="59" spans="1:13" ht="21.6" x14ac:dyDescent="0.65">
      <c r="A59" s="195"/>
      <c r="B59" s="140">
        <v>56</v>
      </c>
      <c r="C59" s="2"/>
      <c r="D59" s="1"/>
      <c r="E59" s="3"/>
      <c r="F59" s="1"/>
      <c r="G59" s="141">
        <f>IF(Basic345678910[[#This Row],[نوع الخدمة]]="مخالفات", 50,
IF(Basic345678910[[#This Row],[نوع الخدمة]]="كاش ان",
    IF(F59&lt;=100, 18, IF(F59&lt;=250, 23, IF(F59&lt;=500, 35, IF(F59&lt;=1000, 40, F59*0.04)))),
IF(Basic345678910[[#This Row],[نوع الخدمة]]="كاش اوت",
    IF(F59&lt;=100, 15, IF(F59&lt;=250, 20, IF(F59&lt;=500, 30, IF(F59&lt;=1000, 35, F59*0.035)))),
0)))</f>
        <v>0</v>
      </c>
      <c r="H59" s="159">
        <f>IF(I59="مخالفات",50,Basic345678910[[#This Row],[قيمة الرسوم / العموله]]+Basic345678910[[#This Row],[قيمة الشحنه]])</f>
        <v>0</v>
      </c>
      <c r="I59" s="90"/>
      <c r="J59" s="142" t="str">
        <f t="shared" si="0"/>
        <v>23.5.2026</v>
      </c>
      <c r="L59" s="153">
        <v>48</v>
      </c>
      <c r="M59" s="92"/>
    </row>
    <row r="60" spans="1:13" ht="21.6" x14ac:dyDescent="0.65">
      <c r="A60" s="195"/>
      <c r="B60" s="140">
        <v>57</v>
      </c>
      <c r="C60" s="2"/>
      <c r="D60" s="1"/>
      <c r="E60" s="3"/>
      <c r="F60" s="1"/>
      <c r="G60" s="141">
        <f>IF(Basic345678910[[#This Row],[نوع الخدمة]]="مخالفات", 50,
IF(Basic345678910[[#This Row],[نوع الخدمة]]="كاش ان",
    IF(F60&lt;=100, 18, IF(F60&lt;=250, 23, IF(F60&lt;=500, 35, IF(F60&lt;=1000, 40, F60*0.04)))),
IF(Basic345678910[[#This Row],[نوع الخدمة]]="كاش اوت",
    IF(F60&lt;=100, 15, IF(F60&lt;=250, 20, IF(F60&lt;=500, 30, IF(F60&lt;=1000, 35, F60*0.035)))),
0)))</f>
        <v>0</v>
      </c>
      <c r="H60" s="159">
        <f>IF(I60="مخالفات",50,Basic345678910[[#This Row],[قيمة الرسوم / العموله]]+Basic345678910[[#This Row],[قيمة الشحنه]])</f>
        <v>0</v>
      </c>
      <c r="I60" s="90"/>
      <c r="J60" s="142" t="str">
        <f t="shared" si="0"/>
        <v>23.5.2026</v>
      </c>
      <c r="L60" s="153">
        <v>49</v>
      </c>
      <c r="M60" s="92"/>
    </row>
    <row r="61" spans="1:13" ht="21.6" x14ac:dyDescent="0.65">
      <c r="A61" s="195"/>
      <c r="B61" s="144">
        <v>58</v>
      </c>
      <c r="C61" s="2"/>
      <c r="D61" s="1"/>
      <c r="E61" s="3"/>
      <c r="F61" s="1"/>
      <c r="G61" s="141">
        <f>IF(Basic345678910[[#This Row],[نوع الخدمة]]="مخالفات", 50,
IF(Basic345678910[[#This Row],[نوع الخدمة]]="كاش ان",
    IF(F61&lt;=100, 18, IF(F61&lt;=250, 23, IF(F61&lt;=500, 35, IF(F61&lt;=1000, 40, F61*0.04)))),
IF(Basic345678910[[#This Row],[نوع الخدمة]]="كاش اوت",
    IF(F61&lt;=100, 15, IF(F61&lt;=250, 20, IF(F61&lt;=500, 30, IF(F61&lt;=1000, 35, F61*0.035)))),
0)))</f>
        <v>0</v>
      </c>
      <c r="H61" s="159">
        <f>IF(I61="مخالفات",50,Basic345678910[[#This Row],[قيمة الرسوم / العموله]]+Basic345678910[[#This Row],[قيمة الشحنه]])</f>
        <v>0</v>
      </c>
      <c r="I61" s="90"/>
      <c r="J61" s="142" t="str">
        <f t="shared" si="0"/>
        <v>23.5.2026</v>
      </c>
      <c r="L61" s="153">
        <v>50</v>
      </c>
      <c r="M61" s="92"/>
    </row>
    <row r="62" spans="1:13" ht="21.6" x14ac:dyDescent="0.65">
      <c r="A62" s="195"/>
      <c r="B62" s="140">
        <v>59</v>
      </c>
      <c r="C62" s="2"/>
      <c r="D62" s="1"/>
      <c r="E62" s="3"/>
      <c r="F62" s="1"/>
      <c r="G62" s="141">
        <f>IF(Basic345678910[[#This Row],[نوع الخدمة]]="مخالفات", 50,
IF(Basic345678910[[#This Row],[نوع الخدمة]]="كاش ان",
    IF(F62&lt;=100, 18, IF(F62&lt;=250, 23, IF(F62&lt;=500, 35, IF(F62&lt;=1000, 40, F62*0.04)))),
IF(Basic345678910[[#This Row],[نوع الخدمة]]="كاش اوت",
    IF(F62&lt;=100, 15, IF(F62&lt;=250, 20, IF(F62&lt;=500, 30, IF(F62&lt;=1000, 35, F62*0.035)))),
0)))</f>
        <v>0</v>
      </c>
      <c r="H62" s="159">
        <f>IF(I62="مخالفات",50,Basic345678910[[#This Row],[قيمة الرسوم / العموله]]+Basic345678910[[#This Row],[قيمة الشحنه]])</f>
        <v>0</v>
      </c>
      <c r="I62" s="90"/>
      <c r="J62" s="142" t="str">
        <f t="shared" si="0"/>
        <v>23.5.2026</v>
      </c>
      <c r="L62" s="153">
        <v>51</v>
      </c>
      <c r="M62" s="92"/>
    </row>
    <row r="63" spans="1:13" ht="21.6" x14ac:dyDescent="0.65">
      <c r="A63" s="195"/>
      <c r="B63" s="140">
        <v>60</v>
      </c>
      <c r="C63" s="2"/>
      <c r="D63" s="1"/>
      <c r="E63" s="3"/>
      <c r="F63" s="1"/>
      <c r="G63" s="141">
        <f>IF(Basic345678910[[#This Row],[نوع الخدمة]]="مخالفات", 50,
IF(Basic345678910[[#This Row],[نوع الخدمة]]="كاش ان",
    IF(F63&lt;=100, 18, IF(F63&lt;=250, 23, IF(F63&lt;=500, 35, IF(F63&lt;=1000, 40, F63*0.04)))),
IF(Basic345678910[[#This Row],[نوع الخدمة]]="كاش اوت",
    IF(F63&lt;=100, 15, IF(F63&lt;=250, 20, IF(F63&lt;=500, 30, IF(F63&lt;=1000, 35, F63*0.035)))),
0)))</f>
        <v>0</v>
      </c>
      <c r="H63" s="159">
        <f>IF(I63="مخالفات",50,Basic345678910[[#This Row],[قيمة الرسوم / العموله]]+Basic345678910[[#This Row],[قيمة الشحنه]])</f>
        <v>0</v>
      </c>
      <c r="I63" s="90"/>
      <c r="J63" s="142" t="str">
        <f t="shared" si="0"/>
        <v>23.5.2026</v>
      </c>
      <c r="L63" s="153">
        <v>52</v>
      </c>
      <c r="M63" s="92"/>
    </row>
    <row r="64" spans="1:13" ht="21.6" x14ac:dyDescent="0.65">
      <c r="A64" s="195"/>
      <c r="B64" s="140">
        <v>61</v>
      </c>
      <c r="C64" s="2"/>
      <c r="D64" s="1"/>
      <c r="E64" s="3"/>
      <c r="F64" s="1"/>
      <c r="G64" s="141">
        <f>IF(Basic345678910[[#This Row],[نوع الخدمة]]="مخالفات", 50,
IF(Basic345678910[[#This Row],[نوع الخدمة]]="كاش ان",
    IF(F64&lt;=100, 18, IF(F64&lt;=250, 23, IF(F64&lt;=500, 35, IF(F64&lt;=1000, 40, F64*0.04)))),
IF(Basic345678910[[#This Row],[نوع الخدمة]]="كاش اوت",
    IF(F64&lt;=100, 15, IF(F64&lt;=250, 20, IF(F64&lt;=500, 30, IF(F64&lt;=1000, 35, F64*0.035)))),
0)))</f>
        <v>0</v>
      </c>
      <c r="H64" s="159">
        <f>IF(I64="مخالفات",50,Basic345678910[[#This Row],[قيمة الرسوم / العموله]]+Basic345678910[[#This Row],[قيمة الشحنه]])</f>
        <v>0</v>
      </c>
      <c r="I64" s="90"/>
      <c r="J64" s="142" t="str">
        <f t="shared" si="0"/>
        <v>23.5.2026</v>
      </c>
      <c r="L64" s="153">
        <v>53</v>
      </c>
      <c r="M64" s="92"/>
    </row>
    <row r="65" spans="1:13" ht="21.6" x14ac:dyDescent="0.65">
      <c r="A65" s="195"/>
      <c r="B65" s="144">
        <v>62</v>
      </c>
      <c r="C65" s="2"/>
      <c r="D65" s="1"/>
      <c r="E65" s="3"/>
      <c r="F65" s="1"/>
      <c r="G65" s="141">
        <f>IF(Basic345678910[[#This Row],[نوع الخدمة]]="مخالفات", 50,
IF(Basic345678910[[#This Row],[نوع الخدمة]]="كاش ان",
    IF(F65&lt;=100, 18, IF(F65&lt;=250, 23, IF(F65&lt;=500, 35, IF(F65&lt;=1000, 40, F65*0.04)))),
IF(Basic345678910[[#This Row],[نوع الخدمة]]="كاش اوت",
    IF(F65&lt;=100, 15, IF(F65&lt;=250, 20, IF(F65&lt;=500, 30, IF(F65&lt;=1000, 35, F65*0.035)))),
0)))</f>
        <v>0</v>
      </c>
      <c r="H65" s="159">
        <f>IF(I65="مخالفات",50,Basic345678910[[#This Row],[قيمة الرسوم / العموله]]+Basic345678910[[#This Row],[قيمة الشحنه]])</f>
        <v>0</v>
      </c>
      <c r="I65" s="90"/>
      <c r="J65" s="142" t="str">
        <f t="shared" si="0"/>
        <v>23.5.2026</v>
      </c>
      <c r="L65" s="153">
        <v>54</v>
      </c>
      <c r="M65" s="92"/>
    </row>
    <row r="66" spans="1:13" ht="21.6" x14ac:dyDescent="0.65">
      <c r="A66" s="195"/>
      <c r="B66" s="140">
        <v>63</v>
      </c>
      <c r="C66" s="2"/>
      <c r="D66" s="1"/>
      <c r="E66" s="3"/>
      <c r="F66" s="1"/>
      <c r="G66" s="141">
        <f>IF(Basic345678910[[#This Row],[نوع الخدمة]]="مخالفات", 50,
IF(Basic345678910[[#This Row],[نوع الخدمة]]="كاش ان",
    IF(F66&lt;=100, 18, IF(F66&lt;=250, 23, IF(F66&lt;=500, 35, IF(F66&lt;=1000, 40, F66*0.04)))),
IF(Basic345678910[[#This Row],[نوع الخدمة]]="كاش اوت",
    IF(F66&lt;=100, 15, IF(F66&lt;=250, 20, IF(F66&lt;=500, 30, IF(F66&lt;=1000, 35, F66*0.035)))),
0)))</f>
        <v>0</v>
      </c>
      <c r="H66" s="159">
        <f>IF(I66="مخالفات",50,Basic345678910[[#This Row],[قيمة الرسوم / العموله]]+Basic345678910[[#This Row],[قيمة الشحنه]])</f>
        <v>0</v>
      </c>
      <c r="I66" s="90"/>
      <c r="J66" s="142" t="str">
        <f t="shared" si="0"/>
        <v>23.5.2026</v>
      </c>
      <c r="L66" s="153">
        <v>55</v>
      </c>
      <c r="M66" s="92"/>
    </row>
    <row r="67" spans="1:13" ht="21.6" x14ac:dyDescent="0.65">
      <c r="A67" s="195"/>
      <c r="B67" s="140">
        <v>64</v>
      </c>
      <c r="C67" s="2"/>
      <c r="D67" s="1"/>
      <c r="E67" s="3"/>
      <c r="F67" s="1"/>
      <c r="G67" s="141">
        <f>IF(Basic345678910[[#This Row],[نوع الخدمة]]="مخالفات", 50,
IF(Basic345678910[[#This Row],[نوع الخدمة]]="كاش ان",
    IF(F67&lt;=100, 18, IF(F67&lt;=250, 23, IF(F67&lt;=500, 35, IF(F67&lt;=1000, 40, F67*0.04)))),
IF(Basic345678910[[#This Row],[نوع الخدمة]]="كاش اوت",
    IF(F67&lt;=100, 15, IF(F67&lt;=250, 20, IF(F67&lt;=500, 30, IF(F67&lt;=1000, 35, F67*0.035)))),
0)))</f>
        <v>0</v>
      </c>
      <c r="H67" s="159">
        <f>IF(I67="مخالفات",50,Basic345678910[[#This Row],[قيمة الرسوم / العموله]]+Basic345678910[[#This Row],[قيمة الشحنه]])</f>
        <v>0</v>
      </c>
      <c r="I67" s="90"/>
      <c r="J67" s="142" t="str">
        <f t="shared" si="0"/>
        <v>23.5.2026</v>
      </c>
      <c r="L67" s="153">
        <v>56</v>
      </c>
      <c r="M67" s="92"/>
    </row>
    <row r="68" spans="1:13" ht="21.6" x14ac:dyDescent="0.65">
      <c r="A68" s="195"/>
      <c r="B68" s="140">
        <v>65</v>
      </c>
      <c r="C68" s="2"/>
      <c r="D68" s="1"/>
      <c r="E68" s="3"/>
      <c r="F68" s="1"/>
      <c r="G68" s="141">
        <f>IF(Basic345678910[[#This Row],[نوع الخدمة]]="مخالفات", 50,
IF(Basic345678910[[#This Row],[نوع الخدمة]]="كاش ان",
    IF(F68&lt;=100, 18, IF(F68&lt;=250, 23, IF(F68&lt;=500, 35, IF(F68&lt;=1000, 40, F68*0.04)))),
IF(Basic345678910[[#This Row],[نوع الخدمة]]="كاش اوت",
    IF(F68&lt;=100, 15, IF(F68&lt;=250, 20, IF(F68&lt;=500, 30, IF(F68&lt;=1000, 35, F68*0.035)))),
0)))</f>
        <v>0</v>
      </c>
      <c r="H68" s="159">
        <f>IF(I68="مخالفات",50,Basic345678910[[#This Row],[قيمة الرسوم / العموله]]+Basic345678910[[#This Row],[قيمة الشحنه]])</f>
        <v>0</v>
      </c>
      <c r="I68" s="90"/>
      <c r="J68" s="142" t="str">
        <f t="shared" ref="J68:J131" si="1">M$3</f>
        <v>23.5.2026</v>
      </c>
      <c r="L68" s="153">
        <v>57</v>
      </c>
      <c r="M68" s="92"/>
    </row>
    <row r="69" spans="1:13" ht="21.6" x14ac:dyDescent="0.65">
      <c r="A69" s="195"/>
      <c r="B69" s="144">
        <v>66</v>
      </c>
      <c r="C69" s="2"/>
      <c r="D69" s="1"/>
      <c r="E69" s="3"/>
      <c r="F69" s="1"/>
      <c r="G69" s="141">
        <f>IF(Basic345678910[[#This Row],[نوع الخدمة]]="مخالفات", 50,
IF(Basic345678910[[#This Row],[نوع الخدمة]]="كاش ان",
    IF(F69&lt;=100, 18, IF(F69&lt;=250, 23, IF(F69&lt;=500, 35, IF(F69&lt;=1000, 40, F69*0.04)))),
IF(Basic345678910[[#This Row],[نوع الخدمة]]="كاش اوت",
    IF(F69&lt;=100, 15, IF(F69&lt;=250, 20, IF(F69&lt;=500, 30, IF(F69&lt;=1000, 35, F69*0.035)))),
0)))</f>
        <v>0</v>
      </c>
      <c r="H69" s="159">
        <f>IF(I69="مخالفات",50,Basic345678910[[#This Row],[قيمة الرسوم / العموله]]+Basic345678910[[#This Row],[قيمة الشحنه]])</f>
        <v>0</v>
      </c>
      <c r="I69" s="90"/>
      <c r="J69" s="142" t="str">
        <f t="shared" si="1"/>
        <v>23.5.2026</v>
      </c>
      <c r="L69" s="153">
        <v>58</v>
      </c>
      <c r="M69" s="92"/>
    </row>
    <row r="70" spans="1:13" ht="21.6" x14ac:dyDescent="0.65">
      <c r="A70" s="195"/>
      <c r="B70" s="140">
        <v>67</v>
      </c>
      <c r="C70" s="2"/>
      <c r="D70" s="1"/>
      <c r="E70" s="3"/>
      <c r="F70" s="1"/>
      <c r="G70" s="141">
        <f>IF(Basic345678910[[#This Row],[نوع الخدمة]]="مخالفات", 50,
IF(Basic345678910[[#This Row],[نوع الخدمة]]="كاش ان",
    IF(F70&lt;=100, 18, IF(F70&lt;=250, 23, IF(F70&lt;=500, 35, IF(F70&lt;=1000, 40, F70*0.04)))),
IF(Basic345678910[[#This Row],[نوع الخدمة]]="كاش اوت",
    IF(F70&lt;=100, 15, IF(F70&lt;=250, 20, IF(F70&lt;=500, 30, IF(F70&lt;=1000, 35, F70*0.035)))),
0)))</f>
        <v>0</v>
      </c>
      <c r="H70" s="159">
        <f>IF(I70="مخالفات",50,Basic345678910[[#This Row],[قيمة الرسوم / العموله]]+Basic345678910[[#This Row],[قيمة الشحنه]])</f>
        <v>0</v>
      </c>
      <c r="I70" s="90"/>
      <c r="J70" s="142" t="str">
        <f t="shared" si="1"/>
        <v>23.5.2026</v>
      </c>
      <c r="L70" s="153">
        <v>59</v>
      </c>
      <c r="M70" s="92"/>
    </row>
    <row r="71" spans="1:13" ht="21.6" x14ac:dyDescent="0.65">
      <c r="A71" s="195"/>
      <c r="B71" s="140">
        <v>68</v>
      </c>
      <c r="C71" s="2"/>
      <c r="D71" s="1"/>
      <c r="E71" s="3"/>
      <c r="F71" s="1"/>
      <c r="G71" s="141">
        <f>IF(Basic345678910[[#This Row],[نوع الخدمة]]="مخالفات", 50,
IF(Basic345678910[[#This Row],[نوع الخدمة]]="كاش ان",
    IF(F71&lt;=100, 18, IF(F71&lt;=250, 23, IF(F71&lt;=500, 35, IF(F71&lt;=1000, 40, F71*0.04)))),
IF(Basic345678910[[#This Row],[نوع الخدمة]]="كاش اوت",
    IF(F71&lt;=100, 15, IF(F71&lt;=250, 20, IF(F71&lt;=500, 30, IF(F71&lt;=1000, 35, F71*0.035)))),
0)))</f>
        <v>0</v>
      </c>
      <c r="H71" s="159">
        <f>IF(I71="مخالفات",50,Basic345678910[[#This Row],[قيمة الرسوم / العموله]]+Basic345678910[[#This Row],[قيمة الشحنه]])</f>
        <v>0</v>
      </c>
      <c r="I71" s="90"/>
      <c r="J71" s="142" t="str">
        <f t="shared" si="1"/>
        <v>23.5.2026</v>
      </c>
      <c r="L71" s="153">
        <v>60</v>
      </c>
      <c r="M71" s="92"/>
    </row>
    <row r="72" spans="1:13" ht="21.6" x14ac:dyDescent="0.65">
      <c r="A72" s="195"/>
      <c r="B72" s="140">
        <v>69</v>
      </c>
      <c r="C72" s="2"/>
      <c r="D72" s="1"/>
      <c r="E72" s="3"/>
      <c r="F72" s="1"/>
      <c r="G72" s="141">
        <f>IF(Basic345678910[[#This Row],[نوع الخدمة]]="مخالفات", 50,
IF(Basic345678910[[#This Row],[نوع الخدمة]]="كاش ان",
    IF(F72&lt;=100, 18, IF(F72&lt;=250, 23, IF(F72&lt;=500, 35, IF(F72&lt;=1000, 40, F72*0.04)))),
IF(Basic345678910[[#This Row],[نوع الخدمة]]="كاش اوت",
    IF(F72&lt;=100, 15, IF(F72&lt;=250, 20, IF(F72&lt;=500, 30, IF(F72&lt;=1000, 35, F72*0.035)))),
0)))</f>
        <v>0</v>
      </c>
      <c r="H72" s="159">
        <f>IF(I72="مخالفات",50,Basic345678910[[#This Row],[قيمة الرسوم / العموله]]+Basic345678910[[#This Row],[قيمة الشحنه]])</f>
        <v>0</v>
      </c>
      <c r="I72" s="90"/>
      <c r="J72" s="142" t="str">
        <f t="shared" si="1"/>
        <v>23.5.2026</v>
      </c>
      <c r="L72" s="153">
        <v>61</v>
      </c>
      <c r="M72" s="92"/>
    </row>
    <row r="73" spans="1:13" ht="21.6" x14ac:dyDescent="0.65">
      <c r="A73" s="195"/>
      <c r="B73" s="144">
        <v>70</v>
      </c>
      <c r="C73" s="2"/>
      <c r="D73" s="1"/>
      <c r="E73" s="3"/>
      <c r="F73" s="1"/>
      <c r="G73" s="141">
        <f>IF(Basic345678910[[#This Row],[نوع الخدمة]]="مخالفات", 50,
IF(Basic345678910[[#This Row],[نوع الخدمة]]="كاش ان",
    IF(F73&lt;=100, 18, IF(F73&lt;=250, 23, IF(F73&lt;=500, 35, IF(F73&lt;=1000, 40, F73*0.04)))),
IF(Basic345678910[[#This Row],[نوع الخدمة]]="كاش اوت",
    IF(F73&lt;=100, 15, IF(F73&lt;=250, 20, IF(F73&lt;=500, 30, IF(F73&lt;=1000, 35, F73*0.035)))),
0)))</f>
        <v>0</v>
      </c>
      <c r="H73" s="159">
        <f>IF(I73="مخالفات",50,Basic345678910[[#This Row],[قيمة الرسوم / العموله]]+Basic345678910[[#This Row],[قيمة الشحنه]])</f>
        <v>0</v>
      </c>
      <c r="I73" s="90"/>
      <c r="J73" s="142" t="str">
        <f t="shared" si="1"/>
        <v>23.5.2026</v>
      </c>
      <c r="L73" s="153">
        <v>62</v>
      </c>
      <c r="M73" s="92"/>
    </row>
    <row r="74" spans="1:13" ht="21.6" x14ac:dyDescent="0.65">
      <c r="A74" s="195"/>
      <c r="B74" s="140">
        <v>71</v>
      </c>
      <c r="C74" s="2"/>
      <c r="D74" s="1"/>
      <c r="E74" s="3"/>
      <c r="F74" s="1"/>
      <c r="G74" s="141">
        <f>IF(Basic345678910[[#This Row],[نوع الخدمة]]="مخالفات", 50,
IF(Basic345678910[[#This Row],[نوع الخدمة]]="كاش ان",
    IF(F74&lt;=100, 18, IF(F74&lt;=250, 23, IF(F74&lt;=500, 35, IF(F74&lt;=1000, 40, F74*0.04)))),
IF(Basic345678910[[#This Row],[نوع الخدمة]]="كاش اوت",
    IF(F74&lt;=100, 15, IF(F74&lt;=250, 20, IF(F74&lt;=500, 30, IF(F74&lt;=1000, 35, F74*0.035)))),
0)))</f>
        <v>0</v>
      </c>
      <c r="H74" s="159">
        <f>IF(I74="مخالفات",50,Basic345678910[[#This Row],[قيمة الرسوم / العموله]]+Basic345678910[[#This Row],[قيمة الشحنه]])</f>
        <v>0</v>
      </c>
      <c r="I74" s="90"/>
      <c r="J74" s="142" t="str">
        <f t="shared" si="1"/>
        <v>23.5.2026</v>
      </c>
      <c r="L74" s="153">
        <v>63</v>
      </c>
      <c r="M74" s="92"/>
    </row>
    <row r="75" spans="1:13" ht="21.6" x14ac:dyDescent="0.65">
      <c r="A75" s="195"/>
      <c r="B75" s="140">
        <v>72</v>
      </c>
      <c r="C75" s="2"/>
      <c r="D75" s="1"/>
      <c r="E75" s="3"/>
      <c r="F75" s="1"/>
      <c r="G75" s="141">
        <f>IF(Basic345678910[[#This Row],[نوع الخدمة]]="مخالفات", 50,
IF(Basic345678910[[#This Row],[نوع الخدمة]]="كاش ان",
    IF(F75&lt;=100, 18, IF(F75&lt;=250, 23, IF(F75&lt;=500, 35, IF(F75&lt;=1000, 40, F75*0.04)))),
IF(Basic345678910[[#This Row],[نوع الخدمة]]="كاش اوت",
    IF(F75&lt;=100, 15, IF(F75&lt;=250, 20, IF(F75&lt;=500, 30, IF(F75&lt;=1000, 35, F75*0.035)))),
0)))</f>
        <v>0</v>
      </c>
      <c r="H75" s="159">
        <f>IF(I75="مخالفات",50,Basic345678910[[#This Row],[قيمة الرسوم / العموله]]+Basic345678910[[#This Row],[قيمة الشحنه]])</f>
        <v>0</v>
      </c>
      <c r="I75" s="90"/>
      <c r="J75" s="142" t="str">
        <f t="shared" si="1"/>
        <v>23.5.2026</v>
      </c>
      <c r="L75" s="153">
        <v>64</v>
      </c>
      <c r="M75" s="92"/>
    </row>
    <row r="76" spans="1:13" ht="21.6" x14ac:dyDescent="0.65">
      <c r="A76" s="195"/>
      <c r="B76" s="140">
        <v>73</v>
      </c>
      <c r="C76" s="2"/>
      <c r="D76" s="1"/>
      <c r="E76" s="3"/>
      <c r="F76" s="1"/>
      <c r="G76" s="141">
        <f>IF(Basic345678910[[#This Row],[نوع الخدمة]]="مخالفات", 50,
IF(Basic345678910[[#This Row],[نوع الخدمة]]="كاش ان",
    IF(F76&lt;=100, 18, IF(F76&lt;=250, 23, IF(F76&lt;=500, 35, IF(F76&lt;=1000, 40, F76*0.04)))),
IF(Basic345678910[[#This Row],[نوع الخدمة]]="كاش اوت",
    IF(F76&lt;=100, 15, IF(F76&lt;=250, 20, IF(F76&lt;=500, 30, IF(F76&lt;=1000, 35, F76*0.035)))),
0)))</f>
        <v>0</v>
      </c>
      <c r="H76" s="159">
        <f>IF(I76="مخالفات",50,Basic345678910[[#This Row],[قيمة الرسوم / العموله]]+Basic345678910[[#This Row],[قيمة الشحنه]])</f>
        <v>0</v>
      </c>
      <c r="I76" s="90"/>
      <c r="J76" s="142" t="str">
        <f t="shared" si="1"/>
        <v>23.5.2026</v>
      </c>
      <c r="L76" s="153">
        <v>65</v>
      </c>
      <c r="M76" s="92"/>
    </row>
    <row r="77" spans="1:13" ht="21.6" x14ac:dyDescent="0.65">
      <c r="A77" s="195"/>
      <c r="B77" s="144">
        <v>74</v>
      </c>
      <c r="C77" s="2"/>
      <c r="D77" s="1"/>
      <c r="E77" s="3"/>
      <c r="F77" s="1"/>
      <c r="G77" s="141">
        <f>IF(Basic345678910[[#This Row],[نوع الخدمة]]="مخالفات", 50,
IF(Basic345678910[[#This Row],[نوع الخدمة]]="كاش ان",
    IF(F77&lt;=100, 18, IF(F77&lt;=250, 23, IF(F77&lt;=500, 35, IF(F77&lt;=1000, 40, F77*0.04)))),
IF(Basic345678910[[#This Row],[نوع الخدمة]]="كاش اوت",
    IF(F77&lt;=100, 15, IF(F77&lt;=250, 20, IF(F77&lt;=500, 30, IF(F77&lt;=1000, 35, F77*0.035)))),
0)))</f>
        <v>0</v>
      </c>
      <c r="H77" s="159">
        <f>IF(I77="مخالفات",50,Basic345678910[[#This Row],[قيمة الرسوم / العموله]]+Basic345678910[[#This Row],[قيمة الشحنه]])</f>
        <v>0</v>
      </c>
      <c r="I77" s="90"/>
      <c r="J77" s="142" t="str">
        <f t="shared" si="1"/>
        <v>23.5.2026</v>
      </c>
      <c r="L77" s="153">
        <v>66</v>
      </c>
      <c r="M77" s="92"/>
    </row>
    <row r="78" spans="1:13" ht="21.6" x14ac:dyDescent="0.65">
      <c r="A78" s="195"/>
      <c r="B78" s="140">
        <v>75</v>
      </c>
      <c r="C78" s="2"/>
      <c r="D78" s="1"/>
      <c r="E78" s="3"/>
      <c r="F78" s="1"/>
      <c r="G78" s="141">
        <f>IF(Basic345678910[[#This Row],[نوع الخدمة]]="مخالفات", 50,
IF(Basic345678910[[#This Row],[نوع الخدمة]]="كاش ان",
    IF(F78&lt;=100, 18, IF(F78&lt;=250, 23, IF(F78&lt;=500, 35, IF(F78&lt;=1000, 40, F78*0.04)))),
IF(Basic345678910[[#This Row],[نوع الخدمة]]="كاش اوت",
    IF(F78&lt;=100, 15, IF(F78&lt;=250, 20, IF(F78&lt;=500, 30, IF(F78&lt;=1000, 35, F78*0.035)))),
0)))</f>
        <v>0</v>
      </c>
      <c r="H78" s="159">
        <f>IF(I78="مخالفات",50,Basic345678910[[#This Row],[قيمة الرسوم / العموله]]+Basic345678910[[#This Row],[قيمة الشحنه]])</f>
        <v>0</v>
      </c>
      <c r="I78" s="90"/>
      <c r="J78" s="142" t="str">
        <f t="shared" si="1"/>
        <v>23.5.2026</v>
      </c>
      <c r="L78" s="153">
        <v>67</v>
      </c>
      <c r="M78" s="92"/>
    </row>
    <row r="79" spans="1:13" ht="21.6" x14ac:dyDescent="0.65">
      <c r="A79" s="195"/>
      <c r="B79" s="140">
        <v>76</v>
      </c>
      <c r="C79" s="2"/>
      <c r="D79" s="1"/>
      <c r="E79" s="3"/>
      <c r="F79" s="1"/>
      <c r="G79" s="141">
        <f>IF(Basic345678910[[#This Row],[نوع الخدمة]]="مخالفات", 50,
IF(Basic345678910[[#This Row],[نوع الخدمة]]="كاش ان",
    IF(F79&lt;=100, 18, IF(F79&lt;=250, 23, IF(F79&lt;=500, 35, IF(F79&lt;=1000, 40, F79*0.04)))),
IF(Basic345678910[[#This Row],[نوع الخدمة]]="كاش اوت",
    IF(F79&lt;=100, 15, IF(F79&lt;=250, 20, IF(F79&lt;=500, 30, IF(F79&lt;=1000, 35, F79*0.035)))),
0)))</f>
        <v>0</v>
      </c>
      <c r="H79" s="159">
        <f>IF(I79="مخالفات",50,Basic345678910[[#This Row],[قيمة الرسوم / العموله]]+Basic345678910[[#This Row],[قيمة الشحنه]])</f>
        <v>0</v>
      </c>
      <c r="I79" s="90"/>
      <c r="J79" s="142" t="str">
        <f t="shared" si="1"/>
        <v>23.5.2026</v>
      </c>
      <c r="L79" s="153">
        <v>68</v>
      </c>
      <c r="M79" s="92"/>
    </row>
    <row r="80" spans="1:13" ht="21.6" x14ac:dyDescent="0.65">
      <c r="A80" s="195"/>
      <c r="B80" s="140">
        <v>77</v>
      </c>
      <c r="C80" s="2"/>
      <c r="D80" s="1"/>
      <c r="E80" s="3"/>
      <c r="F80" s="1"/>
      <c r="G80" s="141">
        <f>IF(Basic345678910[[#This Row],[نوع الخدمة]]="مخالفات", 50,
IF(Basic345678910[[#This Row],[نوع الخدمة]]="كاش ان",
    IF(F80&lt;=100, 18, IF(F80&lt;=250, 23, IF(F80&lt;=500, 35, IF(F80&lt;=1000, 40, F80*0.04)))),
IF(Basic345678910[[#This Row],[نوع الخدمة]]="كاش اوت",
    IF(F80&lt;=100, 15, IF(F80&lt;=250, 20, IF(F80&lt;=500, 30, IF(F80&lt;=1000, 35, F80*0.035)))),
0)))</f>
        <v>0</v>
      </c>
      <c r="H80" s="159">
        <f>IF(I80="مخالفات",50,Basic345678910[[#This Row],[قيمة الرسوم / العموله]]+Basic345678910[[#This Row],[قيمة الشحنه]])</f>
        <v>0</v>
      </c>
      <c r="I80" s="90"/>
      <c r="J80" s="142" t="str">
        <f t="shared" si="1"/>
        <v>23.5.2026</v>
      </c>
      <c r="L80" s="153">
        <v>69</v>
      </c>
      <c r="M80" s="92"/>
    </row>
    <row r="81" spans="1:13" ht="21.6" x14ac:dyDescent="0.65">
      <c r="A81" s="195"/>
      <c r="B81" s="144">
        <v>78</v>
      </c>
      <c r="C81" s="2"/>
      <c r="D81" s="1"/>
      <c r="E81" s="3"/>
      <c r="F81" s="1"/>
      <c r="G81" s="141">
        <f>IF(Basic345678910[[#This Row],[نوع الخدمة]]="مخالفات", 50,
IF(Basic345678910[[#This Row],[نوع الخدمة]]="كاش ان",
    IF(F81&lt;=100, 18, IF(F81&lt;=250, 23, IF(F81&lt;=500, 35, IF(F81&lt;=1000, 40, F81*0.04)))),
IF(Basic345678910[[#This Row],[نوع الخدمة]]="كاش اوت",
    IF(F81&lt;=100, 15, IF(F81&lt;=250, 20, IF(F81&lt;=500, 30, IF(F81&lt;=1000, 35, F81*0.035)))),
0)))</f>
        <v>0</v>
      </c>
      <c r="H81" s="159">
        <f>IF(I81="مخالفات",50,Basic345678910[[#This Row],[قيمة الرسوم / العموله]]+Basic345678910[[#This Row],[قيمة الشحنه]])</f>
        <v>0</v>
      </c>
      <c r="I81" s="90"/>
      <c r="J81" s="142" t="str">
        <f t="shared" si="1"/>
        <v>23.5.2026</v>
      </c>
      <c r="L81" s="153">
        <v>70</v>
      </c>
      <c r="M81" s="92"/>
    </row>
    <row r="82" spans="1:13" ht="21.6" x14ac:dyDescent="0.65">
      <c r="A82" s="195"/>
      <c r="B82" s="140">
        <v>79</v>
      </c>
      <c r="C82" s="2"/>
      <c r="D82" s="1"/>
      <c r="E82" s="3"/>
      <c r="F82" s="1"/>
      <c r="G82" s="141">
        <f>IF(Basic345678910[[#This Row],[نوع الخدمة]]="مخالفات", 50,
IF(Basic345678910[[#This Row],[نوع الخدمة]]="كاش ان",
    IF(F82&lt;=100, 18, IF(F82&lt;=250, 23, IF(F82&lt;=500, 35, IF(F82&lt;=1000, 40, F82*0.04)))),
IF(Basic345678910[[#This Row],[نوع الخدمة]]="كاش اوت",
    IF(F82&lt;=100, 15, IF(F82&lt;=250, 20, IF(F82&lt;=500, 30, IF(F82&lt;=1000, 35, F82*0.035)))),
0)))</f>
        <v>0</v>
      </c>
      <c r="H82" s="159">
        <f>IF(I82="مخالفات",50,Basic345678910[[#This Row],[قيمة الرسوم / العموله]]+Basic345678910[[#This Row],[قيمة الشحنه]])</f>
        <v>0</v>
      </c>
      <c r="I82" s="90"/>
      <c r="J82" s="142" t="str">
        <f t="shared" si="1"/>
        <v>23.5.2026</v>
      </c>
      <c r="L82" s="153">
        <v>71</v>
      </c>
      <c r="M82" s="92"/>
    </row>
    <row r="83" spans="1:13" ht="21.6" x14ac:dyDescent="0.65">
      <c r="A83" s="195"/>
      <c r="B83" s="140">
        <v>80</v>
      </c>
      <c r="C83" s="2"/>
      <c r="D83" s="1"/>
      <c r="E83" s="3"/>
      <c r="F83" s="1"/>
      <c r="G83" s="141">
        <f>IF(Basic345678910[[#This Row],[نوع الخدمة]]="مخالفات", 50,
IF(Basic345678910[[#This Row],[نوع الخدمة]]="كاش ان",
    IF(F83&lt;=100, 18, IF(F83&lt;=250, 23, IF(F83&lt;=500, 35, IF(F83&lt;=1000, 40, F83*0.04)))),
IF(Basic345678910[[#This Row],[نوع الخدمة]]="كاش اوت",
    IF(F83&lt;=100, 15, IF(F83&lt;=250, 20, IF(F83&lt;=500, 30, IF(F83&lt;=1000, 35, F83*0.035)))),
0)))</f>
        <v>0</v>
      </c>
      <c r="H83" s="159">
        <f>IF(I83="مخالفات",50,Basic345678910[[#This Row],[قيمة الرسوم / العموله]]+Basic345678910[[#This Row],[قيمة الشحنه]])</f>
        <v>0</v>
      </c>
      <c r="I83" s="90"/>
      <c r="J83" s="142" t="str">
        <f t="shared" si="1"/>
        <v>23.5.2026</v>
      </c>
      <c r="L83" s="153">
        <v>72</v>
      </c>
      <c r="M83" s="92"/>
    </row>
    <row r="84" spans="1:13" ht="21.6" x14ac:dyDescent="0.65">
      <c r="A84" s="195"/>
      <c r="B84" s="140">
        <v>81</v>
      </c>
      <c r="C84" s="2"/>
      <c r="D84" s="1"/>
      <c r="E84" s="3"/>
      <c r="F84" s="1"/>
      <c r="G84" s="141">
        <f>IF(Basic345678910[[#This Row],[نوع الخدمة]]="مخالفات", 50,
IF(Basic345678910[[#This Row],[نوع الخدمة]]="كاش ان",
    IF(F84&lt;=100, 18, IF(F84&lt;=250, 23, IF(F84&lt;=500, 35, IF(F84&lt;=1000, 40, F84*0.04)))),
IF(Basic345678910[[#This Row],[نوع الخدمة]]="كاش اوت",
    IF(F84&lt;=100, 15, IF(F84&lt;=250, 20, IF(F84&lt;=500, 30, IF(F84&lt;=1000, 35, F84*0.035)))),
0)))</f>
        <v>0</v>
      </c>
      <c r="H84" s="159">
        <f>IF(I84="مخالفات",50,Basic345678910[[#This Row],[قيمة الرسوم / العموله]]+Basic345678910[[#This Row],[قيمة الشحنه]])</f>
        <v>0</v>
      </c>
      <c r="I84" s="90"/>
      <c r="J84" s="142" t="str">
        <f t="shared" si="1"/>
        <v>23.5.2026</v>
      </c>
      <c r="L84" s="153">
        <v>73</v>
      </c>
      <c r="M84" s="92"/>
    </row>
    <row r="85" spans="1:13" ht="21.6" x14ac:dyDescent="0.65">
      <c r="A85" s="195"/>
      <c r="B85" s="144">
        <v>82</v>
      </c>
      <c r="C85" s="2"/>
      <c r="D85" s="1"/>
      <c r="E85" s="3"/>
      <c r="F85" s="1"/>
      <c r="G85" s="141">
        <f>IF(Basic345678910[[#This Row],[نوع الخدمة]]="مخالفات", 50,
IF(Basic345678910[[#This Row],[نوع الخدمة]]="كاش ان",
    IF(F85&lt;=100, 18, IF(F85&lt;=250, 23, IF(F85&lt;=500, 35, IF(F85&lt;=1000, 40, F85*0.04)))),
IF(Basic345678910[[#This Row],[نوع الخدمة]]="كاش اوت",
    IF(F85&lt;=100, 15, IF(F85&lt;=250, 20, IF(F85&lt;=500, 30, IF(F85&lt;=1000, 35, F85*0.035)))),
0)))</f>
        <v>0</v>
      </c>
      <c r="H85" s="159">
        <f>IF(I85="مخالفات",50,Basic345678910[[#This Row],[قيمة الرسوم / العموله]]+Basic345678910[[#This Row],[قيمة الشحنه]])</f>
        <v>0</v>
      </c>
      <c r="I85" s="90"/>
      <c r="J85" s="142" t="str">
        <f t="shared" si="1"/>
        <v>23.5.2026</v>
      </c>
      <c r="L85" s="153">
        <v>74</v>
      </c>
      <c r="M85" s="92"/>
    </row>
    <row r="86" spans="1:13" ht="21.6" x14ac:dyDescent="0.65">
      <c r="A86" s="195"/>
      <c r="B86" s="140">
        <v>83</v>
      </c>
      <c r="C86" s="2"/>
      <c r="D86" s="1"/>
      <c r="E86" s="3"/>
      <c r="F86" s="1"/>
      <c r="G86" s="141">
        <f>IF(Basic345678910[[#This Row],[نوع الخدمة]]="مخالفات", 50,
IF(Basic345678910[[#This Row],[نوع الخدمة]]="كاش ان",
    IF(F86&lt;=100, 18, IF(F86&lt;=250, 23, IF(F86&lt;=500, 35, IF(F86&lt;=1000, 40, F86*0.04)))),
IF(Basic345678910[[#This Row],[نوع الخدمة]]="كاش اوت",
    IF(F86&lt;=100, 15, IF(F86&lt;=250, 20, IF(F86&lt;=500, 30, IF(F86&lt;=1000, 35, F86*0.035)))),
0)))</f>
        <v>0</v>
      </c>
      <c r="H86" s="159">
        <f>IF(I86="مخالفات",50,Basic345678910[[#This Row],[قيمة الرسوم / العموله]]+Basic345678910[[#This Row],[قيمة الشحنه]])</f>
        <v>0</v>
      </c>
      <c r="I86" s="90"/>
      <c r="J86" s="142" t="str">
        <f t="shared" si="1"/>
        <v>23.5.2026</v>
      </c>
      <c r="L86" s="153">
        <v>75</v>
      </c>
      <c r="M86" s="92"/>
    </row>
    <row r="87" spans="1:13" ht="21.6" x14ac:dyDescent="0.65">
      <c r="A87" s="195"/>
      <c r="B87" s="140">
        <v>84</v>
      </c>
      <c r="C87" s="2"/>
      <c r="D87" s="1"/>
      <c r="E87" s="3"/>
      <c r="F87" s="1"/>
      <c r="G87" s="141">
        <f>IF(Basic345678910[[#This Row],[نوع الخدمة]]="مخالفات", 50,
IF(Basic345678910[[#This Row],[نوع الخدمة]]="كاش ان",
    IF(F87&lt;=100, 18, IF(F87&lt;=250, 23, IF(F87&lt;=500, 35, IF(F87&lt;=1000, 40, F87*0.04)))),
IF(Basic345678910[[#This Row],[نوع الخدمة]]="كاش اوت",
    IF(F87&lt;=100, 15, IF(F87&lt;=250, 20, IF(F87&lt;=500, 30, IF(F87&lt;=1000, 35, F87*0.035)))),
0)))</f>
        <v>0</v>
      </c>
      <c r="H87" s="159">
        <f>IF(I87="مخالفات",50,Basic345678910[[#This Row],[قيمة الرسوم / العموله]]+Basic345678910[[#This Row],[قيمة الشحنه]])</f>
        <v>0</v>
      </c>
      <c r="I87" s="90"/>
      <c r="J87" s="142" t="str">
        <f t="shared" si="1"/>
        <v>23.5.2026</v>
      </c>
      <c r="L87" s="153">
        <v>76</v>
      </c>
      <c r="M87" s="92"/>
    </row>
    <row r="88" spans="1:13" ht="21.6" x14ac:dyDescent="0.65">
      <c r="A88" s="195"/>
      <c r="B88" s="140">
        <v>85</v>
      </c>
      <c r="C88" s="2"/>
      <c r="D88" s="1"/>
      <c r="E88" s="3"/>
      <c r="F88" s="1"/>
      <c r="G88" s="141">
        <f>IF(Basic345678910[[#This Row],[نوع الخدمة]]="مخالفات", 50,
IF(Basic345678910[[#This Row],[نوع الخدمة]]="كاش ان",
    IF(F88&lt;=100, 18, IF(F88&lt;=250, 23, IF(F88&lt;=500, 35, IF(F88&lt;=1000, 40, F88*0.04)))),
IF(Basic345678910[[#This Row],[نوع الخدمة]]="كاش اوت",
    IF(F88&lt;=100, 15, IF(F88&lt;=250, 20, IF(F88&lt;=500, 30, IF(F88&lt;=1000, 35, F88*0.035)))),
0)))</f>
        <v>0</v>
      </c>
      <c r="H88" s="159">
        <f>IF(I88="مخالفات",50,Basic345678910[[#This Row],[قيمة الرسوم / العموله]]+Basic345678910[[#This Row],[قيمة الشحنه]])</f>
        <v>0</v>
      </c>
      <c r="I88" s="90"/>
      <c r="J88" s="142" t="str">
        <f t="shared" si="1"/>
        <v>23.5.2026</v>
      </c>
      <c r="L88" s="153">
        <v>77</v>
      </c>
      <c r="M88" s="92"/>
    </row>
    <row r="89" spans="1:13" ht="21.6" x14ac:dyDescent="0.65">
      <c r="A89" s="195"/>
      <c r="B89" s="144">
        <v>86</v>
      </c>
      <c r="C89" s="2"/>
      <c r="D89" s="1"/>
      <c r="E89" s="3"/>
      <c r="F89" s="1"/>
      <c r="G89" s="141">
        <f>IF(Basic345678910[[#This Row],[نوع الخدمة]]="مخالفات", 50,
IF(Basic345678910[[#This Row],[نوع الخدمة]]="كاش ان",
    IF(F89&lt;=100, 18, IF(F89&lt;=250, 23, IF(F89&lt;=500, 35, IF(F89&lt;=1000, 40, F89*0.04)))),
IF(Basic345678910[[#This Row],[نوع الخدمة]]="كاش اوت",
    IF(F89&lt;=100, 15, IF(F89&lt;=250, 20, IF(F89&lt;=500, 30, IF(F89&lt;=1000, 35, F89*0.035)))),
0)))</f>
        <v>0</v>
      </c>
      <c r="H89" s="159">
        <f>IF(I89="مخالفات",50,Basic345678910[[#This Row],[قيمة الرسوم / العموله]]+Basic345678910[[#This Row],[قيمة الشحنه]])</f>
        <v>0</v>
      </c>
      <c r="I89" s="90"/>
      <c r="J89" s="142" t="str">
        <f t="shared" si="1"/>
        <v>23.5.2026</v>
      </c>
      <c r="L89" s="153">
        <v>78</v>
      </c>
      <c r="M89" s="92"/>
    </row>
    <row r="90" spans="1:13" ht="21.6" x14ac:dyDescent="0.65">
      <c r="A90" s="195"/>
      <c r="B90" s="140">
        <v>87</v>
      </c>
      <c r="C90" s="2"/>
      <c r="D90" s="1"/>
      <c r="E90" s="3"/>
      <c r="F90" s="1"/>
      <c r="G90" s="141">
        <f>IF(Basic345678910[[#This Row],[نوع الخدمة]]="مخالفات", 50,
IF(Basic345678910[[#This Row],[نوع الخدمة]]="كاش ان",
    IF(F90&lt;=100, 18, IF(F90&lt;=250, 23, IF(F90&lt;=500, 35, IF(F90&lt;=1000, 40, F90*0.04)))),
IF(Basic345678910[[#This Row],[نوع الخدمة]]="كاش اوت",
    IF(F90&lt;=100, 15, IF(F90&lt;=250, 20, IF(F90&lt;=500, 30, IF(F90&lt;=1000, 35, F90*0.035)))),
0)))</f>
        <v>0</v>
      </c>
      <c r="H90" s="159">
        <f>IF(I90="مخالفات",50,Basic345678910[[#This Row],[قيمة الرسوم / العموله]]+Basic345678910[[#This Row],[قيمة الشحنه]])</f>
        <v>0</v>
      </c>
      <c r="I90" s="90"/>
      <c r="J90" s="142" t="str">
        <f t="shared" si="1"/>
        <v>23.5.2026</v>
      </c>
      <c r="L90" s="153">
        <v>79</v>
      </c>
      <c r="M90" s="92"/>
    </row>
    <row r="91" spans="1:13" ht="21.6" x14ac:dyDescent="0.65">
      <c r="A91" s="195"/>
      <c r="B91" s="140">
        <v>88</v>
      </c>
      <c r="C91" s="2"/>
      <c r="D91" s="1"/>
      <c r="E91" s="3"/>
      <c r="F91" s="1"/>
      <c r="G91" s="141">
        <f>IF(Basic345678910[[#This Row],[نوع الخدمة]]="مخالفات", 50,
IF(Basic345678910[[#This Row],[نوع الخدمة]]="كاش ان",
    IF(F91&lt;=100, 18, IF(F91&lt;=250, 23, IF(F91&lt;=500, 35, IF(F91&lt;=1000, 40, F91*0.04)))),
IF(Basic345678910[[#This Row],[نوع الخدمة]]="كاش اوت",
    IF(F91&lt;=100, 15, IF(F91&lt;=250, 20, IF(F91&lt;=500, 30, IF(F91&lt;=1000, 35, F91*0.035)))),
0)))</f>
        <v>0</v>
      </c>
      <c r="H91" s="159">
        <f>IF(I91="مخالفات",50,Basic345678910[[#This Row],[قيمة الرسوم / العموله]]+Basic345678910[[#This Row],[قيمة الشحنه]])</f>
        <v>0</v>
      </c>
      <c r="I91" s="90"/>
      <c r="J91" s="142" t="str">
        <f t="shared" si="1"/>
        <v>23.5.2026</v>
      </c>
      <c r="L91" s="153">
        <v>80</v>
      </c>
      <c r="M91" s="92"/>
    </row>
    <row r="92" spans="1:13" ht="21.6" x14ac:dyDescent="0.65">
      <c r="A92" s="195"/>
      <c r="B92" s="140">
        <v>89</v>
      </c>
      <c r="C92" s="2"/>
      <c r="D92" s="1"/>
      <c r="E92" s="3"/>
      <c r="F92" s="1"/>
      <c r="G92" s="141">
        <f>IF(Basic345678910[[#This Row],[نوع الخدمة]]="مخالفات", 50,
IF(Basic345678910[[#This Row],[نوع الخدمة]]="كاش ان",
    IF(F92&lt;=100, 18, IF(F92&lt;=250, 23, IF(F92&lt;=500, 35, IF(F92&lt;=1000, 40, F92*0.04)))),
IF(Basic345678910[[#This Row],[نوع الخدمة]]="كاش اوت",
    IF(F92&lt;=100, 15, IF(F92&lt;=250, 20, IF(F92&lt;=500, 30, IF(F92&lt;=1000, 35, F92*0.035)))),
0)))</f>
        <v>0</v>
      </c>
      <c r="H92" s="159">
        <f>IF(I92="مخالفات",50,Basic345678910[[#This Row],[قيمة الرسوم / العموله]]+Basic345678910[[#This Row],[قيمة الشحنه]])</f>
        <v>0</v>
      </c>
      <c r="I92" s="90"/>
      <c r="J92" s="142" t="str">
        <f t="shared" si="1"/>
        <v>23.5.2026</v>
      </c>
      <c r="L92" s="153">
        <v>81</v>
      </c>
      <c r="M92" s="92"/>
    </row>
    <row r="93" spans="1:13" ht="21.6" x14ac:dyDescent="0.65">
      <c r="A93" s="195"/>
      <c r="B93" s="144">
        <v>90</v>
      </c>
      <c r="C93" s="2"/>
      <c r="D93" s="1"/>
      <c r="E93" s="3"/>
      <c r="F93" s="1"/>
      <c r="G93" s="141">
        <f>IF(Basic345678910[[#This Row],[نوع الخدمة]]="مخالفات", 50,
IF(Basic345678910[[#This Row],[نوع الخدمة]]="كاش ان",
    IF(F93&lt;=100, 18, IF(F93&lt;=250, 23, IF(F93&lt;=500, 35, IF(F93&lt;=1000, 40, F93*0.04)))),
IF(Basic345678910[[#This Row],[نوع الخدمة]]="كاش اوت",
    IF(F93&lt;=100, 15, IF(F93&lt;=250, 20, IF(F93&lt;=500, 30, IF(F93&lt;=1000, 35, F93*0.035)))),
0)))</f>
        <v>0</v>
      </c>
      <c r="H93" s="159">
        <f>IF(I93="مخالفات",50,Basic345678910[[#This Row],[قيمة الرسوم / العموله]]+Basic345678910[[#This Row],[قيمة الشحنه]])</f>
        <v>0</v>
      </c>
      <c r="I93" s="90"/>
      <c r="J93" s="142" t="str">
        <f t="shared" si="1"/>
        <v>23.5.2026</v>
      </c>
      <c r="L93" s="153">
        <v>82</v>
      </c>
      <c r="M93" s="92"/>
    </row>
    <row r="94" spans="1:13" ht="21.6" x14ac:dyDescent="0.65">
      <c r="A94" s="195"/>
      <c r="B94" s="140">
        <v>91</v>
      </c>
      <c r="C94" s="2"/>
      <c r="D94" s="1"/>
      <c r="E94" s="3"/>
      <c r="F94" s="1"/>
      <c r="G94" s="141">
        <f>IF(Basic345678910[[#This Row],[نوع الخدمة]]="مخالفات", 50,
IF(Basic345678910[[#This Row],[نوع الخدمة]]="كاش ان",
    IF(F94&lt;=100, 18, IF(F94&lt;=250, 23, IF(F94&lt;=500, 35, IF(F94&lt;=1000, 40, F94*0.04)))),
IF(Basic345678910[[#This Row],[نوع الخدمة]]="كاش اوت",
    IF(F94&lt;=100, 15, IF(F94&lt;=250, 20, IF(F94&lt;=500, 30, IF(F94&lt;=1000, 35, F94*0.035)))),
0)))</f>
        <v>0</v>
      </c>
      <c r="H94" s="159">
        <f>IF(I94="مخالفات",50,Basic345678910[[#This Row],[قيمة الرسوم / العموله]]+Basic345678910[[#This Row],[قيمة الشحنه]])</f>
        <v>0</v>
      </c>
      <c r="I94" s="90"/>
      <c r="J94" s="142" t="str">
        <f t="shared" si="1"/>
        <v>23.5.2026</v>
      </c>
      <c r="L94" s="153">
        <v>83</v>
      </c>
      <c r="M94" s="92"/>
    </row>
    <row r="95" spans="1:13" ht="21.6" x14ac:dyDescent="0.65">
      <c r="A95" s="195"/>
      <c r="B95" s="140">
        <v>92</v>
      </c>
      <c r="C95" s="2"/>
      <c r="D95" s="1"/>
      <c r="E95" s="3"/>
      <c r="F95" s="1"/>
      <c r="G95" s="141">
        <f>IF(Basic345678910[[#This Row],[نوع الخدمة]]="مخالفات", 50,
IF(Basic345678910[[#This Row],[نوع الخدمة]]="كاش ان",
    IF(F95&lt;=100, 18, IF(F95&lt;=250, 23, IF(F95&lt;=500, 35, IF(F95&lt;=1000, 40, F95*0.04)))),
IF(Basic345678910[[#This Row],[نوع الخدمة]]="كاش اوت",
    IF(F95&lt;=100, 15, IF(F95&lt;=250, 20, IF(F95&lt;=500, 30, IF(F95&lt;=1000, 35, F95*0.035)))),
0)))</f>
        <v>0</v>
      </c>
      <c r="H95" s="159">
        <f>IF(I95="مخالفات",50,Basic345678910[[#This Row],[قيمة الرسوم / العموله]]+Basic345678910[[#This Row],[قيمة الشحنه]])</f>
        <v>0</v>
      </c>
      <c r="I95" s="90"/>
      <c r="J95" s="142" t="str">
        <f t="shared" si="1"/>
        <v>23.5.2026</v>
      </c>
      <c r="L95" s="153">
        <v>84</v>
      </c>
      <c r="M95" s="92"/>
    </row>
    <row r="96" spans="1:13" ht="21.6" x14ac:dyDescent="0.65">
      <c r="A96" s="195"/>
      <c r="B96" s="140">
        <v>93</v>
      </c>
      <c r="C96" s="2"/>
      <c r="D96" s="1"/>
      <c r="E96" s="3"/>
      <c r="F96" s="1"/>
      <c r="G96" s="141">
        <f>IF(Basic345678910[[#This Row],[نوع الخدمة]]="مخالفات", 50,
IF(Basic345678910[[#This Row],[نوع الخدمة]]="كاش ان",
    IF(F96&lt;=100, 18, IF(F96&lt;=250, 23, IF(F96&lt;=500, 35, IF(F96&lt;=1000, 40, F96*0.04)))),
IF(Basic345678910[[#This Row],[نوع الخدمة]]="كاش اوت",
    IF(F96&lt;=100, 15, IF(F96&lt;=250, 20, IF(F96&lt;=500, 30, IF(F96&lt;=1000, 35, F96*0.035)))),
0)))</f>
        <v>0</v>
      </c>
      <c r="H96" s="159">
        <f>IF(I96="مخالفات",50,Basic345678910[[#This Row],[قيمة الرسوم / العموله]]+Basic345678910[[#This Row],[قيمة الشحنه]])</f>
        <v>0</v>
      </c>
      <c r="I96" s="90"/>
      <c r="J96" s="142" t="str">
        <f t="shared" si="1"/>
        <v>23.5.2026</v>
      </c>
      <c r="L96" s="153">
        <v>85</v>
      </c>
      <c r="M96" s="92"/>
    </row>
    <row r="97" spans="1:13" ht="21.6" x14ac:dyDescent="0.65">
      <c r="A97" s="195"/>
      <c r="B97" s="144">
        <v>94</v>
      </c>
      <c r="C97" s="2"/>
      <c r="D97" s="1"/>
      <c r="E97" s="3"/>
      <c r="F97" s="1"/>
      <c r="G97" s="141">
        <f>IF(Basic345678910[[#This Row],[نوع الخدمة]]="مخالفات", 50,
IF(Basic345678910[[#This Row],[نوع الخدمة]]="كاش ان",
    IF(F97&lt;=100, 18, IF(F97&lt;=250, 23, IF(F97&lt;=500, 35, IF(F97&lt;=1000, 40, F97*0.04)))),
IF(Basic345678910[[#This Row],[نوع الخدمة]]="كاش اوت",
    IF(F97&lt;=100, 15, IF(F97&lt;=250, 20, IF(F97&lt;=500, 30, IF(F97&lt;=1000, 35, F97*0.035)))),
0)))</f>
        <v>0</v>
      </c>
      <c r="H97" s="159">
        <f>IF(I97="مخالفات",50,Basic345678910[[#This Row],[قيمة الرسوم / العموله]]+Basic345678910[[#This Row],[قيمة الشحنه]])</f>
        <v>0</v>
      </c>
      <c r="I97" s="90"/>
      <c r="J97" s="142" t="str">
        <f t="shared" si="1"/>
        <v>23.5.2026</v>
      </c>
      <c r="L97" s="153">
        <v>86</v>
      </c>
      <c r="M97" s="92"/>
    </row>
    <row r="98" spans="1:13" ht="21.6" x14ac:dyDescent="0.65">
      <c r="A98" s="195"/>
      <c r="B98" s="140">
        <v>95</v>
      </c>
      <c r="C98" s="2"/>
      <c r="D98" s="1"/>
      <c r="E98" s="3"/>
      <c r="F98" s="1"/>
      <c r="G98" s="141">
        <f>IF(Basic345678910[[#This Row],[نوع الخدمة]]="مخالفات", 50,
IF(Basic345678910[[#This Row],[نوع الخدمة]]="كاش ان",
    IF(F98&lt;=100, 18, IF(F98&lt;=250, 23, IF(F98&lt;=500, 35, IF(F98&lt;=1000, 40, F98*0.04)))),
IF(Basic345678910[[#This Row],[نوع الخدمة]]="كاش اوت",
    IF(F98&lt;=100, 15, IF(F98&lt;=250, 20, IF(F98&lt;=500, 30, IF(F98&lt;=1000, 35, F98*0.035)))),
0)))</f>
        <v>0</v>
      </c>
      <c r="H98" s="159">
        <f>IF(I98="مخالفات",50,Basic345678910[[#This Row],[قيمة الرسوم / العموله]]+Basic345678910[[#This Row],[قيمة الشحنه]])</f>
        <v>0</v>
      </c>
      <c r="I98" s="90"/>
      <c r="J98" s="142" t="str">
        <f t="shared" si="1"/>
        <v>23.5.2026</v>
      </c>
      <c r="L98" s="153">
        <v>87</v>
      </c>
      <c r="M98" s="92"/>
    </row>
    <row r="99" spans="1:13" ht="21.6" x14ac:dyDescent="0.65">
      <c r="A99" s="195"/>
      <c r="B99" s="140">
        <v>96</v>
      </c>
      <c r="C99" s="2"/>
      <c r="D99" s="1"/>
      <c r="E99" s="3"/>
      <c r="F99" s="1"/>
      <c r="G99" s="141">
        <f>IF(Basic345678910[[#This Row],[نوع الخدمة]]="مخالفات", 50,
IF(Basic345678910[[#This Row],[نوع الخدمة]]="كاش ان",
    IF(F99&lt;=100, 18, IF(F99&lt;=250, 23, IF(F99&lt;=500, 35, IF(F99&lt;=1000, 40, F99*0.04)))),
IF(Basic345678910[[#This Row],[نوع الخدمة]]="كاش اوت",
    IF(F99&lt;=100, 15, IF(F99&lt;=250, 20, IF(F99&lt;=500, 30, IF(F99&lt;=1000, 35, F99*0.035)))),
0)))</f>
        <v>0</v>
      </c>
      <c r="H99" s="159">
        <f>IF(I99="مخالفات",50,Basic345678910[[#This Row],[قيمة الرسوم / العموله]]+Basic345678910[[#This Row],[قيمة الشحنه]])</f>
        <v>0</v>
      </c>
      <c r="I99" s="90"/>
      <c r="J99" s="142" t="str">
        <f t="shared" si="1"/>
        <v>23.5.2026</v>
      </c>
      <c r="L99" s="153">
        <v>88</v>
      </c>
      <c r="M99" s="92"/>
    </row>
    <row r="100" spans="1:13" ht="21.6" x14ac:dyDescent="0.65">
      <c r="A100" s="195"/>
      <c r="B100" s="140">
        <v>97</v>
      </c>
      <c r="C100" s="2"/>
      <c r="D100" s="1"/>
      <c r="E100" s="3"/>
      <c r="F100" s="1"/>
      <c r="G100" s="141">
        <f>IF(Basic345678910[[#This Row],[نوع الخدمة]]="مخالفات", 50,
IF(Basic345678910[[#This Row],[نوع الخدمة]]="كاش ان",
    IF(F100&lt;=100, 18, IF(F100&lt;=250, 23, IF(F100&lt;=500, 35, IF(F100&lt;=1000, 40, F100*0.04)))),
IF(Basic345678910[[#This Row],[نوع الخدمة]]="كاش اوت",
    IF(F100&lt;=100, 15, IF(F100&lt;=250, 20, IF(F100&lt;=500, 30, IF(F100&lt;=1000, 35, F100*0.035)))),
0)))</f>
        <v>0</v>
      </c>
      <c r="H100" s="159">
        <f>IF(I100="مخالفات",50,Basic345678910[[#This Row],[قيمة الرسوم / العموله]]+Basic345678910[[#This Row],[قيمة الشحنه]])</f>
        <v>0</v>
      </c>
      <c r="I100" s="90"/>
      <c r="J100" s="142" t="str">
        <f t="shared" si="1"/>
        <v>23.5.2026</v>
      </c>
      <c r="L100" s="153">
        <v>89</v>
      </c>
      <c r="M100" s="92"/>
    </row>
    <row r="101" spans="1:13" ht="21.6" x14ac:dyDescent="0.65">
      <c r="A101" s="195"/>
      <c r="B101" s="144">
        <v>98</v>
      </c>
      <c r="C101" s="2"/>
      <c r="D101" s="1"/>
      <c r="E101" s="3"/>
      <c r="F101" s="1"/>
      <c r="G101" s="141">
        <f>IF(Basic345678910[[#This Row],[نوع الخدمة]]="مخالفات", 50,
IF(Basic345678910[[#This Row],[نوع الخدمة]]="كاش ان",
    IF(F101&lt;=100, 18, IF(F101&lt;=250, 23, IF(F101&lt;=500, 35, IF(F101&lt;=1000, 40, F101*0.04)))),
IF(Basic345678910[[#This Row],[نوع الخدمة]]="كاش اوت",
    IF(F101&lt;=100, 15, IF(F101&lt;=250, 20, IF(F101&lt;=500, 30, IF(F101&lt;=1000, 35, F101*0.035)))),
0)))</f>
        <v>0</v>
      </c>
      <c r="H101" s="159">
        <f>IF(I101="مخالفات",50,Basic345678910[[#This Row],[قيمة الرسوم / العموله]]+Basic345678910[[#This Row],[قيمة الشحنه]])</f>
        <v>0</v>
      </c>
      <c r="I101" s="90"/>
      <c r="J101" s="142" t="str">
        <f t="shared" si="1"/>
        <v>23.5.2026</v>
      </c>
      <c r="L101" s="153">
        <v>90</v>
      </c>
      <c r="M101" s="92"/>
    </row>
    <row r="102" spans="1:13" ht="21.6" x14ac:dyDescent="0.65">
      <c r="A102" s="195"/>
      <c r="B102" s="140">
        <v>99</v>
      </c>
      <c r="C102" s="2"/>
      <c r="D102" s="1"/>
      <c r="E102" s="3"/>
      <c r="F102" s="1"/>
      <c r="G102" s="141">
        <f>IF(Basic345678910[[#This Row],[نوع الخدمة]]="مخالفات", 50,
IF(Basic345678910[[#This Row],[نوع الخدمة]]="كاش ان",
    IF(F102&lt;=100, 18, IF(F102&lt;=250, 23, IF(F102&lt;=500, 35, IF(F102&lt;=1000, 40, F102*0.04)))),
IF(Basic345678910[[#This Row],[نوع الخدمة]]="كاش اوت",
    IF(F102&lt;=100, 15, IF(F102&lt;=250, 20, IF(F102&lt;=500, 30, IF(F102&lt;=1000, 35, F102*0.035)))),
0)))</f>
        <v>0</v>
      </c>
      <c r="H102" s="159">
        <f>IF(I102="مخالفات",50,Basic345678910[[#This Row],[قيمة الرسوم / العموله]]+Basic345678910[[#This Row],[قيمة الشحنه]])</f>
        <v>0</v>
      </c>
      <c r="I102" s="90"/>
      <c r="J102" s="142" t="str">
        <f t="shared" si="1"/>
        <v>23.5.2026</v>
      </c>
      <c r="L102" s="153">
        <v>91</v>
      </c>
      <c r="M102" s="92"/>
    </row>
    <row r="103" spans="1:13" ht="21.6" x14ac:dyDescent="0.65">
      <c r="A103" s="195"/>
      <c r="B103" s="140">
        <v>100</v>
      </c>
      <c r="C103" s="2"/>
      <c r="D103" s="1"/>
      <c r="E103" s="3"/>
      <c r="F103" s="1"/>
      <c r="G103" s="141">
        <f>IF(Basic345678910[[#This Row],[نوع الخدمة]]="مخالفات", 50,
IF(Basic345678910[[#This Row],[نوع الخدمة]]="كاش ان",
    IF(F103&lt;=100, 18, IF(F103&lt;=250, 23, IF(F103&lt;=500, 35, IF(F103&lt;=1000, 40, F103*0.04)))),
IF(Basic345678910[[#This Row],[نوع الخدمة]]="كاش اوت",
    IF(F103&lt;=100, 15, IF(F103&lt;=250, 20, IF(F103&lt;=500, 30, IF(F103&lt;=1000, 35, F103*0.035)))),
0)))</f>
        <v>0</v>
      </c>
      <c r="H103" s="159">
        <f>IF(I103="مخالفات",50,Basic345678910[[#This Row],[قيمة الرسوم / العموله]]+Basic345678910[[#This Row],[قيمة الشحنه]])</f>
        <v>0</v>
      </c>
      <c r="I103" s="90"/>
      <c r="J103" s="142" t="str">
        <f t="shared" si="1"/>
        <v>23.5.2026</v>
      </c>
      <c r="L103" s="153">
        <v>92</v>
      </c>
      <c r="M103" s="92"/>
    </row>
    <row r="104" spans="1:13" ht="21.6" x14ac:dyDescent="0.65">
      <c r="A104" s="195"/>
      <c r="B104" s="140">
        <v>101</v>
      </c>
      <c r="C104" s="2"/>
      <c r="D104" s="1"/>
      <c r="E104" s="3"/>
      <c r="F104" s="1"/>
      <c r="G104" s="141">
        <f>IF(Basic345678910[[#This Row],[نوع الخدمة]]="مخالفات", 50,
IF(Basic345678910[[#This Row],[نوع الخدمة]]="كاش ان",
    IF(F104&lt;=100, 18, IF(F104&lt;=250, 23, IF(F104&lt;=500, 35, IF(F104&lt;=1000, 40, F104*0.04)))),
IF(Basic345678910[[#This Row],[نوع الخدمة]]="كاش اوت",
    IF(F104&lt;=100, 15, IF(F104&lt;=250, 20, IF(F104&lt;=500, 30, IF(F104&lt;=1000, 35, F104*0.035)))),
0)))</f>
        <v>0</v>
      </c>
      <c r="H104" s="159">
        <f>IF(I104="مخالفات",50,Basic345678910[[#This Row],[قيمة الرسوم / العموله]]+Basic345678910[[#This Row],[قيمة الشحنه]])</f>
        <v>0</v>
      </c>
      <c r="I104" s="90"/>
      <c r="J104" s="142" t="str">
        <f t="shared" si="1"/>
        <v>23.5.2026</v>
      </c>
      <c r="L104" s="153">
        <v>93</v>
      </c>
      <c r="M104" s="92"/>
    </row>
    <row r="105" spans="1:13" ht="21.6" x14ac:dyDescent="0.65">
      <c r="A105" s="195"/>
      <c r="B105" s="144">
        <v>102</v>
      </c>
      <c r="C105" s="2"/>
      <c r="D105" s="1"/>
      <c r="E105" s="3"/>
      <c r="F105" s="1"/>
      <c r="G105" s="141">
        <f>IF(Basic345678910[[#This Row],[نوع الخدمة]]="مخالفات", 50,
IF(Basic345678910[[#This Row],[نوع الخدمة]]="كاش ان",
    IF(F105&lt;=100, 18, IF(F105&lt;=250, 23, IF(F105&lt;=500, 35, IF(F105&lt;=1000, 40, F105*0.04)))),
IF(Basic345678910[[#This Row],[نوع الخدمة]]="كاش اوت",
    IF(F105&lt;=100, 15, IF(F105&lt;=250, 20, IF(F105&lt;=500, 30, IF(F105&lt;=1000, 35, F105*0.035)))),
0)))</f>
        <v>0</v>
      </c>
      <c r="H105" s="159">
        <f>IF(I105="مخالفات",50,Basic345678910[[#This Row],[قيمة الرسوم / العموله]]+Basic345678910[[#This Row],[قيمة الشحنه]])</f>
        <v>0</v>
      </c>
      <c r="I105" s="90"/>
      <c r="J105" s="142" t="str">
        <f t="shared" si="1"/>
        <v>23.5.2026</v>
      </c>
      <c r="L105" s="153">
        <v>94</v>
      </c>
      <c r="M105" s="92"/>
    </row>
    <row r="106" spans="1:13" ht="21.6" x14ac:dyDescent="0.65">
      <c r="A106" s="195"/>
      <c r="B106" s="140">
        <v>103</v>
      </c>
      <c r="C106" s="2"/>
      <c r="D106" s="1"/>
      <c r="E106" s="3"/>
      <c r="F106" s="1"/>
      <c r="G106" s="141">
        <f>IF(Basic345678910[[#This Row],[نوع الخدمة]]="مخالفات", 50,
IF(Basic345678910[[#This Row],[نوع الخدمة]]="كاش ان",
    IF(F106&lt;=100, 18, IF(F106&lt;=250, 23, IF(F106&lt;=500, 35, IF(F106&lt;=1000, 40, F106*0.04)))),
IF(Basic345678910[[#This Row],[نوع الخدمة]]="كاش اوت",
    IF(F106&lt;=100, 15, IF(F106&lt;=250, 20, IF(F106&lt;=500, 30, IF(F106&lt;=1000, 35, F106*0.035)))),
0)))</f>
        <v>0</v>
      </c>
      <c r="H106" s="159">
        <f>IF(I106="مخالفات",50,Basic345678910[[#This Row],[قيمة الرسوم / العموله]]+Basic345678910[[#This Row],[قيمة الشحنه]])</f>
        <v>0</v>
      </c>
      <c r="I106" s="90"/>
      <c r="J106" s="142" t="str">
        <f t="shared" si="1"/>
        <v>23.5.2026</v>
      </c>
      <c r="L106" s="153">
        <v>95</v>
      </c>
      <c r="M106" s="92"/>
    </row>
    <row r="107" spans="1:13" ht="21.6" x14ac:dyDescent="0.65">
      <c r="A107" s="195"/>
      <c r="B107" s="140">
        <v>104</v>
      </c>
      <c r="C107" s="2"/>
      <c r="D107" s="1"/>
      <c r="E107" s="3"/>
      <c r="F107" s="1"/>
      <c r="G107" s="141">
        <f>IF(Basic345678910[[#This Row],[نوع الخدمة]]="مخالفات", 50,
IF(Basic345678910[[#This Row],[نوع الخدمة]]="كاش ان",
    IF(F107&lt;=100, 18, IF(F107&lt;=250, 23, IF(F107&lt;=500, 35, IF(F107&lt;=1000, 40, F107*0.04)))),
IF(Basic345678910[[#This Row],[نوع الخدمة]]="كاش اوت",
    IF(F107&lt;=100, 15, IF(F107&lt;=250, 20, IF(F107&lt;=500, 30, IF(F107&lt;=1000, 35, F107*0.035)))),
0)))</f>
        <v>0</v>
      </c>
      <c r="H107" s="159">
        <f>IF(I107="مخالفات",50,Basic345678910[[#This Row],[قيمة الرسوم / العموله]]+Basic345678910[[#This Row],[قيمة الشحنه]])</f>
        <v>0</v>
      </c>
      <c r="I107" s="90"/>
      <c r="J107" s="142" t="str">
        <f t="shared" si="1"/>
        <v>23.5.2026</v>
      </c>
      <c r="L107" s="153">
        <v>96</v>
      </c>
      <c r="M107" s="92"/>
    </row>
    <row r="108" spans="1:13" ht="21.6" x14ac:dyDescent="0.65">
      <c r="A108" s="195"/>
      <c r="B108" s="140">
        <v>105</v>
      </c>
      <c r="C108" s="2"/>
      <c r="D108" s="1"/>
      <c r="E108" s="3"/>
      <c r="F108" s="1"/>
      <c r="G108" s="141">
        <f>IF(Basic345678910[[#This Row],[نوع الخدمة]]="مخالفات", 50,
IF(Basic345678910[[#This Row],[نوع الخدمة]]="كاش ان",
    IF(F108&lt;=100, 18, IF(F108&lt;=250, 23, IF(F108&lt;=500, 35, IF(F108&lt;=1000, 40, F108*0.04)))),
IF(Basic345678910[[#This Row],[نوع الخدمة]]="كاش اوت",
    IF(F108&lt;=100, 15, IF(F108&lt;=250, 20, IF(F108&lt;=500, 30, IF(F108&lt;=1000, 35, F108*0.035)))),
0)))</f>
        <v>0</v>
      </c>
      <c r="H108" s="159">
        <f>IF(I108="مخالفات",50,Basic345678910[[#This Row],[قيمة الرسوم / العموله]]+Basic345678910[[#This Row],[قيمة الشحنه]])</f>
        <v>0</v>
      </c>
      <c r="I108" s="90"/>
      <c r="J108" s="142" t="str">
        <f t="shared" si="1"/>
        <v>23.5.2026</v>
      </c>
      <c r="L108" s="153">
        <v>97</v>
      </c>
      <c r="M108" s="92"/>
    </row>
    <row r="109" spans="1:13" ht="21.6" x14ac:dyDescent="0.65">
      <c r="A109" s="195"/>
      <c r="B109" s="144">
        <v>106</v>
      </c>
      <c r="C109" s="2"/>
      <c r="D109" s="1"/>
      <c r="E109" s="3"/>
      <c r="F109" s="1"/>
      <c r="G109" s="141">
        <f>IF(Basic345678910[[#This Row],[نوع الخدمة]]="مخالفات", 50,
IF(Basic345678910[[#This Row],[نوع الخدمة]]="كاش ان",
    IF(F109&lt;=100, 18, IF(F109&lt;=250, 23, IF(F109&lt;=500, 35, IF(F109&lt;=1000, 40, F109*0.04)))),
IF(Basic345678910[[#This Row],[نوع الخدمة]]="كاش اوت",
    IF(F109&lt;=100, 15, IF(F109&lt;=250, 20, IF(F109&lt;=500, 30, IF(F109&lt;=1000, 35, F109*0.035)))),
0)))</f>
        <v>0</v>
      </c>
      <c r="H109" s="159">
        <f>IF(I109="مخالفات",50,Basic345678910[[#This Row],[قيمة الرسوم / العموله]]+Basic345678910[[#This Row],[قيمة الشحنه]])</f>
        <v>0</v>
      </c>
      <c r="I109" s="90"/>
      <c r="J109" s="142" t="str">
        <f t="shared" si="1"/>
        <v>23.5.2026</v>
      </c>
      <c r="L109" s="153">
        <v>98</v>
      </c>
      <c r="M109" s="92"/>
    </row>
    <row r="110" spans="1:13" ht="21.6" x14ac:dyDescent="0.65">
      <c r="A110" s="195"/>
      <c r="B110" s="140">
        <v>107</v>
      </c>
      <c r="C110" s="2"/>
      <c r="D110" s="1"/>
      <c r="E110" s="3"/>
      <c r="F110" s="1"/>
      <c r="G110" s="141">
        <f>IF(Basic345678910[[#This Row],[نوع الخدمة]]="مخالفات", 50,
IF(Basic345678910[[#This Row],[نوع الخدمة]]="كاش ان",
    IF(F110&lt;=100, 18, IF(F110&lt;=250, 23, IF(F110&lt;=500, 35, IF(F110&lt;=1000, 40, F110*0.04)))),
IF(Basic345678910[[#This Row],[نوع الخدمة]]="كاش اوت",
    IF(F110&lt;=100, 15, IF(F110&lt;=250, 20, IF(F110&lt;=500, 30, IF(F110&lt;=1000, 35, F110*0.035)))),
0)))</f>
        <v>0</v>
      </c>
      <c r="H110" s="159">
        <f>IF(I110="مخالفات",50,Basic345678910[[#This Row],[قيمة الرسوم / العموله]]+Basic345678910[[#This Row],[قيمة الشحنه]])</f>
        <v>0</v>
      </c>
      <c r="I110" s="90"/>
      <c r="J110" s="142" t="str">
        <f t="shared" si="1"/>
        <v>23.5.2026</v>
      </c>
      <c r="L110" s="153">
        <v>99</v>
      </c>
      <c r="M110" s="92"/>
    </row>
    <row r="111" spans="1:13" ht="21.6" x14ac:dyDescent="0.65">
      <c r="A111" s="195"/>
      <c r="B111" s="140">
        <v>108</v>
      </c>
      <c r="C111" s="2"/>
      <c r="D111" s="1"/>
      <c r="E111" s="3"/>
      <c r="F111" s="1"/>
      <c r="G111" s="141">
        <f>IF(Basic345678910[[#This Row],[نوع الخدمة]]="مخالفات", 50,
IF(Basic345678910[[#This Row],[نوع الخدمة]]="كاش ان",
    IF(F111&lt;=100, 18, IF(F111&lt;=250, 23, IF(F111&lt;=500, 35, IF(F111&lt;=1000, 40, F111*0.04)))),
IF(Basic345678910[[#This Row],[نوع الخدمة]]="كاش اوت",
    IF(F111&lt;=100, 15, IF(F111&lt;=250, 20, IF(F111&lt;=500, 30, IF(F111&lt;=1000, 35, F111*0.035)))),
0)))</f>
        <v>0</v>
      </c>
      <c r="H111" s="159">
        <f>IF(I111="مخالفات",50,Basic345678910[[#This Row],[قيمة الرسوم / العموله]]+Basic345678910[[#This Row],[قيمة الشحنه]])</f>
        <v>0</v>
      </c>
      <c r="I111" s="90"/>
      <c r="J111" s="142" t="str">
        <f t="shared" si="1"/>
        <v>23.5.2026</v>
      </c>
      <c r="L111" s="153">
        <v>100</v>
      </c>
      <c r="M111" s="92"/>
    </row>
    <row r="112" spans="1:13" ht="21.6" x14ac:dyDescent="0.65">
      <c r="A112" s="195"/>
      <c r="B112" s="140">
        <v>109</v>
      </c>
      <c r="C112" s="2"/>
      <c r="D112" s="1"/>
      <c r="E112" s="3"/>
      <c r="F112" s="1"/>
      <c r="G112" s="141">
        <f>IF(Basic345678910[[#This Row],[نوع الخدمة]]="مخالفات", 50,
IF(Basic345678910[[#This Row],[نوع الخدمة]]="كاش ان",
    IF(F112&lt;=100, 18, IF(F112&lt;=250, 23, IF(F112&lt;=500, 35, IF(F112&lt;=1000, 40, F112*0.04)))),
IF(Basic345678910[[#This Row],[نوع الخدمة]]="كاش اوت",
    IF(F112&lt;=100, 15, IF(F112&lt;=250, 20, IF(F112&lt;=500, 30, IF(F112&lt;=1000, 35, F112*0.035)))),
0)))</f>
        <v>0</v>
      </c>
      <c r="H112" s="159">
        <f>IF(I112="مخالفات",50,Basic345678910[[#This Row],[قيمة الرسوم / العموله]]+Basic345678910[[#This Row],[قيمة الشحنه]])</f>
        <v>0</v>
      </c>
      <c r="I112" s="90"/>
      <c r="J112" s="142" t="str">
        <f t="shared" si="1"/>
        <v>23.5.2026</v>
      </c>
      <c r="L112" s="153">
        <v>101</v>
      </c>
      <c r="M112" s="92"/>
    </row>
    <row r="113" spans="1:13" ht="21.6" x14ac:dyDescent="0.65">
      <c r="A113" s="195"/>
      <c r="B113" s="144">
        <v>110</v>
      </c>
      <c r="C113" s="2"/>
      <c r="D113" s="1"/>
      <c r="E113" s="3"/>
      <c r="F113" s="1"/>
      <c r="G113" s="141">
        <f>IF(Basic345678910[[#This Row],[نوع الخدمة]]="مخالفات", 50,
IF(Basic345678910[[#This Row],[نوع الخدمة]]="كاش ان",
    IF(F113&lt;=100, 18, IF(F113&lt;=250, 23, IF(F113&lt;=500, 35, IF(F113&lt;=1000, 40, F113*0.04)))),
IF(Basic345678910[[#This Row],[نوع الخدمة]]="كاش اوت",
    IF(F113&lt;=100, 15, IF(F113&lt;=250, 20, IF(F113&lt;=500, 30, IF(F113&lt;=1000, 35, F113*0.035)))),
0)))</f>
        <v>0</v>
      </c>
      <c r="H113" s="159">
        <f>IF(I113="مخالفات",50,Basic345678910[[#This Row],[قيمة الرسوم / العموله]]+Basic345678910[[#This Row],[قيمة الشحنه]])</f>
        <v>0</v>
      </c>
      <c r="I113" s="90"/>
      <c r="J113" s="142" t="str">
        <f t="shared" si="1"/>
        <v>23.5.2026</v>
      </c>
      <c r="L113" s="153">
        <v>102</v>
      </c>
      <c r="M113" s="92"/>
    </row>
    <row r="114" spans="1:13" ht="21.6" x14ac:dyDescent="0.65">
      <c r="A114" s="195"/>
      <c r="B114" s="140">
        <v>111</v>
      </c>
      <c r="C114" s="2"/>
      <c r="D114" s="1"/>
      <c r="E114" s="3"/>
      <c r="F114" s="1"/>
      <c r="G114" s="141">
        <f>IF(Basic345678910[[#This Row],[نوع الخدمة]]="مخالفات", 50,
IF(Basic345678910[[#This Row],[نوع الخدمة]]="كاش ان",
    IF(F114&lt;=100, 18, IF(F114&lt;=250, 23, IF(F114&lt;=500, 35, IF(F114&lt;=1000, 40, F114*0.04)))),
IF(Basic345678910[[#This Row],[نوع الخدمة]]="كاش اوت",
    IF(F114&lt;=100, 15, IF(F114&lt;=250, 20, IF(F114&lt;=500, 30, IF(F114&lt;=1000, 35, F114*0.035)))),
0)))</f>
        <v>0</v>
      </c>
      <c r="H114" s="159">
        <f>IF(I114="مخالفات",50,Basic345678910[[#This Row],[قيمة الرسوم / العموله]]+Basic345678910[[#This Row],[قيمة الشحنه]])</f>
        <v>0</v>
      </c>
      <c r="I114" s="90"/>
      <c r="J114" s="142" t="str">
        <f t="shared" si="1"/>
        <v>23.5.2026</v>
      </c>
      <c r="L114" s="153">
        <v>103</v>
      </c>
      <c r="M114" s="92"/>
    </row>
    <row r="115" spans="1:13" ht="21.6" x14ac:dyDescent="0.65">
      <c r="A115" s="195"/>
      <c r="B115" s="140">
        <v>112</v>
      </c>
      <c r="C115" s="2"/>
      <c r="D115" s="1"/>
      <c r="E115" s="3"/>
      <c r="F115" s="1"/>
      <c r="G115" s="141">
        <f>IF(Basic345678910[[#This Row],[نوع الخدمة]]="مخالفات", 50,
IF(Basic345678910[[#This Row],[نوع الخدمة]]="كاش ان",
    IF(F115&lt;=100, 18, IF(F115&lt;=250, 23, IF(F115&lt;=500, 35, IF(F115&lt;=1000, 40, F115*0.04)))),
IF(Basic345678910[[#This Row],[نوع الخدمة]]="كاش اوت",
    IF(F115&lt;=100, 15, IF(F115&lt;=250, 20, IF(F115&lt;=500, 30, IF(F115&lt;=1000, 35, F115*0.035)))),
0)))</f>
        <v>0</v>
      </c>
      <c r="H115" s="159">
        <f>IF(I115="مخالفات",50,Basic345678910[[#This Row],[قيمة الرسوم / العموله]]+Basic345678910[[#This Row],[قيمة الشحنه]])</f>
        <v>0</v>
      </c>
      <c r="I115" s="90"/>
      <c r="J115" s="142" t="str">
        <f t="shared" si="1"/>
        <v>23.5.2026</v>
      </c>
      <c r="L115" s="153">
        <v>104</v>
      </c>
      <c r="M115" s="92"/>
    </row>
    <row r="116" spans="1:13" ht="21.6" x14ac:dyDescent="0.65">
      <c r="A116" s="195"/>
      <c r="B116" s="140">
        <v>113</v>
      </c>
      <c r="C116" s="2"/>
      <c r="D116" s="1"/>
      <c r="E116" s="3"/>
      <c r="F116" s="1"/>
      <c r="G116" s="141">
        <f>IF(Basic345678910[[#This Row],[نوع الخدمة]]="مخالفات", 50,
IF(Basic345678910[[#This Row],[نوع الخدمة]]="كاش ان",
    IF(F116&lt;=100, 18, IF(F116&lt;=250, 23, IF(F116&lt;=500, 35, IF(F116&lt;=1000, 40, F116*0.04)))),
IF(Basic345678910[[#This Row],[نوع الخدمة]]="كاش اوت",
    IF(F116&lt;=100, 15, IF(F116&lt;=250, 20, IF(F116&lt;=500, 30, IF(F116&lt;=1000, 35, F116*0.035)))),
0)))</f>
        <v>0</v>
      </c>
      <c r="H116" s="159">
        <f>IF(I116="مخالفات",50,Basic345678910[[#This Row],[قيمة الرسوم / العموله]]+Basic345678910[[#This Row],[قيمة الشحنه]])</f>
        <v>0</v>
      </c>
      <c r="I116" s="90"/>
      <c r="J116" s="142" t="str">
        <f t="shared" si="1"/>
        <v>23.5.2026</v>
      </c>
      <c r="L116" s="153">
        <v>105</v>
      </c>
      <c r="M116" s="92"/>
    </row>
    <row r="117" spans="1:13" ht="21.6" x14ac:dyDescent="0.65">
      <c r="A117" s="195"/>
      <c r="B117" s="144">
        <v>114</v>
      </c>
      <c r="C117" s="2"/>
      <c r="D117" s="1"/>
      <c r="E117" s="3"/>
      <c r="F117" s="1"/>
      <c r="G117" s="141">
        <f>IF(Basic345678910[[#This Row],[نوع الخدمة]]="مخالفات", 50,
IF(Basic345678910[[#This Row],[نوع الخدمة]]="كاش ان",
    IF(F117&lt;=100, 18, IF(F117&lt;=250, 23, IF(F117&lt;=500, 35, IF(F117&lt;=1000, 40, F117*0.04)))),
IF(Basic345678910[[#This Row],[نوع الخدمة]]="كاش اوت",
    IF(F117&lt;=100, 15, IF(F117&lt;=250, 20, IF(F117&lt;=500, 30, IF(F117&lt;=1000, 35, F117*0.035)))),
0)))</f>
        <v>0</v>
      </c>
      <c r="H117" s="159">
        <f>IF(I117="مخالفات",50,Basic345678910[[#This Row],[قيمة الرسوم / العموله]]+Basic345678910[[#This Row],[قيمة الشحنه]])</f>
        <v>0</v>
      </c>
      <c r="I117" s="90"/>
      <c r="J117" s="142" t="str">
        <f t="shared" si="1"/>
        <v>23.5.2026</v>
      </c>
      <c r="L117" s="153">
        <v>106</v>
      </c>
      <c r="M117" s="92"/>
    </row>
    <row r="118" spans="1:13" ht="21.6" x14ac:dyDescent="0.65">
      <c r="A118" s="195"/>
      <c r="B118" s="140">
        <v>115</v>
      </c>
      <c r="C118" s="2"/>
      <c r="D118" s="1"/>
      <c r="E118" s="3"/>
      <c r="F118" s="1"/>
      <c r="G118" s="141">
        <f>IF(Basic345678910[[#This Row],[نوع الخدمة]]="مخالفات", 50,
IF(Basic345678910[[#This Row],[نوع الخدمة]]="كاش ان",
    IF(F118&lt;=100, 18, IF(F118&lt;=250, 23, IF(F118&lt;=500, 35, IF(F118&lt;=1000, 40, F118*0.04)))),
IF(Basic345678910[[#This Row],[نوع الخدمة]]="كاش اوت",
    IF(F118&lt;=100, 15, IF(F118&lt;=250, 20, IF(F118&lt;=500, 30, IF(F118&lt;=1000, 35, F118*0.035)))),
0)))</f>
        <v>0</v>
      </c>
      <c r="H118" s="159">
        <f>IF(I118="مخالفات",50,Basic345678910[[#This Row],[قيمة الرسوم / العموله]]+Basic345678910[[#This Row],[قيمة الشحنه]])</f>
        <v>0</v>
      </c>
      <c r="I118" s="90"/>
      <c r="J118" s="142" t="str">
        <f t="shared" si="1"/>
        <v>23.5.2026</v>
      </c>
      <c r="L118" s="153">
        <v>107</v>
      </c>
      <c r="M118" s="92"/>
    </row>
    <row r="119" spans="1:13" ht="21.6" x14ac:dyDescent="0.65">
      <c r="A119" s="195"/>
      <c r="B119" s="140">
        <v>116</v>
      </c>
      <c r="C119" s="2"/>
      <c r="D119" s="1"/>
      <c r="E119" s="3"/>
      <c r="F119" s="1"/>
      <c r="G119" s="141">
        <f>IF(Basic345678910[[#This Row],[نوع الخدمة]]="مخالفات", 50,
IF(Basic345678910[[#This Row],[نوع الخدمة]]="كاش ان",
    IF(F119&lt;=100, 18, IF(F119&lt;=250, 23, IF(F119&lt;=500, 35, IF(F119&lt;=1000, 40, F119*0.04)))),
IF(Basic345678910[[#This Row],[نوع الخدمة]]="كاش اوت",
    IF(F119&lt;=100, 15, IF(F119&lt;=250, 20, IF(F119&lt;=500, 30, IF(F119&lt;=1000, 35, F119*0.035)))),
0)))</f>
        <v>0</v>
      </c>
      <c r="H119" s="159">
        <f>IF(I119="مخالفات",50,Basic345678910[[#This Row],[قيمة الرسوم / العموله]]+Basic345678910[[#This Row],[قيمة الشحنه]])</f>
        <v>0</v>
      </c>
      <c r="I119" s="90"/>
      <c r="J119" s="142" t="str">
        <f t="shared" si="1"/>
        <v>23.5.2026</v>
      </c>
      <c r="L119" s="153">
        <v>108</v>
      </c>
      <c r="M119" s="92"/>
    </row>
    <row r="120" spans="1:13" ht="21.6" x14ac:dyDescent="0.65">
      <c r="A120" s="195"/>
      <c r="B120" s="140">
        <v>117</v>
      </c>
      <c r="C120" s="2"/>
      <c r="D120" s="1"/>
      <c r="E120" s="3"/>
      <c r="F120" s="1"/>
      <c r="G120" s="141">
        <f>IF(Basic345678910[[#This Row],[نوع الخدمة]]="مخالفات", 50,
IF(Basic345678910[[#This Row],[نوع الخدمة]]="كاش ان",
    IF(F120&lt;=100, 18, IF(F120&lt;=250, 23, IF(F120&lt;=500, 35, IF(F120&lt;=1000, 40, F120*0.04)))),
IF(Basic345678910[[#This Row],[نوع الخدمة]]="كاش اوت",
    IF(F120&lt;=100, 15, IF(F120&lt;=250, 20, IF(F120&lt;=500, 30, IF(F120&lt;=1000, 35, F120*0.035)))),
0)))</f>
        <v>0</v>
      </c>
      <c r="H120" s="159">
        <f>IF(I120="مخالفات",50,Basic345678910[[#This Row],[قيمة الرسوم / العموله]]+Basic345678910[[#This Row],[قيمة الشحنه]])</f>
        <v>0</v>
      </c>
      <c r="I120" s="90"/>
      <c r="J120" s="142" t="str">
        <f t="shared" si="1"/>
        <v>23.5.2026</v>
      </c>
      <c r="L120" s="153">
        <v>109</v>
      </c>
      <c r="M120" s="92"/>
    </row>
    <row r="121" spans="1:13" ht="21.6" x14ac:dyDescent="0.65">
      <c r="A121" s="195"/>
      <c r="B121" s="144">
        <v>118</v>
      </c>
      <c r="C121" s="2"/>
      <c r="D121" s="1"/>
      <c r="E121" s="3"/>
      <c r="F121" s="1"/>
      <c r="G121" s="141">
        <f>IF(Basic345678910[[#This Row],[نوع الخدمة]]="مخالفات", 50,
IF(Basic345678910[[#This Row],[نوع الخدمة]]="كاش ان",
    IF(F121&lt;=100, 18, IF(F121&lt;=250, 23, IF(F121&lt;=500, 35, IF(F121&lt;=1000, 40, F121*0.04)))),
IF(Basic345678910[[#This Row],[نوع الخدمة]]="كاش اوت",
    IF(F121&lt;=100, 15, IF(F121&lt;=250, 20, IF(F121&lt;=500, 30, IF(F121&lt;=1000, 35, F121*0.035)))),
0)))</f>
        <v>0</v>
      </c>
      <c r="H121" s="159">
        <f>IF(I121="مخالفات",50,Basic345678910[[#This Row],[قيمة الرسوم / العموله]]+Basic345678910[[#This Row],[قيمة الشحنه]])</f>
        <v>0</v>
      </c>
      <c r="I121" s="90"/>
      <c r="J121" s="142" t="str">
        <f t="shared" si="1"/>
        <v>23.5.2026</v>
      </c>
      <c r="L121" s="153">
        <v>110</v>
      </c>
      <c r="M121" s="92"/>
    </row>
    <row r="122" spans="1:13" ht="21.6" x14ac:dyDescent="0.65">
      <c r="A122" s="195"/>
      <c r="B122" s="140">
        <v>119</v>
      </c>
      <c r="C122" s="2"/>
      <c r="D122" s="1"/>
      <c r="E122" s="3"/>
      <c r="F122" s="1"/>
      <c r="G122" s="141">
        <f>IF(Basic345678910[[#This Row],[نوع الخدمة]]="مخالفات", 50,
IF(Basic345678910[[#This Row],[نوع الخدمة]]="كاش ان",
    IF(F122&lt;=100, 18, IF(F122&lt;=250, 23, IF(F122&lt;=500, 35, IF(F122&lt;=1000, 40, F122*0.04)))),
IF(Basic345678910[[#This Row],[نوع الخدمة]]="كاش اوت",
    IF(F122&lt;=100, 15, IF(F122&lt;=250, 20, IF(F122&lt;=500, 30, IF(F122&lt;=1000, 35, F122*0.035)))),
0)))</f>
        <v>0</v>
      </c>
      <c r="H122" s="159">
        <f>IF(I122="مخالفات",50,Basic345678910[[#This Row],[قيمة الرسوم / العموله]]+Basic345678910[[#This Row],[قيمة الشحنه]])</f>
        <v>0</v>
      </c>
      <c r="I122" s="90"/>
      <c r="J122" s="142" t="str">
        <f t="shared" si="1"/>
        <v>23.5.2026</v>
      </c>
      <c r="L122" s="153">
        <v>111</v>
      </c>
      <c r="M122" s="92"/>
    </row>
    <row r="123" spans="1:13" ht="21.6" x14ac:dyDescent="0.65">
      <c r="A123" s="195"/>
      <c r="B123" s="140">
        <v>120</v>
      </c>
      <c r="C123" s="2"/>
      <c r="D123" s="1"/>
      <c r="E123" s="3"/>
      <c r="F123" s="1"/>
      <c r="G123" s="141">
        <f>IF(Basic345678910[[#This Row],[نوع الخدمة]]="مخالفات", 50,
IF(Basic345678910[[#This Row],[نوع الخدمة]]="كاش ان",
    IF(F123&lt;=100, 18, IF(F123&lt;=250, 23, IF(F123&lt;=500, 35, IF(F123&lt;=1000, 40, F123*0.04)))),
IF(Basic345678910[[#This Row],[نوع الخدمة]]="كاش اوت",
    IF(F123&lt;=100, 15, IF(F123&lt;=250, 20, IF(F123&lt;=500, 30, IF(F123&lt;=1000, 35, F123*0.035)))),
0)))</f>
        <v>0</v>
      </c>
      <c r="H123" s="159">
        <f>IF(I123="مخالفات",50,Basic345678910[[#This Row],[قيمة الرسوم / العموله]]+Basic345678910[[#This Row],[قيمة الشحنه]])</f>
        <v>0</v>
      </c>
      <c r="I123" s="90"/>
      <c r="J123" s="142" t="str">
        <f t="shared" si="1"/>
        <v>23.5.2026</v>
      </c>
      <c r="L123" s="153">
        <v>112</v>
      </c>
      <c r="M123" s="92"/>
    </row>
    <row r="124" spans="1:13" ht="21.6" x14ac:dyDescent="0.65">
      <c r="A124" s="195"/>
      <c r="B124" s="140">
        <v>121</v>
      </c>
      <c r="C124" s="2"/>
      <c r="D124" s="1"/>
      <c r="E124" s="3"/>
      <c r="F124" s="1"/>
      <c r="G124" s="141">
        <f>IF(Basic345678910[[#This Row],[نوع الخدمة]]="مخالفات", 50,
IF(Basic345678910[[#This Row],[نوع الخدمة]]="كاش ان",
    IF(F124&lt;=100, 18, IF(F124&lt;=250, 23, IF(F124&lt;=500, 35, IF(F124&lt;=1000, 40, F124*0.04)))),
IF(Basic345678910[[#This Row],[نوع الخدمة]]="كاش اوت",
    IF(F124&lt;=100, 15, IF(F124&lt;=250, 20, IF(F124&lt;=500, 30, IF(F124&lt;=1000, 35, F124*0.035)))),
0)))</f>
        <v>0</v>
      </c>
      <c r="H124" s="159">
        <f>IF(I124="مخالفات",50,Basic345678910[[#This Row],[قيمة الرسوم / العموله]]+Basic345678910[[#This Row],[قيمة الشحنه]])</f>
        <v>0</v>
      </c>
      <c r="I124" s="90"/>
      <c r="J124" s="142" t="str">
        <f t="shared" si="1"/>
        <v>23.5.2026</v>
      </c>
      <c r="L124" s="153">
        <v>113</v>
      </c>
      <c r="M124" s="92"/>
    </row>
    <row r="125" spans="1:13" ht="21.6" x14ac:dyDescent="0.65">
      <c r="A125" s="195"/>
      <c r="B125" s="144">
        <v>122</v>
      </c>
      <c r="C125" s="2"/>
      <c r="D125" s="1"/>
      <c r="E125" s="3"/>
      <c r="F125" s="1"/>
      <c r="G125" s="141">
        <f>IF(Basic345678910[[#This Row],[نوع الخدمة]]="مخالفات", 50,
IF(Basic345678910[[#This Row],[نوع الخدمة]]="كاش ان",
    IF(F125&lt;=100, 18, IF(F125&lt;=250, 23, IF(F125&lt;=500, 35, IF(F125&lt;=1000, 40, F125*0.04)))),
IF(Basic345678910[[#This Row],[نوع الخدمة]]="كاش اوت",
    IF(F125&lt;=100, 15, IF(F125&lt;=250, 20, IF(F125&lt;=500, 30, IF(F125&lt;=1000, 35, F125*0.035)))),
0)))</f>
        <v>0</v>
      </c>
      <c r="H125" s="159">
        <f>IF(I125="مخالفات",50,Basic345678910[[#This Row],[قيمة الرسوم / العموله]]+Basic345678910[[#This Row],[قيمة الشحنه]])</f>
        <v>0</v>
      </c>
      <c r="I125" s="90"/>
      <c r="J125" s="142" t="str">
        <f t="shared" si="1"/>
        <v>23.5.2026</v>
      </c>
      <c r="L125" s="153">
        <v>114</v>
      </c>
      <c r="M125" s="92"/>
    </row>
    <row r="126" spans="1:13" ht="21.6" x14ac:dyDescent="0.65">
      <c r="A126" s="195"/>
      <c r="B126" s="140">
        <v>123</v>
      </c>
      <c r="C126" s="2"/>
      <c r="D126" s="1"/>
      <c r="E126" s="3"/>
      <c r="F126" s="1"/>
      <c r="G126" s="141">
        <f>IF(Basic345678910[[#This Row],[نوع الخدمة]]="مخالفات", 50,
IF(Basic345678910[[#This Row],[نوع الخدمة]]="كاش ان",
    IF(F126&lt;=100, 18, IF(F126&lt;=250, 23, IF(F126&lt;=500, 35, IF(F126&lt;=1000, 40, F126*0.04)))),
IF(Basic345678910[[#This Row],[نوع الخدمة]]="كاش اوت",
    IF(F126&lt;=100, 15, IF(F126&lt;=250, 20, IF(F126&lt;=500, 30, IF(F126&lt;=1000, 35, F126*0.035)))),
0)))</f>
        <v>0</v>
      </c>
      <c r="H126" s="159">
        <f>IF(I126="مخالفات",50,Basic345678910[[#This Row],[قيمة الرسوم / العموله]]+Basic345678910[[#This Row],[قيمة الشحنه]])</f>
        <v>0</v>
      </c>
      <c r="I126" s="90"/>
      <c r="J126" s="142" t="str">
        <f t="shared" si="1"/>
        <v>23.5.2026</v>
      </c>
      <c r="L126" s="153">
        <v>115</v>
      </c>
      <c r="M126" s="92"/>
    </row>
    <row r="127" spans="1:13" ht="21.6" x14ac:dyDescent="0.65">
      <c r="A127" s="195"/>
      <c r="B127" s="140">
        <v>124</v>
      </c>
      <c r="C127" s="2"/>
      <c r="D127" s="1"/>
      <c r="E127" s="3"/>
      <c r="F127" s="1"/>
      <c r="G127" s="141">
        <f>IF(Basic345678910[[#This Row],[نوع الخدمة]]="مخالفات", 50,
IF(Basic345678910[[#This Row],[نوع الخدمة]]="كاش ان",
    IF(F127&lt;=100, 18, IF(F127&lt;=250, 23, IF(F127&lt;=500, 35, IF(F127&lt;=1000, 40, F127*0.04)))),
IF(Basic345678910[[#This Row],[نوع الخدمة]]="كاش اوت",
    IF(F127&lt;=100, 15, IF(F127&lt;=250, 20, IF(F127&lt;=500, 30, IF(F127&lt;=1000, 35, F127*0.035)))),
0)))</f>
        <v>0</v>
      </c>
      <c r="H127" s="159">
        <f>IF(I127="مخالفات",50,Basic345678910[[#This Row],[قيمة الرسوم / العموله]]+Basic345678910[[#This Row],[قيمة الشحنه]])</f>
        <v>0</v>
      </c>
      <c r="I127" s="90"/>
      <c r="J127" s="142" t="str">
        <f t="shared" si="1"/>
        <v>23.5.2026</v>
      </c>
      <c r="L127" s="153">
        <v>116</v>
      </c>
      <c r="M127" s="92"/>
    </row>
    <row r="128" spans="1:13" ht="21.6" x14ac:dyDescent="0.65">
      <c r="A128" s="195"/>
      <c r="B128" s="140">
        <v>125</v>
      </c>
      <c r="C128" s="2"/>
      <c r="D128" s="1"/>
      <c r="E128" s="3"/>
      <c r="F128" s="1"/>
      <c r="G128" s="141">
        <f>IF(Basic345678910[[#This Row],[نوع الخدمة]]="مخالفات", 50,
IF(Basic345678910[[#This Row],[نوع الخدمة]]="كاش ان",
    IF(F128&lt;=100, 18, IF(F128&lt;=250, 23, IF(F128&lt;=500, 35, IF(F128&lt;=1000, 40, F128*0.04)))),
IF(Basic345678910[[#This Row],[نوع الخدمة]]="كاش اوت",
    IF(F128&lt;=100, 15, IF(F128&lt;=250, 20, IF(F128&lt;=500, 30, IF(F128&lt;=1000, 35, F128*0.035)))),
0)))</f>
        <v>0</v>
      </c>
      <c r="H128" s="159">
        <f>IF(I128="مخالفات",50,Basic345678910[[#This Row],[قيمة الرسوم / العموله]]+Basic345678910[[#This Row],[قيمة الشحنه]])</f>
        <v>0</v>
      </c>
      <c r="I128" s="90"/>
      <c r="J128" s="142" t="str">
        <f t="shared" si="1"/>
        <v>23.5.2026</v>
      </c>
      <c r="L128" s="153">
        <v>117</v>
      </c>
      <c r="M128" s="92"/>
    </row>
    <row r="129" spans="1:13" ht="21.6" x14ac:dyDescent="0.65">
      <c r="A129" s="195"/>
      <c r="B129" s="144">
        <v>126</v>
      </c>
      <c r="C129" s="2"/>
      <c r="D129" s="1"/>
      <c r="E129" s="3"/>
      <c r="F129" s="1"/>
      <c r="G129" s="141">
        <f>IF(Basic345678910[[#This Row],[نوع الخدمة]]="مخالفات", 50,
IF(Basic345678910[[#This Row],[نوع الخدمة]]="كاش ان",
    IF(F129&lt;=100, 18, IF(F129&lt;=250, 23, IF(F129&lt;=500, 35, IF(F129&lt;=1000, 40, F129*0.04)))),
IF(Basic345678910[[#This Row],[نوع الخدمة]]="كاش اوت",
    IF(F129&lt;=100, 15, IF(F129&lt;=250, 20, IF(F129&lt;=500, 30, IF(F129&lt;=1000, 35, F129*0.035)))),
0)))</f>
        <v>0</v>
      </c>
      <c r="H129" s="159">
        <f>IF(I129="مخالفات",50,Basic345678910[[#This Row],[قيمة الرسوم / العموله]]+Basic345678910[[#This Row],[قيمة الشحنه]])</f>
        <v>0</v>
      </c>
      <c r="I129" s="90"/>
      <c r="J129" s="142" t="str">
        <f t="shared" si="1"/>
        <v>23.5.2026</v>
      </c>
      <c r="L129" s="153">
        <v>118</v>
      </c>
      <c r="M129" s="92"/>
    </row>
    <row r="130" spans="1:13" ht="21.6" x14ac:dyDescent="0.65">
      <c r="A130" s="195"/>
      <c r="B130" s="140">
        <v>127</v>
      </c>
      <c r="C130" s="2"/>
      <c r="D130" s="1"/>
      <c r="E130" s="3"/>
      <c r="F130" s="1"/>
      <c r="G130" s="141">
        <f>IF(Basic345678910[[#This Row],[نوع الخدمة]]="مخالفات", 50,
IF(Basic345678910[[#This Row],[نوع الخدمة]]="كاش ان",
    IF(F130&lt;=100, 18, IF(F130&lt;=250, 23, IF(F130&lt;=500, 35, IF(F130&lt;=1000, 40, F130*0.04)))),
IF(Basic345678910[[#This Row],[نوع الخدمة]]="كاش اوت",
    IF(F130&lt;=100, 15, IF(F130&lt;=250, 20, IF(F130&lt;=500, 30, IF(F130&lt;=1000, 35, F130*0.035)))),
0)))</f>
        <v>0</v>
      </c>
      <c r="H130" s="159">
        <f>IF(I130="مخالفات",50,Basic345678910[[#This Row],[قيمة الرسوم / العموله]]+Basic345678910[[#This Row],[قيمة الشحنه]])</f>
        <v>0</v>
      </c>
      <c r="I130" s="90"/>
      <c r="J130" s="142" t="str">
        <f t="shared" si="1"/>
        <v>23.5.2026</v>
      </c>
      <c r="L130" s="153">
        <v>119</v>
      </c>
      <c r="M130" s="92"/>
    </row>
    <row r="131" spans="1:13" ht="21.6" x14ac:dyDescent="0.65">
      <c r="A131" s="195"/>
      <c r="B131" s="140">
        <v>128</v>
      </c>
      <c r="C131" s="2"/>
      <c r="D131" s="1"/>
      <c r="E131" s="3"/>
      <c r="F131" s="1"/>
      <c r="G131" s="141">
        <f>IF(Basic345678910[[#This Row],[نوع الخدمة]]="مخالفات", 50,
IF(Basic345678910[[#This Row],[نوع الخدمة]]="كاش ان",
    IF(F131&lt;=100, 18, IF(F131&lt;=250, 23, IF(F131&lt;=500, 35, IF(F131&lt;=1000, 40, F131*0.04)))),
IF(Basic345678910[[#This Row],[نوع الخدمة]]="كاش اوت",
    IF(F131&lt;=100, 15, IF(F131&lt;=250, 20, IF(F131&lt;=500, 30, IF(F131&lt;=1000, 35, F131*0.035)))),
0)))</f>
        <v>0</v>
      </c>
      <c r="H131" s="159">
        <f>IF(I131="مخالفات",50,Basic345678910[[#This Row],[قيمة الرسوم / العموله]]+Basic345678910[[#This Row],[قيمة الشحنه]])</f>
        <v>0</v>
      </c>
      <c r="I131" s="90"/>
      <c r="J131" s="142" t="str">
        <f t="shared" si="1"/>
        <v>23.5.2026</v>
      </c>
      <c r="L131" s="153">
        <v>120</v>
      </c>
      <c r="M131" s="92"/>
    </row>
    <row r="132" spans="1:13" ht="21.6" x14ac:dyDescent="0.65">
      <c r="A132" s="195"/>
      <c r="B132" s="140">
        <v>129</v>
      </c>
      <c r="C132" s="2"/>
      <c r="D132" s="1"/>
      <c r="E132" s="3"/>
      <c r="F132" s="1"/>
      <c r="G132" s="141">
        <f>IF(Basic345678910[[#This Row],[نوع الخدمة]]="مخالفات", 50,
IF(Basic345678910[[#This Row],[نوع الخدمة]]="كاش ان",
    IF(F132&lt;=100, 18, IF(F132&lt;=250, 23, IF(F132&lt;=500, 35, IF(F132&lt;=1000, 40, F132*0.04)))),
IF(Basic345678910[[#This Row],[نوع الخدمة]]="كاش اوت",
    IF(F132&lt;=100, 15, IF(F132&lt;=250, 20, IF(F132&lt;=500, 30, IF(F132&lt;=1000, 35, F132*0.035)))),
0)))</f>
        <v>0</v>
      </c>
      <c r="H132" s="159">
        <f>IF(I132="مخالفات",50,Basic345678910[[#This Row],[قيمة الرسوم / العموله]]+Basic345678910[[#This Row],[قيمة الشحنه]])</f>
        <v>0</v>
      </c>
      <c r="I132" s="90"/>
      <c r="J132" s="142" t="str">
        <f t="shared" ref="J132:J195" si="2">M$3</f>
        <v>23.5.2026</v>
      </c>
      <c r="L132" s="153">
        <v>121</v>
      </c>
      <c r="M132" s="92"/>
    </row>
    <row r="133" spans="1:13" ht="21.6" x14ac:dyDescent="0.65">
      <c r="A133" s="195"/>
      <c r="B133" s="144">
        <v>130</v>
      </c>
      <c r="C133" s="2"/>
      <c r="D133" s="1"/>
      <c r="E133" s="3"/>
      <c r="F133" s="1"/>
      <c r="G133" s="141">
        <f>IF(Basic345678910[[#This Row],[نوع الخدمة]]="مخالفات", 50,
IF(Basic345678910[[#This Row],[نوع الخدمة]]="كاش ان",
    IF(F133&lt;=100, 18, IF(F133&lt;=250, 23, IF(F133&lt;=500, 35, IF(F133&lt;=1000, 40, F133*0.04)))),
IF(Basic345678910[[#This Row],[نوع الخدمة]]="كاش اوت",
    IF(F133&lt;=100, 15, IF(F133&lt;=250, 20, IF(F133&lt;=500, 30, IF(F133&lt;=1000, 35, F133*0.035)))),
0)))</f>
        <v>0</v>
      </c>
      <c r="H133" s="159">
        <f>IF(I133="مخالفات",50,Basic345678910[[#This Row],[قيمة الرسوم / العموله]]+Basic345678910[[#This Row],[قيمة الشحنه]])</f>
        <v>0</v>
      </c>
      <c r="I133" s="90"/>
      <c r="J133" s="142" t="str">
        <f t="shared" si="2"/>
        <v>23.5.2026</v>
      </c>
      <c r="L133" s="153">
        <v>122</v>
      </c>
      <c r="M133" s="92"/>
    </row>
    <row r="134" spans="1:13" ht="21.6" x14ac:dyDescent="0.65">
      <c r="A134" s="195"/>
      <c r="B134" s="140">
        <v>131</v>
      </c>
      <c r="C134" s="2"/>
      <c r="D134" s="1"/>
      <c r="E134" s="3"/>
      <c r="F134" s="1"/>
      <c r="G134" s="141">
        <f>IF(Basic345678910[[#This Row],[نوع الخدمة]]="مخالفات", 50,
IF(Basic345678910[[#This Row],[نوع الخدمة]]="كاش ان",
    IF(F134&lt;=100, 18, IF(F134&lt;=250, 23, IF(F134&lt;=500, 35, IF(F134&lt;=1000, 40, F134*0.04)))),
IF(Basic345678910[[#This Row],[نوع الخدمة]]="كاش اوت",
    IF(F134&lt;=100, 15, IF(F134&lt;=250, 20, IF(F134&lt;=500, 30, IF(F134&lt;=1000, 35, F134*0.035)))),
0)))</f>
        <v>0</v>
      </c>
      <c r="H134" s="159">
        <f>IF(I134="مخالفات",50,Basic345678910[[#This Row],[قيمة الرسوم / العموله]]+Basic345678910[[#This Row],[قيمة الشحنه]])</f>
        <v>0</v>
      </c>
      <c r="I134" s="90"/>
      <c r="J134" s="142" t="str">
        <f t="shared" si="2"/>
        <v>23.5.2026</v>
      </c>
      <c r="L134" s="153">
        <v>123</v>
      </c>
      <c r="M134" s="92"/>
    </row>
    <row r="135" spans="1:13" ht="21.6" x14ac:dyDescent="0.65">
      <c r="A135" s="195"/>
      <c r="B135" s="140">
        <v>132</v>
      </c>
      <c r="C135" s="2"/>
      <c r="D135" s="1"/>
      <c r="E135" s="3"/>
      <c r="F135" s="1"/>
      <c r="G135" s="141">
        <f>IF(Basic345678910[[#This Row],[نوع الخدمة]]="مخالفات", 50,
IF(Basic345678910[[#This Row],[نوع الخدمة]]="كاش ان",
    IF(F135&lt;=100, 18, IF(F135&lt;=250, 23, IF(F135&lt;=500, 35, IF(F135&lt;=1000, 40, F135*0.04)))),
IF(Basic345678910[[#This Row],[نوع الخدمة]]="كاش اوت",
    IF(F135&lt;=100, 15, IF(F135&lt;=250, 20, IF(F135&lt;=500, 30, IF(F135&lt;=1000, 35, F135*0.035)))),
0)))</f>
        <v>0</v>
      </c>
      <c r="H135" s="159">
        <f>IF(I135="مخالفات",50,Basic345678910[[#This Row],[قيمة الرسوم / العموله]]+Basic345678910[[#This Row],[قيمة الشحنه]])</f>
        <v>0</v>
      </c>
      <c r="I135" s="90"/>
      <c r="J135" s="142" t="str">
        <f t="shared" si="2"/>
        <v>23.5.2026</v>
      </c>
      <c r="L135" s="153">
        <v>124</v>
      </c>
      <c r="M135" s="92"/>
    </row>
    <row r="136" spans="1:13" ht="21.6" x14ac:dyDescent="0.65">
      <c r="A136" s="195"/>
      <c r="B136" s="140">
        <v>133</v>
      </c>
      <c r="C136" s="2"/>
      <c r="D136" s="1"/>
      <c r="E136" s="3"/>
      <c r="F136" s="1"/>
      <c r="G136" s="141">
        <f>IF(Basic345678910[[#This Row],[نوع الخدمة]]="مخالفات", 50,
IF(Basic345678910[[#This Row],[نوع الخدمة]]="كاش ان",
    IF(F136&lt;=100, 18, IF(F136&lt;=250, 23, IF(F136&lt;=500, 35, IF(F136&lt;=1000, 40, F136*0.04)))),
IF(Basic345678910[[#This Row],[نوع الخدمة]]="كاش اوت",
    IF(F136&lt;=100, 15, IF(F136&lt;=250, 20, IF(F136&lt;=500, 30, IF(F136&lt;=1000, 35, F136*0.035)))),
0)))</f>
        <v>0</v>
      </c>
      <c r="H136" s="159">
        <f>IF(I136="مخالفات",50,Basic345678910[[#This Row],[قيمة الرسوم / العموله]]+Basic345678910[[#This Row],[قيمة الشحنه]])</f>
        <v>0</v>
      </c>
      <c r="I136" s="90"/>
      <c r="J136" s="142" t="str">
        <f t="shared" si="2"/>
        <v>23.5.2026</v>
      </c>
      <c r="L136" s="153">
        <v>125</v>
      </c>
      <c r="M136" s="92"/>
    </row>
    <row r="137" spans="1:13" ht="21.6" x14ac:dyDescent="0.65">
      <c r="A137" s="195"/>
      <c r="B137" s="144">
        <v>134</v>
      </c>
      <c r="C137" s="2"/>
      <c r="D137" s="1"/>
      <c r="E137" s="3"/>
      <c r="F137" s="1"/>
      <c r="G137" s="141">
        <f>IF(Basic345678910[[#This Row],[نوع الخدمة]]="مخالفات", 50,
IF(Basic345678910[[#This Row],[نوع الخدمة]]="كاش ان",
    IF(F137&lt;=100, 18, IF(F137&lt;=250, 23, IF(F137&lt;=500, 35, IF(F137&lt;=1000, 40, F137*0.04)))),
IF(Basic345678910[[#This Row],[نوع الخدمة]]="كاش اوت",
    IF(F137&lt;=100, 15, IF(F137&lt;=250, 20, IF(F137&lt;=500, 30, IF(F137&lt;=1000, 35, F137*0.035)))),
0)))</f>
        <v>0</v>
      </c>
      <c r="H137" s="159">
        <f>IF(I137="مخالفات",50,Basic345678910[[#This Row],[قيمة الرسوم / العموله]]+Basic345678910[[#This Row],[قيمة الشحنه]])</f>
        <v>0</v>
      </c>
      <c r="I137" s="90"/>
      <c r="J137" s="142" t="str">
        <f t="shared" si="2"/>
        <v>23.5.2026</v>
      </c>
      <c r="L137" s="153">
        <v>126</v>
      </c>
      <c r="M137" s="92"/>
    </row>
    <row r="138" spans="1:13" ht="21.6" x14ac:dyDescent="0.65">
      <c r="A138" s="195"/>
      <c r="B138" s="140">
        <v>135</v>
      </c>
      <c r="C138" s="2"/>
      <c r="D138" s="1"/>
      <c r="E138" s="3"/>
      <c r="F138" s="1"/>
      <c r="G138" s="141">
        <f>IF(Basic345678910[[#This Row],[نوع الخدمة]]="مخالفات", 50,
IF(Basic345678910[[#This Row],[نوع الخدمة]]="كاش ان",
    IF(F138&lt;=100, 18, IF(F138&lt;=250, 23, IF(F138&lt;=500, 35, IF(F138&lt;=1000, 40, F138*0.04)))),
IF(Basic345678910[[#This Row],[نوع الخدمة]]="كاش اوت",
    IF(F138&lt;=100, 15, IF(F138&lt;=250, 20, IF(F138&lt;=500, 30, IF(F138&lt;=1000, 35, F138*0.035)))),
0)))</f>
        <v>0</v>
      </c>
      <c r="H138" s="159">
        <f>IF(I138="مخالفات",50,Basic345678910[[#This Row],[قيمة الرسوم / العموله]]+Basic345678910[[#This Row],[قيمة الشحنه]])</f>
        <v>0</v>
      </c>
      <c r="I138" s="90"/>
      <c r="J138" s="142" t="str">
        <f t="shared" si="2"/>
        <v>23.5.2026</v>
      </c>
      <c r="L138" s="153">
        <v>127</v>
      </c>
      <c r="M138" s="92"/>
    </row>
    <row r="139" spans="1:13" ht="21.6" x14ac:dyDescent="0.65">
      <c r="A139" s="195"/>
      <c r="B139" s="140">
        <v>136</v>
      </c>
      <c r="C139" s="2"/>
      <c r="D139" s="1"/>
      <c r="E139" s="3"/>
      <c r="F139" s="1"/>
      <c r="G139" s="141">
        <f>IF(Basic345678910[[#This Row],[نوع الخدمة]]="مخالفات", 50,
IF(Basic345678910[[#This Row],[نوع الخدمة]]="كاش ان",
    IF(F139&lt;=100, 18, IF(F139&lt;=250, 23, IF(F139&lt;=500, 35, IF(F139&lt;=1000, 40, F139*0.04)))),
IF(Basic345678910[[#This Row],[نوع الخدمة]]="كاش اوت",
    IF(F139&lt;=100, 15, IF(F139&lt;=250, 20, IF(F139&lt;=500, 30, IF(F139&lt;=1000, 35, F139*0.035)))),
0)))</f>
        <v>0</v>
      </c>
      <c r="H139" s="159">
        <f>IF(I139="مخالفات",50,Basic345678910[[#This Row],[قيمة الرسوم / العموله]]+Basic345678910[[#This Row],[قيمة الشحنه]])</f>
        <v>0</v>
      </c>
      <c r="I139" s="90"/>
      <c r="J139" s="142" t="str">
        <f t="shared" si="2"/>
        <v>23.5.2026</v>
      </c>
      <c r="L139" s="153">
        <v>128</v>
      </c>
      <c r="M139" s="92"/>
    </row>
    <row r="140" spans="1:13" ht="21.6" x14ac:dyDescent="0.65">
      <c r="A140" s="195"/>
      <c r="B140" s="140">
        <v>137</v>
      </c>
      <c r="C140" s="2"/>
      <c r="D140" s="1"/>
      <c r="E140" s="3"/>
      <c r="F140" s="1"/>
      <c r="G140" s="141">
        <f>IF(Basic345678910[[#This Row],[نوع الخدمة]]="مخالفات", 50,
IF(Basic345678910[[#This Row],[نوع الخدمة]]="كاش ان",
    IF(F140&lt;=100, 18, IF(F140&lt;=250, 23, IF(F140&lt;=500, 35, IF(F140&lt;=1000, 40, F140*0.04)))),
IF(Basic345678910[[#This Row],[نوع الخدمة]]="كاش اوت",
    IF(F140&lt;=100, 15, IF(F140&lt;=250, 20, IF(F140&lt;=500, 30, IF(F140&lt;=1000, 35, F140*0.035)))),
0)))</f>
        <v>0</v>
      </c>
      <c r="H140" s="159">
        <f>IF(I140="مخالفات",50,Basic345678910[[#This Row],[قيمة الرسوم / العموله]]+Basic345678910[[#This Row],[قيمة الشحنه]])</f>
        <v>0</v>
      </c>
      <c r="I140" s="90"/>
      <c r="J140" s="142" t="str">
        <f t="shared" si="2"/>
        <v>23.5.2026</v>
      </c>
      <c r="L140" s="153">
        <v>129</v>
      </c>
      <c r="M140" s="92"/>
    </row>
    <row r="141" spans="1:13" ht="21.6" x14ac:dyDescent="0.65">
      <c r="A141" s="195"/>
      <c r="B141" s="144">
        <v>138</v>
      </c>
      <c r="C141" s="2"/>
      <c r="D141" s="1"/>
      <c r="E141" s="3"/>
      <c r="F141" s="1"/>
      <c r="G141" s="141">
        <f>IF(Basic345678910[[#This Row],[نوع الخدمة]]="مخالفات", 50,
IF(Basic345678910[[#This Row],[نوع الخدمة]]="كاش ان",
    IF(F141&lt;=100, 18, IF(F141&lt;=250, 23, IF(F141&lt;=500, 35, IF(F141&lt;=1000, 40, F141*0.04)))),
IF(Basic345678910[[#This Row],[نوع الخدمة]]="كاش اوت",
    IF(F141&lt;=100, 15, IF(F141&lt;=250, 20, IF(F141&lt;=500, 30, IF(F141&lt;=1000, 35, F141*0.035)))),
0)))</f>
        <v>0</v>
      </c>
      <c r="H141" s="159">
        <f>IF(I141="مخالفات",50,Basic345678910[[#This Row],[قيمة الرسوم / العموله]]+Basic345678910[[#This Row],[قيمة الشحنه]])</f>
        <v>0</v>
      </c>
      <c r="I141" s="90"/>
      <c r="J141" s="142" t="str">
        <f t="shared" si="2"/>
        <v>23.5.2026</v>
      </c>
      <c r="L141" s="153">
        <v>130</v>
      </c>
      <c r="M141" s="92"/>
    </row>
    <row r="142" spans="1:13" ht="21.6" x14ac:dyDescent="0.65">
      <c r="A142" s="195"/>
      <c r="B142" s="140">
        <v>139</v>
      </c>
      <c r="C142" s="2"/>
      <c r="D142" s="1"/>
      <c r="E142" s="3"/>
      <c r="F142" s="1"/>
      <c r="G142" s="141">
        <f>IF(Basic345678910[[#This Row],[نوع الخدمة]]="مخالفات", 50,
IF(Basic345678910[[#This Row],[نوع الخدمة]]="كاش ان",
    IF(F142&lt;=100, 18, IF(F142&lt;=250, 23, IF(F142&lt;=500, 35, IF(F142&lt;=1000, 40, F142*0.04)))),
IF(Basic345678910[[#This Row],[نوع الخدمة]]="كاش اوت",
    IF(F142&lt;=100, 15, IF(F142&lt;=250, 20, IF(F142&lt;=500, 30, IF(F142&lt;=1000, 35, F142*0.035)))),
0)))</f>
        <v>0</v>
      </c>
      <c r="H142" s="159">
        <f>IF(I142="مخالفات",50,Basic345678910[[#This Row],[قيمة الرسوم / العموله]]+Basic345678910[[#This Row],[قيمة الشحنه]])</f>
        <v>0</v>
      </c>
      <c r="I142" s="90"/>
      <c r="J142" s="142" t="str">
        <f t="shared" si="2"/>
        <v>23.5.2026</v>
      </c>
      <c r="L142" s="153">
        <v>131</v>
      </c>
      <c r="M142" s="92"/>
    </row>
    <row r="143" spans="1:13" ht="21.6" x14ac:dyDescent="0.65">
      <c r="A143" s="195"/>
      <c r="B143" s="140">
        <v>140</v>
      </c>
      <c r="C143" s="2"/>
      <c r="D143" s="1"/>
      <c r="E143" s="3"/>
      <c r="F143" s="1"/>
      <c r="G143" s="141">
        <f>IF(Basic345678910[[#This Row],[نوع الخدمة]]="مخالفات", 50,
IF(Basic345678910[[#This Row],[نوع الخدمة]]="كاش ان",
    IF(F143&lt;=100, 18, IF(F143&lt;=250, 23, IF(F143&lt;=500, 35, IF(F143&lt;=1000, 40, F143*0.04)))),
IF(Basic345678910[[#This Row],[نوع الخدمة]]="كاش اوت",
    IF(F143&lt;=100, 15, IF(F143&lt;=250, 20, IF(F143&lt;=500, 30, IF(F143&lt;=1000, 35, F143*0.035)))),
0)))</f>
        <v>0</v>
      </c>
      <c r="H143" s="159">
        <f>IF(I143="مخالفات",50,Basic345678910[[#This Row],[قيمة الرسوم / العموله]]+Basic345678910[[#This Row],[قيمة الشحنه]])</f>
        <v>0</v>
      </c>
      <c r="I143" s="90"/>
      <c r="J143" s="142" t="str">
        <f t="shared" si="2"/>
        <v>23.5.2026</v>
      </c>
      <c r="L143" s="153">
        <v>132</v>
      </c>
      <c r="M143" s="92"/>
    </row>
    <row r="144" spans="1:13" ht="21.6" x14ac:dyDescent="0.65">
      <c r="A144" s="195"/>
      <c r="B144" s="140">
        <v>141</v>
      </c>
      <c r="C144" s="2"/>
      <c r="D144" s="1"/>
      <c r="E144" s="3"/>
      <c r="F144" s="1"/>
      <c r="G144" s="141">
        <f>IF(Basic345678910[[#This Row],[نوع الخدمة]]="مخالفات", 50,
IF(Basic345678910[[#This Row],[نوع الخدمة]]="كاش ان",
    IF(F144&lt;=100, 18, IF(F144&lt;=250, 23, IF(F144&lt;=500, 35, IF(F144&lt;=1000, 40, F144*0.04)))),
IF(Basic345678910[[#This Row],[نوع الخدمة]]="كاش اوت",
    IF(F144&lt;=100, 15, IF(F144&lt;=250, 20, IF(F144&lt;=500, 30, IF(F144&lt;=1000, 35, F144*0.035)))),
0)))</f>
        <v>0</v>
      </c>
      <c r="H144" s="159">
        <f>IF(I144="مخالفات",50,Basic345678910[[#This Row],[قيمة الرسوم / العموله]]+Basic345678910[[#This Row],[قيمة الشحنه]])</f>
        <v>0</v>
      </c>
      <c r="I144" s="90"/>
      <c r="J144" s="142" t="str">
        <f t="shared" si="2"/>
        <v>23.5.2026</v>
      </c>
      <c r="L144" s="153">
        <v>133</v>
      </c>
      <c r="M144" s="92"/>
    </row>
    <row r="145" spans="1:13" ht="21.6" x14ac:dyDescent="0.65">
      <c r="A145" s="195"/>
      <c r="B145" s="144">
        <v>142</v>
      </c>
      <c r="C145" s="2"/>
      <c r="D145" s="1"/>
      <c r="E145" s="3"/>
      <c r="F145" s="1"/>
      <c r="G145" s="141">
        <f>IF(Basic345678910[[#This Row],[نوع الخدمة]]="مخالفات", 50,
IF(Basic345678910[[#This Row],[نوع الخدمة]]="كاش ان",
    IF(F145&lt;=100, 18, IF(F145&lt;=250, 23, IF(F145&lt;=500, 35, IF(F145&lt;=1000, 40, F145*0.04)))),
IF(Basic345678910[[#This Row],[نوع الخدمة]]="كاش اوت",
    IF(F145&lt;=100, 15, IF(F145&lt;=250, 20, IF(F145&lt;=500, 30, IF(F145&lt;=1000, 35, F145*0.035)))),
0)))</f>
        <v>0</v>
      </c>
      <c r="H145" s="159">
        <f>IF(I145="مخالفات",50,Basic345678910[[#This Row],[قيمة الرسوم / العموله]]+Basic345678910[[#This Row],[قيمة الشحنه]])</f>
        <v>0</v>
      </c>
      <c r="I145" s="90"/>
      <c r="J145" s="142" t="str">
        <f t="shared" si="2"/>
        <v>23.5.2026</v>
      </c>
      <c r="L145" s="153">
        <v>134</v>
      </c>
      <c r="M145" s="92"/>
    </row>
    <row r="146" spans="1:13" ht="21.6" x14ac:dyDescent="0.65">
      <c r="A146" s="195"/>
      <c r="B146" s="140">
        <v>143</v>
      </c>
      <c r="C146" s="2"/>
      <c r="D146" s="1"/>
      <c r="E146" s="3"/>
      <c r="F146" s="1"/>
      <c r="G146" s="141">
        <f>IF(Basic345678910[[#This Row],[نوع الخدمة]]="مخالفات", 50,
IF(Basic345678910[[#This Row],[نوع الخدمة]]="كاش ان",
    IF(F146&lt;=100, 18, IF(F146&lt;=250, 23, IF(F146&lt;=500, 35, IF(F146&lt;=1000, 40, F146*0.04)))),
IF(Basic345678910[[#This Row],[نوع الخدمة]]="كاش اوت",
    IF(F146&lt;=100, 15, IF(F146&lt;=250, 20, IF(F146&lt;=500, 30, IF(F146&lt;=1000, 35, F146*0.035)))),
0)))</f>
        <v>0</v>
      </c>
      <c r="H146" s="159">
        <f>IF(I146="مخالفات",50,Basic345678910[[#This Row],[قيمة الرسوم / العموله]]+Basic345678910[[#This Row],[قيمة الشحنه]])</f>
        <v>0</v>
      </c>
      <c r="I146" s="90"/>
      <c r="J146" s="142" t="str">
        <f t="shared" si="2"/>
        <v>23.5.2026</v>
      </c>
      <c r="L146" s="153">
        <v>135</v>
      </c>
      <c r="M146" s="92"/>
    </row>
    <row r="147" spans="1:13" ht="21.6" x14ac:dyDescent="0.65">
      <c r="A147" s="195"/>
      <c r="B147" s="140">
        <v>144</v>
      </c>
      <c r="C147" s="2"/>
      <c r="D147" s="1"/>
      <c r="E147" s="3"/>
      <c r="F147" s="1"/>
      <c r="G147" s="141">
        <f>IF(Basic345678910[[#This Row],[نوع الخدمة]]="مخالفات", 50,
IF(Basic345678910[[#This Row],[نوع الخدمة]]="كاش ان",
    IF(F147&lt;=100, 18, IF(F147&lt;=250, 23, IF(F147&lt;=500, 35, IF(F147&lt;=1000, 40, F147*0.04)))),
IF(Basic345678910[[#This Row],[نوع الخدمة]]="كاش اوت",
    IF(F147&lt;=100, 15, IF(F147&lt;=250, 20, IF(F147&lt;=500, 30, IF(F147&lt;=1000, 35, F147*0.035)))),
0)))</f>
        <v>0</v>
      </c>
      <c r="H147" s="159">
        <f>IF(I147="مخالفات",50,Basic345678910[[#This Row],[قيمة الرسوم / العموله]]+Basic345678910[[#This Row],[قيمة الشحنه]])</f>
        <v>0</v>
      </c>
      <c r="I147" s="90"/>
      <c r="J147" s="142" t="str">
        <f t="shared" si="2"/>
        <v>23.5.2026</v>
      </c>
      <c r="L147" s="153">
        <v>136</v>
      </c>
      <c r="M147" s="92"/>
    </row>
    <row r="148" spans="1:13" ht="21.6" x14ac:dyDescent="0.65">
      <c r="A148" s="195"/>
      <c r="B148" s="140">
        <v>145</v>
      </c>
      <c r="C148" s="2"/>
      <c r="D148" s="1"/>
      <c r="E148" s="3"/>
      <c r="F148" s="1"/>
      <c r="G148" s="141">
        <f>IF(Basic345678910[[#This Row],[نوع الخدمة]]="مخالفات", 50,
IF(Basic345678910[[#This Row],[نوع الخدمة]]="كاش ان",
    IF(F148&lt;=100, 18, IF(F148&lt;=250, 23, IF(F148&lt;=500, 35, IF(F148&lt;=1000, 40, F148*0.04)))),
IF(Basic345678910[[#This Row],[نوع الخدمة]]="كاش اوت",
    IF(F148&lt;=100, 15, IF(F148&lt;=250, 20, IF(F148&lt;=500, 30, IF(F148&lt;=1000, 35, F148*0.035)))),
0)))</f>
        <v>0</v>
      </c>
      <c r="H148" s="159">
        <f>IF(I148="مخالفات",50,Basic345678910[[#This Row],[قيمة الرسوم / العموله]]+Basic345678910[[#This Row],[قيمة الشحنه]])</f>
        <v>0</v>
      </c>
      <c r="I148" s="90"/>
      <c r="J148" s="142" t="str">
        <f t="shared" si="2"/>
        <v>23.5.2026</v>
      </c>
      <c r="L148" s="153">
        <v>137</v>
      </c>
      <c r="M148" s="92"/>
    </row>
    <row r="149" spans="1:13" ht="21.6" x14ac:dyDescent="0.65">
      <c r="A149" s="195"/>
      <c r="B149" s="144">
        <v>146</v>
      </c>
      <c r="C149" s="2"/>
      <c r="D149" s="1"/>
      <c r="E149" s="3"/>
      <c r="F149" s="1"/>
      <c r="G149" s="141">
        <f>IF(Basic345678910[[#This Row],[نوع الخدمة]]="مخالفات", 50,
IF(Basic345678910[[#This Row],[نوع الخدمة]]="كاش ان",
    IF(F149&lt;=100, 18, IF(F149&lt;=250, 23, IF(F149&lt;=500, 35, IF(F149&lt;=1000, 40, F149*0.04)))),
IF(Basic345678910[[#This Row],[نوع الخدمة]]="كاش اوت",
    IF(F149&lt;=100, 15, IF(F149&lt;=250, 20, IF(F149&lt;=500, 30, IF(F149&lt;=1000, 35, F149*0.035)))),
0)))</f>
        <v>0</v>
      </c>
      <c r="H149" s="159">
        <f>IF(I149="مخالفات",50,Basic345678910[[#This Row],[قيمة الرسوم / العموله]]+Basic345678910[[#This Row],[قيمة الشحنه]])</f>
        <v>0</v>
      </c>
      <c r="I149" s="90"/>
      <c r="J149" s="142" t="str">
        <f t="shared" si="2"/>
        <v>23.5.2026</v>
      </c>
      <c r="L149" s="153">
        <v>138</v>
      </c>
      <c r="M149" s="92"/>
    </row>
    <row r="150" spans="1:13" ht="21.6" x14ac:dyDescent="0.65">
      <c r="A150" s="195"/>
      <c r="B150" s="140">
        <v>147</v>
      </c>
      <c r="C150" s="2"/>
      <c r="D150" s="1"/>
      <c r="E150" s="3"/>
      <c r="F150" s="1"/>
      <c r="G150" s="141">
        <f>IF(Basic345678910[[#This Row],[نوع الخدمة]]="مخالفات", 50,
IF(Basic345678910[[#This Row],[نوع الخدمة]]="كاش ان",
    IF(F150&lt;=100, 18, IF(F150&lt;=250, 23, IF(F150&lt;=500, 35, IF(F150&lt;=1000, 40, F150*0.04)))),
IF(Basic345678910[[#This Row],[نوع الخدمة]]="كاش اوت",
    IF(F150&lt;=100, 15, IF(F150&lt;=250, 20, IF(F150&lt;=500, 30, IF(F150&lt;=1000, 35, F150*0.035)))),
0)))</f>
        <v>0</v>
      </c>
      <c r="H150" s="159">
        <f>IF(I150="مخالفات",50,Basic345678910[[#This Row],[قيمة الرسوم / العموله]]+Basic345678910[[#This Row],[قيمة الشحنه]])</f>
        <v>0</v>
      </c>
      <c r="I150" s="90"/>
      <c r="J150" s="142" t="str">
        <f t="shared" si="2"/>
        <v>23.5.2026</v>
      </c>
      <c r="L150" s="153">
        <v>139</v>
      </c>
      <c r="M150" s="92"/>
    </row>
    <row r="151" spans="1:13" ht="21.6" x14ac:dyDescent="0.65">
      <c r="A151" s="195"/>
      <c r="B151" s="140">
        <v>148</v>
      </c>
      <c r="C151" s="2"/>
      <c r="D151" s="1"/>
      <c r="E151" s="3"/>
      <c r="F151" s="1"/>
      <c r="G151" s="141">
        <f>IF(Basic345678910[[#This Row],[نوع الخدمة]]="مخالفات", 50,
IF(Basic345678910[[#This Row],[نوع الخدمة]]="كاش ان",
    IF(F151&lt;=100, 18, IF(F151&lt;=250, 23, IF(F151&lt;=500, 35, IF(F151&lt;=1000, 40, F151*0.04)))),
IF(Basic345678910[[#This Row],[نوع الخدمة]]="كاش اوت",
    IF(F151&lt;=100, 15, IF(F151&lt;=250, 20, IF(F151&lt;=500, 30, IF(F151&lt;=1000, 35, F151*0.035)))),
0)))</f>
        <v>0</v>
      </c>
      <c r="H151" s="159">
        <f>IF(I151="مخالفات",50,Basic345678910[[#This Row],[قيمة الرسوم / العموله]]+Basic345678910[[#This Row],[قيمة الشحنه]])</f>
        <v>0</v>
      </c>
      <c r="I151" s="90"/>
      <c r="J151" s="142" t="str">
        <f t="shared" si="2"/>
        <v>23.5.2026</v>
      </c>
      <c r="L151" s="153">
        <v>140</v>
      </c>
      <c r="M151" s="92"/>
    </row>
    <row r="152" spans="1:13" ht="21.6" x14ac:dyDescent="0.65">
      <c r="A152" s="195"/>
      <c r="B152" s="140">
        <v>149</v>
      </c>
      <c r="C152" s="2"/>
      <c r="D152" s="1"/>
      <c r="E152" s="3"/>
      <c r="F152" s="1"/>
      <c r="G152" s="141">
        <f>IF(Basic345678910[[#This Row],[نوع الخدمة]]="مخالفات", 50,
IF(Basic345678910[[#This Row],[نوع الخدمة]]="كاش ان",
    IF(F152&lt;=100, 18, IF(F152&lt;=250, 23, IF(F152&lt;=500, 35, IF(F152&lt;=1000, 40, F152*0.04)))),
IF(Basic345678910[[#This Row],[نوع الخدمة]]="كاش اوت",
    IF(F152&lt;=100, 15, IF(F152&lt;=250, 20, IF(F152&lt;=500, 30, IF(F152&lt;=1000, 35, F152*0.035)))),
0)))</f>
        <v>0</v>
      </c>
      <c r="H152" s="159">
        <f>IF(I152="مخالفات",50,Basic345678910[[#This Row],[قيمة الرسوم / العموله]]+Basic345678910[[#This Row],[قيمة الشحنه]])</f>
        <v>0</v>
      </c>
      <c r="I152" s="90"/>
      <c r="J152" s="142" t="str">
        <f t="shared" si="2"/>
        <v>23.5.2026</v>
      </c>
      <c r="L152" s="153">
        <v>141</v>
      </c>
      <c r="M152" s="92"/>
    </row>
    <row r="153" spans="1:13" ht="21.6" x14ac:dyDescent="0.65">
      <c r="A153" s="195"/>
      <c r="B153" s="144">
        <v>150</v>
      </c>
      <c r="C153" s="2"/>
      <c r="D153" s="1"/>
      <c r="E153" s="3"/>
      <c r="F153" s="1"/>
      <c r="G153" s="141">
        <f>IF(Basic345678910[[#This Row],[نوع الخدمة]]="مخالفات", 50,
IF(Basic345678910[[#This Row],[نوع الخدمة]]="كاش ان",
    IF(F153&lt;=100, 18, IF(F153&lt;=250, 23, IF(F153&lt;=500, 35, IF(F153&lt;=1000, 40, F153*0.04)))),
IF(Basic345678910[[#This Row],[نوع الخدمة]]="كاش اوت",
    IF(F153&lt;=100, 15, IF(F153&lt;=250, 20, IF(F153&lt;=500, 30, IF(F153&lt;=1000, 35, F153*0.035)))),
0)))</f>
        <v>0</v>
      </c>
      <c r="H153" s="159">
        <f>IF(I153="مخالفات",50,Basic345678910[[#This Row],[قيمة الرسوم / العموله]]+Basic345678910[[#This Row],[قيمة الشحنه]])</f>
        <v>0</v>
      </c>
      <c r="I153" s="90"/>
      <c r="J153" s="142" t="str">
        <f t="shared" si="2"/>
        <v>23.5.2026</v>
      </c>
      <c r="L153" s="153">
        <v>142</v>
      </c>
      <c r="M153" s="92"/>
    </row>
    <row r="154" spans="1:13" ht="21.6" x14ac:dyDescent="0.65">
      <c r="A154" s="195"/>
      <c r="B154" s="140">
        <v>151</v>
      </c>
      <c r="C154" s="2"/>
      <c r="D154" s="1"/>
      <c r="E154" s="3"/>
      <c r="F154" s="1"/>
      <c r="G154" s="141">
        <f>IF(Basic345678910[[#This Row],[نوع الخدمة]]="مخالفات", 50,
IF(Basic345678910[[#This Row],[نوع الخدمة]]="كاش ان",
    IF(F154&lt;=100, 18, IF(F154&lt;=250, 23, IF(F154&lt;=500, 35, IF(F154&lt;=1000, 40, F154*0.04)))),
IF(Basic345678910[[#This Row],[نوع الخدمة]]="كاش اوت",
    IF(F154&lt;=100, 15, IF(F154&lt;=250, 20, IF(F154&lt;=500, 30, IF(F154&lt;=1000, 35, F154*0.035)))),
0)))</f>
        <v>0</v>
      </c>
      <c r="H154" s="159">
        <f>IF(I154="مخالفات",50,Basic345678910[[#This Row],[قيمة الرسوم / العموله]]+Basic345678910[[#This Row],[قيمة الشحنه]])</f>
        <v>0</v>
      </c>
      <c r="I154" s="90"/>
      <c r="J154" s="142" t="str">
        <f t="shared" si="2"/>
        <v>23.5.2026</v>
      </c>
      <c r="L154" s="153">
        <v>143</v>
      </c>
      <c r="M154" s="92"/>
    </row>
    <row r="155" spans="1:13" ht="21.6" x14ac:dyDescent="0.65">
      <c r="A155" s="195"/>
      <c r="B155" s="140">
        <v>152</v>
      </c>
      <c r="C155" s="2"/>
      <c r="D155" s="1"/>
      <c r="E155" s="3"/>
      <c r="F155" s="1"/>
      <c r="G155" s="141">
        <f>IF(Basic345678910[[#This Row],[نوع الخدمة]]="مخالفات", 50,
IF(Basic345678910[[#This Row],[نوع الخدمة]]="كاش ان",
    IF(F155&lt;=100, 18, IF(F155&lt;=250, 23, IF(F155&lt;=500, 35, IF(F155&lt;=1000, 40, F155*0.04)))),
IF(Basic345678910[[#This Row],[نوع الخدمة]]="كاش اوت",
    IF(F155&lt;=100, 15, IF(F155&lt;=250, 20, IF(F155&lt;=500, 30, IF(F155&lt;=1000, 35, F155*0.035)))),
0)))</f>
        <v>0</v>
      </c>
      <c r="H155" s="159">
        <f>IF(I155="مخالفات",50,Basic345678910[[#This Row],[قيمة الرسوم / العموله]]+Basic345678910[[#This Row],[قيمة الشحنه]])</f>
        <v>0</v>
      </c>
      <c r="I155" s="90"/>
      <c r="J155" s="142" t="str">
        <f t="shared" si="2"/>
        <v>23.5.2026</v>
      </c>
      <c r="L155" s="153">
        <v>144</v>
      </c>
      <c r="M155" s="92"/>
    </row>
    <row r="156" spans="1:13" ht="21.6" x14ac:dyDescent="0.65">
      <c r="A156" s="195"/>
      <c r="B156" s="140">
        <v>153</v>
      </c>
      <c r="C156" s="2"/>
      <c r="D156" s="1"/>
      <c r="E156" s="3"/>
      <c r="F156" s="1"/>
      <c r="G156" s="141">
        <f>IF(Basic345678910[[#This Row],[نوع الخدمة]]="مخالفات", 50,
IF(Basic345678910[[#This Row],[نوع الخدمة]]="كاش ان",
    IF(F156&lt;=100, 18, IF(F156&lt;=250, 23, IF(F156&lt;=500, 35, IF(F156&lt;=1000, 40, F156*0.04)))),
IF(Basic345678910[[#This Row],[نوع الخدمة]]="كاش اوت",
    IF(F156&lt;=100, 15, IF(F156&lt;=250, 20, IF(F156&lt;=500, 30, IF(F156&lt;=1000, 35, F156*0.035)))),
0)))</f>
        <v>0</v>
      </c>
      <c r="H156" s="159">
        <f>IF(I156="مخالفات",50,Basic345678910[[#This Row],[قيمة الرسوم / العموله]]+Basic345678910[[#This Row],[قيمة الشحنه]])</f>
        <v>0</v>
      </c>
      <c r="I156" s="90"/>
      <c r="J156" s="142" t="str">
        <f t="shared" si="2"/>
        <v>23.5.2026</v>
      </c>
      <c r="L156" s="153">
        <v>145</v>
      </c>
      <c r="M156" s="92"/>
    </row>
    <row r="157" spans="1:13" ht="21.6" x14ac:dyDescent="0.65">
      <c r="A157" s="195"/>
      <c r="B157" s="144">
        <v>154</v>
      </c>
      <c r="C157" s="2"/>
      <c r="D157" s="1"/>
      <c r="E157" s="3"/>
      <c r="F157" s="1"/>
      <c r="G157" s="141">
        <f>IF(Basic345678910[[#This Row],[نوع الخدمة]]="مخالفات", 50,
IF(Basic345678910[[#This Row],[نوع الخدمة]]="كاش ان",
    IF(F157&lt;=100, 18, IF(F157&lt;=250, 23, IF(F157&lt;=500, 35, IF(F157&lt;=1000, 40, F157*0.04)))),
IF(Basic345678910[[#This Row],[نوع الخدمة]]="كاش اوت",
    IF(F157&lt;=100, 15, IF(F157&lt;=250, 20, IF(F157&lt;=500, 30, IF(F157&lt;=1000, 35, F157*0.035)))),
0)))</f>
        <v>0</v>
      </c>
      <c r="H157" s="159">
        <f>IF(I157="مخالفات",50,Basic345678910[[#This Row],[قيمة الرسوم / العموله]]+Basic345678910[[#This Row],[قيمة الشحنه]])</f>
        <v>0</v>
      </c>
      <c r="I157" s="90"/>
      <c r="J157" s="142" t="str">
        <f t="shared" si="2"/>
        <v>23.5.2026</v>
      </c>
      <c r="L157" s="153">
        <v>146</v>
      </c>
      <c r="M157" s="92"/>
    </row>
    <row r="158" spans="1:13" ht="21.6" x14ac:dyDescent="0.65">
      <c r="A158" s="195"/>
      <c r="B158" s="140">
        <v>155</v>
      </c>
      <c r="C158" s="2"/>
      <c r="D158" s="1"/>
      <c r="E158" s="3"/>
      <c r="F158" s="1"/>
      <c r="G158" s="141">
        <f>IF(Basic345678910[[#This Row],[نوع الخدمة]]="مخالفات", 50,
IF(Basic345678910[[#This Row],[نوع الخدمة]]="كاش ان",
    IF(F158&lt;=100, 18, IF(F158&lt;=250, 23, IF(F158&lt;=500, 35, IF(F158&lt;=1000, 40, F158*0.04)))),
IF(Basic345678910[[#This Row],[نوع الخدمة]]="كاش اوت",
    IF(F158&lt;=100, 15, IF(F158&lt;=250, 20, IF(F158&lt;=500, 30, IF(F158&lt;=1000, 35, F158*0.035)))),
0)))</f>
        <v>0</v>
      </c>
      <c r="H158" s="159">
        <f>IF(I158="مخالفات",50,Basic345678910[[#This Row],[قيمة الرسوم / العموله]]+Basic345678910[[#This Row],[قيمة الشحنه]])</f>
        <v>0</v>
      </c>
      <c r="I158" s="90"/>
      <c r="J158" s="142" t="str">
        <f t="shared" si="2"/>
        <v>23.5.2026</v>
      </c>
      <c r="L158" s="153">
        <v>147</v>
      </c>
      <c r="M158" s="92"/>
    </row>
    <row r="159" spans="1:13" ht="21.6" x14ac:dyDescent="0.65">
      <c r="A159" s="195"/>
      <c r="B159" s="140">
        <v>156</v>
      </c>
      <c r="C159" s="2"/>
      <c r="D159" s="1"/>
      <c r="E159" s="3"/>
      <c r="F159" s="1"/>
      <c r="G159" s="141">
        <f>IF(Basic345678910[[#This Row],[نوع الخدمة]]="مخالفات", 50,
IF(Basic345678910[[#This Row],[نوع الخدمة]]="كاش ان",
    IF(F159&lt;=100, 18, IF(F159&lt;=250, 23, IF(F159&lt;=500, 35, IF(F159&lt;=1000, 40, F159*0.04)))),
IF(Basic345678910[[#This Row],[نوع الخدمة]]="كاش اوت",
    IF(F159&lt;=100, 15, IF(F159&lt;=250, 20, IF(F159&lt;=500, 30, IF(F159&lt;=1000, 35, F159*0.035)))),
0)))</f>
        <v>0</v>
      </c>
      <c r="H159" s="159">
        <f>IF(I159="مخالفات",50,Basic345678910[[#This Row],[قيمة الرسوم / العموله]]+Basic345678910[[#This Row],[قيمة الشحنه]])</f>
        <v>0</v>
      </c>
      <c r="I159" s="90"/>
      <c r="J159" s="142" t="str">
        <f t="shared" si="2"/>
        <v>23.5.2026</v>
      </c>
      <c r="L159" s="153">
        <v>148</v>
      </c>
      <c r="M159" s="92"/>
    </row>
    <row r="160" spans="1:13" ht="21.6" x14ac:dyDescent="0.65">
      <c r="A160" s="195"/>
      <c r="B160" s="140">
        <v>157</v>
      </c>
      <c r="C160" s="2"/>
      <c r="D160" s="1"/>
      <c r="E160" s="3"/>
      <c r="F160" s="1"/>
      <c r="G160" s="141">
        <f>IF(Basic345678910[[#This Row],[نوع الخدمة]]="مخالفات", 50,
IF(Basic345678910[[#This Row],[نوع الخدمة]]="كاش ان",
    IF(F160&lt;=100, 18, IF(F160&lt;=250, 23, IF(F160&lt;=500, 35, IF(F160&lt;=1000, 40, F160*0.04)))),
IF(Basic345678910[[#This Row],[نوع الخدمة]]="كاش اوت",
    IF(F160&lt;=100, 15, IF(F160&lt;=250, 20, IF(F160&lt;=500, 30, IF(F160&lt;=1000, 35, F160*0.035)))),
0)))</f>
        <v>0</v>
      </c>
      <c r="H160" s="159">
        <f>IF(I160="مخالفات",50,Basic345678910[[#This Row],[قيمة الرسوم / العموله]]+Basic345678910[[#This Row],[قيمة الشحنه]])</f>
        <v>0</v>
      </c>
      <c r="I160" s="90"/>
      <c r="J160" s="142" t="str">
        <f t="shared" si="2"/>
        <v>23.5.2026</v>
      </c>
      <c r="L160" s="153">
        <v>149</v>
      </c>
      <c r="M160" s="92"/>
    </row>
    <row r="161" spans="1:13" ht="21.6" x14ac:dyDescent="0.65">
      <c r="A161" s="195"/>
      <c r="B161" s="144">
        <v>158</v>
      </c>
      <c r="C161" s="2"/>
      <c r="D161" s="1"/>
      <c r="E161" s="3"/>
      <c r="F161" s="1"/>
      <c r="G161" s="141">
        <f>IF(Basic345678910[[#This Row],[نوع الخدمة]]="مخالفات", 50,
IF(Basic345678910[[#This Row],[نوع الخدمة]]="كاش ان",
    IF(F161&lt;=100, 18, IF(F161&lt;=250, 23, IF(F161&lt;=500, 35, IF(F161&lt;=1000, 40, F161*0.04)))),
IF(Basic345678910[[#This Row],[نوع الخدمة]]="كاش اوت",
    IF(F161&lt;=100, 15, IF(F161&lt;=250, 20, IF(F161&lt;=500, 30, IF(F161&lt;=1000, 35, F161*0.035)))),
0)))</f>
        <v>0</v>
      </c>
      <c r="H161" s="159">
        <f>IF(I161="مخالفات",50,Basic345678910[[#This Row],[قيمة الرسوم / العموله]]+Basic345678910[[#This Row],[قيمة الشحنه]])</f>
        <v>0</v>
      </c>
      <c r="I161" s="90"/>
      <c r="J161" s="142" t="str">
        <f t="shared" si="2"/>
        <v>23.5.2026</v>
      </c>
      <c r="L161" s="153">
        <v>150</v>
      </c>
      <c r="M161" s="92"/>
    </row>
    <row r="162" spans="1:13" ht="21.6" x14ac:dyDescent="0.65">
      <c r="A162" s="195"/>
      <c r="B162" s="140">
        <v>159</v>
      </c>
      <c r="C162" s="2"/>
      <c r="D162" s="1"/>
      <c r="E162" s="3"/>
      <c r="F162" s="1"/>
      <c r="G162" s="141">
        <f>IF(Basic345678910[[#This Row],[نوع الخدمة]]="مخالفات", 50,
IF(Basic345678910[[#This Row],[نوع الخدمة]]="كاش ان",
    IF(F162&lt;=100, 18, IF(F162&lt;=250, 23, IF(F162&lt;=500, 35, IF(F162&lt;=1000, 40, F162*0.04)))),
IF(Basic345678910[[#This Row],[نوع الخدمة]]="كاش اوت",
    IF(F162&lt;=100, 15, IF(F162&lt;=250, 20, IF(F162&lt;=500, 30, IF(F162&lt;=1000, 35, F162*0.035)))),
0)))</f>
        <v>0</v>
      </c>
      <c r="H162" s="159">
        <f>IF(I162="مخالفات",50,Basic345678910[[#This Row],[قيمة الرسوم / العموله]]+Basic345678910[[#This Row],[قيمة الشحنه]])</f>
        <v>0</v>
      </c>
      <c r="I162" s="90"/>
      <c r="J162" s="142" t="str">
        <f t="shared" si="2"/>
        <v>23.5.2026</v>
      </c>
      <c r="L162" s="153">
        <v>151</v>
      </c>
      <c r="M162" s="92"/>
    </row>
    <row r="163" spans="1:13" ht="21.6" x14ac:dyDescent="0.65">
      <c r="A163" s="195"/>
      <c r="B163" s="140">
        <v>160</v>
      </c>
      <c r="C163" s="2"/>
      <c r="D163" s="1"/>
      <c r="E163" s="3"/>
      <c r="F163" s="1"/>
      <c r="G163" s="141">
        <f>IF(Basic345678910[[#This Row],[نوع الخدمة]]="مخالفات", 50,
IF(Basic345678910[[#This Row],[نوع الخدمة]]="كاش ان",
    IF(F163&lt;=100, 18, IF(F163&lt;=250, 23, IF(F163&lt;=500, 35, IF(F163&lt;=1000, 40, F163*0.04)))),
IF(Basic345678910[[#This Row],[نوع الخدمة]]="كاش اوت",
    IF(F163&lt;=100, 15, IF(F163&lt;=250, 20, IF(F163&lt;=500, 30, IF(F163&lt;=1000, 35, F163*0.035)))),
0)))</f>
        <v>0</v>
      </c>
      <c r="H163" s="159">
        <f>IF(I163="مخالفات",50,Basic345678910[[#This Row],[قيمة الرسوم / العموله]]+Basic345678910[[#This Row],[قيمة الشحنه]])</f>
        <v>0</v>
      </c>
      <c r="I163" s="90"/>
      <c r="J163" s="142" t="str">
        <f t="shared" si="2"/>
        <v>23.5.2026</v>
      </c>
      <c r="L163" s="153">
        <v>152</v>
      </c>
      <c r="M163" s="92"/>
    </row>
    <row r="164" spans="1:13" ht="21.6" x14ac:dyDescent="0.65">
      <c r="A164" s="195"/>
      <c r="B164" s="140">
        <v>161</v>
      </c>
      <c r="C164" s="2"/>
      <c r="D164" s="1"/>
      <c r="E164" s="3"/>
      <c r="F164" s="1"/>
      <c r="G164" s="141">
        <f>IF(Basic345678910[[#This Row],[نوع الخدمة]]="مخالفات", 50,
IF(Basic345678910[[#This Row],[نوع الخدمة]]="كاش ان",
    IF(F164&lt;=100, 18, IF(F164&lt;=250, 23, IF(F164&lt;=500, 35, IF(F164&lt;=1000, 40, F164*0.04)))),
IF(Basic345678910[[#This Row],[نوع الخدمة]]="كاش اوت",
    IF(F164&lt;=100, 15, IF(F164&lt;=250, 20, IF(F164&lt;=500, 30, IF(F164&lt;=1000, 35, F164*0.035)))),
0)))</f>
        <v>0</v>
      </c>
      <c r="H164" s="159">
        <f>IF(I164="مخالفات",50,Basic345678910[[#This Row],[قيمة الرسوم / العموله]]+Basic345678910[[#This Row],[قيمة الشحنه]])</f>
        <v>0</v>
      </c>
      <c r="I164" s="90"/>
      <c r="J164" s="142" t="str">
        <f t="shared" si="2"/>
        <v>23.5.2026</v>
      </c>
      <c r="L164" s="153">
        <v>153</v>
      </c>
      <c r="M164" s="92"/>
    </row>
    <row r="165" spans="1:13" ht="21.6" x14ac:dyDescent="0.65">
      <c r="A165" s="195"/>
      <c r="B165" s="144">
        <v>162</v>
      </c>
      <c r="C165" s="2"/>
      <c r="D165" s="1"/>
      <c r="E165" s="3"/>
      <c r="F165" s="1"/>
      <c r="G165" s="141">
        <f>IF(Basic345678910[[#This Row],[نوع الخدمة]]="مخالفات", 50,
IF(Basic345678910[[#This Row],[نوع الخدمة]]="كاش ان",
    IF(F165&lt;=100, 18, IF(F165&lt;=250, 23, IF(F165&lt;=500, 35, IF(F165&lt;=1000, 40, F165*0.04)))),
IF(Basic345678910[[#This Row],[نوع الخدمة]]="كاش اوت",
    IF(F165&lt;=100, 15, IF(F165&lt;=250, 20, IF(F165&lt;=500, 30, IF(F165&lt;=1000, 35, F165*0.035)))),
0)))</f>
        <v>0</v>
      </c>
      <c r="H165" s="159">
        <f>IF(I165="مخالفات",50,Basic345678910[[#This Row],[قيمة الرسوم / العموله]]+Basic345678910[[#This Row],[قيمة الشحنه]])</f>
        <v>0</v>
      </c>
      <c r="I165" s="90"/>
      <c r="J165" s="142" t="str">
        <f t="shared" si="2"/>
        <v>23.5.2026</v>
      </c>
      <c r="L165" s="153">
        <v>154</v>
      </c>
      <c r="M165" s="92"/>
    </row>
    <row r="166" spans="1:13" ht="21.6" x14ac:dyDescent="0.65">
      <c r="A166" s="195"/>
      <c r="B166" s="140">
        <v>163</v>
      </c>
      <c r="C166" s="2"/>
      <c r="D166" s="1"/>
      <c r="E166" s="3"/>
      <c r="F166" s="1"/>
      <c r="G166" s="141">
        <f>IF(Basic345678910[[#This Row],[نوع الخدمة]]="مخالفات", 50,
IF(Basic345678910[[#This Row],[نوع الخدمة]]="كاش ان",
    IF(F166&lt;=100, 18, IF(F166&lt;=250, 23, IF(F166&lt;=500, 35, IF(F166&lt;=1000, 40, F166*0.04)))),
IF(Basic345678910[[#This Row],[نوع الخدمة]]="كاش اوت",
    IF(F166&lt;=100, 15, IF(F166&lt;=250, 20, IF(F166&lt;=500, 30, IF(F166&lt;=1000, 35, F166*0.035)))),
0)))</f>
        <v>0</v>
      </c>
      <c r="H166" s="159">
        <f>IF(I166="مخالفات",50,Basic345678910[[#This Row],[قيمة الرسوم / العموله]]+Basic345678910[[#This Row],[قيمة الشحنه]])</f>
        <v>0</v>
      </c>
      <c r="I166" s="90"/>
      <c r="J166" s="142" t="str">
        <f t="shared" si="2"/>
        <v>23.5.2026</v>
      </c>
      <c r="L166" s="153">
        <v>155</v>
      </c>
      <c r="M166" s="92"/>
    </row>
    <row r="167" spans="1:13" ht="21.6" x14ac:dyDescent="0.65">
      <c r="A167" s="195"/>
      <c r="B167" s="140">
        <v>164</v>
      </c>
      <c r="C167" s="2"/>
      <c r="D167" s="1"/>
      <c r="E167" s="3"/>
      <c r="F167" s="1"/>
      <c r="G167" s="141">
        <f>IF(Basic345678910[[#This Row],[نوع الخدمة]]="مخالفات", 50,
IF(Basic345678910[[#This Row],[نوع الخدمة]]="كاش ان",
    IF(F167&lt;=100, 18, IF(F167&lt;=250, 23, IF(F167&lt;=500, 35, IF(F167&lt;=1000, 40, F167*0.04)))),
IF(Basic345678910[[#This Row],[نوع الخدمة]]="كاش اوت",
    IF(F167&lt;=100, 15, IF(F167&lt;=250, 20, IF(F167&lt;=500, 30, IF(F167&lt;=1000, 35, F167*0.035)))),
0)))</f>
        <v>0</v>
      </c>
      <c r="H167" s="159">
        <f>IF(I167="مخالفات",50,Basic345678910[[#This Row],[قيمة الرسوم / العموله]]+Basic345678910[[#This Row],[قيمة الشحنه]])</f>
        <v>0</v>
      </c>
      <c r="I167" s="90"/>
      <c r="J167" s="142" t="str">
        <f t="shared" si="2"/>
        <v>23.5.2026</v>
      </c>
      <c r="L167" s="153">
        <v>156</v>
      </c>
      <c r="M167" s="92"/>
    </row>
    <row r="168" spans="1:13" ht="21.6" x14ac:dyDescent="0.65">
      <c r="A168" s="195"/>
      <c r="B168" s="140">
        <v>165</v>
      </c>
      <c r="C168" s="2"/>
      <c r="D168" s="1"/>
      <c r="E168" s="3"/>
      <c r="F168" s="1"/>
      <c r="G168" s="141">
        <f>IF(Basic345678910[[#This Row],[نوع الخدمة]]="مخالفات", 50,
IF(Basic345678910[[#This Row],[نوع الخدمة]]="كاش ان",
    IF(F168&lt;=100, 18, IF(F168&lt;=250, 23, IF(F168&lt;=500, 35, IF(F168&lt;=1000, 40, F168*0.04)))),
IF(Basic345678910[[#This Row],[نوع الخدمة]]="كاش اوت",
    IF(F168&lt;=100, 15, IF(F168&lt;=250, 20, IF(F168&lt;=500, 30, IF(F168&lt;=1000, 35, F168*0.035)))),
0)))</f>
        <v>0</v>
      </c>
      <c r="H168" s="159">
        <f>IF(I168="مخالفات",50,Basic345678910[[#This Row],[قيمة الرسوم / العموله]]+Basic345678910[[#This Row],[قيمة الشحنه]])</f>
        <v>0</v>
      </c>
      <c r="I168" s="90"/>
      <c r="J168" s="142" t="str">
        <f t="shared" si="2"/>
        <v>23.5.2026</v>
      </c>
      <c r="L168" s="153">
        <v>157</v>
      </c>
      <c r="M168" s="92"/>
    </row>
    <row r="169" spans="1:13" ht="21.6" x14ac:dyDescent="0.65">
      <c r="A169" s="195"/>
      <c r="B169" s="144">
        <v>166</v>
      </c>
      <c r="C169" s="2"/>
      <c r="D169" s="1"/>
      <c r="E169" s="3"/>
      <c r="F169" s="1"/>
      <c r="G169" s="141">
        <f>IF(Basic345678910[[#This Row],[نوع الخدمة]]="مخالفات", 50,
IF(Basic345678910[[#This Row],[نوع الخدمة]]="كاش ان",
    IF(F169&lt;=100, 18, IF(F169&lt;=250, 23, IF(F169&lt;=500, 35, IF(F169&lt;=1000, 40, F169*0.04)))),
IF(Basic345678910[[#This Row],[نوع الخدمة]]="كاش اوت",
    IF(F169&lt;=100, 15, IF(F169&lt;=250, 20, IF(F169&lt;=500, 30, IF(F169&lt;=1000, 35, F169*0.035)))),
0)))</f>
        <v>0</v>
      </c>
      <c r="H169" s="159">
        <f>IF(I169="مخالفات",50,Basic345678910[[#This Row],[قيمة الرسوم / العموله]]+Basic345678910[[#This Row],[قيمة الشحنه]])</f>
        <v>0</v>
      </c>
      <c r="I169" s="90"/>
      <c r="J169" s="142" t="str">
        <f t="shared" si="2"/>
        <v>23.5.2026</v>
      </c>
      <c r="L169" s="153">
        <v>158</v>
      </c>
      <c r="M169" s="92"/>
    </row>
    <row r="170" spans="1:13" ht="21.6" x14ac:dyDescent="0.65">
      <c r="A170" s="195"/>
      <c r="B170" s="140">
        <v>167</v>
      </c>
      <c r="C170" s="2"/>
      <c r="D170" s="1"/>
      <c r="E170" s="3"/>
      <c r="F170" s="1"/>
      <c r="G170" s="141">
        <f>IF(Basic345678910[[#This Row],[نوع الخدمة]]="مخالفات", 50,
IF(Basic345678910[[#This Row],[نوع الخدمة]]="كاش ان",
    IF(F170&lt;=100, 18, IF(F170&lt;=250, 23, IF(F170&lt;=500, 35, IF(F170&lt;=1000, 40, F170*0.04)))),
IF(Basic345678910[[#This Row],[نوع الخدمة]]="كاش اوت",
    IF(F170&lt;=100, 15, IF(F170&lt;=250, 20, IF(F170&lt;=500, 30, IF(F170&lt;=1000, 35, F170*0.035)))),
0)))</f>
        <v>0</v>
      </c>
      <c r="H170" s="159">
        <f>IF(I170="مخالفات",50,Basic345678910[[#This Row],[قيمة الرسوم / العموله]]+Basic345678910[[#This Row],[قيمة الشحنه]])</f>
        <v>0</v>
      </c>
      <c r="I170" s="90"/>
      <c r="J170" s="142" t="str">
        <f t="shared" si="2"/>
        <v>23.5.2026</v>
      </c>
      <c r="L170" s="153">
        <v>159</v>
      </c>
      <c r="M170" s="92"/>
    </row>
    <row r="171" spans="1:13" ht="21.6" x14ac:dyDescent="0.65">
      <c r="A171" s="195"/>
      <c r="B171" s="140">
        <v>168</v>
      </c>
      <c r="C171" s="2"/>
      <c r="D171" s="1"/>
      <c r="E171" s="3"/>
      <c r="F171" s="1"/>
      <c r="G171" s="141">
        <f>IF(Basic345678910[[#This Row],[نوع الخدمة]]="مخالفات", 50,
IF(Basic345678910[[#This Row],[نوع الخدمة]]="كاش ان",
    IF(F171&lt;=100, 18, IF(F171&lt;=250, 23, IF(F171&lt;=500, 35, IF(F171&lt;=1000, 40, F171*0.04)))),
IF(Basic345678910[[#This Row],[نوع الخدمة]]="كاش اوت",
    IF(F171&lt;=100, 15, IF(F171&lt;=250, 20, IF(F171&lt;=500, 30, IF(F171&lt;=1000, 35, F171*0.035)))),
0)))</f>
        <v>0</v>
      </c>
      <c r="H171" s="159">
        <f>IF(I171="مخالفات",50,Basic345678910[[#This Row],[قيمة الرسوم / العموله]]+Basic345678910[[#This Row],[قيمة الشحنه]])</f>
        <v>0</v>
      </c>
      <c r="I171" s="90"/>
      <c r="J171" s="142" t="str">
        <f t="shared" si="2"/>
        <v>23.5.2026</v>
      </c>
      <c r="L171" s="153">
        <v>160</v>
      </c>
      <c r="M171" s="92"/>
    </row>
    <row r="172" spans="1:13" ht="21.6" x14ac:dyDescent="0.65">
      <c r="A172" s="195"/>
      <c r="B172" s="140">
        <v>169</v>
      </c>
      <c r="C172" s="2"/>
      <c r="D172" s="1"/>
      <c r="E172" s="3"/>
      <c r="F172" s="1"/>
      <c r="G172" s="141">
        <f>IF(Basic345678910[[#This Row],[نوع الخدمة]]="مخالفات", 50,
IF(Basic345678910[[#This Row],[نوع الخدمة]]="كاش ان",
    IF(F172&lt;=100, 18, IF(F172&lt;=250, 23, IF(F172&lt;=500, 35, IF(F172&lt;=1000, 40, F172*0.04)))),
IF(Basic345678910[[#This Row],[نوع الخدمة]]="كاش اوت",
    IF(F172&lt;=100, 15, IF(F172&lt;=250, 20, IF(F172&lt;=500, 30, IF(F172&lt;=1000, 35, F172*0.035)))),
0)))</f>
        <v>0</v>
      </c>
      <c r="H172" s="159">
        <f>IF(I172="مخالفات",50,Basic345678910[[#This Row],[قيمة الرسوم / العموله]]+Basic345678910[[#This Row],[قيمة الشحنه]])</f>
        <v>0</v>
      </c>
      <c r="I172" s="90"/>
      <c r="J172" s="142" t="str">
        <f t="shared" si="2"/>
        <v>23.5.2026</v>
      </c>
      <c r="L172" s="153">
        <v>161</v>
      </c>
      <c r="M172" s="92"/>
    </row>
    <row r="173" spans="1:13" ht="21.6" x14ac:dyDescent="0.65">
      <c r="A173" s="195"/>
      <c r="B173" s="144">
        <v>170</v>
      </c>
      <c r="C173" s="2"/>
      <c r="D173" s="1"/>
      <c r="E173" s="3"/>
      <c r="F173" s="1"/>
      <c r="G173" s="141">
        <f>IF(Basic345678910[[#This Row],[نوع الخدمة]]="مخالفات", 50,
IF(Basic345678910[[#This Row],[نوع الخدمة]]="كاش ان",
    IF(F173&lt;=100, 18, IF(F173&lt;=250, 23, IF(F173&lt;=500, 35, IF(F173&lt;=1000, 40, F173*0.04)))),
IF(Basic345678910[[#This Row],[نوع الخدمة]]="كاش اوت",
    IF(F173&lt;=100, 15, IF(F173&lt;=250, 20, IF(F173&lt;=500, 30, IF(F173&lt;=1000, 35, F173*0.035)))),
0)))</f>
        <v>0</v>
      </c>
      <c r="H173" s="159">
        <f>IF(I173="مخالفات",50,Basic345678910[[#This Row],[قيمة الرسوم / العموله]]+Basic345678910[[#This Row],[قيمة الشحنه]])</f>
        <v>0</v>
      </c>
      <c r="I173" s="90"/>
      <c r="J173" s="142" t="str">
        <f t="shared" si="2"/>
        <v>23.5.2026</v>
      </c>
      <c r="L173" s="153">
        <v>162</v>
      </c>
      <c r="M173" s="92"/>
    </row>
    <row r="174" spans="1:13" ht="21.6" x14ac:dyDescent="0.65">
      <c r="A174" s="195"/>
      <c r="B174" s="140">
        <v>171</v>
      </c>
      <c r="C174" s="2"/>
      <c r="D174" s="1"/>
      <c r="E174" s="3"/>
      <c r="F174" s="1"/>
      <c r="G174" s="141">
        <f>IF(Basic345678910[[#This Row],[نوع الخدمة]]="مخالفات", 50,
IF(Basic345678910[[#This Row],[نوع الخدمة]]="كاش ان",
    IF(F174&lt;=100, 18, IF(F174&lt;=250, 23, IF(F174&lt;=500, 35, IF(F174&lt;=1000, 40, F174*0.04)))),
IF(Basic345678910[[#This Row],[نوع الخدمة]]="كاش اوت",
    IF(F174&lt;=100, 15, IF(F174&lt;=250, 20, IF(F174&lt;=500, 30, IF(F174&lt;=1000, 35, F174*0.035)))),
0)))</f>
        <v>0</v>
      </c>
      <c r="H174" s="159">
        <f>IF(I174="مخالفات",50,Basic345678910[[#This Row],[قيمة الرسوم / العموله]]+Basic345678910[[#This Row],[قيمة الشحنه]])</f>
        <v>0</v>
      </c>
      <c r="I174" s="90"/>
      <c r="J174" s="142" t="str">
        <f t="shared" si="2"/>
        <v>23.5.2026</v>
      </c>
      <c r="L174" s="153">
        <v>163</v>
      </c>
      <c r="M174" s="92"/>
    </row>
    <row r="175" spans="1:13" ht="21.6" x14ac:dyDescent="0.65">
      <c r="A175" s="195"/>
      <c r="B175" s="140">
        <v>172</v>
      </c>
      <c r="C175" s="2"/>
      <c r="D175" s="1"/>
      <c r="E175" s="3"/>
      <c r="F175" s="1"/>
      <c r="G175" s="141">
        <f>IF(Basic345678910[[#This Row],[نوع الخدمة]]="مخالفات", 50,
IF(Basic345678910[[#This Row],[نوع الخدمة]]="كاش ان",
    IF(F175&lt;=100, 18, IF(F175&lt;=250, 23, IF(F175&lt;=500, 35, IF(F175&lt;=1000, 40, F175*0.04)))),
IF(Basic345678910[[#This Row],[نوع الخدمة]]="كاش اوت",
    IF(F175&lt;=100, 15, IF(F175&lt;=250, 20, IF(F175&lt;=500, 30, IF(F175&lt;=1000, 35, F175*0.035)))),
0)))</f>
        <v>0</v>
      </c>
      <c r="H175" s="159">
        <f>IF(I175="مخالفات",50,Basic345678910[[#This Row],[قيمة الرسوم / العموله]]+Basic345678910[[#This Row],[قيمة الشحنه]])</f>
        <v>0</v>
      </c>
      <c r="I175" s="90"/>
      <c r="J175" s="142" t="str">
        <f t="shared" si="2"/>
        <v>23.5.2026</v>
      </c>
      <c r="L175" s="153">
        <v>164</v>
      </c>
      <c r="M175" s="92"/>
    </row>
    <row r="176" spans="1:13" ht="21.6" x14ac:dyDescent="0.65">
      <c r="A176" s="195"/>
      <c r="B176" s="140">
        <v>173</v>
      </c>
      <c r="C176" s="2"/>
      <c r="D176" s="1"/>
      <c r="E176" s="3"/>
      <c r="F176" s="1"/>
      <c r="G176" s="141">
        <f>IF(Basic345678910[[#This Row],[نوع الخدمة]]="مخالفات", 50,
IF(Basic345678910[[#This Row],[نوع الخدمة]]="كاش ان",
    IF(F176&lt;=100, 18, IF(F176&lt;=250, 23, IF(F176&lt;=500, 35, IF(F176&lt;=1000, 40, F176*0.04)))),
IF(Basic345678910[[#This Row],[نوع الخدمة]]="كاش اوت",
    IF(F176&lt;=100, 15, IF(F176&lt;=250, 20, IF(F176&lt;=500, 30, IF(F176&lt;=1000, 35, F176*0.035)))),
0)))</f>
        <v>0</v>
      </c>
      <c r="H176" s="159">
        <f>IF(I176="مخالفات",50,Basic345678910[[#This Row],[قيمة الرسوم / العموله]]+Basic345678910[[#This Row],[قيمة الشحنه]])</f>
        <v>0</v>
      </c>
      <c r="I176" s="90"/>
      <c r="J176" s="142" t="str">
        <f t="shared" si="2"/>
        <v>23.5.2026</v>
      </c>
      <c r="L176" s="153">
        <v>165</v>
      </c>
      <c r="M176" s="92"/>
    </row>
    <row r="177" spans="1:13" ht="21.6" x14ac:dyDescent="0.65">
      <c r="A177" s="195"/>
      <c r="B177" s="144">
        <v>174</v>
      </c>
      <c r="C177" s="2"/>
      <c r="D177" s="1"/>
      <c r="E177" s="3"/>
      <c r="F177" s="1"/>
      <c r="G177" s="141">
        <f>IF(Basic345678910[[#This Row],[نوع الخدمة]]="مخالفات", 50,
IF(Basic345678910[[#This Row],[نوع الخدمة]]="كاش ان",
    IF(F177&lt;=100, 18, IF(F177&lt;=250, 23, IF(F177&lt;=500, 35, IF(F177&lt;=1000, 40, F177*0.04)))),
IF(Basic345678910[[#This Row],[نوع الخدمة]]="كاش اوت",
    IF(F177&lt;=100, 15, IF(F177&lt;=250, 20, IF(F177&lt;=500, 30, IF(F177&lt;=1000, 35, F177*0.035)))),
0)))</f>
        <v>0</v>
      </c>
      <c r="H177" s="159">
        <f>IF(I177="مخالفات",50,Basic345678910[[#This Row],[قيمة الرسوم / العموله]]+Basic345678910[[#This Row],[قيمة الشحنه]])</f>
        <v>0</v>
      </c>
      <c r="I177" s="90"/>
      <c r="J177" s="142" t="str">
        <f t="shared" si="2"/>
        <v>23.5.2026</v>
      </c>
      <c r="L177" s="153">
        <v>166</v>
      </c>
      <c r="M177" s="92"/>
    </row>
    <row r="178" spans="1:13" ht="21.6" x14ac:dyDescent="0.65">
      <c r="A178" s="195"/>
      <c r="B178" s="140">
        <v>175</v>
      </c>
      <c r="C178" s="2"/>
      <c r="D178" s="1"/>
      <c r="E178" s="3"/>
      <c r="F178" s="1"/>
      <c r="G178" s="141">
        <f>IF(Basic345678910[[#This Row],[نوع الخدمة]]="مخالفات", 50,
IF(Basic345678910[[#This Row],[نوع الخدمة]]="كاش ان",
    IF(F178&lt;=100, 18, IF(F178&lt;=250, 23, IF(F178&lt;=500, 35, IF(F178&lt;=1000, 40, F178*0.04)))),
IF(Basic345678910[[#This Row],[نوع الخدمة]]="كاش اوت",
    IF(F178&lt;=100, 15, IF(F178&lt;=250, 20, IF(F178&lt;=500, 30, IF(F178&lt;=1000, 35, F178*0.035)))),
0)))</f>
        <v>0</v>
      </c>
      <c r="H178" s="159">
        <f>IF(I178="مخالفات",50,Basic345678910[[#This Row],[قيمة الرسوم / العموله]]+Basic345678910[[#This Row],[قيمة الشحنه]])</f>
        <v>0</v>
      </c>
      <c r="I178" s="90"/>
      <c r="J178" s="142" t="str">
        <f t="shared" si="2"/>
        <v>23.5.2026</v>
      </c>
      <c r="L178" s="153">
        <v>167</v>
      </c>
      <c r="M178" s="92"/>
    </row>
    <row r="179" spans="1:13" ht="21.6" x14ac:dyDescent="0.65">
      <c r="A179" s="195"/>
      <c r="B179" s="140">
        <v>176</v>
      </c>
      <c r="C179" s="2"/>
      <c r="D179" s="1"/>
      <c r="E179" s="3"/>
      <c r="F179" s="1"/>
      <c r="G179" s="141">
        <f>IF(Basic345678910[[#This Row],[نوع الخدمة]]="مخالفات", 50,
IF(Basic345678910[[#This Row],[نوع الخدمة]]="كاش ان",
    IF(F179&lt;=100, 18, IF(F179&lt;=250, 23, IF(F179&lt;=500, 35, IF(F179&lt;=1000, 40, F179*0.04)))),
IF(Basic345678910[[#This Row],[نوع الخدمة]]="كاش اوت",
    IF(F179&lt;=100, 15, IF(F179&lt;=250, 20, IF(F179&lt;=500, 30, IF(F179&lt;=1000, 35, F179*0.035)))),
0)))</f>
        <v>0</v>
      </c>
      <c r="H179" s="159">
        <f>IF(I179="مخالفات",50,Basic345678910[[#This Row],[قيمة الرسوم / العموله]]+Basic345678910[[#This Row],[قيمة الشحنه]])</f>
        <v>0</v>
      </c>
      <c r="I179" s="90"/>
      <c r="J179" s="142" t="str">
        <f t="shared" si="2"/>
        <v>23.5.2026</v>
      </c>
      <c r="L179" s="153">
        <v>168</v>
      </c>
      <c r="M179" s="92"/>
    </row>
    <row r="180" spans="1:13" ht="21.6" x14ac:dyDescent="0.65">
      <c r="A180" s="195"/>
      <c r="B180" s="140">
        <v>177</v>
      </c>
      <c r="C180" s="2"/>
      <c r="D180" s="1"/>
      <c r="E180" s="3"/>
      <c r="F180" s="1"/>
      <c r="G180" s="141">
        <f>IF(Basic345678910[[#This Row],[نوع الخدمة]]="مخالفات", 50,
IF(Basic345678910[[#This Row],[نوع الخدمة]]="كاش ان",
    IF(F180&lt;=100, 18, IF(F180&lt;=250, 23, IF(F180&lt;=500, 35, IF(F180&lt;=1000, 40, F180*0.04)))),
IF(Basic345678910[[#This Row],[نوع الخدمة]]="كاش اوت",
    IF(F180&lt;=100, 15, IF(F180&lt;=250, 20, IF(F180&lt;=500, 30, IF(F180&lt;=1000, 35, F180*0.035)))),
0)))</f>
        <v>0</v>
      </c>
      <c r="H180" s="159">
        <f>IF(I180="مخالفات",50,Basic345678910[[#This Row],[قيمة الرسوم / العموله]]+Basic345678910[[#This Row],[قيمة الشحنه]])</f>
        <v>0</v>
      </c>
      <c r="I180" s="90"/>
      <c r="J180" s="142" t="str">
        <f t="shared" si="2"/>
        <v>23.5.2026</v>
      </c>
      <c r="L180" s="153">
        <v>169</v>
      </c>
      <c r="M180" s="92"/>
    </row>
    <row r="181" spans="1:13" ht="21.6" x14ac:dyDescent="0.65">
      <c r="A181" s="195"/>
      <c r="B181" s="144">
        <v>178</v>
      </c>
      <c r="C181" s="2"/>
      <c r="D181" s="1"/>
      <c r="E181" s="3"/>
      <c r="F181" s="1"/>
      <c r="G181" s="141">
        <f>IF(Basic345678910[[#This Row],[نوع الخدمة]]="مخالفات", 50,
IF(Basic345678910[[#This Row],[نوع الخدمة]]="كاش ان",
    IF(F181&lt;=100, 18, IF(F181&lt;=250, 23, IF(F181&lt;=500, 35, IF(F181&lt;=1000, 40, F181*0.04)))),
IF(Basic345678910[[#This Row],[نوع الخدمة]]="كاش اوت",
    IF(F181&lt;=100, 15, IF(F181&lt;=250, 20, IF(F181&lt;=500, 30, IF(F181&lt;=1000, 35, F181*0.035)))),
0)))</f>
        <v>0</v>
      </c>
      <c r="H181" s="159">
        <f>IF(I181="مخالفات",50,Basic345678910[[#This Row],[قيمة الرسوم / العموله]]+Basic345678910[[#This Row],[قيمة الشحنه]])</f>
        <v>0</v>
      </c>
      <c r="I181" s="90"/>
      <c r="J181" s="142" t="str">
        <f t="shared" si="2"/>
        <v>23.5.2026</v>
      </c>
      <c r="L181" s="153">
        <v>170</v>
      </c>
      <c r="M181" s="92"/>
    </row>
    <row r="182" spans="1:13" ht="21.6" x14ac:dyDescent="0.65">
      <c r="A182" s="195"/>
      <c r="B182" s="140">
        <v>179</v>
      </c>
      <c r="C182" s="2"/>
      <c r="D182" s="1"/>
      <c r="E182" s="3"/>
      <c r="F182" s="1"/>
      <c r="G182" s="141">
        <f>IF(Basic345678910[[#This Row],[نوع الخدمة]]="مخالفات", 50,
IF(Basic345678910[[#This Row],[نوع الخدمة]]="كاش ان",
    IF(F182&lt;=100, 18, IF(F182&lt;=250, 23, IF(F182&lt;=500, 35, IF(F182&lt;=1000, 40, F182*0.04)))),
IF(Basic345678910[[#This Row],[نوع الخدمة]]="كاش اوت",
    IF(F182&lt;=100, 15, IF(F182&lt;=250, 20, IF(F182&lt;=500, 30, IF(F182&lt;=1000, 35, F182*0.035)))),
0)))</f>
        <v>0</v>
      </c>
      <c r="H182" s="159">
        <f>IF(I182="مخالفات",50,Basic345678910[[#This Row],[قيمة الرسوم / العموله]]+Basic345678910[[#This Row],[قيمة الشحنه]])</f>
        <v>0</v>
      </c>
      <c r="I182" s="90"/>
      <c r="J182" s="142" t="str">
        <f t="shared" si="2"/>
        <v>23.5.2026</v>
      </c>
      <c r="L182" s="153">
        <v>171</v>
      </c>
      <c r="M182" s="92"/>
    </row>
    <row r="183" spans="1:13" ht="21.6" x14ac:dyDescent="0.65">
      <c r="A183" s="195"/>
      <c r="B183" s="140">
        <v>180</v>
      </c>
      <c r="C183" s="2"/>
      <c r="D183" s="1"/>
      <c r="E183" s="3"/>
      <c r="F183" s="1"/>
      <c r="G183" s="141">
        <f>IF(Basic345678910[[#This Row],[نوع الخدمة]]="مخالفات", 50,
IF(Basic345678910[[#This Row],[نوع الخدمة]]="كاش ان",
    IF(F183&lt;=100, 18, IF(F183&lt;=250, 23, IF(F183&lt;=500, 35, IF(F183&lt;=1000, 40, F183*0.04)))),
IF(Basic345678910[[#This Row],[نوع الخدمة]]="كاش اوت",
    IF(F183&lt;=100, 15, IF(F183&lt;=250, 20, IF(F183&lt;=500, 30, IF(F183&lt;=1000, 35, F183*0.035)))),
0)))</f>
        <v>0</v>
      </c>
      <c r="H183" s="159">
        <f>IF(I183="مخالفات",50,Basic345678910[[#This Row],[قيمة الرسوم / العموله]]+Basic345678910[[#This Row],[قيمة الشحنه]])</f>
        <v>0</v>
      </c>
      <c r="I183" s="90"/>
      <c r="J183" s="142" t="str">
        <f t="shared" si="2"/>
        <v>23.5.2026</v>
      </c>
      <c r="L183" s="153">
        <v>172</v>
      </c>
      <c r="M183" s="92"/>
    </row>
    <row r="184" spans="1:13" ht="21.6" x14ac:dyDescent="0.65">
      <c r="A184" s="195"/>
      <c r="B184" s="140">
        <v>181</v>
      </c>
      <c r="C184" s="2"/>
      <c r="D184" s="1"/>
      <c r="E184" s="3"/>
      <c r="F184" s="1"/>
      <c r="G184" s="141">
        <f>IF(Basic345678910[[#This Row],[نوع الخدمة]]="مخالفات", 50,
IF(Basic345678910[[#This Row],[نوع الخدمة]]="كاش ان",
    IF(F184&lt;=100, 18, IF(F184&lt;=250, 23, IF(F184&lt;=500, 35, IF(F184&lt;=1000, 40, F184*0.04)))),
IF(Basic345678910[[#This Row],[نوع الخدمة]]="كاش اوت",
    IF(F184&lt;=100, 15, IF(F184&lt;=250, 20, IF(F184&lt;=500, 30, IF(F184&lt;=1000, 35, F184*0.035)))),
0)))</f>
        <v>0</v>
      </c>
      <c r="H184" s="159">
        <f>IF(I184="مخالفات",50,Basic345678910[[#This Row],[قيمة الرسوم / العموله]]+Basic345678910[[#This Row],[قيمة الشحنه]])</f>
        <v>0</v>
      </c>
      <c r="I184" s="90"/>
      <c r="J184" s="142" t="str">
        <f t="shared" si="2"/>
        <v>23.5.2026</v>
      </c>
      <c r="L184" s="153">
        <v>173</v>
      </c>
      <c r="M184" s="92"/>
    </row>
    <row r="185" spans="1:13" ht="21.6" x14ac:dyDescent="0.65">
      <c r="A185" s="195"/>
      <c r="B185" s="144">
        <v>182</v>
      </c>
      <c r="C185" s="2"/>
      <c r="D185" s="1"/>
      <c r="E185" s="3"/>
      <c r="F185" s="1"/>
      <c r="G185" s="141">
        <f>IF(Basic345678910[[#This Row],[نوع الخدمة]]="مخالفات", 50,
IF(Basic345678910[[#This Row],[نوع الخدمة]]="كاش ان",
    IF(F185&lt;=100, 18, IF(F185&lt;=250, 23, IF(F185&lt;=500, 35, IF(F185&lt;=1000, 40, F185*0.04)))),
IF(Basic345678910[[#This Row],[نوع الخدمة]]="كاش اوت",
    IF(F185&lt;=100, 15, IF(F185&lt;=250, 20, IF(F185&lt;=500, 30, IF(F185&lt;=1000, 35, F185*0.035)))),
0)))</f>
        <v>0</v>
      </c>
      <c r="H185" s="159">
        <f>IF(I185="مخالفات",50,Basic345678910[[#This Row],[قيمة الرسوم / العموله]]+Basic345678910[[#This Row],[قيمة الشحنه]])</f>
        <v>0</v>
      </c>
      <c r="I185" s="90"/>
      <c r="J185" s="142" t="str">
        <f t="shared" si="2"/>
        <v>23.5.2026</v>
      </c>
      <c r="L185" s="153">
        <v>174</v>
      </c>
      <c r="M185" s="92"/>
    </row>
    <row r="186" spans="1:13" ht="21.6" x14ac:dyDescent="0.65">
      <c r="A186" s="195"/>
      <c r="B186" s="140">
        <v>183</v>
      </c>
      <c r="C186" s="2"/>
      <c r="D186" s="1"/>
      <c r="E186" s="3"/>
      <c r="F186" s="1"/>
      <c r="G186" s="141">
        <f>IF(Basic345678910[[#This Row],[نوع الخدمة]]="مخالفات", 50,
IF(Basic345678910[[#This Row],[نوع الخدمة]]="كاش ان",
    IF(F186&lt;=100, 18, IF(F186&lt;=250, 23, IF(F186&lt;=500, 35, IF(F186&lt;=1000, 40, F186*0.04)))),
IF(Basic345678910[[#This Row],[نوع الخدمة]]="كاش اوت",
    IF(F186&lt;=100, 15, IF(F186&lt;=250, 20, IF(F186&lt;=500, 30, IF(F186&lt;=1000, 35, F186*0.035)))),
0)))</f>
        <v>0</v>
      </c>
      <c r="H186" s="159">
        <f>IF(I186="مخالفات",50,Basic345678910[[#This Row],[قيمة الرسوم / العموله]]+Basic345678910[[#This Row],[قيمة الشحنه]])</f>
        <v>0</v>
      </c>
      <c r="I186" s="90"/>
      <c r="J186" s="142" t="str">
        <f t="shared" si="2"/>
        <v>23.5.2026</v>
      </c>
      <c r="L186" s="153">
        <v>175</v>
      </c>
      <c r="M186" s="92"/>
    </row>
    <row r="187" spans="1:13" ht="21.6" x14ac:dyDescent="0.65">
      <c r="A187" s="195"/>
      <c r="B187" s="140">
        <v>184</v>
      </c>
      <c r="C187" s="2"/>
      <c r="D187" s="1"/>
      <c r="E187" s="3"/>
      <c r="F187" s="1"/>
      <c r="G187" s="141">
        <f>IF(Basic345678910[[#This Row],[نوع الخدمة]]="مخالفات", 50,
IF(Basic345678910[[#This Row],[نوع الخدمة]]="كاش ان",
    IF(F187&lt;=100, 18, IF(F187&lt;=250, 23, IF(F187&lt;=500, 35, IF(F187&lt;=1000, 40, F187*0.04)))),
IF(Basic345678910[[#This Row],[نوع الخدمة]]="كاش اوت",
    IF(F187&lt;=100, 15, IF(F187&lt;=250, 20, IF(F187&lt;=500, 30, IF(F187&lt;=1000, 35, F187*0.035)))),
0)))</f>
        <v>0</v>
      </c>
      <c r="H187" s="159">
        <f>IF(I187="مخالفات",50,Basic345678910[[#This Row],[قيمة الرسوم / العموله]]+Basic345678910[[#This Row],[قيمة الشحنه]])</f>
        <v>0</v>
      </c>
      <c r="I187" s="90"/>
      <c r="J187" s="142" t="str">
        <f t="shared" si="2"/>
        <v>23.5.2026</v>
      </c>
      <c r="L187" s="153">
        <v>176</v>
      </c>
      <c r="M187" s="92"/>
    </row>
    <row r="188" spans="1:13" ht="21.6" x14ac:dyDescent="0.65">
      <c r="A188" s="195"/>
      <c r="B188" s="140">
        <v>185</v>
      </c>
      <c r="C188" s="2"/>
      <c r="D188" s="1"/>
      <c r="E188" s="3"/>
      <c r="F188" s="1"/>
      <c r="G188" s="141">
        <f>IF(Basic345678910[[#This Row],[نوع الخدمة]]="مخالفات", 50,
IF(Basic345678910[[#This Row],[نوع الخدمة]]="كاش ان",
    IF(F188&lt;=100, 18, IF(F188&lt;=250, 23, IF(F188&lt;=500, 35, IF(F188&lt;=1000, 40, F188*0.04)))),
IF(Basic345678910[[#This Row],[نوع الخدمة]]="كاش اوت",
    IF(F188&lt;=100, 15, IF(F188&lt;=250, 20, IF(F188&lt;=500, 30, IF(F188&lt;=1000, 35, F188*0.035)))),
0)))</f>
        <v>0</v>
      </c>
      <c r="H188" s="159">
        <f>IF(I188="مخالفات",50,Basic345678910[[#This Row],[قيمة الرسوم / العموله]]+Basic345678910[[#This Row],[قيمة الشحنه]])</f>
        <v>0</v>
      </c>
      <c r="I188" s="90"/>
      <c r="J188" s="142" t="str">
        <f t="shared" si="2"/>
        <v>23.5.2026</v>
      </c>
      <c r="L188" s="153">
        <v>177</v>
      </c>
      <c r="M188" s="92"/>
    </row>
    <row r="189" spans="1:13" ht="21.6" x14ac:dyDescent="0.65">
      <c r="A189" s="195"/>
      <c r="B189" s="144">
        <v>186</v>
      </c>
      <c r="C189" s="2"/>
      <c r="D189" s="1"/>
      <c r="E189" s="3"/>
      <c r="F189" s="1"/>
      <c r="G189" s="141">
        <f>IF(Basic345678910[[#This Row],[نوع الخدمة]]="مخالفات", 50,
IF(Basic345678910[[#This Row],[نوع الخدمة]]="كاش ان",
    IF(F189&lt;=100, 18, IF(F189&lt;=250, 23, IF(F189&lt;=500, 35, IF(F189&lt;=1000, 40, F189*0.04)))),
IF(Basic345678910[[#This Row],[نوع الخدمة]]="كاش اوت",
    IF(F189&lt;=100, 15, IF(F189&lt;=250, 20, IF(F189&lt;=500, 30, IF(F189&lt;=1000, 35, F189*0.035)))),
0)))</f>
        <v>0</v>
      </c>
      <c r="H189" s="159">
        <f>IF(I189="مخالفات",50,Basic345678910[[#This Row],[قيمة الرسوم / العموله]]+Basic345678910[[#This Row],[قيمة الشحنه]])</f>
        <v>0</v>
      </c>
      <c r="I189" s="90"/>
      <c r="J189" s="142" t="str">
        <f t="shared" si="2"/>
        <v>23.5.2026</v>
      </c>
      <c r="L189" s="153">
        <v>178</v>
      </c>
      <c r="M189" s="92"/>
    </row>
    <row r="190" spans="1:13" ht="21.6" x14ac:dyDescent="0.65">
      <c r="A190" s="195"/>
      <c r="B190" s="140">
        <v>187</v>
      </c>
      <c r="C190" s="2"/>
      <c r="D190" s="1"/>
      <c r="E190" s="3"/>
      <c r="F190" s="1"/>
      <c r="G190" s="141">
        <f>IF(Basic345678910[[#This Row],[نوع الخدمة]]="مخالفات", 50,
IF(Basic345678910[[#This Row],[نوع الخدمة]]="كاش ان",
    IF(F190&lt;=100, 18, IF(F190&lt;=250, 23, IF(F190&lt;=500, 35, IF(F190&lt;=1000, 40, F190*0.04)))),
IF(Basic345678910[[#This Row],[نوع الخدمة]]="كاش اوت",
    IF(F190&lt;=100, 15, IF(F190&lt;=250, 20, IF(F190&lt;=500, 30, IF(F190&lt;=1000, 35, F190*0.035)))),
0)))</f>
        <v>0</v>
      </c>
      <c r="H190" s="159">
        <f>IF(I190="مخالفات",50,Basic345678910[[#This Row],[قيمة الرسوم / العموله]]+Basic345678910[[#This Row],[قيمة الشحنه]])</f>
        <v>0</v>
      </c>
      <c r="I190" s="90"/>
      <c r="J190" s="142" t="str">
        <f t="shared" si="2"/>
        <v>23.5.2026</v>
      </c>
      <c r="L190" s="153">
        <v>179</v>
      </c>
      <c r="M190" s="92"/>
    </row>
    <row r="191" spans="1:13" ht="21.6" x14ac:dyDescent="0.65">
      <c r="A191" s="195"/>
      <c r="B191" s="140">
        <v>188</v>
      </c>
      <c r="C191" s="2"/>
      <c r="D191" s="1"/>
      <c r="E191" s="3"/>
      <c r="F191" s="1"/>
      <c r="G191" s="141">
        <f>IF(Basic345678910[[#This Row],[نوع الخدمة]]="مخالفات", 50,
IF(Basic345678910[[#This Row],[نوع الخدمة]]="كاش ان",
    IF(F191&lt;=100, 18, IF(F191&lt;=250, 23, IF(F191&lt;=500, 35, IF(F191&lt;=1000, 40, F191*0.04)))),
IF(Basic345678910[[#This Row],[نوع الخدمة]]="كاش اوت",
    IF(F191&lt;=100, 15, IF(F191&lt;=250, 20, IF(F191&lt;=500, 30, IF(F191&lt;=1000, 35, F191*0.035)))),
0)))</f>
        <v>0</v>
      </c>
      <c r="H191" s="159">
        <f>IF(I191="مخالفات",50,Basic345678910[[#This Row],[قيمة الرسوم / العموله]]+Basic345678910[[#This Row],[قيمة الشحنه]])</f>
        <v>0</v>
      </c>
      <c r="I191" s="90"/>
      <c r="J191" s="142" t="str">
        <f t="shared" si="2"/>
        <v>23.5.2026</v>
      </c>
      <c r="L191" s="153">
        <v>180</v>
      </c>
      <c r="M191" s="92"/>
    </row>
    <row r="192" spans="1:13" ht="21.6" x14ac:dyDescent="0.65">
      <c r="A192" s="195"/>
      <c r="B192" s="140">
        <v>189</v>
      </c>
      <c r="C192" s="2"/>
      <c r="D192" s="1"/>
      <c r="E192" s="3"/>
      <c r="F192" s="1"/>
      <c r="G192" s="141">
        <f>IF(Basic345678910[[#This Row],[نوع الخدمة]]="مخالفات", 50,
IF(Basic345678910[[#This Row],[نوع الخدمة]]="كاش ان",
    IF(F192&lt;=100, 18, IF(F192&lt;=250, 23, IF(F192&lt;=500, 35, IF(F192&lt;=1000, 40, F192*0.04)))),
IF(Basic345678910[[#This Row],[نوع الخدمة]]="كاش اوت",
    IF(F192&lt;=100, 15, IF(F192&lt;=250, 20, IF(F192&lt;=500, 30, IF(F192&lt;=1000, 35, F192*0.035)))),
0)))</f>
        <v>0</v>
      </c>
      <c r="H192" s="159">
        <f>IF(I192="مخالفات",50,Basic345678910[[#This Row],[قيمة الرسوم / العموله]]+Basic345678910[[#This Row],[قيمة الشحنه]])</f>
        <v>0</v>
      </c>
      <c r="I192" s="90"/>
      <c r="J192" s="142" t="str">
        <f t="shared" si="2"/>
        <v>23.5.2026</v>
      </c>
      <c r="L192" s="153">
        <v>181</v>
      </c>
      <c r="M192" s="92"/>
    </row>
    <row r="193" spans="1:13" ht="21.6" x14ac:dyDescent="0.65">
      <c r="A193" s="195"/>
      <c r="B193" s="144">
        <v>190</v>
      </c>
      <c r="C193" s="2"/>
      <c r="D193" s="1"/>
      <c r="E193" s="3"/>
      <c r="F193" s="1"/>
      <c r="G193" s="141">
        <f>IF(Basic345678910[[#This Row],[نوع الخدمة]]="مخالفات", 50,
IF(Basic345678910[[#This Row],[نوع الخدمة]]="كاش ان",
    IF(F193&lt;=100, 18, IF(F193&lt;=250, 23, IF(F193&lt;=500, 35, IF(F193&lt;=1000, 40, F193*0.04)))),
IF(Basic345678910[[#This Row],[نوع الخدمة]]="كاش اوت",
    IF(F193&lt;=100, 15, IF(F193&lt;=250, 20, IF(F193&lt;=500, 30, IF(F193&lt;=1000, 35, F193*0.035)))),
0)))</f>
        <v>0</v>
      </c>
      <c r="H193" s="159">
        <f>IF(I193="مخالفات",50,Basic345678910[[#This Row],[قيمة الرسوم / العموله]]+Basic345678910[[#This Row],[قيمة الشحنه]])</f>
        <v>0</v>
      </c>
      <c r="I193" s="90"/>
      <c r="J193" s="142" t="str">
        <f t="shared" si="2"/>
        <v>23.5.2026</v>
      </c>
      <c r="L193" s="153">
        <v>182</v>
      </c>
      <c r="M193" s="92"/>
    </row>
    <row r="194" spans="1:13" ht="21.6" x14ac:dyDescent="0.65">
      <c r="A194" s="195"/>
      <c r="B194" s="140">
        <v>191</v>
      </c>
      <c r="C194" s="2"/>
      <c r="D194" s="1"/>
      <c r="E194" s="3"/>
      <c r="F194" s="1"/>
      <c r="G194" s="141">
        <f>IF(Basic345678910[[#This Row],[نوع الخدمة]]="مخالفات", 50,
IF(Basic345678910[[#This Row],[نوع الخدمة]]="كاش ان",
    IF(F194&lt;=100, 18, IF(F194&lt;=250, 23, IF(F194&lt;=500, 35, IF(F194&lt;=1000, 40, F194*0.04)))),
IF(Basic345678910[[#This Row],[نوع الخدمة]]="كاش اوت",
    IF(F194&lt;=100, 15, IF(F194&lt;=250, 20, IF(F194&lt;=500, 30, IF(F194&lt;=1000, 35, F194*0.035)))),
0)))</f>
        <v>0</v>
      </c>
      <c r="H194" s="159">
        <f>IF(I194="مخالفات",50,Basic345678910[[#This Row],[قيمة الرسوم / العموله]]+Basic345678910[[#This Row],[قيمة الشحنه]])</f>
        <v>0</v>
      </c>
      <c r="I194" s="90"/>
      <c r="J194" s="142" t="str">
        <f t="shared" si="2"/>
        <v>23.5.2026</v>
      </c>
      <c r="L194" s="153">
        <v>183</v>
      </c>
      <c r="M194" s="92"/>
    </row>
    <row r="195" spans="1:13" ht="21.6" x14ac:dyDescent="0.65">
      <c r="A195" s="195"/>
      <c r="B195" s="140">
        <v>192</v>
      </c>
      <c r="C195" s="2"/>
      <c r="D195" s="1"/>
      <c r="E195" s="3"/>
      <c r="F195" s="1"/>
      <c r="G195" s="141">
        <f>IF(Basic345678910[[#This Row],[نوع الخدمة]]="مخالفات", 50,
IF(Basic345678910[[#This Row],[نوع الخدمة]]="كاش ان",
    IF(F195&lt;=100, 18, IF(F195&lt;=250, 23, IF(F195&lt;=500, 35, IF(F195&lt;=1000, 40, F195*0.04)))),
IF(Basic345678910[[#This Row],[نوع الخدمة]]="كاش اوت",
    IF(F195&lt;=100, 15, IF(F195&lt;=250, 20, IF(F195&lt;=500, 30, IF(F195&lt;=1000, 35, F195*0.035)))),
0)))</f>
        <v>0</v>
      </c>
      <c r="H195" s="159">
        <f>IF(I195="مخالفات",50,Basic345678910[[#This Row],[قيمة الرسوم / العموله]]+Basic345678910[[#This Row],[قيمة الشحنه]])</f>
        <v>0</v>
      </c>
      <c r="I195" s="90"/>
      <c r="J195" s="142" t="str">
        <f t="shared" si="2"/>
        <v>23.5.2026</v>
      </c>
      <c r="L195" s="153">
        <v>184</v>
      </c>
      <c r="M195" s="92"/>
    </row>
    <row r="196" spans="1:13" ht="21.6" x14ac:dyDescent="0.65">
      <c r="A196" s="195"/>
      <c r="B196" s="140">
        <v>193</v>
      </c>
      <c r="C196" s="2"/>
      <c r="D196" s="1"/>
      <c r="E196" s="3"/>
      <c r="F196" s="1"/>
      <c r="G196" s="141">
        <f>IF(Basic345678910[[#This Row],[نوع الخدمة]]="مخالفات", 50,
IF(Basic345678910[[#This Row],[نوع الخدمة]]="كاش ان",
    IF(F196&lt;=100, 18, IF(F196&lt;=250, 23, IF(F196&lt;=500, 35, IF(F196&lt;=1000, 40, F196*0.04)))),
IF(Basic345678910[[#This Row],[نوع الخدمة]]="كاش اوت",
    IF(F196&lt;=100, 15, IF(F196&lt;=250, 20, IF(F196&lt;=500, 30, IF(F196&lt;=1000, 35, F196*0.035)))),
0)))</f>
        <v>0</v>
      </c>
      <c r="H196" s="159">
        <f>IF(I196="مخالفات",50,Basic345678910[[#This Row],[قيمة الرسوم / العموله]]+Basic345678910[[#This Row],[قيمة الشحنه]])</f>
        <v>0</v>
      </c>
      <c r="I196" s="90"/>
      <c r="J196" s="142" t="str">
        <f t="shared" ref="J196:J226" si="3">M$3</f>
        <v>23.5.2026</v>
      </c>
      <c r="L196" s="153">
        <v>185</v>
      </c>
      <c r="M196" s="92"/>
    </row>
    <row r="197" spans="1:13" ht="21.6" x14ac:dyDescent="0.65">
      <c r="A197" s="195"/>
      <c r="B197" s="144">
        <v>194</v>
      </c>
      <c r="C197" s="2"/>
      <c r="D197" s="1"/>
      <c r="E197" s="3"/>
      <c r="F197" s="1"/>
      <c r="G197" s="141">
        <f>IF(Basic345678910[[#This Row],[نوع الخدمة]]="مخالفات", 50,
IF(Basic345678910[[#This Row],[نوع الخدمة]]="كاش ان",
    IF(F197&lt;=100, 18, IF(F197&lt;=250, 23, IF(F197&lt;=500, 35, IF(F197&lt;=1000, 40, F197*0.04)))),
IF(Basic345678910[[#This Row],[نوع الخدمة]]="كاش اوت",
    IF(F197&lt;=100, 15, IF(F197&lt;=250, 20, IF(F197&lt;=500, 30, IF(F197&lt;=1000, 35, F197*0.035)))),
0)))</f>
        <v>0</v>
      </c>
      <c r="H197" s="159">
        <f>IF(I197="مخالفات",50,Basic345678910[[#This Row],[قيمة الرسوم / العموله]]+Basic345678910[[#This Row],[قيمة الشحنه]])</f>
        <v>0</v>
      </c>
      <c r="I197" s="90"/>
      <c r="J197" s="142" t="str">
        <f t="shared" si="3"/>
        <v>23.5.2026</v>
      </c>
      <c r="L197" s="153">
        <v>186</v>
      </c>
      <c r="M197" s="92"/>
    </row>
    <row r="198" spans="1:13" ht="21.6" x14ac:dyDescent="0.65">
      <c r="A198" s="195"/>
      <c r="B198" s="140">
        <v>195</v>
      </c>
      <c r="C198" s="2"/>
      <c r="D198" s="1"/>
      <c r="E198" s="3"/>
      <c r="F198" s="1"/>
      <c r="G198" s="141">
        <f>IF(Basic345678910[[#This Row],[نوع الخدمة]]="مخالفات", 50,
IF(Basic345678910[[#This Row],[نوع الخدمة]]="كاش ان",
    IF(F198&lt;=100, 18, IF(F198&lt;=250, 23, IF(F198&lt;=500, 35, IF(F198&lt;=1000, 40, F198*0.04)))),
IF(Basic345678910[[#This Row],[نوع الخدمة]]="كاش اوت",
    IF(F198&lt;=100, 15, IF(F198&lt;=250, 20, IF(F198&lt;=500, 30, IF(F198&lt;=1000, 35, F198*0.035)))),
0)))</f>
        <v>0</v>
      </c>
      <c r="H198" s="159">
        <f>IF(I198="مخالفات",50,Basic345678910[[#This Row],[قيمة الرسوم / العموله]]+Basic345678910[[#This Row],[قيمة الشحنه]])</f>
        <v>0</v>
      </c>
      <c r="I198" s="90"/>
      <c r="J198" s="142" t="str">
        <f t="shared" si="3"/>
        <v>23.5.2026</v>
      </c>
      <c r="L198" s="153">
        <v>187</v>
      </c>
      <c r="M198" s="92"/>
    </row>
    <row r="199" spans="1:13" ht="21.6" x14ac:dyDescent="0.65">
      <c r="A199" s="195"/>
      <c r="B199" s="140">
        <v>196</v>
      </c>
      <c r="C199" s="2"/>
      <c r="D199" s="1"/>
      <c r="E199" s="3"/>
      <c r="F199" s="1"/>
      <c r="G199" s="141">
        <f>IF(Basic345678910[[#This Row],[نوع الخدمة]]="مخالفات", 50,
IF(Basic345678910[[#This Row],[نوع الخدمة]]="كاش ان",
    IF(F199&lt;=100, 18, IF(F199&lt;=250, 23, IF(F199&lt;=500, 35, IF(F199&lt;=1000, 40, F199*0.04)))),
IF(Basic345678910[[#This Row],[نوع الخدمة]]="كاش اوت",
    IF(F199&lt;=100, 15, IF(F199&lt;=250, 20, IF(F199&lt;=500, 30, IF(F199&lt;=1000, 35, F199*0.035)))),
0)))</f>
        <v>0</v>
      </c>
      <c r="H199" s="159">
        <f>IF(I199="مخالفات",50,Basic345678910[[#This Row],[قيمة الرسوم / العموله]]+Basic345678910[[#This Row],[قيمة الشحنه]])</f>
        <v>0</v>
      </c>
      <c r="I199" s="90"/>
      <c r="J199" s="142" t="str">
        <f t="shared" si="3"/>
        <v>23.5.2026</v>
      </c>
      <c r="L199" s="153">
        <v>188</v>
      </c>
      <c r="M199" s="92"/>
    </row>
    <row r="200" spans="1:13" ht="21.6" x14ac:dyDescent="0.65">
      <c r="A200" s="195"/>
      <c r="B200" s="140">
        <v>197</v>
      </c>
      <c r="C200" s="2"/>
      <c r="D200" s="1"/>
      <c r="E200" s="3"/>
      <c r="F200" s="1"/>
      <c r="G200" s="141">
        <f>IF(Basic345678910[[#This Row],[نوع الخدمة]]="مخالفات", 50,
IF(Basic345678910[[#This Row],[نوع الخدمة]]="كاش ان",
    IF(F200&lt;=100, 18, IF(F200&lt;=250, 23, IF(F200&lt;=500, 35, IF(F200&lt;=1000, 40, F200*0.04)))),
IF(Basic345678910[[#This Row],[نوع الخدمة]]="كاش اوت",
    IF(F200&lt;=100, 15, IF(F200&lt;=250, 20, IF(F200&lt;=500, 30, IF(F200&lt;=1000, 35, F200*0.035)))),
0)))</f>
        <v>0</v>
      </c>
      <c r="H200" s="159">
        <f>IF(I200="مخالفات",50,Basic345678910[[#This Row],[قيمة الرسوم / العموله]]+Basic345678910[[#This Row],[قيمة الشحنه]])</f>
        <v>0</v>
      </c>
      <c r="I200" s="90"/>
      <c r="J200" s="142" t="str">
        <f t="shared" si="3"/>
        <v>23.5.2026</v>
      </c>
      <c r="L200" s="153">
        <v>189</v>
      </c>
      <c r="M200" s="92"/>
    </row>
    <row r="201" spans="1:13" ht="21.6" x14ac:dyDescent="0.65">
      <c r="A201" s="195"/>
      <c r="B201" s="144">
        <v>198</v>
      </c>
      <c r="C201" s="2"/>
      <c r="D201" s="1"/>
      <c r="E201" s="3"/>
      <c r="F201" s="1"/>
      <c r="G201" s="141">
        <f>IF(Basic345678910[[#This Row],[نوع الخدمة]]="مخالفات", 50,
IF(Basic345678910[[#This Row],[نوع الخدمة]]="كاش ان",
    IF(F201&lt;=100, 18, IF(F201&lt;=250, 23, IF(F201&lt;=500, 35, IF(F201&lt;=1000, 40, F201*0.04)))),
IF(Basic345678910[[#This Row],[نوع الخدمة]]="كاش اوت",
    IF(F201&lt;=100, 15, IF(F201&lt;=250, 20, IF(F201&lt;=500, 30, IF(F201&lt;=1000, 35, F201*0.035)))),
0)))</f>
        <v>0</v>
      </c>
      <c r="H201" s="159">
        <f>IF(I201="مخالفات",50,Basic345678910[[#This Row],[قيمة الرسوم / العموله]]+Basic345678910[[#This Row],[قيمة الشحنه]])</f>
        <v>0</v>
      </c>
      <c r="I201" s="90"/>
      <c r="J201" s="142" t="str">
        <f t="shared" si="3"/>
        <v>23.5.2026</v>
      </c>
      <c r="L201" s="153">
        <v>190</v>
      </c>
      <c r="M201" s="92"/>
    </row>
    <row r="202" spans="1:13" ht="21.6" x14ac:dyDescent="0.65">
      <c r="A202" s="195"/>
      <c r="B202" s="140">
        <v>199</v>
      </c>
      <c r="C202" s="2"/>
      <c r="D202" s="1"/>
      <c r="E202" s="3"/>
      <c r="F202" s="1"/>
      <c r="G202" s="141">
        <f>IF(Basic345678910[[#This Row],[نوع الخدمة]]="مخالفات", 50,
IF(Basic345678910[[#This Row],[نوع الخدمة]]="كاش ان",
    IF(F202&lt;=100, 18, IF(F202&lt;=250, 23, IF(F202&lt;=500, 35, IF(F202&lt;=1000, 40, F202*0.04)))),
IF(Basic345678910[[#This Row],[نوع الخدمة]]="كاش اوت",
    IF(F202&lt;=100, 15, IF(F202&lt;=250, 20, IF(F202&lt;=500, 30, IF(F202&lt;=1000, 35, F202*0.035)))),
0)))</f>
        <v>0</v>
      </c>
      <c r="H202" s="159">
        <f>IF(I202="مخالفات",50,Basic345678910[[#This Row],[قيمة الرسوم / العموله]]+Basic345678910[[#This Row],[قيمة الشحنه]])</f>
        <v>0</v>
      </c>
      <c r="I202" s="90"/>
      <c r="J202" s="142" t="str">
        <f t="shared" si="3"/>
        <v>23.5.2026</v>
      </c>
      <c r="L202" s="153">
        <v>191</v>
      </c>
      <c r="M202" s="92"/>
    </row>
    <row r="203" spans="1:13" ht="21.6" x14ac:dyDescent="0.65">
      <c r="A203" s="195"/>
      <c r="B203" s="140">
        <v>200</v>
      </c>
      <c r="C203" s="2"/>
      <c r="D203" s="1"/>
      <c r="E203" s="3"/>
      <c r="F203" s="1"/>
      <c r="G203" s="141">
        <f>IF(Basic345678910[[#This Row],[نوع الخدمة]]="مخالفات", 50,
IF(Basic345678910[[#This Row],[نوع الخدمة]]="كاش ان",
    IF(F203&lt;=100, 18, IF(F203&lt;=250, 23, IF(F203&lt;=500, 35, IF(F203&lt;=1000, 40, F203*0.04)))),
IF(Basic345678910[[#This Row],[نوع الخدمة]]="كاش اوت",
    IF(F203&lt;=100, 15, IF(F203&lt;=250, 20, IF(F203&lt;=500, 30, IF(F203&lt;=1000, 35, F203*0.035)))),
0)))</f>
        <v>0</v>
      </c>
      <c r="H203" s="159">
        <f>IF(I203="مخالفات",50,Basic345678910[[#This Row],[قيمة الرسوم / العموله]]+Basic345678910[[#This Row],[قيمة الشحنه]])</f>
        <v>0</v>
      </c>
      <c r="I203" s="90"/>
      <c r="J203" s="142" t="str">
        <f t="shared" si="3"/>
        <v>23.5.2026</v>
      </c>
      <c r="L203" s="153">
        <v>192</v>
      </c>
      <c r="M203" s="92"/>
    </row>
    <row r="204" spans="1:13" ht="21.6" x14ac:dyDescent="0.65">
      <c r="A204" s="195"/>
      <c r="B204" s="140">
        <v>201</v>
      </c>
      <c r="C204" s="2"/>
      <c r="D204" s="1"/>
      <c r="E204" s="3"/>
      <c r="F204" s="1"/>
      <c r="G204" s="141">
        <f>IF(Basic345678910[[#This Row],[نوع الخدمة]]="مخالفات", 50,
IF(Basic345678910[[#This Row],[نوع الخدمة]]="كاش ان",
    IF(F204&lt;=100, 18, IF(F204&lt;=250, 23, IF(F204&lt;=500, 35, IF(F204&lt;=1000, 40, F204*0.04)))),
IF(Basic345678910[[#This Row],[نوع الخدمة]]="كاش اوت",
    IF(F204&lt;=100, 15, IF(F204&lt;=250, 20, IF(F204&lt;=500, 30, IF(F204&lt;=1000, 35, F204*0.035)))),
0)))</f>
        <v>0</v>
      </c>
      <c r="H204" s="159">
        <f>IF(I204="مخالفات",50,Basic345678910[[#This Row],[قيمة الرسوم / العموله]]+Basic345678910[[#This Row],[قيمة الشحنه]])</f>
        <v>0</v>
      </c>
      <c r="I204" s="90"/>
      <c r="J204" s="142" t="str">
        <f t="shared" si="3"/>
        <v>23.5.2026</v>
      </c>
      <c r="L204" s="153">
        <v>193</v>
      </c>
      <c r="M204" s="92"/>
    </row>
    <row r="205" spans="1:13" ht="21.6" x14ac:dyDescent="0.65">
      <c r="A205" s="195"/>
      <c r="B205" s="144">
        <v>202</v>
      </c>
      <c r="C205" s="2"/>
      <c r="D205" s="1"/>
      <c r="E205" s="3"/>
      <c r="F205" s="1"/>
      <c r="G205" s="141">
        <f>IF(Basic345678910[[#This Row],[نوع الخدمة]]="مخالفات", 50,
IF(Basic345678910[[#This Row],[نوع الخدمة]]="كاش ان",
    IF(F205&lt;=100, 18, IF(F205&lt;=250, 23, IF(F205&lt;=500, 35, IF(F205&lt;=1000, 40, F205*0.04)))),
IF(Basic345678910[[#This Row],[نوع الخدمة]]="كاش اوت",
    IF(F205&lt;=100, 15, IF(F205&lt;=250, 20, IF(F205&lt;=500, 30, IF(F205&lt;=1000, 35, F205*0.035)))),
0)))</f>
        <v>0</v>
      </c>
      <c r="H205" s="159">
        <f>IF(I205="مخالفات",50,Basic345678910[[#This Row],[قيمة الرسوم / العموله]]+Basic345678910[[#This Row],[قيمة الشحنه]])</f>
        <v>0</v>
      </c>
      <c r="I205" s="90"/>
      <c r="J205" s="142" t="str">
        <f t="shared" si="3"/>
        <v>23.5.2026</v>
      </c>
      <c r="L205" s="153">
        <v>194</v>
      </c>
      <c r="M205" s="92"/>
    </row>
    <row r="206" spans="1:13" ht="21.6" x14ac:dyDescent="0.65">
      <c r="A206" s="195"/>
      <c r="B206" s="140">
        <v>203</v>
      </c>
      <c r="C206" s="2"/>
      <c r="D206" s="1"/>
      <c r="E206" s="3"/>
      <c r="F206" s="1"/>
      <c r="G206" s="141">
        <f>IF(Basic345678910[[#This Row],[نوع الخدمة]]="مخالفات", 50,
IF(Basic345678910[[#This Row],[نوع الخدمة]]="كاش ان",
    IF(F206&lt;=100, 18, IF(F206&lt;=250, 23, IF(F206&lt;=500, 35, IF(F206&lt;=1000, 40, F206*0.04)))),
IF(Basic345678910[[#This Row],[نوع الخدمة]]="كاش اوت",
    IF(F206&lt;=100, 15, IF(F206&lt;=250, 20, IF(F206&lt;=500, 30, IF(F206&lt;=1000, 35, F206*0.035)))),
0)))</f>
        <v>0</v>
      </c>
      <c r="H206" s="159">
        <f>IF(I206="مخالفات",50,Basic345678910[[#This Row],[قيمة الرسوم / العموله]]+Basic345678910[[#This Row],[قيمة الشحنه]])</f>
        <v>0</v>
      </c>
      <c r="I206" s="90"/>
      <c r="J206" s="142" t="str">
        <f t="shared" si="3"/>
        <v>23.5.2026</v>
      </c>
      <c r="L206" s="153">
        <v>195</v>
      </c>
      <c r="M206" s="92"/>
    </row>
    <row r="207" spans="1:13" ht="21.6" x14ac:dyDescent="0.65">
      <c r="A207" s="195"/>
      <c r="B207" s="140">
        <v>204</v>
      </c>
      <c r="C207" s="2"/>
      <c r="D207" s="1"/>
      <c r="E207" s="3"/>
      <c r="F207" s="1"/>
      <c r="G207" s="141">
        <f>IF(Basic345678910[[#This Row],[نوع الخدمة]]="مخالفات", 50,
IF(Basic345678910[[#This Row],[نوع الخدمة]]="كاش ان",
    IF(F207&lt;=100, 18, IF(F207&lt;=250, 23, IF(F207&lt;=500, 35, IF(F207&lt;=1000, 40, F207*0.04)))),
IF(Basic345678910[[#This Row],[نوع الخدمة]]="كاش اوت",
    IF(F207&lt;=100, 15, IF(F207&lt;=250, 20, IF(F207&lt;=500, 30, IF(F207&lt;=1000, 35, F207*0.035)))),
0)))</f>
        <v>0</v>
      </c>
      <c r="H207" s="159">
        <f>IF(I207="مخالفات",50,Basic345678910[[#This Row],[قيمة الرسوم / العموله]]+Basic345678910[[#This Row],[قيمة الشحنه]])</f>
        <v>0</v>
      </c>
      <c r="I207" s="90"/>
      <c r="J207" s="142" t="str">
        <f t="shared" si="3"/>
        <v>23.5.2026</v>
      </c>
      <c r="L207" s="153">
        <v>196</v>
      </c>
      <c r="M207" s="92"/>
    </row>
    <row r="208" spans="1:13" ht="21.6" x14ac:dyDescent="0.65">
      <c r="A208" s="195"/>
      <c r="B208" s="140">
        <v>205</v>
      </c>
      <c r="C208" s="2"/>
      <c r="D208" s="1"/>
      <c r="E208" s="3"/>
      <c r="F208" s="1"/>
      <c r="G208" s="141">
        <f>IF(Basic345678910[[#This Row],[نوع الخدمة]]="مخالفات", 50,
IF(Basic345678910[[#This Row],[نوع الخدمة]]="كاش ان",
    IF(F208&lt;=100, 18, IF(F208&lt;=250, 23, IF(F208&lt;=500, 35, IF(F208&lt;=1000, 40, F208*0.04)))),
IF(Basic345678910[[#This Row],[نوع الخدمة]]="كاش اوت",
    IF(F208&lt;=100, 15, IF(F208&lt;=250, 20, IF(F208&lt;=500, 30, IF(F208&lt;=1000, 35, F208*0.035)))),
0)))</f>
        <v>0</v>
      </c>
      <c r="H208" s="159">
        <f>IF(I208="مخالفات",50,Basic345678910[[#This Row],[قيمة الرسوم / العموله]]+Basic345678910[[#This Row],[قيمة الشحنه]])</f>
        <v>0</v>
      </c>
      <c r="I208" s="90"/>
      <c r="J208" s="142" t="str">
        <f t="shared" si="3"/>
        <v>23.5.2026</v>
      </c>
      <c r="L208" s="153">
        <v>197</v>
      </c>
      <c r="M208" s="92"/>
    </row>
    <row r="209" spans="1:13" ht="21.6" x14ac:dyDescent="0.65">
      <c r="A209" s="195"/>
      <c r="B209" s="144">
        <v>206</v>
      </c>
      <c r="C209" s="2"/>
      <c r="D209" s="1"/>
      <c r="E209" s="3"/>
      <c r="F209" s="1"/>
      <c r="G209" s="141">
        <f>IF(Basic345678910[[#This Row],[نوع الخدمة]]="مخالفات", 50,
IF(Basic345678910[[#This Row],[نوع الخدمة]]="كاش ان",
    IF(F209&lt;=100, 18, IF(F209&lt;=250, 23, IF(F209&lt;=500, 35, IF(F209&lt;=1000, 40, F209*0.04)))),
IF(Basic345678910[[#This Row],[نوع الخدمة]]="كاش اوت",
    IF(F209&lt;=100, 15, IF(F209&lt;=250, 20, IF(F209&lt;=500, 30, IF(F209&lt;=1000, 35, F209*0.035)))),
0)))</f>
        <v>0</v>
      </c>
      <c r="H209" s="159">
        <f>IF(I209="مخالفات",50,Basic345678910[[#This Row],[قيمة الرسوم / العموله]]+Basic345678910[[#This Row],[قيمة الشحنه]])</f>
        <v>0</v>
      </c>
      <c r="I209" s="90"/>
      <c r="J209" s="142" t="str">
        <f t="shared" si="3"/>
        <v>23.5.2026</v>
      </c>
      <c r="L209" s="153">
        <v>198</v>
      </c>
      <c r="M209" s="92"/>
    </row>
    <row r="210" spans="1:13" ht="21.6" x14ac:dyDescent="0.65">
      <c r="A210" s="195"/>
      <c r="B210" s="140">
        <v>207</v>
      </c>
      <c r="C210" s="2"/>
      <c r="D210" s="1"/>
      <c r="E210" s="3"/>
      <c r="F210" s="1"/>
      <c r="G210" s="141">
        <f>IF(Basic345678910[[#This Row],[نوع الخدمة]]="مخالفات", 50,
IF(Basic345678910[[#This Row],[نوع الخدمة]]="كاش ان",
    IF(F210&lt;=100, 18, IF(F210&lt;=250, 23, IF(F210&lt;=500, 35, IF(F210&lt;=1000, 40, F210*0.04)))),
IF(Basic345678910[[#This Row],[نوع الخدمة]]="كاش اوت",
    IF(F210&lt;=100, 15, IF(F210&lt;=250, 20, IF(F210&lt;=500, 30, IF(F210&lt;=1000, 35, F210*0.035)))),
0)))</f>
        <v>0</v>
      </c>
      <c r="H210" s="159">
        <f>IF(I210="مخالفات",50,Basic345678910[[#This Row],[قيمة الرسوم / العموله]]+Basic345678910[[#This Row],[قيمة الشحنه]])</f>
        <v>0</v>
      </c>
      <c r="I210" s="90"/>
      <c r="J210" s="142" t="str">
        <f t="shared" si="3"/>
        <v>23.5.2026</v>
      </c>
      <c r="L210" s="153">
        <v>199</v>
      </c>
      <c r="M210" s="92"/>
    </row>
    <row r="211" spans="1:13" ht="21.6" x14ac:dyDescent="0.65">
      <c r="A211" s="195"/>
      <c r="B211" s="140">
        <v>208</v>
      </c>
      <c r="C211" s="2"/>
      <c r="D211" s="1"/>
      <c r="E211" s="3"/>
      <c r="F211" s="1"/>
      <c r="G211" s="141">
        <f>IF(Basic345678910[[#This Row],[نوع الخدمة]]="مخالفات", 50,
IF(Basic345678910[[#This Row],[نوع الخدمة]]="كاش ان",
    IF(F211&lt;=100, 18, IF(F211&lt;=250, 23, IF(F211&lt;=500, 35, IF(F211&lt;=1000, 40, F211*0.04)))),
IF(Basic345678910[[#This Row],[نوع الخدمة]]="كاش اوت",
    IF(F211&lt;=100, 15, IF(F211&lt;=250, 20, IF(F211&lt;=500, 30, IF(F211&lt;=1000, 35, F211*0.035)))),
0)))</f>
        <v>0</v>
      </c>
      <c r="H211" s="159">
        <f>IF(I211="مخالفات",50,Basic345678910[[#This Row],[قيمة الرسوم / العموله]]+Basic345678910[[#This Row],[قيمة الشحنه]])</f>
        <v>0</v>
      </c>
      <c r="I211" s="90"/>
      <c r="J211" s="142" t="str">
        <f t="shared" si="3"/>
        <v>23.5.2026</v>
      </c>
      <c r="L211" s="153">
        <v>200</v>
      </c>
      <c r="M211" s="92"/>
    </row>
    <row r="212" spans="1:13" ht="21.6" x14ac:dyDescent="0.65">
      <c r="A212" s="195"/>
      <c r="B212" s="140">
        <v>209</v>
      </c>
      <c r="C212" s="2"/>
      <c r="D212" s="1"/>
      <c r="E212" s="3"/>
      <c r="F212" s="1"/>
      <c r="G212" s="141">
        <f>IF(Basic345678910[[#This Row],[نوع الخدمة]]="مخالفات", 50,
IF(Basic345678910[[#This Row],[نوع الخدمة]]="كاش ان",
    IF(F212&lt;=100, 18, IF(F212&lt;=250, 23, IF(F212&lt;=500, 35, IF(F212&lt;=1000, 40, F212*0.04)))),
IF(Basic345678910[[#This Row],[نوع الخدمة]]="كاش اوت",
    IF(F212&lt;=100, 15, IF(F212&lt;=250, 20, IF(F212&lt;=500, 30, IF(F212&lt;=1000, 35, F212*0.035)))),
0)))</f>
        <v>0</v>
      </c>
      <c r="H212" s="159">
        <f>IF(I212="مخالفات",50,Basic345678910[[#This Row],[قيمة الرسوم / العموله]]+Basic345678910[[#This Row],[قيمة الشحنه]])</f>
        <v>0</v>
      </c>
      <c r="I212" s="90"/>
      <c r="J212" s="142" t="str">
        <f t="shared" si="3"/>
        <v>23.5.2026</v>
      </c>
      <c r="L212" s="153">
        <v>201</v>
      </c>
      <c r="M212" s="92"/>
    </row>
    <row r="213" spans="1:13" ht="21.6" x14ac:dyDescent="0.65">
      <c r="A213" s="195"/>
      <c r="B213" s="144">
        <v>210</v>
      </c>
      <c r="C213" s="2"/>
      <c r="D213" s="1"/>
      <c r="E213" s="3"/>
      <c r="F213" s="1"/>
      <c r="G213" s="141">
        <f>IF(Basic345678910[[#This Row],[نوع الخدمة]]="مخالفات", 50,
IF(Basic345678910[[#This Row],[نوع الخدمة]]="كاش ان",
    IF(F213&lt;=100, 18, IF(F213&lt;=250, 23, IF(F213&lt;=500, 35, IF(F213&lt;=1000, 40, F213*0.04)))),
IF(Basic345678910[[#This Row],[نوع الخدمة]]="كاش اوت",
    IF(F213&lt;=100, 15, IF(F213&lt;=250, 20, IF(F213&lt;=500, 30, IF(F213&lt;=1000, 35, F213*0.035)))),
0)))</f>
        <v>0</v>
      </c>
      <c r="H213" s="159">
        <f>IF(I213="مخالفات",50,Basic345678910[[#This Row],[قيمة الرسوم / العموله]]+Basic345678910[[#This Row],[قيمة الشحنه]])</f>
        <v>0</v>
      </c>
      <c r="I213" s="90"/>
      <c r="J213" s="142" t="str">
        <f t="shared" si="3"/>
        <v>23.5.2026</v>
      </c>
      <c r="L213" s="153">
        <v>202</v>
      </c>
      <c r="M213" s="92"/>
    </row>
    <row r="214" spans="1:13" ht="21.6" x14ac:dyDescent="0.65">
      <c r="A214" s="195"/>
      <c r="B214" s="140">
        <v>211</v>
      </c>
      <c r="C214" s="2"/>
      <c r="D214" s="1"/>
      <c r="E214" s="3"/>
      <c r="F214" s="1"/>
      <c r="G214" s="141">
        <f>IF(Basic345678910[[#This Row],[نوع الخدمة]]="مخالفات", 50,
IF(Basic345678910[[#This Row],[نوع الخدمة]]="كاش ان",
    IF(F214&lt;=100, 18, IF(F214&lt;=250, 23, IF(F214&lt;=500, 35, IF(F214&lt;=1000, 40, F214*0.04)))),
IF(Basic345678910[[#This Row],[نوع الخدمة]]="كاش اوت",
    IF(F214&lt;=100, 15, IF(F214&lt;=250, 20, IF(F214&lt;=500, 30, IF(F214&lt;=1000, 35, F214*0.035)))),
0)))</f>
        <v>0</v>
      </c>
      <c r="H214" s="159">
        <f>IF(I214="مخالفات",50,Basic345678910[[#This Row],[قيمة الرسوم / العموله]]+Basic345678910[[#This Row],[قيمة الشحنه]])</f>
        <v>0</v>
      </c>
      <c r="I214" s="90"/>
      <c r="J214" s="142" t="str">
        <f t="shared" si="3"/>
        <v>23.5.2026</v>
      </c>
      <c r="L214" s="153">
        <v>203</v>
      </c>
      <c r="M214" s="92"/>
    </row>
    <row r="215" spans="1:13" ht="21.6" x14ac:dyDescent="0.65">
      <c r="A215" s="195"/>
      <c r="B215" s="140">
        <v>212</v>
      </c>
      <c r="C215" s="2"/>
      <c r="D215" s="1"/>
      <c r="E215" s="3"/>
      <c r="F215" s="1"/>
      <c r="G215" s="141">
        <f>IF(Basic345678910[[#This Row],[نوع الخدمة]]="مخالفات", 50,
IF(Basic345678910[[#This Row],[نوع الخدمة]]="كاش ان",
    IF(F215&lt;=100, 18, IF(F215&lt;=250, 23, IF(F215&lt;=500, 35, IF(F215&lt;=1000, 40, F215*0.04)))),
IF(Basic345678910[[#This Row],[نوع الخدمة]]="كاش اوت",
    IF(F215&lt;=100, 15, IF(F215&lt;=250, 20, IF(F215&lt;=500, 30, IF(F215&lt;=1000, 35, F215*0.035)))),
0)))</f>
        <v>0</v>
      </c>
      <c r="H215" s="159">
        <f>IF(I215="مخالفات",50,Basic345678910[[#This Row],[قيمة الرسوم / العموله]]+Basic345678910[[#This Row],[قيمة الشحنه]])</f>
        <v>0</v>
      </c>
      <c r="I215" s="90"/>
      <c r="J215" s="142" t="str">
        <f t="shared" si="3"/>
        <v>23.5.2026</v>
      </c>
      <c r="L215" s="153">
        <v>204</v>
      </c>
      <c r="M215" s="92"/>
    </row>
    <row r="216" spans="1:13" ht="21.6" x14ac:dyDescent="0.65">
      <c r="A216" s="195"/>
      <c r="B216" s="140">
        <v>213</v>
      </c>
      <c r="C216" s="2"/>
      <c r="D216" s="1"/>
      <c r="E216" s="3"/>
      <c r="F216" s="1"/>
      <c r="G216" s="141">
        <f>IF(Basic345678910[[#This Row],[نوع الخدمة]]="مخالفات", 50,
IF(Basic345678910[[#This Row],[نوع الخدمة]]="كاش ان",
    IF(F216&lt;=100, 18, IF(F216&lt;=250, 23, IF(F216&lt;=500, 35, IF(F216&lt;=1000, 40, F216*0.04)))),
IF(Basic345678910[[#This Row],[نوع الخدمة]]="كاش اوت",
    IF(F216&lt;=100, 15, IF(F216&lt;=250, 20, IF(F216&lt;=500, 30, IF(F216&lt;=1000, 35, F216*0.035)))),
0)))</f>
        <v>0</v>
      </c>
      <c r="H216" s="159">
        <f>IF(I216="مخالفات",50,Basic345678910[[#This Row],[قيمة الرسوم / العموله]]+Basic345678910[[#This Row],[قيمة الشحنه]])</f>
        <v>0</v>
      </c>
      <c r="I216" s="90"/>
      <c r="J216" s="142" t="str">
        <f t="shared" si="3"/>
        <v>23.5.2026</v>
      </c>
      <c r="L216" s="153">
        <v>205</v>
      </c>
      <c r="M216" s="92"/>
    </row>
    <row r="217" spans="1:13" ht="21.6" x14ac:dyDescent="0.65">
      <c r="A217" s="195"/>
      <c r="B217" s="144">
        <v>214</v>
      </c>
      <c r="C217" s="2"/>
      <c r="D217" s="1"/>
      <c r="E217" s="3"/>
      <c r="F217" s="1"/>
      <c r="G217" s="141">
        <f>IF(Basic345678910[[#This Row],[نوع الخدمة]]="مخالفات", 50,
IF(Basic345678910[[#This Row],[نوع الخدمة]]="كاش ان",
    IF(F217&lt;=100, 18, IF(F217&lt;=250, 23, IF(F217&lt;=500, 35, IF(F217&lt;=1000, 40, F217*0.04)))),
IF(Basic345678910[[#This Row],[نوع الخدمة]]="كاش اوت",
    IF(F217&lt;=100, 15, IF(F217&lt;=250, 20, IF(F217&lt;=500, 30, IF(F217&lt;=1000, 35, F217*0.035)))),
0)))</f>
        <v>0</v>
      </c>
      <c r="H217" s="159">
        <f>IF(I217="مخالفات",50,Basic345678910[[#This Row],[قيمة الرسوم / العموله]]+Basic345678910[[#This Row],[قيمة الشحنه]])</f>
        <v>0</v>
      </c>
      <c r="I217" s="90"/>
      <c r="J217" s="142" t="str">
        <f t="shared" si="3"/>
        <v>23.5.2026</v>
      </c>
      <c r="L217" s="153">
        <v>206</v>
      </c>
      <c r="M217" s="92"/>
    </row>
    <row r="218" spans="1:13" ht="21.6" x14ac:dyDescent="0.65">
      <c r="A218" s="195"/>
      <c r="B218" s="140">
        <v>215</v>
      </c>
      <c r="C218" s="2"/>
      <c r="D218" s="1"/>
      <c r="E218" s="3"/>
      <c r="F218" s="1"/>
      <c r="G218" s="141">
        <f>IF(Basic345678910[[#This Row],[نوع الخدمة]]="مخالفات", 50,
IF(Basic345678910[[#This Row],[نوع الخدمة]]="كاش ان",
    IF(F218&lt;=100, 18, IF(F218&lt;=250, 23, IF(F218&lt;=500, 35, IF(F218&lt;=1000, 40, F218*0.04)))),
IF(Basic345678910[[#This Row],[نوع الخدمة]]="كاش اوت",
    IF(F218&lt;=100, 15, IF(F218&lt;=250, 20, IF(F218&lt;=500, 30, IF(F218&lt;=1000, 35, F218*0.035)))),
0)))</f>
        <v>0</v>
      </c>
      <c r="H218" s="159">
        <f>IF(I218="مخالفات",50,Basic345678910[[#This Row],[قيمة الرسوم / العموله]]+Basic345678910[[#This Row],[قيمة الشحنه]])</f>
        <v>0</v>
      </c>
      <c r="I218" s="90"/>
      <c r="J218" s="142" t="str">
        <f t="shared" si="3"/>
        <v>23.5.2026</v>
      </c>
      <c r="L218" s="153">
        <v>207</v>
      </c>
      <c r="M218" s="92"/>
    </row>
    <row r="219" spans="1:13" ht="21.6" x14ac:dyDescent="0.65">
      <c r="A219" s="195"/>
      <c r="B219" s="140">
        <v>216</v>
      </c>
      <c r="C219" s="2"/>
      <c r="D219" s="1"/>
      <c r="E219" s="3"/>
      <c r="F219" s="1"/>
      <c r="G219" s="141">
        <f>IF(Basic345678910[[#This Row],[نوع الخدمة]]="مخالفات", 50,
IF(Basic345678910[[#This Row],[نوع الخدمة]]="كاش ان",
    IF(F219&lt;=100, 18, IF(F219&lt;=250, 23, IF(F219&lt;=500, 35, IF(F219&lt;=1000, 40, F219*0.04)))),
IF(Basic345678910[[#This Row],[نوع الخدمة]]="كاش اوت",
    IF(F219&lt;=100, 15, IF(F219&lt;=250, 20, IF(F219&lt;=500, 30, IF(F219&lt;=1000, 35, F219*0.035)))),
0)))</f>
        <v>0</v>
      </c>
      <c r="H219" s="159">
        <f>IF(I219="مخالفات",50,Basic345678910[[#This Row],[قيمة الرسوم / العموله]]+Basic345678910[[#This Row],[قيمة الشحنه]])</f>
        <v>0</v>
      </c>
      <c r="I219" s="90"/>
      <c r="J219" s="142" t="str">
        <f t="shared" si="3"/>
        <v>23.5.2026</v>
      </c>
      <c r="L219" s="153">
        <v>208</v>
      </c>
      <c r="M219" s="92"/>
    </row>
    <row r="220" spans="1:13" ht="21.6" x14ac:dyDescent="0.65">
      <c r="A220" s="195"/>
      <c r="B220" s="140">
        <v>217</v>
      </c>
      <c r="C220" s="2"/>
      <c r="D220" s="1"/>
      <c r="E220" s="3"/>
      <c r="F220" s="1"/>
      <c r="G220" s="141">
        <f>IF(Basic345678910[[#This Row],[نوع الخدمة]]="مخالفات", 50,
IF(Basic345678910[[#This Row],[نوع الخدمة]]="كاش ان",
    IF(F220&lt;=100, 18, IF(F220&lt;=250, 23, IF(F220&lt;=500, 35, IF(F220&lt;=1000, 40, F220*0.04)))),
IF(Basic345678910[[#This Row],[نوع الخدمة]]="كاش اوت",
    IF(F220&lt;=100, 15, IF(F220&lt;=250, 20, IF(F220&lt;=500, 30, IF(F220&lt;=1000, 35, F220*0.035)))),
0)))</f>
        <v>0</v>
      </c>
      <c r="H220" s="159">
        <f>IF(I220="مخالفات",50,Basic345678910[[#This Row],[قيمة الرسوم / العموله]]+Basic345678910[[#This Row],[قيمة الشحنه]])</f>
        <v>0</v>
      </c>
      <c r="I220" s="90"/>
      <c r="J220" s="142" t="str">
        <f t="shared" si="3"/>
        <v>23.5.2026</v>
      </c>
      <c r="L220" s="153">
        <v>209</v>
      </c>
      <c r="M220" s="92"/>
    </row>
    <row r="221" spans="1:13" ht="21.6" x14ac:dyDescent="0.65">
      <c r="A221" s="195"/>
      <c r="B221" s="144">
        <v>218</v>
      </c>
      <c r="C221" s="2"/>
      <c r="D221" s="1"/>
      <c r="E221" s="3"/>
      <c r="F221" s="1"/>
      <c r="G221" s="141">
        <f>IF(Basic345678910[[#This Row],[نوع الخدمة]]="مخالفات", 50,
IF(Basic345678910[[#This Row],[نوع الخدمة]]="كاش ان",
    IF(F221&lt;=100, 18, IF(F221&lt;=250, 23, IF(F221&lt;=500, 35, IF(F221&lt;=1000, 40, F221*0.04)))),
IF(Basic345678910[[#This Row],[نوع الخدمة]]="كاش اوت",
    IF(F221&lt;=100, 15, IF(F221&lt;=250, 20, IF(F221&lt;=500, 30, IF(F221&lt;=1000, 35, F221*0.035)))),
0)))</f>
        <v>0</v>
      </c>
      <c r="H221" s="159">
        <f>IF(I221="مخالفات",50,Basic345678910[[#This Row],[قيمة الرسوم / العموله]]+Basic345678910[[#This Row],[قيمة الشحنه]])</f>
        <v>0</v>
      </c>
      <c r="I221" s="90"/>
      <c r="J221" s="142" t="str">
        <f t="shared" si="3"/>
        <v>23.5.2026</v>
      </c>
      <c r="L221" s="153">
        <v>210</v>
      </c>
      <c r="M221" s="92"/>
    </row>
    <row r="222" spans="1:13" ht="21.6" x14ac:dyDescent="0.65">
      <c r="A222" s="195"/>
      <c r="B222" s="140">
        <v>219</v>
      </c>
      <c r="C222" s="2"/>
      <c r="D222" s="1"/>
      <c r="E222" s="3"/>
      <c r="F222" s="1"/>
      <c r="G222" s="141">
        <f>IF(Basic345678910[[#This Row],[نوع الخدمة]]="مخالفات", 50,
IF(Basic345678910[[#This Row],[نوع الخدمة]]="كاش ان",
    IF(F222&lt;=100, 18, IF(F222&lt;=250, 23, IF(F222&lt;=500, 35, IF(F222&lt;=1000, 40, F222*0.04)))),
IF(Basic345678910[[#This Row],[نوع الخدمة]]="كاش اوت",
    IF(F222&lt;=100, 15, IF(F222&lt;=250, 20, IF(F222&lt;=500, 30, IF(F222&lt;=1000, 35, F222*0.035)))),
0)))</f>
        <v>0</v>
      </c>
      <c r="H222" s="159">
        <f>IF(I222="مخالفات",50,Basic345678910[[#This Row],[قيمة الرسوم / العموله]]+Basic345678910[[#This Row],[قيمة الشحنه]])</f>
        <v>0</v>
      </c>
      <c r="I222" s="90"/>
      <c r="J222" s="142" t="str">
        <f t="shared" si="3"/>
        <v>23.5.2026</v>
      </c>
      <c r="L222" s="153">
        <v>211</v>
      </c>
      <c r="M222" s="92"/>
    </row>
    <row r="223" spans="1:13" ht="21.6" x14ac:dyDescent="0.65">
      <c r="A223" s="195"/>
      <c r="B223" s="140">
        <v>220</v>
      </c>
      <c r="C223" s="2"/>
      <c r="D223" s="1"/>
      <c r="E223" s="3"/>
      <c r="F223" s="1"/>
      <c r="G223" s="141">
        <f>IF(Basic345678910[[#This Row],[نوع الخدمة]]="مخالفات", 50,
IF(Basic345678910[[#This Row],[نوع الخدمة]]="كاش ان",
    IF(F223&lt;=100, 18, IF(F223&lt;=250, 23, IF(F223&lt;=500, 35, IF(F223&lt;=1000, 40, F223*0.04)))),
IF(Basic345678910[[#This Row],[نوع الخدمة]]="كاش اوت",
    IF(F223&lt;=100, 15, IF(F223&lt;=250, 20, IF(F223&lt;=500, 30, IF(F223&lt;=1000, 35, F223*0.035)))),
0)))</f>
        <v>0</v>
      </c>
      <c r="H223" s="159">
        <f>IF(I223="مخالفات",50,Basic345678910[[#This Row],[قيمة الرسوم / العموله]]+Basic345678910[[#This Row],[قيمة الشحنه]])</f>
        <v>0</v>
      </c>
      <c r="I223" s="90"/>
      <c r="J223" s="142" t="str">
        <f t="shared" si="3"/>
        <v>23.5.2026</v>
      </c>
      <c r="L223" s="153">
        <v>212</v>
      </c>
      <c r="M223" s="92"/>
    </row>
    <row r="224" spans="1:13" ht="21.6" x14ac:dyDescent="0.65">
      <c r="A224" s="195"/>
      <c r="B224" s="140">
        <v>221</v>
      </c>
      <c r="C224" s="2"/>
      <c r="D224" s="1"/>
      <c r="E224" s="3"/>
      <c r="F224" s="1"/>
      <c r="G224" s="141">
        <f>IF(Basic345678910[[#This Row],[نوع الخدمة]]="مخالفات", 50,
IF(Basic345678910[[#This Row],[نوع الخدمة]]="كاش ان",
    IF(F224&lt;=100, 18, IF(F224&lt;=250, 23, IF(F224&lt;=500, 35, IF(F224&lt;=1000, 40, F224*0.04)))),
IF(Basic345678910[[#This Row],[نوع الخدمة]]="كاش اوت",
    IF(F224&lt;=100, 15, IF(F224&lt;=250, 20, IF(F224&lt;=500, 30, IF(F224&lt;=1000, 35, F224*0.035)))),
0)))</f>
        <v>0</v>
      </c>
      <c r="H224" s="159">
        <f>IF(I224="مخالفات",50,Basic345678910[[#This Row],[قيمة الرسوم / العموله]]+Basic345678910[[#This Row],[قيمة الشحنه]])</f>
        <v>0</v>
      </c>
      <c r="I224" s="90"/>
      <c r="J224" s="142" t="str">
        <f t="shared" si="3"/>
        <v>23.5.2026</v>
      </c>
      <c r="L224" s="153">
        <v>213</v>
      </c>
      <c r="M224" s="92"/>
    </row>
    <row r="225" spans="1:13" ht="21.6" x14ac:dyDescent="0.65">
      <c r="A225" s="195"/>
      <c r="B225" s="144">
        <v>222</v>
      </c>
      <c r="C225" s="2"/>
      <c r="D225" s="1"/>
      <c r="E225" s="3"/>
      <c r="F225" s="1"/>
      <c r="G225" s="141">
        <f>IF(Basic345678910[[#This Row],[نوع الخدمة]]="مخالفات", 50,
IF(Basic345678910[[#This Row],[نوع الخدمة]]="كاش ان",
    IF(F225&lt;=100, 18, IF(F225&lt;=250, 23, IF(F225&lt;=500, 35, IF(F225&lt;=1000, 40, F225*0.04)))),
IF(Basic345678910[[#This Row],[نوع الخدمة]]="كاش اوت",
    IF(F225&lt;=100, 15, IF(F225&lt;=250, 20, IF(F225&lt;=500, 30, IF(F225&lt;=1000, 35, F225*0.035)))),
0)))</f>
        <v>0</v>
      </c>
      <c r="H225" s="159">
        <f>IF(I225="مخالفات",50,Basic345678910[[#This Row],[قيمة الرسوم / العموله]]+Basic345678910[[#This Row],[قيمة الشحنه]])</f>
        <v>0</v>
      </c>
      <c r="I225" s="90"/>
      <c r="J225" s="142" t="str">
        <f t="shared" si="3"/>
        <v>23.5.2026</v>
      </c>
      <c r="L225" s="153">
        <v>214</v>
      </c>
      <c r="M225" s="92"/>
    </row>
    <row r="226" spans="1:13" ht="21.6" x14ac:dyDescent="0.65">
      <c r="A226" s="195"/>
      <c r="B226" s="140">
        <v>223</v>
      </c>
      <c r="C226" s="4"/>
      <c r="D226" s="5"/>
      <c r="E226" s="6"/>
      <c r="F226" s="5"/>
      <c r="G226" s="141">
        <f>IF(Basic345678910[[#This Row],[نوع الخدمة]]="مخالفات", 50,
IF(Basic345678910[[#This Row],[نوع الخدمة]]="كاش ان",
    IF(F226&lt;=100, 18, IF(F226&lt;=250, 23, IF(F226&lt;=500, 35, IF(F226&lt;=1000, 40, F226*0.04)))),
IF(Basic345678910[[#This Row],[نوع الخدمة]]="كاش اوت",
    IF(F226&lt;=100, 15, IF(F226&lt;=250, 20, IF(F226&lt;=500, 30, IF(F226&lt;=1000, 35, F226*0.035)))),
0)))</f>
        <v>0</v>
      </c>
      <c r="H226" s="160">
        <f>IF(I226="مخالفات",50,Basic345678910[[#This Row],[قيمة الرسوم / العموله]]+Basic345678910[[#This Row],[قيمة الشحنه]])</f>
        <v>0</v>
      </c>
      <c r="I226" s="90"/>
      <c r="J226" s="142" t="str">
        <f t="shared" si="3"/>
        <v>23.5.2026</v>
      </c>
      <c r="L226" s="156">
        <v>215</v>
      </c>
      <c r="M226" s="93"/>
    </row>
  </sheetData>
  <sheetProtection algorithmName="SHA-512" hashValue="LXkwDHHnfbIgY/uYvBcJoFXYFjX3NGBZP64Skfdmc9p2Sy975+pRwnPrJ5PC/R5RPH06CHy3G/9lOHllY7w/TA==" saltValue="F5BmvJTYazQ9GN8zX1usdw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35" priority="12" operator="equal">
      <formula>$BH$10</formula>
    </cfRule>
    <cfRule type="cellIs" dxfId="34" priority="13" operator="equal">
      <formula>$BH$9</formula>
    </cfRule>
    <cfRule type="cellIs" dxfId="33" priority="14" operator="equal">
      <formula>$BH$8</formula>
    </cfRule>
  </conditionalFormatting>
  <conditionalFormatting sqref="P11">
    <cfRule type="cellIs" dxfId="32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{BE61CD2B-EE27-4CC9-9415-21B344C35796}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{554EB127-4E93-4A92-BBC0-DCF4D63C4DE1}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{0325EDA3-C3DF-4A95-B8A5-F841977A61CB}</x14:id>
        </ext>
      </extLst>
    </cfRule>
  </conditionalFormatting>
  <dataValidations count="2">
    <dataValidation type="list" allowBlank="1" showInputMessage="1" showErrorMessage="1" sqref="I4:I226" xr:uid="{00000000-0002-0000-1600-000000000000}">
      <formula1>$BH$8:$BH$10</formula1>
    </dataValidation>
    <dataValidation type="textLength" operator="equal" allowBlank="1" showInputMessage="1" showErrorMessage="1" errorTitle="يجب إخال رقم IPN صحيح 13 رقم" sqref="C1:C1048576" xr:uid="{00000000-0002-0000-1600-000001000000}">
      <formula1>13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E61CD2B-EE27-4CC9-9415-21B344C35796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554EB127-4E93-4A92-BBC0-DCF4D63C4DE1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0325EDA3-C3DF-4A95-B8A5-F841977A61CB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H226"/>
  <sheetViews>
    <sheetView showGridLines="0" showRowColHeaders="0" rightToLeft="1" topLeftCell="E1" zoomScale="80" zoomScaleNormal="80" workbookViewId="0">
      <selection activeCell="P12" sqref="P12"/>
    </sheetView>
  </sheetViews>
  <sheetFormatPr defaultColWidth="9.109375" defaultRowHeight="14.4" x14ac:dyDescent="0.3"/>
  <cols>
    <col min="1" max="1" width="4.109375" style="124" customWidth="1"/>
    <col min="2" max="2" width="6.5546875" style="125" bestFit="1" customWidth="1"/>
    <col min="3" max="3" width="27" style="126" customWidth="1"/>
    <col min="4" max="4" width="15.6640625" style="124" customWidth="1"/>
    <col min="5" max="5" width="17.5546875" style="157" customWidth="1"/>
    <col min="6" max="6" width="12.88671875" style="124" bestFit="1" customWidth="1"/>
    <col min="7" max="7" width="19" style="124" bestFit="1" customWidth="1"/>
    <col min="8" max="8" width="19" style="124" customWidth="1"/>
    <col min="9" max="9" width="12.44140625" style="128" bestFit="1" customWidth="1"/>
    <col min="10" max="10" width="15.6640625" style="129" customWidth="1"/>
    <col min="11" max="11" width="1.88671875" style="124" customWidth="1"/>
    <col min="12" max="12" width="8.5546875" style="124" bestFit="1" customWidth="1"/>
    <col min="13" max="13" width="26" style="124" customWidth="1"/>
    <col min="14" max="14" width="8.33203125" style="124" bestFit="1" customWidth="1"/>
    <col min="15" max="15" width="26.5546875" style="124" bestFit="1" customWidth="1"/>
    <col min="16" max="16" width="12.88671875" style="124" customWidth="1"/>
    <col min="17" max="17" width="3.5546875" style="124" customWidth="1"/>
    <col min="18" max="18" width="18.44140625" style="128" customWidth="1"/>
    <col min="19" max="19" width="15.5546875" style="128" customWidth="1"/>
    <col min="20" max="20" width="11.5546875" style="128" bestFit="1" customWidth="1"/>
    <col min="21" max="21" width="12.5546875" style="128" customWidth="1"/>
    <col min="22" max="22" width="10.109375" style="128" bestFit="1" customWidth="1"/>
    <col min="23" max="23" width="8.5546875" style="128" customWidth="1"/>
    <col min="24" max="24" width="12.6640625" style="124" customWidth="1"/>
    <col min="25" max="16384" width="9.109375" style="124"/>
  </cols>
  <sheetData>
    <row r="1" spans="1:60" x14ac:dyDescent="0.3">
      <c r="E1" s="127">
        <f>Total!F5</f>
        <v>69</v>
      </c>
      <c r="F1" s="192" t="str">
        <f>Total!G5</f>
        <v>العبور</v>
      </c>
      <c r="G1" s="192"/>
      <c r="H1" s="192"/>
    </row>
    <row r="3" spans="1:60" ht="15.6" x14ac:dyDescent="0.3">
      <c r="B3" s="130" t="s">
        <v>0</v>
      </c>
      <c r="C3" s="131" t="s">
        <v>1</v>
      </c>
      <c r="D3" s="132" t="s">
        <v>2</v>
      </c>
      <c r="E3" s="133" t="s">
        <v>3</v>
      </c>
      <c r="F3" s="132" t="s">
        <v>4</v>
      </c>
      <c r="G3" s="132" t="s">
        <v>5</v>
      </c>
      <c r="H3" s="132" t="s">
        <v>76</v>
      </c>
      <c r="I3" s="132" t="s">
        <v>6</v>
      </c>
      <c r="J3" s="134" t="s">
        <v>7</v>
      </c>
      <c r="L3" s="135" t="s">
        <v>7</v>
      </c>
      <c r="M3" s="7" t="s">
        <v>107</v>
      </c>
      <c r="O3" s="137" t="s">
        <v>17</v>
      </c>
      <c r="P3" s="138">
        <f>M5+M6</f>
        <v>0</v>
      </c>
      <c r="T3" s="173"/>
      <c r="U3" s="173"/>
      <c r="V3" s="173"/>
      <c r="W3" s="173"/>
    </row>
    <row r="4" spans="1:60" ht="21.6" x14ac:dyDescent="0.65">
      <c r="A4" s="195"/>
      <c r="B4" s="140">
        <v>1</v>
      </c>
      <c r="C4" s="8"/>
      <c r="D4" s="9"/>
      <c r="E4" s="10"/>
      <c r="F4" s="9"/>
      <c r="G4" s="141">
        <f>IF(Basic3456789[[#This Row],[نوع الخدمة]]="مخالفات", 50,
IF(Basic3456789[[#This Row],[نوع الخدمة]]="كاش ان",
    IF(F4&lt;=100, 18, IF(F4&lt;=250, 23, IF(F4&lt;=500, 35, IF(F4&lt;=1000, 40, F4*0.04)))),
IF(Basic3456789[[#This Row],[نوع الخدمة]]="كاش اوت",
    IF(F4&lt;=100, 15, IF(F4&lt;=250, 20, IF(F4&lt;=500, 30, IF(F4&lt;=1000, 35, F4*0.035)))),
0)))</f>
        <v>0</v>
      </c>
      <c r="H4" s="141">
        <f>IF(I4="مخالفات",50,Basic3456789[[#This Row],[قيمة الرسوم / العموله]]+Basic3456789[[#This Row],[قيمة الشحنه]])</f>
        <v>0</v>
      </c>
      <c r="I4" s="90"/>
      <c r="J4" s="142" t="str">
        <f t="shared" ref="J4:J67" si="0">M$3</f>
        <v>24.5.2026</v>
      </c>
      <c r="L4" s="135" t="s">
        <v>26</v>
      </c>
      <c r="M4" s="90">
        <v>0</v>
      </c>
      <c r="O4" s="137" t="s">
        <v>18</v>
      </c>
      <c r="P4" s="138">
        <f>M4</f>
        <v>0</v>
      </c>
      <c r="S4" s="143" t="s">
        <v>22</v>
      </c>
      <c r="T4" s="143" t="s">
        <v>23</v>
      </c>
      <c r="U4" s="173"/>
      <c r="V4" s="173"/>
      <c r="W4" s="173"/>
    </row>
    <row r="5" spans="1:60" ht="21.6" x14ac:dyDescent="0.65">
      <c r="A5" s="195"/>
      <c r="B5" s="144">
        <v>2</v>
      </c>
      <c r="C5" s="8"/>
      <c r="D5" s="9"/>
      <c r="E5" s="10"/>
      <c r="F5" s="9"/>
      <c r="G5" s="141">
        <f>IF(Basic3456789[[#This Row],[نوع الخدمة]]="مخالفات", 50,
IF(Basic3456789[[#This Row],[نوع الخدمة]]="كاش ان",
    IF(F5&lt;=100, 18, IF(F5&lt;=250, 23, IF(F5&lt;=500, 35, IF(F5&lt;=1000, 40, F5*0.04)))),
IF(Basic3456789[[#This Row],[نوع الخدمة]]="كاش اوت",
    IF(F5&lt;=100, 15, IF(F5&lt;=250, 20, IF(F5&lt;=500, 30, IF(F5&lt;=1000, 35, F5*0.035)))),
0)))</f>
        <v>0</v>
      </c>
      <c r="H5" s="141">
        <f>IF(I5="مخالفات",50,Basic3456789[[#This Row],[قيمة الرسوم / العموله]]+Basic3456789[[#This Row],[قيمة الشحنه]])</f>
        <v>0</v>
      </c>
      <c r="I5" s="90"/>
      <c r="J5" s="142" t="str">
        <f t="shared" si="0"/>
        <v>24.5.2026</v>
      </c>
      <c r="L5" s="135" t="s">
        <v>27</v>
      </c>
      <c r="M5" s="90"/>
      <c r="O5" s="137" t="s">
        <v>19</v>
      </c>
      <c r="P5" s="138">
        <f>SUMIF(Basic3456789[نوع الخدمة],"كاش ان",Basic3456789[قيمة الشحنه])</f>
        <v>0</v>
      </c>
      <c r="S5" s="145">
        <f>P5+P9+P12+P7</f>
        <v>0</v>
      </c>
      <c r="T5" s="145">
        <f>P3</f>
        <v>0</v>
      </c>
    </row>
    <row r="6" spans="1:60" ht="21.6" x14ac:dyDescent="0.65">
      <c r="A6" s="195"/>
      <c r="B6" s="140">
        <v>3</v>
      </c>
      <c r="C6" s="8"/>
      <c r="D6" s="9"/>
      <c r="E6" s="10"/>
      <c r="F6" s="9"/>
      <c r="G6" s="141">
        <f>IF(Basic3456789[[#This Row],[نوع الخدمة]]="مخالفات", 50,
IF(Basic3456789[[#This Row],[نوع الخدمة]]="كاش ان",
    IF(F6&lt;=100, 18, IF(F6&lt;=250, 23, IF(F6&lt;=500, 35, IF(F6&lt;=1000, 40, F6*0.04)))),
IF(Basic3456789[[#This Row],[نوع الخدمة]]="كاش اوت",
    IF(F6&lt;=100, 15, IF(F6&lt;=250, 20, IF(F6&lt;=500, 30, IF(F6&lt;=1000, 35, F6*0.035)))),
0)))</f>
        <v>0</v>
      </c>
      <c r="H6" s="141">
        <f>IF(I6="مخالفات",50,Basic3456789[[#This Row],[قيمة الرسوم / العموله]]+Basic3456789[[#This Row],[قيمة الشحنه]])</f>
        <v>0</v>
      </c>
      <c r="I6" s="90"/>
      <c r="J6" s="142" t="str">
        <f t="shared" si="0"/>
        <v>24.5.2026</v>
      </c>
      <c r="L6" s="135" t="s">
        <v>28</v>
      </c>
      <c r="M6" s="90"/>
      <c r="O6" s="146" t="s">
        <v>12</v>
      </c>
      <c r="P6" s="138">
        <f>P3*150</f>
        <v>0</v>
      </c>
    </row>
    <row r="7" spans="1:60" ht="21.6" x14ac:dyDescent="0.65">
      <c r="A7" s="195"/>
      <c r="B7" s="140">
        <v>4</v>
      </c>
      <c r="C7" s="8"/>
      <c r="D7" s="9"/>
      <c r="E7" s="10"/>
      <c r="F7" s="9"/>
      <c r="G7" s="141">
        <f>IF(Basic3456789[[#This Row],[نوع الخدمة]]="مخالفات", 50,
IF(Basic3456789[[#This Row],[نوع الخدمة]]="كاش ان",
    IF(F7&lt;=100, 18, IF(F7&lt;=250, 23, IF(F7&lt;=500, 35, IF(F7&lt;=1000, 40, F7*0.04)))),
IF(Basic3456789[[#This Row],[نوع الخدمة]]="كاش اوت",
    IF(F7&lt;=100, 15, IF(F7&lt;=250, 20, IF(F7&lt;=500, 30, IF(F7&lt;=1000, 35, F7*0.035)))),
0)))</f>
        <v>0</v>
      </c>
      <c r="H7" s="141">
        <f>IF(I7="مخالفات",50,Basic3456789[[#This Row],[قيمة الرسوم / العموله]]+Basic3456789[[#This Row],[قيمة الشحنه]])</f>
        <v>0</v>
      </c>
      <c r="I7" s="90"/>
      <c r="J7" s="142" t="str">
        <f t="shared" si="0"/>
        <v>24.5.2026</v>
      </c>
      <c r="L7" s="137" t="s">
        <v>11</v>
      </c>
      <c r="M7" s="165"/>
      <c r="O7" s="146" t="s">
        <v>75</v>
      </c>
      <c r="P7" s="138">
        <f>SUMIF(Basic3456789[نوع الخدمة],"مخالفات",Basic3456789[الاجمــــــــــالي])</f>
        <v>0</v>
      </c>
      <c r="R7" s="173"/>
      <c r="S7" s="173"/>
    </row>
    <row r="8" spans="1:60" ht="21.6" x14ac:dyDescent="0.65">
      <c r="A8" s="195"/>
      <c r="B8" s="140">
        <v>5</v>
      </c>
      <c r="C8" s="8"/>
      <c r="D8" s="9"/>
      <c r="E8" s="10"/>
      <c r="F8" s="9"/>
      <c r="G8" s="141">
        <f>IF(Basic3456789[[#This Row],[نوع الخدمة]]="مخالفات", 50,
IF(Basic3456789[[#This Row],[نوع الخدمة]]="كاش ان",
    IF(F8&lt;=100, 18, IF(F8&lt;=250, 23, IF(F8&lt;=500, 35, IF(F8&lt;=1000, 40, F8*0.04)))),
IF(Basic3456789[[#This Row],[نوع الخدمة]]="كاش اوت",
    IF(F8&lt;=100, 15, IF(F8&lt;=250, 20, IF(F8&lt;=500, 30, IF(F8&lt;=1000, 35, F8*0.035)))),
0)))</f>
        <v>0</v>
      </c>
      <c r="H8" s="141">
        <f>IF(I8="مخالفات",50,Basic3456789[[#This Row],[قيمة الرسوم / العموله]]+Basic3456789[[#This Row],[قيمة الشحنه]])</f>
        <v>0</v>
      </c>
      <c r="I8" s="90"/>
      <c r="J8" s="142" t="str">
        <f t="shared" si="0"/>
        <v>24.5.2026</v>
      </c>
      <c r="L8" s="166" t="s">
        <v>79</v>
      </c>
      <c r="M8" s="167">
        <v>0</v>
      </c>
      <c r="O8" s="137" t="s">
        <v>11</v>
      </c>
      <c r="P8" s="138">
        <f>M7</f>
        <v>0</v>
      </c>
      <c r="R8" s="143" t="s">
        <v>72</v>
      </c>
      <c r="S8" s="143" t="s">
        <v>25</v>
      </c>
      <c r="T8" s="143" t="s">
        <v>24</v>
      </c>
      <c r="U8" s="143" t="s">
        <v>73</v>
      </c>
      <c r="V8" s="143" t="s">
        <v>25</v>
      </c>
      <c r="W8" s="143" t="s">
        <v>24</v>
      </c>
      <c r="BH8" s="148" t="s">
        <v>8</v>
      </c>
    </row>
    <row r="9" spans="1:60" ht="18" customHeight="1" x14ac:dyDescent="0.65">
      <c r="A9" s="195"/>
      <c r="B9" s="144">
        <v>6</v>
      </c>
      <c r="C9" s="8"/>
      <c r="D9" s="9"/>
      <c r="E9" s="10"/>
      <c r="F9" s="9"/>
      <c r="G9" s="141">
        <f>IF(Basic3456789[[#This Row],[نوع الخدمة]]="مخالفات", 50,
IF(Basic3456789[[#This Row],[نوع الخدمة]]="كاش ان",
    IF(F9&lt;=100, 18, IF(F9&lt;=250, 23, IF(F9&lt;=500, 35, IF(F9&lt;=1000, 40, F9*0.04)))),
IF(Basic3456789[[#This Row],[نوع الخدمة]]="كاش اوت",
    IF(F9&lt;=100, 15, IF(F9&lt;=250, 20, IF(F9&lt;=500, 30, IF(F9&lt;=1000, 35, F9*0.035)))),
0)))</f>
        <v>0</v>
      </c>
      <c r="H9" s="141">
        <f>IF(I9="مخالفات",50,Basic3456789[[#This Row],[قيمة الرسوم / العموله]]+Basic3456789[[#This Row],[قيمة الشحنه]])</f>
        <v>0</v>
      </c>
      <c r="I9" s="90"/>
      <c r="J9" s="142" t="str">
        <f t="shared" si="0"/>
        <v>24.5.2026</v>
      </c>
      <c r="L9" s="166" t="s">
        <v>80</v>
      </c>
      <c r="M9" s="167">
        <v>0</v>
      </c>
      <c r="O9" s="137" t="s">
        <v>20</v>
      </c>
      <c r="P9" s="138">
        <f>SUMIF(Basic3456789[نوع الخدمة],"كاش ان",Basic3456789[قيمة الرسوم / العموله])</f>
        <v>0</v>
      </c>
      <c r="R9" s="149">
        <f>Total!H5/24</f>
        <v>29166.666666666668</v>
      </c>
      <c r="S9" s="149">
        <f>S5</f>
        <v>0</v>
      </c>
      <c r="T9" s="150">
        <f>S9/R9</f>
        <v>0</v>
      </c>
      <c r="U9" s="149">
        <f>Total!K5/24</f>
        <v>2.9166666666666665</v>
      </c>
      <c r="V9" s="149">
        <f>T5</f>
        <v>0</v>
      </c>
      <c r="W9" s="150">
        <f>V9/U9</f>
        <v>0</v>
      </c>
      <c r="BH9" s="148" t="s">
        <v>9</v>
      </c>
    </row>
    <row r="10" spans="1:60" ht="21.6" x14ac:dyDescent="0.65">
      <c r="A10" s="195"/>
      <c r="B10" s="140">
        <v>7</v>
      </c>
      <c r="C10" s="8"/>
      <c r="D10" s="9"/>
      <c r="E10" s="10"/>
      <c r="F10" s="9"/>
      <c r="G10" s="141">
        <f>IF(Basic3456789[[#This Row],[نوع الخدمة]]="مخالفات", 50,
IF(Basic3456789[[#This Row],[نوع الخدمة]]="كاش ان",
    IF(F10&lt;=100, 18, IF(F10&lt;=250, 23, IF(F10&lt;=500, 35, IF(F10&lt;=1000, 40, F10*0.04)))),
IF(Basic3456789[[#This Row],[نوع الخدمة]]="كاش اوت",
    IF(F10&lt;=100, 15, IF(F10&lt;=250, 20, IF(F10&lt;=500, 30, IF(F10&lt;=1000, 35, F10*0.035)))),
0)))</f>
        <v>0</v>
      </c>
      <c r="H10" s="141">
        <f>IF(I10="مخالفات",50,Basic3456789[[#This Row],[قيمة الرسوم / العموله]]+Basic3456789[[#This Row],[قيمة الشحنه]])</f>
        <v>0</v>
      </c>
      <c r="I10" s="90"/>
      <c r="J10" s="142" t="str">
        <f t="shared" si="0"/>
        <v>24.5.2026</v>
      </c>
      <c r="O10" s="137" t="s">
        <v>16</v>
      </c>
      <c r="P10" s="138">
        <f>SUMIF(Basic3456789[نوع الخدمة],"كاش اوت",Basic3456789[قيمة الشحنه])</f>
        <v>0</v>
      </c>
      <c r="R10" s="191">
        <f>(W9+T9)/2</f>
        <v>0</v>
      </c>
      <c r="S10" s="191"/>
      <c r="T10" s="191"/>
      <c r="U10" s="191"/>
      <c r="V10" s="191"/>
      <c r="W10" s="191"/>
      <c r="BH10" s="148" t="s">
        <v>10</v>
      </c>
    </row>
    <row r="11" spans="1:60" ht="21.6" x14ac:dyDescent="0.65">
      <c r="A11" s="195"/>
      <c r="B11" s="140">
        <v>8</v>
      </c>
      <c r="C11" s="8"/>
      <c r="D11" s="9"/>
      <c r="E11" s="10"/>
      <c r="F11" s="9"/>
      <c r="G11" s="141">
        <f>IF(Basic3456789[[#This Row],[نوع الخدمة]]="مخالفات", 50,
IF(Basic3456789[[#This Row],[نوع الخدمة]]="كاش ان",
    IF(F11&lt;=100, 18, IF(F11&lt;=250, 23, IF(F11&lt;=500, 35, IF(F11&lt;=1000, 40, F11*0.04)))),
IF(Basic3456789[[#This Row],[نوع الخدمة]]="كاش اوت",
    IF(F11&lt;=100, 15, IF(F11&lt;=250, 20, IF(F11&lt;=500, 30, IF(F11&lt;=1000, 35, F11*0.035)))),
0)))</f>
        <v>0</v>
      </c>
      <c r="H11" s="141">
        <f>IF(I11="مخالفات",50,Basic3456789[[#This Row],[قيمة الرسوم / العموله]]+Basic3456789[[#This Row],[قيمة الشحنه]])</f>
        <v>0</v>
      </c>
      <c r="I11" s="90"/>
      <c r="J11" s="142" t="str">
        <f t="shared" si="0"/>
        <v>24.5.2026</v>
      </c>
      <c r="L11" s="169" t="s">
        <v>77</v>
      </c>
      <c r="M11" s="168" t="s">
        <v>78</v>
      </c>
      <c r="O11" s="151" t="s">
        <v>21</v>
      </c>
      <c r="P11" s="152">
        <f>(P5+P6+P9+P7+P4)-P10-P8</f>
        <v>0</v>
      </c>
      <c r="T11" s="173"/>
    </row>
    <row r="12" spans="1:60" ht="21.6" x14ac:dyDescent="0.65">
      <c r="A12" s="195"/>
      <c r="B12" s="140">
        <v>9</v>
      </c>
      <c r="C12" s="8"/>
      <c r="D12" s="9"/>
      <c r="E12" s="10"/>
      <c r="F12" s="9"/>
      <c r="G12" s="141">
        <f>IF(Basic3456789[[#This Row],[نوع الخدمة]]="مخالفات", 50,
IF(Basic3456789[[#This Row],[نوع الخدمة]]="كاش ان",
    IF(F12&lt;=100, 18, IF(F12&lt;=250, 23, IF(F12&lt;=500, 35, IF(F12&lt;=1000, 40, F12*0.04)))),
IF(Basic3456789[[#This Row],[نوع الخدمة]]="كاش اوت",
    IF(F12&lt;=100, 15, IF(F12&lt;=250, 20, IF(F12&lt;=500, 30, IF(F12&lt;=1000, 35, F12*0.035)))),
0)))</f>
        <v>0</v>
      </c>
      <c r="H12" s="141">
        <f>IF(I12="مخالفات",50,Basic3456789[[#This Row],[قيمة الرسوم / العموله]]+Basic3456789[[#This Row],[قيمة الشحنه]])</f>
        <v>0</v>
      </c>
      <c r="I12" s="90"/>
      <c r="J12" s="142" t="str">
        <f t="shared" si="0"/>
        <v>24.5.2026</v>
      </c>
      <c r="L12" s="153">
        <v>1</v>
      </c>
      <c r="M12" s="91"/>
      <c r="O12" s="137" t="s">
        <v>29</v>
      </c>
      <c r="P12" s="138">
        <f>SUMIF(Basic3456789[نوع الخدمة],"كاش اوت",Basic3456789[الاجمــــــــــالي])</f>
        <v>0</v>
      </c>
    </row>
    <row r="13" spans="1:60" ht="21.6" x14ac:dyDescent="0.65">
      <c r="A13" s="195"/>
      <c r="B13" s="144">
        <v>10</v>
      </c>
      <c r="C13" s="8"/>
      <c r="D13" s="9"/>
      <c r="E13" s="10"/>
      <c r="F13" s="9"/>
      <c r="G13" s="141">
        <f>IF(Basic3456789[[#This Row],[نوع الخدمة]]="مخالفات", 50,
IF(Basic3456789[[#This Row],[نوع الخدمة]]="كاش ان",
    IF(F13&lt;=100, 18, IF(F13&lt;=250, 23, IF(F13&lt;=500, 35, IF(F13&lt;=1000, 40, F13*0.04)))),
IF(Basic3456789[[#This Row],[نوع الخدمة]]="كاش اوت",
    IF(F13&lt;=100, 15, IF(F13&lt;=250, 20, IF(F13&lt;=500, 30, IF(F13&lt;=1000, 35, F13*0.035)))),
0)))</f>
        <v>0</v>
      </c>
      <c r="H13" s="141">
        <f>IF(I13="مخالفات",50,Basic3456789[[#This Row],[قيمة الرسوم / العموله]]+Basic3456789[[#This Row],[قيمة الشحنه]])</f>
        <v>0</v>
      </c>
      <c r="I13" s="90"/>
      <c r="J13" s="142" t="str">
        <f t="shared" si="0"/>
        <v>24.5.2026</v>
      </c>
      <c r="L13" s="153">
        <v>2</v>
      </c>
      <c r="M13" s="92"/>
    </row>
    <row r="14" spans="1:60" ht="21.6" x14ac:dyDescent="0.65">
      <c r="A14" s="195"/>
      <c r="B14" s="140">
        <v>11</v>
      </c>
      <c r="C14" s="2"/>
      <c r="D14" s="1"/>
      <c r="E14" s="3"/>
      <c r="F14" s="1"/>
      <c r="G14" s="141">
        <f>IF(Basic3456789[[#This Row],[نوع الخدمة]]="مخالفات", 50,
IF(Basic3456789[[#This Row],[نوع الخدمة]]="كاش ان",
    IF(F14&lt;=100, 18, IF(F14&lt;=250, 23, IF(F14&lt;=500, 35, IF(F14&lt;=1000, 40, F14*0.04)))),
IF(Basic3456789[[#This Row],[نوع الخدمة]]="كاش اوت",
    IF(F14&lt;=100, 15, IF(F14&lt;=250, 20, IF(F14&lt;=500, 30, IF(F14&lt;=1000, 35, F14*0.035)))),
0)))</f>
        <v>0</v>
      </c>
      <c r="H14" s="159">
        <f>IF(I14="مخالفات",50,Basic3456789[[#This Row],[قيمة الرسوم / العموله]]+Basic3456789[[#This Row],[قيمة الشحنه]])</f>
        <v>0</v>
      </c>
      <c r="I14" s="90"/>
      <c r="J14" s="142" t="str">
        <f t="shared" si="0"/>
        <v>24.5.2026</v>
      </c>
      <c r="L14" s="153">
        <v>3</v>
      </c>
      <c r="M14" s="92"/>
    </row>
    <row r="15" spans="1:60" ht="21.6" x14ac:dyDescent="0.65">
      <c r="A15" s="195"/>
      <c r="B15" s="140">
        <v>12</v>
      </c>
      <c r="C15" s="2"/>
      <c r="D15" s="1"/>
      <c r="E15" s="3"/>
      <c r="F15" s="1"/>
      <c r="G15" s="141">
        <f>IF(Basic3456789[[#This Row],[نوع الخدمة]]="مخالفات", 50,
IF(Basic3456789[[#This Row],[نوع الخدمة]]="كاش ان",
    IF(F15&lt;=100, 18, IF(F15&lt;=250, 23, IF(F15&lt;=500, 35, IF(F15&lt;=1000, 40, F15*0.04)))),
IF(Basic3456789[[#This Row],[نوع الخدمة]]="كاش اوت",
    IF(F15&lt;=100, 15, IF(F15&lt;=250, 20, IF(F15&lt;=500, 30, IF(F15&lt;=1000, 35, F15*0.035)))),
0)))</f>
        <v>0</v>
      </c>
      <c r="H15" s="159">
        <f>IF(I15="مخالفات",50,Basic3456789[[#This Row],[قيمة الرسوم / العموله]]+Basic3456789[[#This Row],[قيمة الشحنه]])</f>
        <v>0</v>
      </c>
      <c r="I15" s="90"/>
      <c r="J15" s="142" t="str">
        <f t="shared" si="0"/>
        <v>24.5.2026</v>
      </c>
      <c r="L15" s="153">
        <v>4</v>
      </c>
      <c r="M15" s="92"/>
      <c r="O15" s="154" t="s">
        <v>10</v>
      </c>
      <c r="P15" s="155">
        <f>COUNTIF(Basic3456789[نوع الخدمة],"مخالفات")</f>
        <v>0</v>
      </c>
    </row>
    <row r="16" spans="1:60" ht="21.6" x14ac:dyDescent="0.65">
      <c r="A16" s="195"/>
      <c r="B16" s="140">
        <v>13</v>
      </c>
      <c r="C16" s="2"/>
      <c r="D16" s="1"/>
      <c r="E16" s="3"/>
      <c r="F16" s="1"/>
      <c r="G16" s="141">
        <f>IF(Basic3456789[[#This Row],[نوع الخدمة]]="مخالفات", 50,
IF(Basic3456789[[#This Row],[نوع الخدمة]]="كاش ان",
    IF(F16&lt;=100, 18, IF(F16&lt;=250, 23, IF(F16&lt;=500, 35, IF(F16&lt;=1000, 40, F16*0.04)))),
IF(Basic3456789[[#This Row],[نوع الخدمة]]="كاش اوت",
    IF(F16&lt;=100, 15, IF(F16&lt;=250, 20, IF(F16&lt;=500, 30, IF(F16&lt;=1000, 35, F16*0.035)))),
0)))</f>
        <v>0</v>
      </c>
      <c r="H16" s="159">
        <f>IF(I16="مخالفات",50,Basic3456789[[#This Row],[قيمة الرسوم / العموله]]+Basic3456789[[#This Row],[قيمة الشحنه]])</f>
        <v>0</v>
      </c>
      <c r="I16" s="90"/>
      <c r="J16" s="142" t="str">
        <f t="shared" si="0"/>
        <v>24.5.2026</v>
      </c>
      <c r="L16" s="153">
        <v>5</v>
      </c>
      <c r="M16" s="92"/>
      <c r="O16" s="154" t="s">
        <v>13</v>
      </c>
      <c r="P16" s="155">
        <f>COUNTIF(Basic3456789[نوع الخدمة],"كاش ان")</f>
        <v>0</v>
      </c>
    </row>
    <row r="17" spans="1:21" ht="21.6" x14ac:dyDescent="0.65">
      <c r="A17" s="195"/>
      <c r="B17" s="144">
        <v>14</v>
      </c>
      <c r="C17" s="2"/>
      <c r="D17" s="1"/>
      <c r="E17" s="3"/>
      <c r="F17" s="1"/>
      <c r="G17" s="141">
        <f>IF(Basic3456789[[#This Row],[نوع الخدمة]]="مخالفات", 50,
IF(Basic3456789[[#This Row],[نوع الخدمة]]="كاش ان",
    IF(F17&lt;=100, 18, IF(F17&lt;=250, 23, IF(F17&lt;=500, 35, IF(F17&lt;=1000, 40, F17*0.04)))),
IF(Basic3456789[[#This Row],[نوع الخدمة]]="كاش اوت",
    IF(F17&lt;=100, 15, IF(F17&lt;=250, 20, IF(F17&lt;=500, 30, IF(F17&lt;=1000, 35, F17*0.035)))),
0)))</f>
        <v>0</v>
      </c>
      <c r="H17" s="159">
        <f>IF(I17="مخالفات",50,Basic3456789[[#This Row],[قيمة الرسوم / العموله]]+Basic3456789[[#This Row],[قيمة الشحنه]])</f>
        <v>0</v>
      </c>
      <c r="I17" s="90"/>
      <c r="J17" s="142" t="str">
        <f t="shared" si="0"/>
        <v>24.5.2026</v>
      </c>
      <c r="L17" s="153">
        <v>6</v>
      </c>
      <c r="M17" s="92"/>
      <c r="O17" s="154" t="s">
        <v>14</v>
      </c>
      <c r="P17" s="155">
        <f>COUNTIF(Basic3456789[نوع الخدمة],"كاش اوت")</f>
        <v>0</v>
      </c>
    </row>
    <row r="18" spans="1:21" ht="21.6" x14ac:dyDescent="0.65">
      <c r="A18" s="195"/>
      <c r="B18" s="140">
        <v>15</v>
      </c>
      <c r="C18" s="2"/>
      <c r="D18" s="1"/>
      <c r="E18" s="3"/>
      <c r="F18" s="1"/>
      <c r="G18" s="141">
        <f>IF(Basic3456789[[#This Row],[نوع الخدمة]]="مخالفات", 50,
IF(Basic3456789[[#This Row],[نوع الخدمة]]="كاش ان",
    IF(F18&lt;=100, 18, IF(F18&lt;=250, 23, IF(F18&lt;=500, 35, IF(F18&lt;=1000, 40, F18*0.04)))),
IF(Basic3456789[[#This Row],[نوع الخدمة]]="كاش اوت",
    IF(F18&lt;=100, 15, IF(F18&lt;=250, 20, IF(F18&lt;=500, 30, IF(F18&lt;=1000, 35, F18*0.035)))),
0)))</f>
        <v>0</v>
      </c>
      <c r="H18" s="159">
        <f>IF(I18="مخالفات",50,Basic3456789[[#This Row],[قيمة الرسوم / العموله]]+Basic3456789[[#This Row],[قيمة الشحنه]])</f>
        <v>0</v>
      </c>
      <c r="I18" s="90"/>
      <c r="J18" s="142" t="str">
        <f t="shared" si="0"/>
        <v>24.5.2026</v>
      </c>
      <c r="L18" s="153">
        <v>7</v>
      </c>
      <c r="M18" s="92"/>
      <c r="O18" s="154" t="s">
        <v>15</v>
      </c>
      <c r="P18" s="155">
        <f>P16+P17</f>
        <v>0</v>
      </c>
    </row>
    <row r="19" spans="1:21" ht="21.6" x14ac:dyDescent="0.65">
      <c r="A19" s="195"/>
      <c r="B19" s="140">
        <v>16</v>
      </c>
      <c r="C19" s="2"/>
      <c r="D19" s="1"/>
      <c r="E19" s="3"/>
      <c r="F19" s="1"/>
      <c r="G19" s="141">
        <f>IF(Basic3456789[[#This Row],[نوع الخدمة]]="مخالفات", 50,
IF(Basic3456789[[#This Row],[نوع الخدمة]]="كاش ان",
    IF(F19&lt;=100, 18, IF(F19&lt;=250, 23, IF(F19&lt;=500, 35, IF(F19&lt;=1000, 40, F19*0.04)))),
IF(Basic3456789[[#This Row],[نوع الخدمة]]="كاش اوت",
    IF(F19&lt;=100, 15, IF(F19&lt;=250, 20, IF(F19&lt;=500, 30, IF(F19&lt;=1000, 35, F19*0.035)))),
0)))</f>
        <v>0</v>
      </c>
      <c r="H19" s="159">
        <f>IF(I19="مخالفات",50,Basic3456789[[#This Row],[قيمة الرسوم / العموله]]+Basic3456789[[#This Row],[قيمة الشحنه]])</f>
        <v>0</v>
      </c>
      <c r="I19" s="90"/>
      <c r="J19" s="142" t="str">
        <f t="shared" si="0"/>
        <v>24.5.2026</v>
      </c>
      <c r="L19" s="153">
        <v>8</v>
      </c>
      <c r="M19" s="92"/>
    </row>
    <row r="20" spans="1:21" ht="21.6" x14ac:dyDescent="0.65">
      <c r="A20" s="195"/>
      <c r="B20" s="140">
        <v>17</v>
      </c>
      <c r="C20" s="2"/>
      <c r="D20" s="1"/>
      <c r="E20" s="3"/>
      <c r="F20" s="1"/>
      <c r="G20" s="141">
        <f>IF(Basic3456789[[#This Row],[نوع الخدمة]]="مخالفات", 50,
IF(Basic3456789[[#This Row],[نوع الخدمة]]="كاش ان",
    IF(F20&lt;=100, 18, IF(F20&lt;=250, 23, IF(F20&lt;=500, 35, IF(F20&lt;=1000, 40, F20*0.04)))),
IF(Basic3456789[[#This Row],[نوع الخدمة]]="كاش اوت",
    IF(F20&lt;=100, 15, IF(F20&lt;=250, 20, IF(F20&lt;=500, 30, IF(F20&lt;=1000, 35, F20*0.035)))),
0)))</f>
        <v>0</v>
      </c>
      <c r="H20" s="159">
        <f>IF(I20="مخالفات",50,Basic3456789[[#This Row],[قيمة الرسوم / العموله]]+Basic3456789[[#This Row],[قيمة الشحنه]])</f>
        <v>0</v>
      </c>
      <c r="I20" s="90"/>
      <c r="J20" s="142" t="str">
        <f t="shared" si="0"/>
        <v>24.5.2026</v>
      </c>
      <c r="L20" s="153">
        <v>9</v>
      </c>
      <c r="M20" s="92"/>
      <c r="O20" s="193" t="s">
        <v>30</v>
      </c>
      <c r="P20" s="194"/>
    </row>
    <row r="21" spans="1:21" ht="21.6" x14ac:dyDescent="0.65">
      <c r="A21" s="195"/>
      <c r="B21" s="144">
        <v>18</v>
      </c>
      <c r="C21" s="2"/>
      <c r="D21" s="1"/>
      <c r="E21" s="3"/>
      <c r="F21" s="1"/>
      <c r="G21" s="141">
        <f>IF(Basic3456789[[#This Row],[نوع الخدمة]]="مخالفات", 50,
IF(Basic3456789[[#This Row],[نوع الخدمة]]="كاش ان",
    IF(F21&lt;=100, 18, IF(F21&lt;=250, 23, IF(F21&lt;=500, 35, IF(F21&lt;=1000, 40, F21*0.04)))),
IF(Basic3456789[[#This Row],[نوع الخدمة]]="كاش اوت",
    IF(F21&lt;=100, 15, IF(F21&lt;=250, 20, IF(F21&lt;=500, 30, IF(F21&lt;=1000, 35, F21*0.035)))),
0)))</f>
        <v>0</v>
      </c>
      <c r="H21" s="159">
        <f>IF(I21="مخالفات",50,Basic3456789[[#This Row],[قيمة الرسوم / العموله]]+Basic3456789[[#This Row],[قيمة الشحنه]])</f>
        <v>0</v>
      </c>
      <c r="I21" s="90"/>
      <c r="J21" s="142" t="str">
        <f t="shared" si="0"/>
        <v>24.5.2026</v>
      </c>
      <c r="L21" s="153">
        <v>10</v>
      </c>
      <c r="M21" s="92"/>
      <c r="O21" s="196" t="s">
        <v>31</v>
      </c>
      <c r="P21" s="197"/>
    </row>
    <row r="22" spans="1:21" ht="21.6" x14ac:dyDescent="0.65">
      <c r="A22" s="195"/>
      <c r="B22" s="140">
        <v>19</v>
      </c>
      <c r="C22" s="2"/>
      <c r="D22" s="1"/>
      <c r="E22" s="3"/>
      <c r="F22" s="1"/>
      <c r="G22" s="141">
        <f>IF(Basic3456789[[#This Row],[نوع الخدمة]]="مخالفات", 50,
IF(Basic3456789[[#This Row],[نوع الخدمة]]="كاش ان",
    IF(F22&lt;=100, 18, IF(F22&lt;=250, 23, IF(F22&lt;=500, 35, IF(F22&lt;=1000, 40, F22*0.04)))),
IF(Basic3456789[[#This Row],[نوع الخدمة]]="كاش اوت",
    IF(F22&lt;=100, 15, IF(F22&lt;=250, 20, IF(F22&lt;=500, 30, IF(F22&lt;=1000, 35, F22*0.035)))),
0)))</f>
        <v>0</v>
      </c>
      <c r="H22" s="159">
        <f>IF(I22="مخالفات",50,Basic3456789[[#This Row],[قيمة الرسوم / العموله]]+Basic3456789[[#This Row],[قيمة الشحنه]])</f>
        <v>0</v>
      </c>
      <c r="I22" s="90"/>
      <c r="J22" s="142" t="str">
        <f t="shared" si="0"/>
        <v>24.5.2026</v>
      </c>
      <c r="L22" s="153">
        <v>11</v>
      </c>
      <c r="M22" s="92"/>
      <c r="O22" s="147" t="s">
        <v>27</v>
      </c>
      <c r="P22" s="135">
        <f>M8+'23'!P28</f>
        <v>-4</v>
      </c>
    </row>
    <row r="23" spans="1:21" ht="21.6" x14ac:dyDescent="0.65">
      <c r="A23" s="195"/>
      <c r="B23" s="140">
        <v>20</v>
      </c>
      <c r="C23" s="2"/>
      <c r="D23" s="1"/>
      <c r="E23" s="3"/>
      <c r="F23" s="1"/>
      <c r="G23" s="141">
        <f>IF(Basic3456789[[#This Row],[نوع الخدمة]]="مخالفات", 50,
IF(Basic3456789[[#This Row],[نوع الخدمة]]="كاش ان",
    IF(F23&lt;=100, 18, IF(F23&lt;=250, 23, IF(F23&lt;=500, 35, IF(F23&lt;=1000, 40, F23*0.04)))),
IF(Basic3456789[[#This Row],[نوع الخدمة]]="كاش اوت",
    IF(F23&lt;=100, 15, IF(F23&lt;=250, 20, IF(F23&lt;=500, 30, IF(F23&lt;=1000, 35, F23*0.035)))),
0)))</f>
        <v>0</v>
      </c>
      <c r="H23" s="159">
        <f>IF(I23="مخالفات",50,Basic3456789[[#This Row],[قيمة الرسوم / العموله]]+Basic3456789[[#This Row],[قيمة الشحنه]])</f>
        <v>0</v>
      </c>
      <c r="I23" s="90"/>
      <c r="J23" s="142" t="str">
        <f t="shared" si="0"/>
        <v>24.5.2026</v>
      </c>
      <c r="L23" s="153">
        <v>12</v>
      </c>
      <c r="M23" s="92"/>
      <c r="O23" s="147" t="s">
        <v>28</v>
      </c>
      <c r="P23" s="135">
        <f>M9+'23'!P29</f>
        <v>0</v>
      </c>
      <c r="T23" s="173"/>
      <c r="U23" s="173"/>
    </row>
    <row r="24" spans="1:21" ht="21.6" x14ac:dyDescent="0.65">
      <c r="A24" s="195"/>
      <c r="B24" s="140">
        <v>21</v>
      </c>
      <c r="C24" s="2"/>
      <c r="D24" s="1"/>
      <c r="E24" s="3"/>
      <c r="F24" s="1"/>
      <c r="G24" s="141">
        <f>IF(Basic3456789[[#This Row],[نوع الخدمة]]="مخالفات", 50,
IF(Basic3456789[[#This Row],[نوع الخدمة]]="كاش ان",
    IF(F24&lt;=100, 18, IF(F24&lt;=250, 23, IF(F24&lt;=500, 35, IF(F24&lt;=1000, 40, F24*0.04)))),
IF(Basic3456789[[#This Row],[نوع الخدمة]]="كاش اوت",
    IF(F24&lt;=100, 15, IF(F24&lt;=250, 20, IF(F24&lt;=500, 30, IF(F24&lt;=1000, 35, F24*0.035)))),
0)))</f>
        <v>0</v>
      </c>
      <c r="H24" s="159">
        <f>IF(I24="مخالفات",50,Basic3456789[[#This Row],[قيمة الرسوم / العموله]]+Basic3456789[[#This Row],[قيمة الشحنه]])</f>
        <v>0</v>
      </c>
      <c r="I24" s="90"/>
      <c r="J24" s="142" t="str">
        <f t="shared" si="0"/>
        <v>24.5.2026</v>
      </c>
      <c r="L24" s="153">
        <v>13</v>
      </c>
      <c r="M24" s="92"/>
      <c r="O24" s="196" t="s">
        <v>32</v>
      </c>
      <c r="P24" s="197"/>
    </row>
    <row r="25" spans="1:21" ht="21.6" x14ac:dyDescent="0.65">
      <c r="A25" s="195"/>
      <c r="B25" s="144">
        <v>22</v>
      </c>
      <c r="C25" s="2"/>
      <c r="D25" s="1"/>
      <c r="E25" s="3"/>
      <c r="F25" s="1"/>
      <c r="G25" s="141">
        <f>IF(Basic3456789[[#This Row],[نوع الخدمة]]="مخالفات", 50,
IF(Basic3456789[[#This Row],[نوع الخدمة]]="كاش ان",
    IF(F25&lt;=100, 18, IF(F25&lt;=250, 23, IF(F25&lt;=500, 35, IF(F25&lt;=1000, 40, F25*0.04)))),
IF(Basic3456789[[#This Row],[نوع الخدمة]]="كاش اوت",
    IF(F25&lt;=100, 15, IF(F25&lt;=250, 20, IF(F25&lt;=500, 30, IF(F25&lt;=1000, 35, F25*0.035)))),
0)))</f>
        <v>0</v>
      </c>
      <c r="H25" s="159">
        <f>IF(I25="مخالفات",50,Basic3456789[[#This Row],[قيمة الرسوم / العموله]]+Basic3456789[[#This Row],[قيمة الشحنه]])</f>
        <v>0</v>
      </c>
      <c r="I25" s="90"/>
      <c r="J25" s="142" t="str">
        <f t="shared" si="0"/>
        <v>24.5.2026</v>
      </c>
      <c r="L25" s="153">
        <v>14</v>
      </c>
      <c r="M25" s="92"/>
      <c r="O25" s="147" t="s">
        <v>27</v>
      </c>
      <c r="P25" s="135">
        <f>M5</f>
        <v>0</v>
      </c>
    </row>
    <row r="26" spans="1:21" ht="21.6" x14ac:dyDescent="0.65">
      <c r="A26" s="195"/>
      <c r="B26" s="140">
        <v>23</v>
      </c>
      <c r="C26" s="2"/>
      <c r="D26" s="1"/>
      <c r="E26" s="3"/>
      <c r="F26" s="1"/>
      <c r="G26" s="141">
        <f>IF(Basic3456789[[#This Row],[نوع الخدمة]]="مخالفات", 50,
IF(Basic3456789[[#This Row],[نوع الخدمة]]="كاش ان",
    IF(F26&lt;=100, 18, IF(F26&lt;=250, 23, IF(F26&lt;=500, 35, IF(F26&lt;=1000, 40, F26*0.04)))),
IF(Basic3456789[[#This Row],[نوع الخدمة]]="كاش اوت",
    IF(F26&lt;=100, 15, IF(F26&lt;=250, 20, IF(F26&lt;=500, 30, IF(F26&lt;=1000, 35, F26*0.035)))),
0)))</f>
        <v>0</v>
      </c>
      <c r="H26" s="159">
        <f>IF(I26="مخالفات",50,Basic3456789[[#This Row],[قيمة الرسوم / العموله]]+Basic3456789[[#This Row],[قيمة الشحنه]])</f>
        <v>0</v>
      </c>
      <c r="I26" s="90"/>
      <c r="J26" s="142" t="str">
        <f t="shared" si="0"/>
        <v>24.5.2026</v>
      </c>
      <c r="L26" s="153">
        <v>15</v>
      </c>
      <c r="M26" s="92"/>
      <c r="O26" s="147" t="s">
        <v>28</v>
      </c>
      <c r="P26" s="135">
        <f>M6</f>
        <v>0</v>
      </c>
    </row>
    <row r="27" spans="1:21" ht="21.6" x14ac:dyDescent="0.65">
      <c r="A27" s="195"/>
      <c r="B27" s="140">
        <v>24</v>
      </c>
      <c r="C27" s="2"/>
      <c r="D27" s="1"/>
      <c r="E27" s="3"/>
      <c r="F27" s="1"/>
      <c r="G27" s="141">
        <f>IF(Basic3456789[[#This Row],[نوع الخدمة]]="مخالفات", 50,
IF(Basic3456789[[#This Row],[نوع الخدمة]]="كاش ان",
    IF(F27&lt;=100, 18, IF(F27&lt;=250, 23, IF(F27&lt;=500, 35, IF(F27&lt;=1000, 40, F27*0.04)))),
IF(Basic3456789[[#This Row],[نوع الخدمة]]="كاش اوت",
    IF(F27&lt;=100, 15, IF(F27&lt;=250, 20, IF(F27&lt;=500, 30, IF(F27&lt;=1000, 35, F27*0.035)))),
0)))</f>
        <v>0</v>
      </c>
      <c r="H27" s="159">
        <f>IF(I27="مخالفات",50,Basic3456789[[#This Row],[قيمة الرسوم / العموله]]+Basic3456789[[#This Row],[قيمة الشحنه]])</f>
        <v>0</v>
      </c>
      <c r="I27" s="90"/>
      <c r="J27" s="142" t="str">
        <f t="shared" si="0"/>
        <v>24.5.2026</v>
      </c>
      <c r="L27" s="153">
        <v>16</v>
      </c>
      <c r="M27" s="92"/>
      <c r="O27" s="196" t="s">
        <v>33</v>
      </c>
      <c r="P27" s="197"/>
    </row>
    <row r="28" spans="1:21" ht="21.6" x14ac:dyDescent="0.65">
      <c r="A28" s="195"/>
      <c r="B28" s="140">
        <v>25</v>
      </c>
      <c r="C28" s="2"/>
      <c r="D28" s="1"/>
      <c r="E28" s="3"/>
      <c r="F28" s="1"/>
      <c r="G28" s="141">
        <f>IF(Basic3456789[[#This Row],[نوع الخدمة]]="مخالفات", 50,
IF(Basic3456789[[#This Row],[نوع الخدمة]]="كاش ان",
    IF(F28&lt;=100, 18, IF(F28&lt;=250, 23, IF(F28&lt;=500, 35, IF(F28&lt;=1000, 40, F28*0.04)))),
IF(Basic3456789[[#This Row],[نوع الخدمة]]="كاش اوت",
    IF(F28&lt;=100, 15, IF(F28&lt;=250, 20, IF(F28&lt;=500, 30, IF(F28&lt;=1000, 35, F28*0.035)))),
0)))</f>
        <v>0</v>
      </c>
      <c r="H28" s="159">
        <f>IF(I28="مخالفات",50,Basic3456789[[#This Row],[قيمة الرسوم / العموله]]+Basic3456789[[#This Row],[قيمة الشحنه]])</f>
        <v>0</v>
      </c>
      <c r="I28" s="90"/>
      <c r="J28" s="142" t="str">
        <f t="shared" si="0"/>
        <v>24.5.2026</v>
      </c>
      <c r="L28" s="153">
        <v>17</v>
      </c>
      <c r="M28" s="92"/>
      <c r="O28" s="147" t="s">
        <v>27</v>
      </c>
      <c r="P28" s="135">
        <f>P22-P25</f>
        <v>-4</v>
      </c>
    </row>
    <row r="29" spans="1:21" ht="21.6" x14ac:dyDescent="0.65">
      <c r="A29" s="195"/>
      <c r="B29" s="144">
        <v>26</v>
      </c>
      <c r="C29" s="2"/>
      <c r="D29" s="1"/>
      <c r="E29" s="3"/>
      <c r="F29" s="1"/>
      <c r="G29" s="141">
        <f>IF(Basic3456789[[#This Row],[نوع الخدمة]]="مخالفات", 50,
IF(Basic3456789[[#This Row],[نوع الخدمة]]="كاش ان",
    IF(F29&lt;=100, 18, IF(F29&lt;=250, 23, IF(F29&lt;=500, 35, IF(F29&lt;=1000, 40, F29*0.04)))),
IF(Basic3456789[[#This Row],[نوع الخدمة]]="كاش اوت",
    IF(F29&lt;=100, 15, IF(F29&lt;=250, 20, IF(F29&lt;=500, 30, IF(F29&lt;=1000, 35, F29*0.035)))),
0)))</f>
        <v>0</v>
      </c>
      <c r="H29" s="159">
        <f>IF(I29="مخالفات",50,Basic3456789[[#This Row],[قيمة الرسوم / العموله]]+Basic3456789[[#This Row],[قيمة الشحنه]])</f>
        <v>0</v>
      </c>
      <c r="I29" s="90"/>
      <c r="J29" s="142" t="str">
        <f t="shared" si="0"/>
        <v>24.5.2026</v>
      </c>
      <c r="L29" s="153">
        <v>18</v>
      </c>
      <c r="M29" s="92"/>
      <c r="O29" s="147" t="s">
        <v>28</v>
      </c>
      <c r="P29" s="135">
        <f>P23-P26</f>
        <v>0</v>
      </c>
    </row>
    <row r="30" spans="1:21" ht="21.6" x14ac:dyDescent="0.65">
      <c r="A30" s="195"/>
      <c r="B30" s="140">
        <v>27</v>
      </c>
      <c r="C30" s="2"/>
      <c r="D30" s="1"/>
      <c r="E30" s="3"/>
      <c r="F30" s="1"/>
      <c r="G30" s="141">
        <f>IF(Basic3456789[[#This Row],[نوع الخدمة]]="مخالفات", 50,
IF(Basic3456789[[#This Row],[نوع الخدمة]]="كاش ان",
    IF(F30&lt;=100, 18, IF(F30&lt;=250, 23, IF(F30&lt;=500, 35, IF(F30&lt;=1000, 40, F30*0.04)))),
IF(Basic3456789[[#This Row],[نوع الخدمة]]="كاش اوت",
    IF(F30&lt;=100, 15, IF(F30&lt;=250, 20, IF(F30&lt;=500, 30, IF(F30&lt;=1000, 35, F30*0.035)))),
0)))</f>
        <v>0</v>
      </c>
      <c r="H30" s="159">
        <f>IF(I30="مخالفات",50,Basic3456789[[#This Row],[قيمة الرسوم / العموله]]+Basic3456789[[#This Row],[قيمة الشحنه]])</f>
        <v>0</v>
      </c>
      <c r="I30" s="90"/>
      <c r="J30" s="142" t="str">
        <f t="shared" si="0"/>
        <v>24.5.2026</v>
      </c>
      <c r="L30" s="153">
        <v>19</v>
      </c>
      <c r="M30" s="92"/>
    </row>
    <row r="31" spans="1:21" ht="21.6" x14ac:dyDescent="0.65">
      <c r="A31" s="195"/>
      <c r="B31" s="140">
        <v>28</v>
      </c>
      <c r="C31" s="2"/>
      <c r="D31" s="1"/>
      <c r="E31" s="3"/>
      <c r="F31" s="1"/>
      <c r="G31" s="141">
        <f>IF(Basic3456789[[#This Row],[نوع الخدمة]]="مخالفات", 50,
IF(Basic3456789[[#This Row],[نوع الخدمة]]="كاش ان",
    IF(F31&lt;=100, 18, IF(F31&lt;=250, 23, IF(F31&lt;=500, 35, IF(F31&lt;=1000, 40, F31*0.04)))),
IF(Basic3456789[[#This Row],[نوع الخدمة]]="كاش اوت",
    IF(F31&lt;=100, 15, IF(F31&lt;=250, 20, IF(F31&lt;=500, 30, IF(F31&lt;=1000, 35, F31*0.035)))),
0)))</f>
        <v>0</v>
      </c>
      <c r="H31" s="159">
        <f>IF(I31="مخالفات",50,Basic3456789[[#This Row],[قيمة الرسوم / العموله]]+Basic3456789[[#This Row],[قيمة الشحنه]])</f>
        <v>0</v>
      </c>
      <c r="I31" s="90"/>
      <c r="J31" s="142" t="str">
        <f t="shared" si="0"/>
        <v>24.5.2026</v>
      </c>
      <c r="L31" s="153">
        <v>20</v>
      </c>
      <c r="M31" s="92"/>
    </row>
    <row r="32" spans="1:21" ht="21.6" x14ac:dyDescent="0.65">
      <c r="A32" s="195"/>
      <c r="B32" s="140">
        <v>29</v>
      </c>
      <c r="C32" s="2"/>
      <c r="D32" s="1"/>
      <c r="E32" s="3"/>
      <c r="F32" s="1"/>
      <c r="G32" s="141">
        <f>IF(Basic3456789[[#This Row],[نوع الخدمة]]="مخالفات", 50,
IF(Basic3456789[[#This Row],[نوع الخدمة]]="كاش ان",
    IF(F32&lt;=100, 18, IF(F32&lt;=250, 23, IF(F32&lt;=500, 35, IF(F32&lt;=1000, 40, F32*0.04)))),
IF(Basic3456789[[#This Row],[نوع الخدمة]]="كاش اوت",
    IF(F32&lt;=100, 15, IF(F32&lt;=250, 20, IF(F32&lt;=500, 30, IF(F32&lt;=1000, 35, F32*0.035)))),
0)))</f>
        <v>0</v>
      </c>
      <c r="H32" s="159">
        <f>IF(I32="مخالفات",50,Basic3456789[[#This Row],[قيمة الرسوم / العموله]]+Basic3456789[[#This Row],[قيمة الشحنه]])</f>
        <v>0</v>
      </c>
      <c r="I32" s="90"/>
      <c r="J32" s="142" t="str">
        <f t="shared" si="0"/>
        <v>24.5.2026</v>
      </c>
      <c r="L32" s="153">
        <v>21</v>
      </c>
      <c r="M32" s="92"/>
    </row>
    <row r="33" spans="1:13" ht="21.6" x14ac:dyDescent="0.65">
      <c r="A33" s="195"/>
      <c r="B33" s="144">
        <v>30</v>
      </c>
      <c r="C33" s="2"/>
      <c r="D33" s="1"/>
      <c r="E33" s="3"/>
      <c r="F33" s="1"/>
      <c r="G33" s="141">
        <f>IF(Basic3456789[[#This Row],[نوع الخدمة]]="مخالفات", 50,
IF(Basic3456789[[#This Row],[نوع الخدمة]]="كاش ان",
    IF(F33&lt;=100, 18, IF(F33&lt;=250, 23, IF(F33&lt;=500, 35, IF(F33&lt;=1000, 40, F33*0.04)))),
IF(Basic3456789[[#This Row],[نوع الخدمة]]="كاش اوت",
    IF(F33&lt;=100, 15, IF(F33&lt;=250, 20, IF(F33&lt;=500, 30, IF(F33&lt;=1000, 35, F33*0.035)))),
0)))</f>
        <v>0</v>
      </c>
      <c r="H33" s="159">
        <f>IF(I33="مخالفات",50,Basic3456789[[#This Row],[قيمة الرسوم / العموله]]+Basic3456789[[#This Row],[قيمة الشحنه]])</f>
        <v>0</v>
      </c>
      <c r="I33" s="90"/>
      <c r="J33" s="142" t="str">
        <f t="shared" si="0"/>
        <v>24.5.2026</v>
      </c>
      <c r="L33" s="153">
        <v>22</v>
      </c>
      <c r="M33" s="92"/>
    </row>
    <row r="34" spans="1:13" ht="21.6" x14ac:dyDescent="0.65">
      <c r="A34" s="195"/>
      <c r="B34" s="140">
        <v>31</v>
      </c>
      <c r="C34" s="2"/>
      <c r="D34" s="1"/>
      <c r="E34" s="3"/>
      <c r="F34" s="1"/>
      <c r="G34" s="141">
        <f>IF(Basic3456789[[#This Row],[نوع الخدمة]]="مخالفات", 50,
IF(Basic3456789[[#This Row],[نوع الخدمة]]="كاش ان",
    IF(F34&lt;=100, 18, IF(F34&lt;=250, 23, IF(F34&lt;=500, 35, IF(F34&lt;=1000, 40, F34*0.04)))),
IF(Basic3456789[[#This Row],[نوع الخدمة]]="كاش اوت",
    IF(F34&lt;=100, 15, IF(F34&lt;=250, 20, IF(F34&lt;=500, 30, IF(F34&lt;=1000, 35, F34*0.035)))),
0)))</f>
        <v>0</v>
      </c>
      <c r="H34" s="159">
        <f>IF(I34="مخالفات",50,Basic3456789[[#This Row],[قيمة الرسوم / العموله]]+Basic3456789[[#This Row],[قيمة الشحنه]])</f>
        <v>0</v>
      </c>
      <c r="I34" s="90"/>
      <c r="J34" s="142" t="str">
        <f t="shared" si="0"/>
        <v>24.5.2026</v>
      </c>
      <c r="L34" s="153">
        <v>23</v>
      </c>
      <c r="M34" s="92"/>
    </row>
    <row r="35" spans="1:13" ht="21.6" x14ac:dyDescent="0.65">
      <c r="A35" s="195"/>
      <c r="B35" s="140">
        <v>32</v>
      </c>
      <c r="C35" s="2"/>
      <c r="D35" s="1"/>
      <c r="E35" s="3"/>
      <c r="F35" s="1"/>
      <c r="G35" s="141">
        <f>IF(Basic3456789[[#This Row],[نوع الخدمة]]="مخالفات", 50,
IF(Basic3456789[[#This Row],[نوع الخدمة]]="كاش ان",
    IF(F35&lt;=100, 18, IF(F35&lt;=250, 23, IF(F35&lt;=500, 35, IF(F35&lt;=1000, 40, F35*0.04)))),
IF(Basic3456789[[#This Row],[نوع الخدمة]]="كاش اوت",
    IF(F35&lt;=100, 15, IF(F35&lt;=250, 20, IF(F35&lt;=500, 30, IF(F35&lt;=1000, 35, F35*0.035)))),
0)))</f>
        <v>0</v>
      </c>
      <c r="H35" s="159">
        <f>IF(I35="مخالفات",50,Basic3456789[[#This Row],[قيمة الرسوم / العموله]]+Basic3456789[[#This Row],[قيمة الشحنه]])</f>
        <v>0</v>
      </c>
      <c r="I35" s="90"/>
      <c r="J35" s="142" t="str">
        <f t="shared" si="0"/>
        <v>24.5.2026</v>
      </c>
      <c r="L35" s="153">
        <v>24</v>
      </c>
      <c r="M35" s="92"/>
    </row>
    <row r="36" spans="1:13" ht="21.6" x14ac:dyDescent="0.65">
      <c r="A36" s="195"/>
      <c r="B36" s="140">
        <v>33</v>
      </c>
      <c r="C36" s="2"/>
      <c r="D36" s="1"/>
      <c r="E36" s="3"/>
      <c r="F36" s="1"/>
      <c r="G36" s="141">
        <f>IF(Basic3456789[[#This Row],[نوع الخدمة]]="مخالفات", 50,
IF(Basic3456789[[#This Row],[نوع الخدمة]]="كاش ان",
    IF(F36&lt;=100, 18, IF(F36&lt;=250, 23, IF(F36&lt;=500, 35, IF(F36&lt;=1000, 40, F36*0.04)))),
IF(Basic3456789[[#This Row],[نوع الخدمة]]="كاش اوت",
    IF(F36&lt;=100, 15, IF(F36&lt;=250, 20, IF(F36&lt;=500, 30, IF(F36&lt;=1000, 35, F36*0.035)))),
0)))</f>
        <v>0</v>
      </c>
      <c r="H36" s="159">
        <f>IF(I36="مخالفات",50,Basic3456789[[#This Row],[قيمة الرسوم / العموله]]+Basic3456789[[#This Row],[قيمة الشحنه]])</f>
        <v>0</v>
      </c>
      <c r="I36" s="90"/>
      <c r="J36" s="142" t="str">
        <f t="shared" si="0"/>
        <v>24.5.2026</v>
      </c>
      <c r="L36" s="153">
        <v>25</v>
      </c>
      <c r="M36" s="92"/>
    </row>
    <row r="37" spans="1:13" ht="21.6" x14ac:dyDescent="0.65">
      <c r="A37" s="195"/>
      <c r="B37" s="144">
        <v>34</v>
      </c>
      <c r="C37" s="2"/>
      <c r="D37" s="1"/>
      <c r="E37" s="3"/>
      <c r="F37" s="1"/>
      <c r="G37" s="141">
        <f>IF(Basic3456789[[#This Row],[نوع الخدمة]]="مخالفات", 50,
IF(Basic3456789[[#This Row],[نوع الخدمة]]="كاش ان",
    IF(F37&lt;=100, 18, IF(F37&lt;=250, 23, IF(F37&lt;=500, 35, IF(F37&lt;=1000, 40, F37*0.04)))),
IF(Basic3456789[[#This Row],[نوع الخدمة]]="كاش اوت",
    IF(F37&lt;=100, 15, IF(F37&lt;=250, 20, IF(F37&lt;=500, 30, IF(F37&lt;=1000, 35, F37*0.035)))),
0)))</f>
        <v>0</v>
      </c>
      <c r="H37" s="159">
        <f>IF(I37="مخالفات",50,Basic3456789[[#This Row],[قيمة الرسوم / العموله]]+Basic3456789[[#This Row],[قيمة الشحنه]])</f>
        <v>0</v>
      </c>
      <c r="I37" s="90"/>
      <c r="J37" s="142" t="str">
        <f t="shared" si="0"/>
        <v>24.5.2026</v>
      </c>
      <c r="L37" s="153">
        <v>26</v>
      </c>
      <c r="M37" s="92"/>
    </row>
    <row r="38" spans="1:13" ht="21.6" x14ac:dyDescent="0.65">
      <c r="A38" s="195"/>
      <c r="B38" s="140">
        <v>35</v>
      </c>
      <c r="C38" s="2"/>
      <c r="D38" s="1"/>
      <c r="E38" s="3"/>
      <c r="F38" s="1"/>
      <c r="G38" s="141">
        <f>IF(Basic3456789[[#This Row],[نوع الخدمة]]="مخالفات", 50,
IF(Basic3456789[[#This Row],[نوع الخدمة]]="كاش ان",
    IF(F38&lt;=100, 18, IF(F38&lt;=250, 23, IF(F38&lt;=500, 35, IF(F38&lt;=1000, 40, F38*0.04)))),
IF(Basic3456789[[#This Row],[نوع الخدمة]]="كاش اوت",
    IF(F38&lt;=100, 15, IF(F38&lt;=250, 20, IF(F38&lt;=500, 30, IF(F38&lt;=1000, 35, F38*0.035)))),
0)))</f>
        <v>0</v>
      </c>
      <c r="H38" s="159">
        <f>IF(I38="مخالفات",50,Basic3456789[[#This Row],[قيمة الرسوم / العموله]]+Basic3456789[[#This Row],[قيمة الشحنه]])</f>
        <v>0</v>
      </c>
      <c r="I38" s="90"/>
      <c r="J38" s="142" t="str">
        <f t="shared" si="0"/>
        <v>24.5.2026</v>
      </c>
      <c r="L38" s="153">
        <v>27</v>
      </c>
      <c r="M38" s="92"/>
    </row>
    <row r="39" spans="1:13" ht="21.6" x14ac:dyDescent="0.65">
      <c r="A39" s="195"/>
      <c r="B39" s="140">
        <v>36</v>
      </c>
      <c r="C39" s="2"/>
      <c r="D39" s="1"/>
      <c r="E39" s="3"/>
      <c r="F39" s="1"/>
      <c r="G39" s="141">
        <f>IF(Basic3456789[[#This Row],[نوع الخدمة]]="مخالفات", 50,
IF(Basic3456789[[#This Row],[نوع الخدمة]]="كاش ان",
    IF(F39&lt;=100, 18, IF(F39&lt;=250, 23, IF(F39&lt;=500, 35, IF(F39&lt;=1000, 40, F39*0.04)))),
IF(Basic3456789[[#This Row],[نوع الخدمة]]="كاش اوت",
    IF(F39&lt;=100, 15, IF(F39&lt;=250, 20, IF(F39&lt;=500, 30, IF(F39&lt;=1000, 35, F39*0.035)))),
0)))</f>
        <v>0</v>
      </c>
      <c r="H39" s="159">
        <f>IF(I39="مخالفات",50,Basic3456789[[#This Row],[قيمة الرسوم / العموله]]+Basic3456789[[#This Row],[قيمة الشحنه]])</f>
        <v>0</v>
      </c>
      <c r="I39" s="90"/>
      <c r="J39" s="142" t="str">
        <f t="shared" si="0"/>
        <v>24.5.2026</v>
      </c>
      <c r="L39" s="153">
        <v>28</v>
      </c>
      <c r="M39" s="92"/>
    </row>
    <row r="40" spans="1:13" ht="21.6" x14ac:dyDescent="0.65">
      <c r="A40" s="195"/>
      <c r="B40" s="140">
        <v>37</v>
      </c>
      <c r="C40" s="2"/>
      <c r="D40" s="1"/>
      <c r="E40" s="3"/>
      <c r="F40" s="1"/>
      <c r="G40" s="141">
        <f>IF(Basic3456789[[#This Row],[نوع الخدمة]]="مخالفات", 50,
IF(Basic3456789[[#This Row],[نوع الخدمة]]="كاش ان",
    IF(F40&lt;=100, 18, IF(F40&lt;=250, 23, IF(F40&lt;=500, 35, IF(F40&lt;=1000, 40, F40*0.04)))),
IF(Basic3456789[[#This Row],[نوع الخدمة]]="كاش اوت",
    IF(F40&lt;=100, 15, IF(F40&lt;=250, 20, IF(F40&lt;=500, 30, IF(F40&lt;=1000, 35, F40*0.035)))),
0)))</f>
        <v>0</v>
      </c>
      <c r="H40" s="159">
        <f>IF(I40="مخالفات",50,Basic3456789[[#This Row],[قيمة الرسوم / العموله]]+Basic3456789[[#This Row],[قيمة الشحنه]])</f>
        <v>0</v>
      </c>
      <c r="I40" s="90"/>
      <c r="J40" s="142" t="str">
        <f t="shared" si="0"/>
        <v>24.5.2026</v>
      </c>
      <c r="L40" s="153">
        <v>29</v>
      </c>
      <c r="M40" s="92"/>
    </row>
    <row r="41" spans="1:13" ht="21.6" x14ac:dyDescent="0.65">
      <c r="A41" s="195"/>
      <c r="B41" s="144">
        <v>38</v>
      </c>
      <c r="C41" s="2"/>
      <c r="D41" s="1"/>
      <c r="E41" s="3"/>
      <c r="F41" s="1"/>
      <c r="G41" s="141">
        <f>IF(Basic3456789[[#This Row],[نوع الخدمة]]="مخالفات", 50,
IF(Basic3456789[[#This Row],[نوع الخدمة]]="كاش ان",
    IF(F41&lt;=100, 18, IF(F41&lt;=250, 23, IF(F41&lt;=500, 35, IF(F41&lt;=1000, 40, F41*0.04)))),
IF(Basic3456789[[#This Row],[نوع الخدمة]]="كاش اوت",
    IF(F41&lt;=100, 15, IF(F41&lt;=250, 20, IF(F41&lt;=500, 30, IF(F41&lt;=1000, 35, F41*0.035)))),
0)))</f>
        <v>0</v>
      </c>
      <c r="H41" s="159">
        <f>IF(I41="مخالفات",50,Basic3456789[[#This Row],[قيمة الرسوم / العموله]]+Basic3456789[[#This Row],[قيمة الشحنه]])</f>
        <v>0</v>
      </c>
      <c r="I41" s="90"/>
      <c r="J41" s="142" t="str">
        <f t="shared" si="0"/>
        <v>24.5.2026</v>
      </c>
      <c r="L41" s="153">
        <v>30</v>
      </c>
      <c r="M41" s="92"/>
    </row>
    <row r="42" spans="1:13" ht="21.6" x14ac:dyDescent="0.65">
      <c r="A42" s="195"/>
      <c r="B42" s="140">
        <v>39</v>
      </c>
      <c r="C42" s="2"/>
      <c r="D42" s="1"/>
      <c r="E42" s="3"/>
      <c r="F42" s="1"/>
      <c r="G42" s="141">
        <f>IF(Basic3456789[[#This Row],[نوع الخدمة]]="مخالفات", 50,
IF(Basic3456789[[#This Row],[نوع الخدمة]]="كاش ان",
    IF(F42&lt;=100, 18, IF(F42&lt;=250, 23, IF(F42&lt;=500, 35, IF(F42&lt;=1000, 40, F42*0.04)))),
IF(Basic3456789[[#This Row],[نوع الخدمة]]="كاش اوت",
    IF(F42&lt;=100, 15, IF(F42&lt;=250, 20, IF(F42&lt;=500, 30, IF(F42&lt;=1000, 35, F42*0.035)))),
0)))</f>
        <v>0</v>
      </c>
      <c r="H42" s="159">
        <f>IF(I42="مخالفات",50,Basic3456789[[#This Row],[قيمة الرسوم / العموله]]+Basic3456789[[#This Row],[قيمة الشحنه]])</f>
        <v>0</v>
      </c>
      <c r="I42" s="90"/>
      <c r="J42" s="142" t="str">
        <f t="shared" si="0"/>
        <v>24.5.2026</v>
      </c>
      <c r="L42" s="153">
        <v>31</v>
      </c>
      <c r="M42" s="92"/>
    </row>
    <row r="43" spans="1:13" ht="21.6" x14ac:dyDescent="0.65">
      <c r="A43" s="195"/>
      <c r="B43" s="140">
        <v>40</v>
      </c>
      <c r="C43" s="2"/>
      <c r="D43" s="1"/>
      <c r="E43" s="3"/>
      <c r="F43" s="1"/>
      <c r="G43" s="141">
        <f>IF(Basic3456789[[#This Row],[نوع الخدمة]]="مخالفات", 50,
IF(Basic3456789[[#This Row],[نوع الخدمة]]="كاش ان",
    IF(F43&lt;=100, 18, IF(F43&lt;=250, 23, IF(F43&lt;=500, 35, IF(F43&lt;=1000, 40, F43*0.04)))),
IF(Basic3456789[[#This Row],[نوع الخدمة]]="كاش اوت",
    IF(F43&lt;=100, 15, IF(F43&lt;=250, 20, IF(F43&lt;=500, 30, IF(F43&lt;=1000, 35, F43*0.035)))),
0)))</f>
        <v>0</v>
      </c>
      <c r="H43" s="159">
        <f>IF(I43="مخالفات",50,Basic3456789[[#This Row],[قيمة الرسوم / العموله]]+Basic3456789[[#This Row],[قيمة الشحنه]])</f>
        <v>0</v>
      </c>
      <c r="I43" s="90"/>
      <c r="J43" s="142" t="str">
        <f t="shared" si="0"/>
        <v>24.5.2026</v>
      </c>
      <c r="L43" s="153">
        <v>32</v>
      </c>
      <c r="M43" s="92"/>
    </row>
    <row r="44" spans="1:13" ht="21.6" x14ac:dyDescent="0.65">
      <c r="A44" s="195"/>
      <c r="B44" s="140">
        <v>41</v>
      </c>
      <c r="C44" s="2"/>
      <c r="D44" s="1"/>
      <c r="E44" s="3"/>
      <c r="F44" s="1"/>
      <c r="G44" s="141">
        <f>IF(Basic3456789[[#This Row],[نوع الخدمة]]="مخالفات", 50,
IF(Basic3456789[[#This Row],[نوع الخدمة]]="كاش ان",
    IF(F44&lt;=100, 18, IF(F44&lt;=250, 23, IF(F44&lt;=500, 35, IF(F44&lt;=1000, 40, F44*0.04)))),
IF(Basic3456789[[#This Row],[نوع الخدمة]]="كاش اوت",
    IF(F44&lt;=100, 15, IF(F44&lt;=250, 20, IF(F44&lt;=500, 30, IF(F44&lt;=1000, 35, F44*0.035)))),
0)))</f>
        <v>0</v>
      </c>
      <c r="H44" s="159">
        <f>IF(I44="مخالفات",50,Basic3456789[[#This Row],[قيمة الرسوم / العموله]]+Basic3456789[[#This Row],[قيمة الشحنه]])</f>
        <v>0</v>
      </c>
      <c r="I44" s="90"/>
      <c r="J44" s="142" t="str">
        <f t="shared" si="0"/>
        <v>24.5.2026</v>
      </c>
      <c r="L44" s="153">
        <v>33</v>
      </c>
      <c r="M44" s="92"/>
    </row>
    <row r="45" spans="1:13" ht="21.6" x14ac:dyDescent="0.65">
      <c r="A45" s="195"/>
      <c r="B45" s="144">
        <v>42</v>
      </c>
      <c r="C45" s="2"/>
      <c r="D45" s="1"/>
      <c r="E45" s="3"/>
      <c r="F45" s="1"/>
      <c r="G45" s="141">
        <f>IF(Basic3456789[[#This Row],[نوع الخدمة]]="مخالفات", 50,
IF(Basic3456789[[#This Row],[نوع الخدمة]]="كاش ان",
    IF(F45&lt;=100, 18, IF(F45&lt;=250, 23, IF(F45&lt;=500, 35, IF(F45&lt;=1000, 40, F45*0.04)))),
IF(Basic3456789[[#This Row],[نوع الخدمة]]="كاش اوت",
    IF(F45&lt;=100, 15, IF(F45&lt;=250, 20, IF(F45&lt;=500, 30, IF(F45&lt;=1000, 35, F45*0.035)))),
0)))</f>
        <v>0</v>
      </c>
      <c r="H45" s="159">
        <f>IF(I45="مخالفات",50,Basic3456789[[#This Row],[قيمة الرسوم / العموله]]+Basic3456789[[#This Row],[قيمة الشحنه]])</f>
        <v>0</v>
      </c>
      <c r="I45" s="90"/>
      <c r="J45" s="142" t="str">
        <f t="shared" si="0"/>
        <v>24.5.2026</v>
      </c>
      <c r="L45" s="153">
        <v>34</v>
      </c>
      <c r="M45" s="92"/>
    </row>
    <row r="46" spans="1:13" ht="21.6" x14ac:dyDescent="0.65">
      <c r="A46" s="195"/>
      <c r="B46" s="140">
        <v>43</v>
      </c>
      <c r="C46" s="2"/>
      <c r="D46" s="1"/>
      <c r="E46" s="3"/>
      <c r="F46" s="1"/>
      <c r="G46" s="141">
        <f>IF(Basic3456789[[#This Row],[نوع الخدمة]]="مخالفات", 50,
IF(Basic3456789[[#This Row],[نوع الخدمة]]="كاش ان",
    IF(F46&lt;=100, 18, IF(F46&lt;=250, 23, IF(F46&lt;=500, 35, IF(F46&lt;=1000, 40, F46*0.04)))),
IF(Basic3456789[[#This Row],[نوع الخدمة]]="كاش اوت",
    IF(F46&lt;=100, 15, IF(F46&lt;=250, 20, IF(F46&lt;=500, 30, IF(F46&lt;=1000, 35, F46*0.035)))),
0)))</f>
        <v>0</v>
      </c>
      <c r="H46" s="159">
        <f>IF(I46="مخالفات",50,Basic3456789[[#This Row],[قيمة الرسوم / العموله]]+Basic3456789[[#This Row],[قيمة الشحنه]])</f>
        <v>0</v>
      </c>
      <c r="I46" s="90"/>
      <c r="J46" s="142" t="str">
        <f t="shared" si="0"/>
        <v>24.5.2026</v>
      </c>
      <c r="L46" s="153">
        <v>35</v>
      </c>
      <c r="M46" s="92"/>
    </row>
    <row r="47" spans="1:13" ht="21.6" x14ac:dyDescent="0.65">
      <c r="A47" s="195"/>
      <c r="B47" s="140">
        <v>44</v>
      </c>
      <c r="C47" s="2"/>
      <c r="D47" s="1"/>
      <c r="E47" s="3"/>
      <c r="F47" s="1"/>
      <c r="G47" s="141">
        <f>IF(Basic3456789[[#This Row],[نوع الخدمة]]="مخالفات", 50,
IF(Basic3456789[[#This Row],[نوع الخدمة]]="كاش ان",
    IF(F47&lt;=100, 18, IF(F47&lt;=250, 23, IF(F47&lt;=500, 35, IF(F47&lt;=1000, 40, F47*0.04)))),
IF(Basic3456789[[#This Row],[نوع الخدمة]]="كاش اوت",
    IF(F47&lt;=100, 15, IF(F47&lt;=250, 20, IF(F47&lt;=500, 30, IF(F47&lt;=1000, 35, F47*0.035)))),
0)))</f>
        <v>0</v>
      </c>
      <c r="H47" s="159">
        <f>IF(I47="مخالفات",50,Basic3456789[[#This Row],[قيمة الرسوم / العموله]]+Basic3456789[[#This Row],[قيمة الشحنه]])</f>
        <v>0</v>
      </c>
      <c r="I47" s="90"/>
      <c r="J47" s="142" t="str">
        <f t="shared" si="0"/>
        <v>24.5.2026</v>
      </c>
      <c r="L47" s="153">
        <v>36</v>
      </c>
      <c r="M47" s="92"/>
    </row>
    <row r="48" spans="1:13" ht="21.6" x14ac:dyDescent="0.65">
      <c r="A48" s="195"/>
      <c r="B48" s="140">
        <v>45</v>
      </c>
      <c r="C48" s="2"/>
      <c r="D48" s="1"/>
      <c r="E48" s="3"/>
      <c r="F48" s="1"/>
      <c r="G48" s="141">
        <f>IF(Basic3456789[[#This Row],[نوع الخدمة]]="مخالفات", 50,
IF(Basic3456789[[#This Row],[نوع الخدمة]]="كاش ان",
    IF(F48&lt;=100, 18, IF(F48&lt;=250, 23, IF(F48&lt;=500, 35, IF(F48&lt;=1000, 40, F48*0.04)))),
IF(Basic3456789[[#This Row],[نوع الخدمة]]="كاش اوت",
    IF(F48&lt;=100, 15, IF(F48&lt;=250, 20, IF(F48&lt;=500, 30, IF(F48&lt;=1000, 35, F48*0.035)))),
0)))</f>
        <v>0</v>
      </c>
      <c r="H48" s="159">
        <f>IF(I48="مخالفات",50,Basic3456789[[#This Row],[قيمة الرسوم / العموله]]+Basic3456789[[#This Row],[قيمة الشحنه]])</f>
        <v>0</v>
      </c>
      <c r="I48" s="90"/>
      <c r="J48" s="142" t="str">
        <f t="shared" si="0"/>
        <v>24.5.2026</v>
      </c>
      <c r="L48" s="153">
        <v>37</v>
      </c>
      <c r="M48" s="92"/>
    </row>
    <row r="49" spans="1:13" ht="21.6" x14ac:dyDescent="0.65">
      <c r="A49" s="195"/>
      <c r="B49" s="144">
        <v>46</v>
      </c>
      <c r="C49" s="2"/>
      <c r="D49" s="1"/>
      <c r="E49" s="3"/>
      <c r="F49" s="1"/>
      <c r="G49" s="141">
        <f>IF(Basic3456789[[#This Row],[نوع الخدمة]]="مخالفات", 50,
IF(Basic3456789[[#This Row],[نوع الخدمة]]="كاش ان",
    IF(F49&lt;=100, 18, IF(F49&lt;=250, 23, IF(F49&lt;=500, 35, IF(F49&lt;=1000, 40, F49*0.04)))),
IF(Basic3456789[[#This Row],[نوع الخدمة]]="كاش اوت",
    IF(F49&lt;=100, 15, IF(F49&lt;=250, 20, IF(F49&lt;=500, 30, IF(F49&lt;=1000, 35, F49*0.035)))),
0)))</f>
        <v>0</v>
      </c>
      <c r="H49" s="159">
        <f>IF(I49="مخالفات",50,Basic3456789[[#This Row],[قيمة الرسوم / العموله]]+Basic3456789[[#This Row],[قيمة الشحنه]])</f>
        <v>0</v>
      </c>
      <c r="I49" s="90"/>
      <c r="J49" s="142" t="str">
        <f t="shared" si="0"/>
        <v>24.5.2026</v>
      </c>
      <c r="L49" s="153">
        <v>38</v>
      </c>
      <c r="M49" s="92"/>
    </row>
    <row r="50" spans="1:13" ht="21.6" x14ac:dyDescent="0.65">
      <c r="A50" s="195"/>
      <c r="B50" s="140">
        <v>47</v>
      </c>
      <c r="C50" s="2"/>
      <c r="D50" s="1"/>
      <c r="E50" s="3"/>
      <c r="F50" s="1"/>
      <c r="G50" s="141">
        <f>IF(Basic3456789[[#This Row],[نوع الخدمة]]="مخالفات", 50,
IF(Basic3456789[[#This Row],[نوع الخدمة]]="كاش ان",
    IF(F50&lt;=100, 18, IF(F50&lt;=250, 23, IF(F50&lt;=500, 35, IF(F50&lt;=1000, 40, F50*0.04)))),
IF(Basic3456789[[#This Row],[نوع الخدمة]]="كاش اوت",
    IF(F50&lt;=100, 15, IF(F50&lt;=250, 20, IF(F50&lt;=500, 30, IF(F50&lt;=1000, 35, F50*0.035)))),
0)))</f>
        <v>0</v>
      </c>
      <c r="H50" s="159">
        <f>IF(I50="مخالفات",50,Basic3456789[[#This Row],[قيمة الرسوم / العموله]]+Basic3456789[[#This Row],[قيمة الشحنه]])</f>
        <v>0</v>
      </c>
      <c r="I50" s="90"/>
      <c r="J50" s="142" t="str">
        <f t="shared" si="0"/>
        <v>24.5.2026</v>
      </c>
      <c r="L50" s="153">
        <v>39</v>
      </c>
      <c r="M50" s="92"/>
    </row>
    <row r="51" spans="1:13" ht="21.6" x14ac:dyDescent="0.65">
      <c r="A51" s="195"/>
      <c r="B51" s="140">
        <v>48</v>
      </c>
      <c r="C51" s="2"/>
      <c r="D51" s="1"/>
      <c r="E51" s="3"/>
      <c r="F51" s="1"/>
      <c r="G51" s="141">
        <f>IF(Basic3456789[[#This Row],[نوع الخدمة]]="مخالفات", 50,
IF(Basic3456789[[#This Row],[نوع الخدمة]]="كاش ان",
    IF(F51&lt;=100, 18, IF(F51&lt;=250, 23, IF(F51&lt;=500, 35, IF(F51&lt;=1000, 40, F51*0.04)))),
IF(Basic3456789[[#This Row],[نوع الخدمة]]="كاش اوت",
    IF(F51&lt;=100, 15, IF(F51&lt;=250, 20, IF(F51&lt;=500, 30, IF(F51&lt;=1000, 35, F51*0.035)))),
0)))</f>
        <v>0</v>
      </c>
      <c r="H51" s="159">
        <f>IF(I51="مخالفات",50,Basic3456789[[#This Row],[قيمة الرسوم / العموله]]+Basic3456789[[#This Row],[قيمة الشحنه]])</f>
        <v>0</v>
      </c>
      <c r="I51" s="90"/>
      <c r="J51" s="142" t="str">
        <f t="shared" si="0"/>
        <v>24.5.2026</v>
      </c>
      <c r="L51" s="153">
        <v>40</v>
      </c>
      <c r="M51" s="92"/>
    </row>
    <row r="52" spans="1:13" ht="21.6" x14ac:dyDescent="0.65">
      <c r="A52" s="195"/>
      <c r="B52" s="140">
        <v>49</v>
      </c>
      <c r="C52" s="2"/>
      <c r="D52" s="1"/>
      <c r="E52" s="3"/>
      <c r="F52" s="1"/>
      <c r="G52" s="141">
        <f>IF(Basic3456789[[#This Row],[نوع الخدمة]]="مخالفات", 50,
IF(Basic3456789[[#This Row],[نوع الخدمة]]="كاش ان",
    IF(F52&lt;=100, 18, IF(F52&lt;=250, 23, IF(F52&lt;=500, 35, IF(F52&lt;=1000, 40, F52*0.04)))),
IF(Basic3456789[[#This Row],[نوع الخدمة]]="كاش اوت",
    IF(F52&lt;=100, 15, IF(F52&lt;=250, 20, IF(F52&lt;=500, 30, IF(F52&lt;=1000, 35, F52*0.035)))),
0)))</f>
        <v>0</v>
      </c>
      <c r="H52" s="159">
        <f>IF(I52="مخالفات",50,Basic3456789[[#This Row],[قيمة الرسوم / العموله]]+Basic3456789[[#This Row],[قيمة الشحنه]])</f>
        <v>0</v>
      </c>
      <c r="I52" s="90"/>
      <c r="J52" s="142" t="str">
        <f t="shared" si="0"/>
        <v>24.5.2026</v>
      </c>
      <c r="L52" s="153">
        <v>41</v>
      </c>
      <c r="M52" s="92"/>
    </row>
    <row r="53" spans="1:13" ht="21.6" x14ac:dyDescent="0.65">
      <c r="A53" s="195"/>
      <c r="B53" s="144">
        <v>50</v>
      </c>
      <c r="C53" s="2"/>
      <c r="D53" s="1"/>
      <c r="E53" s="3"/>
      <c r="F53" s="1"/>
      <c r="G53" s="141">
        <f>IF(Basic3456789[[#This Row],[نوع الخدمة]]="مخالفات", 50,
IF(Basic3456789[[#This Row],[نوع الخدمة]]="كاش ان",
    IF(F53&lt;=100, 18, IF(F53&lt;=250, 23, IF(F53&lt;=500, 35, IF(F53&lt;=1000, 40, F53*0.04)))),
IF(Basic3456789[[#This Row],[نوع الخدمة]]="كاش اوت",
    IF(F53&lt;=100, 15, IF(F53&lt;=250, 20, IF(F53&lt;=500, 30, IF(F53&lt;=1000, 35, F53*0.035)))),
0)))</f>
        <v>0</v>
      </c>
      <c r="H53" s="159">
        <f>IF(I53="مخالفات",50,Basic3456789[[#This Row],[قيمة الرسوم / العموله]]+Basic3456789[[#This Row],[قيمة الشحنه]])</f>
        <v>0</v>
      </c>
      <c r="I53" s="90"/>
      <c r="J53" s="142" t="str">
        <f t="shared" si="0"/>
        <v>24.5.2026</v>
      </c>
      <c r="L53" s="153">
        <v>42</v>
      </c>
      <c r="M53" s="92"/>
    </row>
    <row r="54" spans="1:13" ht="21.6" x14ac:dyDescent="0.65">
      <c r="A54" s="195"/>
      <c r="B54" s="140">
        <v>51</v>
      </c>
      <c r="C54" s="2"/>
      <c r="D54" s="1"/>
      <c r="E54" s="3"/>
      <c r="F54" s="1"/>
      <c r="G54" s="141">
        <f>IF(Basic3456789[[#This Row],[نوع الخدمة]]="مخالفات", 50,
IF(Basic3456789[[#This Row],[نوع الخدمة]]="كاش ان",
    IF(F54&lt;=100, 18, IF(F54&lt;=250, 23, IF(F54&lt;=500, 35, IF(F54&lt;=1000, 40, F54*0.04)))),
IF(Basic3456789[[#This Row],[نوع الخدمة]]="كاش اوت",
    IF(F54&lt;=100, 15, IF(F54&lt;=250, 20, IF(F54&lt;=500, 30, IF(F54&lt;=1000, 35, F54*0.035)))),
0)))</f>
        <v>0</v>
      </c>
      <c r="H54" s="159">
        <f>IF(I54="مخالفات",50,Basic3456789[[#This Row],[قيمة الرسوم / العموله]]+Basic3456789[[#This Row],[قيمة الشحنه]])</f>
        <v>0</v>
      </c>
      <c r="I54" s="90"/>
      <c r="J54" s="142" t="str">
        <f t="shared" si="0"/>
        <v>24.5.2026</v>
      </c>
      <c r="L54" s="153">
        <v>43</v>
      </c>
      <c r="M54" s="92"/>
    </row>
    <row r="55" spans="1:13" ht="21.6" x14ac:dyDescent="0.65">
      <c r="A55" s="195"/>
      <c r="B55" s="140">
        <v>52</v>
      </c>
      <c r="C55" s="2"/>
      <c r="D55" s="1"/>
      <c r="E55" s="3"/>
      <c r="F55" s="1"/>
      <c r="G55" s="141">
        <f>IF(Basic3456789[[#This Row],[نوع الخدمة]]="مخالفات", 50,
IF(Basic3456789[[#This Row],[نوع الخدمة]]="كاش ان",
    IF(F55&lt;=100, 18, IF(F55&lt;=250, 23, IF(F55&lt;=500, 35, IF(F55&lt;=1000, 40, F55*0.04)))),
IF(Basic3456789[[#This Row],[نوع الخدمة]]="كاش اوت",
    IF(F55&lt;=100, 15, IF(F55&lt;=250, 20, IF(F55&lt;=500, 30, IF(F55&lt;=1000, 35, F55*0.035)))),
0)))</f>
        <v>0</v>
      </c>
      <c r="H55" s="159">
        <f>IF(I55="مخالفات",50,Basic3456789[[#This Row],[قيمة الرسوم / العموله]]+Basic3456789[[#This Row],[قيمة الشحنه]])</f>
        <v>0</v>
      </c>
      <c r="I55" s="90"/>
      <c r="J55" s="142" t="str">
        <f t="shared" si="0"/>
        <v>24.5.2026</v>
      </c>
      <c r="L55" s="153">
        <v>44</v>
      </c>
      <c r="M55" s="92"/>
    </row>
    <row r="56" spans="1:13" ht="21.6" x14ac:dyDescent="0.65">
      <c r="A56" s="195"/>
      <c r="B56" s="140">
        <v>53</v>
      </c>
      <c r="C56" s="2"/>
      <c r="D56" s="1"/>
      <c r="E56" s="3"/>
      <c r="F56" s="1"/>
      <c r="G56" s="141">
        <f>IF(Basic3456789[[#This Row],[نوع الخدمة]]="مخالفات", 50,
IF(Basic3456789[[#This Row],[نوع الخدمة]]="كاش ان",
    IF(F56&lt;=100, 18, IF(F56&lt;=250, 23, IF(F56&lt;=500, 35, IF(F56&lt;=1000, 40, F56*0.04)))),
IF(Basic3456789[[#This Row],[نوع الخدمة]]="كاش اوت",
    IF(F56&lt;=100, 15, IF(F56&lt;=250, 20, IF(F56&lt;=500, 30, IF(F56&lt;=1000, 35, F56*0.035)))),
0)))</f>
        <v>0</v>
      </c>
      <c r="H56" s="159">
        <f>IF(I56="مخالفات",50,Basic3456789[[#This Row],[قيمة الرسوم / العموله]]+Basic3456789[[#This Row],[قيمة الشحنه]])</f>
        <v>0</v>
      </c>
      <c r="I56" s="90"/>
      <c r="J56" s="142" t="str">
        <f t="shared" si="0"/>
        <v>24.5.2026</v>
      </c>
      <c r="L56" s="153">
        <v>45</v>
      </c>
      <c r="M56" s="92"/>
    </row>
    <row r="57" spans="1:13" ht="21.6" x14ac:dyDescent="0.65">
      <c r="A57" s="195"/>
      <c r="B57" s="144">
        <v>54</v>
      </c>
      <c r="C57" s="2"/>
      <c r="D57" s="1"/>
      <c r="E57" s="3"/>
      <c r="F57" s="1"/>
      <c r="G57" s="141">
        <f>IF(Basic3456789[[#This Row],[نوع الخدمة]]="مخالفات", 50,
IF(Basic3456789[[#This Row],[نوع الخدمة]]="كاش ان",
    IF(F57&lt;=100, 18, IF(F57&lt;=250, 23, IF(F57&lt;=500, 35, IF(F57&lt;=1000, 40, F57*0.04)))),
IF(Basic3456789[[#This Row],[نوع الخدمة]]="كاش اوت",
    IF(F57&lt;=100, 15, IF(F57&lt;=250, 20, IF(F57&lt;=500, 30, IF(F57&lt;=1000, 35, F57*0.035)))),
0)))</f>
        <v>0</v>
      </c>
      <c r="H57" s="159">
        <f>IF(I57="مخالفات",50,Basic3456789[[#This Row],[قيمة الرسوم / العموله]]+Basic3456789[[#This Row],[قيمة الشحنه]])</f>
        <v>0</v>
      </c>
      <c r="I57" s="90"/>
      <c r="J57" s="142" t="str">
        <f t="shared" si="0"/>
        <v>24.5.2026</v>
      </c>
      <c r="L57" s="153">
        <v>46</v>
      </c>
      <c r="M57" s="92"/>
    </row>
    <row r="58" spans="1:13" ht="21.6" x14ac:dyDescent="0.65">
      <c r="A58" s="195"/>
      <c r="B58" s="140">
        <v>55</v>
      </c>
      <c r="C58" s="2"/>
      <c r="D58" s="1"/>
      <c r="E58" s="3"/>
      <c r="F58" s="1"/>
      <c r="G58" s="141">
        <f>IF(Basic3456789[[#This Row],[نوع الخدمة]]="مخالفات", 50,
IF(Basic3456789[[#This Row],[نوع الخدمة]]="كاش ان",
    IF(F58&lt;=100, 18, IF(F58&lt;=250, 23, IF(F58&lt;=500, 35, IF(F58&lt;=1000, 40, F58*0.04)))),
IF(Basic3456789[[#This Row],[نوع الخدمة]]="كاش اوت",
    IF(F58&lt;=100, 15, IF(F58&lt;=250, 20, IF(F58&lt;=500, 30, IF(F58&lt;=1000, 35, F58*0.035)))),
0)))</f>
        <v>0</v>
      </c>
      <c r="H58" s="159">
        <f>IF(I58="مخالفات",50,Basic3456789[[#This Row],[قيمة الرسوم / العموله]]+Basic3456789[[#This Row],[قيمة الشحنه]])</f>
        <v>0</v>
      </c>
      <c r="I58" s="90"/>
      <c r="J58" s="142" t="str">
        <f t="shared" si="0"/>
        <v>24.5.2026</v>
      </c>
      <c r="L58" s="153">
        <v>47</v>
      </c>
      <c r="M58" s="92"/>
    </row>
    <row r="59" spans="1:13" ht="21.6" x14ac:dyDescent="0.65">
      <c r="A59" s="195"/>
      <c r="B59" s="140">
        <v>56</v>
      </c>
      <c r="C59" s="2"/>
      <c r="D59" s="1"/>
      <c r="E59" s="3"/>
      <c r="F59" s="1"/>
      <c r="G59" s="141">
        <f>IF(Basic3456789[[#This Row],[نوع الخدمة]]="مخالفات", 50,
IF(Basic3456789[[#This Row],[نوع الخدمة]]="كاش ان",
    IF(F59&lt;=100, 18, IF(F59&lt;=250, 23, IF(F59&lt;=500, 35, IF(F59&lt;=1000, 40, F59*0.04)))),
IF(Basic3456789[[#This Row],[نوع الخدمة]]="كاش اوت",
    IF(F59&lt;=100, 15, IF(F59&lt;=250, 20, IF(F59&lt;=500, 30, IF(F59&lt;=1000, 35, F59*0.035)))),
0)))</f>
        <v>0</v>
      </c>
      <c r="H59" s="159">
        <f>IF(I59="مخالفات",50,Basic3456789[[#This Row],[قيمة الرسوم / العموله]]+Basic3456789[[#This Row],[قيمة الشحنه]])</f>
        <v>0</v>
      </c>
      <c r="I59" s="90"/>
      <c r="J59" s="142" t="str">
        <f t="shared" si="0"/>
        <v>24.5.2026</v>
      </c>
      <c r="L59" s="153">
        <v>48</v>
      </c>
      <c r="M59" s="92"/>
    </row>
    <row r="60" spans="1:13" ht="21.6" x14ac:dyDescent="0.65">
      <c r="A60" s="195"/>
      <c r="B60" s="140">
        <v>57</v>
      </c>
      <c r="C60" s="2"/>
      <c r="D60" s="1"/>
      <c r="E60" s="3"/>
      <c r="F60" s="1"/>
      <c r="G60" s="141">
        <f>IF(Basic3456789[[#This Row],[نوع الخدمة]]="مخالفات", 50,
IF(Basic3456789[[#This Row],[نوع الخدمة]]="كاش ان",
    IF(F60&lt;=100, 18, IF(F60&lt;=250, 23, IF(F60&lt;=500, 35, IF(F60&lt;=1000, 40, F60*0.04)))),
IF(Basic3456789[[#This Row],[نوع الخدمة]]="كاش اوت",
    IF(F60&lt;=100, 15, IF(F60&lt;=250, 20, IF(F60&lt;=500, 30, IF(F60&lt;=1000, 35, F60*0.035)))),
0)))</f>
        <v>0</v>
      </c>
      <c r="H60" s="159">
        <f>IF(I60="مخالفات",50,Basic3456789[[#This Row],[قيمة الرسوم / العموله]]+Basic3456789[[#This Row],[قيمة الشحنه]])</f>
        <v>0</v>
      </c>
      <c r="I60" s="90"/>
      <c r="J60" s="142" t="str">
        <f t="shared" si="0"/>
        <v>24.5.2026</v>
      </c>
      <c r="L60" s="153">
        <v>49</v>
      </c>
      <c r="M60" s="92"/>
    </row>
    <row r="61" spans="1:13" ht="21.6" x14ac:dyDescent="0.65">
      <c r="A61" s="195"/>
      <c r="B61" s="144">
        <v>58</v>
      </c>
      <c r="C61" s="2"/>
      <c r="D61" s="1"/>
      <c r="E61" s="3"/>
      <c r="F61" s="1"/>
      <c r="G61" s="141">
        <f>IF(Basic3456789[[#This Row],[نوع الخدمة]]="مخالفات", 50,
IF(Basic3456789[[#This Row],[نوع الخدمة]]="كاش ان",
    IF(F61&lt;=100, 18, IF(F61&lt;=250, 23, IF(F61&lt;=500, 35, IF(F61&lt;=1000, 40, F61*0.04)))),
IF(Basic3456789[[#This Row],[نوع الخدمة]]="كاش اوت",
    IF(F61&lt;=100, 15, IF(F61&lt;=250, 20, IF(F61&lt;=500, 30, IF(F61&lt;=1000, 35, F61*0.035)))),
0)))</f>
        <v>0</v>
      </c>
      <c r="H61" s="159">
        <f>IF(I61="مخالفات",50,Basic3456789[[#This Row],[قيمة الرسوم / العموله]]+Basic3456789[[#This Row],[قيمة الشحنه]])</f>
        <v>0</v>
      </c>
      <c r="I61" s="90"/>
      <c r="J61" s="142" t="str">
        <f t="shared" si="0"/>
        <v>24.5.2026</v>
      </c>
      <c r="L61" s="153">
        <v>50</v>
      </c>
      <c r="M61" s="92"/>
    </row>
    <row r="62" spans="1:13" ht="21.6" x14ac:dyDescent="0.65">
      <c r="A62" s="195"/>
      <c r="B62" s="140">
        <v>59</v>
      </c>
      <c r="C62" s="2"/>
      <c r="D62" s="1"/>
      <c r="E62" s="3"/>
      <c r="F62" s="1"/>
      <c r="G62" s="141">
        <f>IF(Basic3456789[[#This Row],[نوع الخدمة]]="مخالفات", 50,
IF(Basic3456789[[#This Row],[نوع الخدمة]]="كاش ان",
    IF(F62&lt;=100, 18, IF(F62&lt;=250, 23, IF(F62&lt;=500, 35, IF(F62&lt;=1000, 40, F62*0.04)))),
IF(Basic3456789[[#This Row],[نوع الخدمة]]="كاش اوت",
    IF(F62&lt;=100, 15, IF(F62&lt;=250, 20, IF(F62&lt;=500, 30, IF(F62&lt;=1000, 35, F62*0.035)))),
0)))</f>
        <v>0</v>
      </c>
      <c r="H62" s="159">
        <f>IF(I62="مخالفات",50,Basic3456789[[#This Row],[قيمة الرسوم / العموله]]+Basic3456789[[#This Row],[قيمة الشحنه]])</f>
        <v>0</v>
      </c>
      <c r="I62" s="90"/>
      <c r="J62" s="142" t="str">
        <f t="shared" si="0"/>
        <v>24.5.2026</v>
      </c>
      <c r="L62" s="153">
        <v>51</v>
      </c>
      <c r="M62" s="92"/>
    </row>
    <row r="63" spans="1:13" ht="21.6" x14ac:dyDescent="0.65">
      <c r="A63" s="195"/>
      <c r="B63" s="140">
        <v>60</v>
      </c>
      <c r="C63" s="2"/>
      <c r="D63" s="1"/>
      <c r="E63" s="3"/>
      <c r="F63" s="1"/>
      <c r="G63" s="141">
        <f>IF(Basic3456789[[#This Row],[نوع الخدمة]]="مخالفات", 50,
IF(Basic3456789[[#This Row],[نوع الخدمة]]="كاش ان",
    IF(F63&lt;=100, 18, IF(F63&lt;=250, 23, IF(F63&lt;=500, 35, IF(F63&lt;=1000, 40, F63*0.04)))),
IF(Basic3456789[[#This Row],[نوع الخدمة]]="كاش اوت",
    IF(F63&lt;=100, 15, IF(F63&lt;=250, 20, IF(F63&lt;=500, 30, IF(F63&lt;=1000, 35, F63*0.035)))),
0)))</f>
        <v>0</v>
      </c>
      <c r="H63" s="159">
        <f>IF(I63="مخالفات",50,Basic3456789[[#This Row],[قيمة الرسوم / العموله]]+Basic3456789[[#This Row],[قيمة الشحنه]])</f>
        <v>0</v>
      </c>
      <c r="I63" s="90"/>
      <c r="J63" s="142" t="str">
        <f t="shared" si="0"/>
        <v>24.5.2026</v>
      </c>
      <c r="L63" s="153">
        <v>52</v>
      </c>
      <c r="M63" s="92"/>
    </row>
    <row r="64" spans="1:13" ht="21.6" x14ac:dyDescent="0.65">
      <c r="A64" s="195"/>
      <c r="B64" s="140">
        <v>61</v>
      </c>
      <c r="C64" s="2"/>
      <c r="D64" s="1"/>
      <c r="E64" s="3"/>
      <c r="F64" s="1"/>
      <c r="G64" s="141">
        <f>IF(Basic3456789[[#This Row],[نوع الخدمة]]="مخالفات", 50,
IF(Basic3456789[[#This Row],[نوع الخدمة]]="كاش ان",
    IF(F64&lt;=100, 18, IF(F64&lt;=250, 23, IF(F64&lt;=500, 35, IF(F64&lt;=1000, 40, F64*0.04)))),
IF(Basic3456789[[#This Row],[نوع الخدمة]]="كاش اوت",
    IF(F64&lt;=100, 15, IF(F64&lt;=250, 20, IF(F64&lt;=500, 30, IF(F64&lt;=1000, 35, F64*0.035)))),
0)))</f>
        <v>0</v>
      </c>
      <c r="H64" s="159">
        <f>IF(I64="مخالفات",50,Basic3456789[[#This Row],[قيمة الرسوم / العموله]]+Basic3456789[[#This Row],[قيمة الشحنه]])</f>
        <v>0</v>
      </c>
      <c r="I64" s="90"/>
      <c r="J64" s="142" t="str">
        <f t="shared" si="0"/>
        <v>24.5.2026</v>
      </c>
      <c r="L64" s="153">
        <v>53</v>
      </c>
      <c r="M64" s="92"/>
    </row>
    <row r="65" spans="1:13" ht="21.6" x14ac:dyDescent="0.65">
      <c r="A65" s="195"/>
      <c r="B65" s="144">
        <v>62</v>
      </c>
      <c r="C65" s="2"/>
      <c r="D65" s="1"/>
      <c r="E65" s="3"/>
      <c r="F65" s="1"/>
      <c r="G65" s="141">
        <f>IF(Basic3456789[[#This Row],[نوع الخدمة]]="مخالفات", 50,
IF(Basic3456789[[#This Row],[نوع الخدمة]]="كاش ان",
    IF(F65&lt;=100, 18, IF(F65&lt;=250, 23, IF(F65&lt;=500, 35, IF(F65&lt;=1000, 40, F65*0.04)))),
IF(Basic3456789[[#This Row],[نوع الخدمة]]="كاش اوت",
    IF(F65&lt;=100, 15, IF(F65&lt;=250, 20, IF(F65&lt;=500, 30, IF(F65&lt;=1000, 35, F65*0.035)))),
0)))</f>
        <v>0</v>
      </c>
      <c r="H65" s="159">
        <f>IF(I65="مخالفات",50,Basic3456789[[#This Row],[قيمة الرسوم / العموله]]+Basic3456789[[#This Row],[قيمة الشحنه]])</f>
        <v>0</v>
      </c>
      <c r="I65" s="90"/>
      <c r="J65" s="142" t="str">
        <f t="shared" si="0"/>
        <v>24.5.2026</v>
      </c>
      <c r="L65" s="153">
        <v>54</v>
      </c>
      <c r="M65" s="92"/>
    </row>
    <row r="66" spans="1:13" ht="21.6" x14ac:dyDescent="0.65">
      <c r="A66" s="195"/>
      <c r="B66" s="140">
        <v>63</v>
      </c>
      <c r="C66" s="2"/>
      <c r="D66" s="1"/>
      <c r="E66" s="3"/>
      <c r="F66" s="1"/>
      <c r="G66" s="141">
        <f>IF(Basic3456789[[#This Row],[نوع الخدمة]]="مخالفات", 50,
IF(Basic3456789[[#This Row],[نوع الخدمة]]="كاش ان",
    IF(F66&lt;=100, 18, IF(F66&lt;=250, 23, IF(F66&lt;=500, 35, IF(F66&lt;=1000, 40, F66*0.04)))),
IF(Basic3456789[[#This Row],[نوع الخدمة]]="كاش اوت",
    IF(F66&lt;=100, 15, IF(F66&lt;=250, 20, IF(F66&lt;=500, 30, IF(F66&lt;=1000, 35, F66*0.035)))),
0)))</f>
        <v>0</v>
      </c>
      <c r="H66" s="159">
        <f>IF(I66="مخالفات",50,Basic3456789[[#This Row],[قيمة الرسوم / العموله]]+Basic3456789[[#This Row],[قيمة الشحنه]])</f>
        <v>0</v>
      </c>
      <c r="I66" s="90"/>
      <c r="J66" s="142" t="str">
        <f t="shared" si="0"/>
        <v>24.5.2026</v>
      </c>
      <c r="L66" s="153">
        <v>55</v>
      </c>
      <c r="M66" s="92"/>
    </row>
    <row r="67" spans="1:13" ht="21.6" x14ac:dyDescent="0.65">
      <c r="A67" s="195"/>
      <c r="B67" s="140">
        <v>64</v>
      </c>
      <c r="C67" s="2"/>
      <c r="D67" s="1"/>
      <c r="E67" s="3"/>
      <c r="F67" s="1"/>
      <c r="G67" s="141">
        <f>IF(Basic3456789[[#This Row],[نوع الخدمة]]="مخالفات", 50,
IF(Basic3456789[[#This Row],[نوع الخدمة]]="كاش ان",
    IF(F67&lt;=100, 18, IF(F67&lt;=250, 23, IF(F67&lt;=500, 35, IF(F67&lt;=1000, 40, F67*0.04)))),
IF(Basic3456789[[#This Row],[نوع الخدمة]]="كاش اوت",
    IF(F67&lt;=100, 15, IF(F67&lt;=250, 20, IF(F67&lt;=500, 30, IF(F67&lt;=1000, 35, F67*0.035)))),
0)))</f>
        <v>0</v>
      </c>
      <c r="H67" s="159">
        <f>IF(I67="مخالفات",50,Basic3456789[[#This Row],[قيمة الرسوم / العموله]]+Basic3456789[[#This Row],[قيمة الشحنه]])</f>
        <v>0</v>
      </c>
      <c r="I67" s="90"/>
      <c r="J67" s="142" t="str">
        <f t="shared" si="0"/>
        <v>24.5.2026</v>
      </c>
      <c r="L67" s="153">
        <v>56</v>
      </c>
      <c r="M67" s="92"/>
    </row>
    <row r="68" spans="1:13" ht="21.6" x14ac:dyDescent="0.65">
      <c r="A68" s="195"/>
      <c r="B68" s="140">
        <v>65</v>
      </c>
      <c r="C68" s="2"/>
      <c r="D68" s="1"/>
      <c r="E68" s="3"/>
      <c r="F68" s="1"/>
      <c r="G68" s="141">
        <f>IF(Basic3456789[[#This Row],[نوع الخدمة]]="مخالفات", 50,
IF(Basic3456789[[#This Row],[نوع الخدمة]]="كاش ان",
    IF(F68&lt;=100, 18, IF(F68&lt;=250, 23, IF(F68&lt;=500, 35, IF(F68&lt;=1000, 40, F68*0.04)))),
IF(Basic3456789[[#This Row],[نوع الخدمة]]="كاش اوت",
    IF(F68&lt;=100, 15, IF(F68&lt;=250, 20, IF(F68&lt;=500, 30, IF(F68&lt;=1000, 35, F68*0.035)))),
0)))</f>
        <v>0</v>
      </c>
      <c r="H68" s="159">
        <f>IF(I68="مخالفات",50,Basic3456789[[#This Row],[قيمة الرسوم / العموله]]+Basic3456789[[#This Row],[قيمة الشحنه]])</f>
        <v>0</v>
      </c>
      <c r="I68" s="90"/>
      <c r="J68" s="142" t="str">
        <f t="shared" ref="J68:J131" si="1">M$3</f>
        <v>24.5.2026</v>
      </c>
      <c r="L68" s="153">
        <v>57</v>
      </c>
      <c r="M68" s="92"/>
    </row>
    <row r="69" spans="1:13" ht="21.6" x14ac:dyDescent="0.65">
      <c r="A69" s="195"/>
      <c r="B69" s="144">
        <v>66</v>
      </c>
      <c r="C69" s="2"/>
      <c r="D69" s="1"/>
      <c r="E69" s="3"/>
      <c r="F69" s="1"/>
      <c r="G69" s="141">
        <f>IF(Basic3456789[[#This Row],[نوع الخدمة]]="مخالفات", 50,
IF(Basic3456789[[#This Row],[نوع الخدمة]]="كاش ان",
    IF(F69&lt;=100, 18, IF(F69&lt;=250, 23, IF(F69&lt;=500, 35, IF(F69&lt;=1000, 40, F69*0.04)))),
IF(Basic3456789[[#This Row],[نوع الخدمة]]="كاش اوت",
    IF(F69&lt;=100, 15, IF(F69&lt;=250, 20, IF(F69&lt;=500, 30, IF(F69&lt;=1000, 35, F69*0.035)))),
0)))</f>
        <v>0</v>
      </c>
      <c r="H69" s="159">
        <f>IF(I69="مخالفات",50,Basic3456789[[#This Row],[قيمة الرسوم / العموله]]+Basic3456789[[#This Row],[قيمة الشحنه]])</f>
        <v>0</v>
      </c>
      <c r="I69" s="90"/>
      <c r="J69" s="142" t="str">
        <f t="shared" si="1"/>
        <v>24.5.2026</v>
      </c>
      <c r="L69" s="153">
        <v>58</v>
      </c>
      <c r="M69" s="92"/>
    </row>
    <row r="70" spans="1:13" ht="21.6" x14ac:dyDescent="0.65">
      <c r="A70" s="195"/>
      <c r="B70" s="140">
        <v>67</v>
      </c>
      <c r="C70" s="2"/>
      <c r="D70" s="1"/>
      <c r="E70" s="3"/>
      <c r="F70" s="1"/>
      <c r="G70" s="141">
        <f>IF(Basic3456789[[#This Row],[نوع الخدمة]]="مخالفات", 50,
IF(Basic3456789[[#This Row],[نوع الخدمة]]="كاش ان",
    IF(F70&lt;=100, 18, IF(F70&lt;=250, 23, IF(F70&lt;=500, 35, IF(F70&lt;=1000, 40, F70*0.04)))),
IF(Basic3456789[[#This Row],[نوع الخدمة]]="كاش اوت",
    IF(F70&lt;=100, 15, IF(F70&lt;=250, 20, IF(F70&lt;=500, 30, IF(F70&lt;=1000, 35, F70*0.035)))),
0)))</f>
        <v>0</v>
      </c>
      <c r="H70" s="159">
        <f>IF(I70="مخالفات",50,Basic3456789[[#This Row],[قيمة الرسوم / العموله]]+Basic3456789[[#This Row],[قيمة الشحنه]])</f>
        <v>0</v>
      </c>
      <c r="I70" s="90"/>
      <c r="J70" s="142" t="str">
        <f t="shared" si="1"/>
        <v>24.5.2026</v>
      </c>
      <c r="L70" s="153">
        <v>59</v>
      </c>
      <c r="M70" s="92"/>
    </row>
    <row r="71" spans="1:13" ht="21.6" x14ac:dyDescent="0.65">
      <c r="A71" s="195"/>
      <c r="B71" s="140">
        <v>68</v>
      </c>
      <c r="C71" s="2"/>
      <c r="D71" s="1"/>
      <c r="E71" s="3"/>
      <c r="F71" s="1"/>
      <c r="G71" s="141">
        <f>IF(Basic3456789[[#This Row],[نوع الخدمة]]="مخالفات", 50,
IF(Basic3456789[[#This Row],[نوع الخدمة]]="كاش ان",
    IF(F71&lt;=100, 18, IF(F71&lt;=250, 23, IF(F71&lt;=500, 35, IF(F71&lt;=1000, 40, F71*0.04)))),
IF(Basic3456789[[#This Row],[نوع الخدمة]]="كاش اوت",
    IF(F71&lt;=100, 15, IF(F71&lt;=250, 20, IF(F71&lt;=500, 30, IF(F71&lt;=1000, 35, F71*0.035)))),
0)))</f>
        <v>0</v>
      </c>
      <c r="H71" s="159">
        <f>IF(I71="مخالفات",50,Basic3456789[[#This Row],[قيمة الرسوم / العموله]]+Basic3456789[[#This Row],[قيمة الشحنه]])</f>
        <v>0</v>
      </c>
      <c r="I71" s="90"/>
      <c r="J71" s="142" t="str">
        <f t="shared" si="1"/>
        <v>24.5.2026</v>
      </c>
      <c r="L71" s="153">
        <v>60</v>
      </c>
      <c r="M71" s="92"/>
    </row>
    <row r="72" spans="1:13" ht="21.6" x14ac:dyDescent="0.65">
      <c r="A72" s="195"/>
      <c r="B72" s="140">
        <v>69</v>
      </c>
      <c r="C72" s="2"/>
      <c r="D72" s="1"/>
      <c r="E72" s="3"/>
      <c r="F72" s="1"/>
      <c r="G72" s="141">
        <f>IF(Basic3456789[[#This Row],[نوع الخدمة]]="مخالفات", 50,
IF(Basic3456789[[#This Row],[نوع الخدمة]]="كاش ان",
    IF(F72&lt;=100, 18, IF(F72&lt;=250, 23, IF(F72&lt;=500, 35, IF(F72&lt;=1000, 40, F72*0.04)))),
IF(Basic3456789[[#This Row],[نوع الخدمة]]="كاش اوت",
    IF(F72&lt;=100, 15, IF(F72&lt;=250, 20, IF(F72&lt;=500, 30, IF(F72&lt;=1000, 35, F72*0.035)))),
0)))</f>
        <v>0</v>
      </c>
      <c r="H72" s="159">
        <f>IF(I72="مخالفات",50,Basic3456789[[#This Row],[قيمة الرسوم / العموله]]+Basic3456789[[#This Row],[قيمة الشحنه]])</f>
        <v>0</v>
      </c>
      <c r="I72" s="90"/>
      <c r="J72" s="142" t="str">
        <f t="shared" si="1"/>
        <v>24.5.2026</v>
      </c>
      <c r="L72" s="153">
        <v>61</v>
      </c>
      <c r="M72" s="92"/>
    </row>
    <row r="73" spans="1:13" ht="21.6" x14ac:dyDescent="0.65">
      <c r="A73" s="195"/>
      <c r="B73" s="144">
        <v>70</v>
      </c>
      <c r="C73" s="2"/>
      <c r="D73" s="1"/>
      <c r="E73" s="3"/>
      <c r="F73" s="1"/>
      <c r="G73" s="141">
        <f>IF(Basic3456789[[#This Row],[نوع الخدمة]]="مخالفات", 50,
IF(Basic3456789[[#This Row],[نوع الخدمة]]="كاش ان",
    IF(F73&lt;=100, 18, IF(F73&lt;=250, 23, IF(F73&lt;=500, 35, IF(F73&lt;=1000, 40, F73*0.04)))),
IF(Basic3456789[[#This Row],[نوع الخدمة]]="كاش اوت",
    IF(F73&lt;=100, 15, IF(F73&lt;=250, 20, IF(F73&lt;=500, 30, IF(F73&lt;=1000, 35, F73*0.035)))),
0)))</f>
        <v>0</v>
      </c>
      <c r="H73" s="159">
        <f>IF(I73="مخالفات",50,Basic3456789[[#This Row],[قيمة الرسوم / العموله]]+Basic3456789[[#This Row],[قيمة الشحنه]])</f>
        <v>0</v>
      </c>
      <c r="I73" s="90"/>
      <c r="J73" s="142" t="str">
        <f t="shared" si="1"/>
        <v>24.5.2026</v>
      </c>
      <c r="L73" s="153">
        <v>62</v>
      </c>
      <c r="M73" s="92"/>
    </row>
    <row r="74" spans="1:13" ht="21.6" x14ac:dyDescent="0.65">
      <c r="A74" s="195"/>
      <c r="B74" s="140">
        <v>71</v>
      </c>
      <c r="C74" s="2"/>
      <c r="D74" s="1"/>
      <c r="E74" s="3"/>
      <c r="F74" s="1"/>
      <c r="G74" s="141">
        <f>IF(Basic3456789[[#This Row],[نوع الخدمة]]="مخالفات", 50,
IF(Basic3456789[[#This Row],[نوع الخدمة]]="كاش ان",
    IF(F74&lt;=100, 18, IF(F74&lt;=250, 23, IF(F74&lt;=500, 35, IF(F74&lt;=1000, 40, F74*0.04)))),
IF(Basic3456789[[#This Row],[نوع الخدمة]]="كاش اوت",
    IF(F74&lt;=100, 15, IF(F74&lt;=250, 20, IF(F74&lt;=500, 30, IF(F74&lt;=1000, 35, F74*0.035)))),
0)))</f>
        <v>0</v>
      </c>
      <c r="H74" s="159">
        <f>IF(I74="مخالفات",50,Basic3456789[[#This Row],[قيمة الرسوم / العموله]]+Basic3456789[[#This Row],[قيمة الشحنه]])</f>
        <v>0</v>
      </c>
      <c r="I74" s="90"/>
      <c r="J74" s="142" t="str">
        <f t="shared" si="1"/>
        <v>24.5.2026</v>
      </c>
      <c r="L74" s="153">
        <v>63</v>
      </c>
      <c r="M74" s="92"/>
    </row>
    <row r="75" spans="1:13" ht="21.6" x14ac:dyDescent="0.65">
      <c r="A75" s="195"/>
      <c r="B75" s="140">
        <v>72</v>
      </c>
      <c r="C75" s="2"/>
      <c r="D75" s="1"/>
      <c r="E75" s="3"/>
      <c r="F75" s="1"/>
      <c r="G75" s="141">
        <f>IF(Basic3456789[[#This Row],[نوع الخدمة]]="مخالفات", 50,
IF(Basic3456789[[#This Row],[نوع الخدمة]]="كاش ان",
    IF(F75&lt;=100, 18, IF(F75&lt;=250, 23, IF(F75&lt;=500, 35, IF(F75&lt;=1000, 40, F75*0.04)))),
IF(Basic3456789[[#This Row],[نوع الخدمة]]="كاش اوت",
    IF(F75&lt;=100, 15, IF(F75&lt;=250, 20, IF(F75&lt;=500, 30, IF(F75&lt;=1000, 35, F75*0.035)))),
0)))</f>
        <v>0</v>
      </c>
      <c r="H75" s="159">
        <f>IF(I75="مخالفات",50,Basic3456789[[#This Row],[قيمة الرسوم / العموله]]+Basic3456789[[#This Row],[قيمة الشحنه]])</f>
        <v>0</v>
      </c>
      <c r="I75" s="90"/>
      <c r="J75" s="142" t="str">
        <f t="shared" si="1"/>
        <v>24.5.2026</v>
      </c>
      <c r="L75" s="153">
        <v>64</v>
      </c>
      <c r="M75" s="92"/>
    </row>
    <row r="76" spans="1:13" ht="21.6" x14ac:dyDescent="0.65">
      <c r="A76" s="195"/>
      <c r="B76" s="140">
        <v>73</v>
      </c>
      <c r="C76" s="2"/>
      <c r="D76" s="1"/>
      <c r="E76" s="3"/>
      <c r="F76" s="1"/>
      <c r="G76" s="141">
        <f>IF(Basic3456789[[#This Row],[نوع الخدمة]]="مخالفات", 50,
IF(Basic3456789[[#This Row],[نوع الخدمة]]="كاش ان",
    IF(F76&lt;=100, 18, IF(F76&lt;=250, 23, IF(F76&lt;=500, 35, IF(F76&lt;=1000, 40, F76*0.04)))),
IF(Basic3456789[[#This Row],[نوع الخدمة]]="كاش اوت",
    IF(F76&lt;=100, 15, IF(F76&lt;=250, 20, IF(F76&lt;=500, 30, IF(F76&lt;=1000, 35, F76*0.035)))),
0)))</f>
        <v>0</v>
      </c>
      <c r="H76" s="159">
        <f>IF(I76="مخالفات",50,Basic3456789[[#This Row],[قيمة الرسوم / العموله]]+Basic3456789[[#This Row],[قيمة الشحنه]])</f>
        <v>0</v>
      </c>
      <c r="I76" s="90"/>
      <c r="J76" s="142" t="str">
        <f t="shared" si="1"/>
        <v>24.5.2026</v>
      </c>
      <c r="L76" s="153">
        <v>65</v>
      </c>
      <c r="M76" s="92"/>
    </row>
    <row r="77" spans="1:13" ht="21.6" x14ac:dyDescent="0.65">
      <c r="A77" s="195"/>
      <c r="B77" s="144">
        <v>74</v>
      </c>
      <c r="C77" s="2"/>
      <c r="D77" s="1"/>
      <c r="E77" s="3"/>
      <c r="F77" s="1"/>
      <c r="G77" s="141">
        <f>IF(Basic3456789[[#This Row],[نوع الخدمة]]="مخالفات", 50,
IF(Basic3456789[[#This Row],[نوع الخدمة]]="كاش ان",
    IF(F77&lt;=100, 18, IF(F77&lt;=250, 23, IF(F77&lt;=500, 35, IF(F77&lt;=1000, 40, F77*0.04)))),
IF(Basic3456789[[#This Row],[نوع الخدمة]]="كاش اوت",
    IF(F77&lt;=100, 15, IF(F77&lt;=250, 20, IF(F77&lt;=500, 30, IF(F77&lt;=1000, 35, F77*0.035)))),
0)))</f>
        <v>0</v>
      </c>
      <c r="H77" s="159">
        <f>IF(I77="مخالفات",50,Basic3456789[[#This Row],[قيمة الرسوم / العموله]]+Basic3456789[[#This Row],[قيمة الشحنه]])</f>
        <v>0</v>
      </c>
      <c r="I77" s="90"/>
      <c r="J77" s="142" t="str">
        <f t="shared" si="1"/>
        <v>24.5.2026</v>
      </c>
      <c r="L77" s="153">
        <v>66</v>
      </c>
      <c r="M77" s="92"/>
    </row>
    <row r="78" spans="1:13" ht="21.6" x14ac:dyDescent="0.65">
      <c r="A78" s="195"/>
      <c r="B78" s="140">
        <v>75</v>
      </c>
      <c r="C78" s="2"/>
      <c r="D78" s="1"/>
      <c r="E78" s="3"/>
      <c r="F78" s="1"/>
      <c r="G78" s="141">
        <f>IF(Basic3456789[[#This Row],[نوع الخدمة]]="مخالفات", 50,
IF(Basic3456789[[#This Row],[نوع الخدمة]]="كاش ان",
    IF(F78&lt;=100, 18, IF(F78&lt;=250, 23, IF(F78&lt;=500, 35, IF(F78&lt;=1000, 40, F78*0.04)))),
IF(Basic3456789[[#This Row],[نوع الخدمة]]="كاش اوت",
    IF(F78&lt;=100, 15, IF(F78&lt;=250, 20, IF(F78&lt;=500, 30, IF(F78&lt;=1000, 35, F78*0.035)))),
0)))</f>
        <v>0</v>
      </c>
      <c r="H78" s="159">
        <f>IF(I78="مخالفات",50,Basic3456789[[#This Row],[قيمة الرسوم / العموله]]+Basic3456789[[#This Row],[قيمة الشحنه]])</f>
        <v>0</v>
      </c>
      <c r="I78" s="90"/>
      <c r="J78" s="142" t="str">
        <f t="shared" si="1"/>
        <v>24.5.2026</v>
      </c>
      <c r="L78" s="153">
        <v>67</v>
      </c>
      <c r="M78" s="92"/>
    </row>
    <row r="79" spans="1:13" ht="21.6" x14ac:dyDescent="0.65">
      <c r="A79" s="195"/>
      <c r="B79" s="140">
        <v>76</v>
      </c>
      <c r="C79" s="2"/>
      <c r="D79" s="1"/>
      <c r="E79" s="3"/>
      <c r="F79" s="1"/>
      <c r="G79" s="141">
        <f>IF(Basic3456789[[#This Row],[نوع الخدمة]]="مخالفات", 50,
IF(Basic3456789[[#This Row],[نوع الخدمة]]="كاش ان",
    IF(F79&lt;=100, 18, IF(F79&lt;=250, 23, IF(F79&lt;=500, 35, IF(F79&lt;=1000, 40, F79*0.04)))),
IF(Basic3456789[[#This Row],[نوع الخدمة]]="كاش اوت",
    IF(F79&lt;=100, 15, IF(F79&lt;=250, 20, IF(F79&lt;=500, 30, IF(F79&lt;=1000, 35, F79*0.035)))),
0)))</f>
        <v>0</v>
      </c>
      <c r="H79" s="159">
        <f>IF(I79="مخالفات",50,Basic3456789[[#This Row],[قيمة الرسوم / العموله]]+Basic3456789[[#This Row],[قيمة الشحنه]])</f>
        <v>0</v>
      </c>
      <c r="I79" s="90"/>
      <c r="J79" s="142" t="str">
        <f t="shared" si="1"/>
        <v>24.5.2026</v>
      </c>
      <c r="L79" s="153">
        <v>68</v>
      </c>
      <c r="M79" s="92"/>
    </row>
    <row r="80" spans="1:13" ht="21.6" x14ac:dyDescent="0.65">
      <c r="A80" s="195"/>
      <c r="B80" s="140">
        <v>77</v>
      </c>
      <c r="C80" s="2"/>
      <c r="D80" s="1"/>
      <c r="E80" s="3"/>
      <c r="F80" s="1"/>
      <c r="G80" s="141">
        <f>IF(Basic3456789[[#This Row],[نوع الخدمة]]="مخالفات", 50,
IF(Basic3456789[[#This Row],[نوع الخدمة]]="كاش ان",
    IF(F80&lt;=100, 18, IF(F80&lt;=250, 23, IF(F80&lt;=500, 35, IF(F80&lt;=1000, 40, F80*0.04)))),
IF(Basic3456789[[#This Row],[نوع الخدمة]]="كاش اوت",
    IF(F80&lt;=100, 15, IF(F80&lt;=250, 20, IF(F80&lt;=500, 30, IF(F80&lt;=1000, 35, F80*0.035)))),
0)))</f>
        <v>0</v>
      </c>
      <c r="H80" s="159">
        <f>IF(I80="مخالفات",50,Basic3456789[[#This Row],[قيمة الرسوم / العموله]]+Basic3456789[[#This Row],[قيمة الشحنه]])</f>
        <v>0</v>
      </c>
      <c r="I80" s="90"/>
      <c r="J80" s="142" t="str">
        <f t="shared" si="1"/>
        <v>24.5.2026</v>
      </c>
      <c r="L80" s="153">
        <v>69</v>
      </c>
      <c r="M80" s="92"/>
    </row>
    <row r="81" spans="1:13" ht="21.6" x14ac:dyDescent="0.65">
      <c r="A81" s="195"/>
      <c r="B81" s="144">
        <v>78</v>
      </c>
      <c r="C81" s="2"/>
      <c r="D81" s="1"/>
      <c r="E81" s="3"/>
      <c r="F81" s="1"/>
      <c r="G81" s="141">
        <f>IF(Basic3456789[[#This Row],[نوع الخدمة]]="مخالفات", 50,
IF(Basic3456789[[#This Row],[نوع الخدمة]]="كاش ان",
    IF(F81&lt;=100, 18, IF(F81&lt;=250, 23, IF(F81&lt;=500, 35, IF(F81&lt;=1000, 40, F81*0.04)))),
IF(Basic3456789[[#This Row],[نوع الخدمة]]="كاش اوت",
    IF(F81&lt;=100, 15, IF(F81&lt;=250, 20, IF(F81&lt;=500, 30, IF(F81&lt;=1000, 35, F81*0.035)))),
0)))</f>
        <v>0</v>
      </c>
      <c r="H81" s="159">
        <f>IF(I81="مخالفات",50,Basic3456789[[#This Row],[قيمة الرسوم / العموله]]+Basic3456789[[#This Row],[قيمة الشحنه]])</f>
        <v>0</v>
      </c>
      <c r="I81" s="90"/>
      <c r="J81" s="142" t="str">
        <f t="shared" si="1"/>
        <v>24.5.2026</v>
      </c>
      <c r="L81" s="153">
        <v>70</v>
      </c>
      <c r="M81" s="92"/>
    </row>
    <row r="82" spans="1:13" ht="21.6" x14ac:dyDescent="0.65">
      <c r="A82" s="195"/>
      <c r="B82" s="140">
        <v>79</v>
      </c>
      <c r="C82" s="2"/>
      <c r="D82" s="1"/>
      <c r="E82" s="3"/>
      <c r="F82" s="1"/>
      <c r="G82" s="141">
        <f>IF(Basic3456789[[#This Row],[نوع الخدمة]]="مخالفات", 50,
IF(Basic3456789[[#This Row],[نوع الخدمة]]="كاش ان",
    IF(F82&lt;=100, 18, IF(F82&lt;=250, 23, IF(F82&lt;=500, 35, IF(F82&lt;=1000, 40, F82*0.04)))),
IF(Basic3456789[[#This Row],[نوع الخدمة]]="كاش اوت",
    IF(F82&lt;=100, 15, IF(F82&lt;=250, 20, IF(F82&lt;=500, 30, IF(F82&lt;=1000, 35, F82*0.035)))),
0)))</f>
        <v>0</v>
      </c>
      <c r="H82" s="159">
        <f>IF(I82="مخالفات",50,Basic3456789[[#This Row],[قيمة الرسوم / العموله]]+Basic3456789[[#This Row],[قيمة الشحنه]])</f>
        <v>0</v>
      </c>
      <c r="I82" s="90"/>
      <c r="J82" s="142" t="str">
        <f t="shared" si="1"/>
        <v>24.5.2026</v>
      </c>
      <c r="L82" s="153">
        <v>71</v>
      </c>
      <c r="M82" s="92"/>
    </row>
    <row r="83" spans="1:13" ht="21.6" x14ac:dyDescent="0.65">
      <c r="A83" s="195"/>
      <c r="B83" s="140">
        <v>80</v>
      </c>
      <c r="C83" s="2"/>
      <c r="D83" s="1"/>
      <c r="E83" s="3"/>
      <c r="F83" s="1"/>
      <c r="G83" s="141">
        <f>IF(Basic3456789[[#This Row],[نوع الخدمة]]="مخالفات", 50,
IF(Basic3456789[[#This Row],[نوع الخدمة]]="كاش ان",
    IF(F83&lt;=100, 18, IF(F83&lt;=250, 23, IF(F83&lt;=500, 35, IF(F83&lt;=1000, 40, F83*0.04)))),
IF(Basic3456789[[#This Row],[نوع الخدمة]]="كاش اوت",
    IF(F83&lt;=100, 15, IF(F83&lt;=250, 20, IF(F83&lt;=500, 30, IF(F83&lt;=1000, 35, F83*0.035)))),
0)))</f>
        <v>0</v>
      </c>
      <c r="H83" s="159">
        <f>IF(I83="مخالفات",50,Basic3456789[[#This Row],[قيمة الرسوم / العموله]]+Basic3456789[[#This Row],[قيمة الشحنه]])</f>
        <v>0</v>
      </c>
      <c r="I83" s="90"/>
      <c r="J83" s="142" t="str">
        <f t="shared" si="1"/>
        <v>24.5.2026</v>
      </c>
      <c r="L83" s="153">
        <v>72</v>
      </c>
      <c r="M83" s="92"/>
    </row>
    <row r="84" spans="1:13" ht="21.6" x14ac:dyDescent="0.65">
      <c r="A84" s="195"/>
      <c r="B84" s="140">
        <v>81</v>
      </c>
      <c r="C84" s="2"/>
      <c r="D84" s="1"/>
      <c r="E84" s="3"/>
      <c r="F84" s="1"/>
      <c r="G84" s="141">
        <f>IF(Basic3456789[[#This Row],[نوع الخدمة]]="مخالفات", 50,
IF(Basic3456789[[#This Row],[نوع الخدمة]]="كاش ان",
    IF(F84&lt;=100, 18, IF(F84&lt;=250, 23, IF(F84&lt;=500, 35, IF(F84&lt;=1000, 40, F84*0.04)))),
IF(Basic3456789[[#This Row],[نوع الخدمة]]="كاش اوت",
    IF(F84&lt;=100, 15, IF(F84&lt;=250, 20, IF(F84&lt;=500, 30, IF(F84&lt;=1000, 35, F84*0.035)))),
0)))</f>
        <v>0</v>
      </c>
      <c r="H84" s="159">
        <f>IF(I84="مخالفات",50,Basic3456789[[#This Row],[قيمة الرسوم / العموله]]+Basic3456789[[#This Row],[قيمة الشحنه]])</f>
        <v>0</v>
      </c>
      <c r="I84" s="90"/>
      <c r="J84" s="142" t="str">
        <f t="shared" si="1"/>
        <v>24.5.2026</v>
      </c>
      <c r="L84" s="153">
        <v>73</v>
      </c>
      <c r="M84" s="92"/>
    </row>
    <row r="85" spans="1:13" ht="21.6" x14ac:dyDescent="0.65">
      <c r="A85" s="195"/>
      <c r="B85" s="144">
        <v>82</v>
      </c>
      <c r="C85" s="2"/>
      <c r="D85" s="1"/>
      <c r="E85" s="3"/>
      <c r="F85" s="1"/>
      <c r="G85" s="141">
        <f>IF(Basic3456789[[#This Row],[نوع الخدمة]]="مخالفات", 50,
IF(Basic3456789[[#This Row],[نوع الخدمة]]="كاش ان",
    IF(F85&lt;=100, 18, IF(F85&lt;=250, 23, IF(F85&lt;=500, 35, IF(F85&lt;=1000, 40, F85*0.04)))),
IF(Basic3456789[[#This Row],[نوع الخدمة]]="كاش اوت",
    IF(F85&lt;=100, 15, IF(F85&lt;=250, 20, IF(F85&lt;=500, 30, IF(F85&lt;=1000, 35, F85*0.035)))),
0)))</f>
        <v>0</v>
      </c>
      <c r="H85" s="159">
        <f>IF(I85="مخالفات",50,Basic3456789[[#This Row],[قيمة الرسوم / العموله]]+Basic3456789[[#This Row],[قيمة الشحنه]])</f>
        <v>0</v>
      </c>
      <c r="I85" s="90"/>
      <c r="J85" s="142" t="str">
        <f t="shared" si="1"/>
        <v>24.5.2026</v>
      </c>
      <c r="L85" s="153">
        <v>74</v>
      </c>
      <c r="M85" s="92"/>
    </row>
    <row r="86" spans="1:13" ht="21.6" x14ac:dyDescent="0.65">
      <c r="A86" s="195"/>
      <c r="B86" s="140">
        <v>83</v>
      </c>
      <c r="C86" s="2"/>
      <c r="D86" s="1"/>
      <c r="E86" s="3"/>
      <c r="F86" s="1"/>
      <c r="G86" s="141">
        <f>IF(Basic3456789[[#This Row],[نوع الخدمة]]="مخالفات", 50,
IF(Basic3456789[[#This Row],[نوع الخدمة]]="كاش ان",
    IF(F86&lt;=100, 18, IF(F86&lt;=250, 23, IF(F86&lt;=500, 35, IF(F86&lt;=1000, 40, F86*0.04)))),
IF(Basic3456789[[#This Row],[نوع الخدمة]]="كاش اوت",
    IF(F86&lt;=100, 15, IF(F86&lt;=250, 20, IF(F86&lt;=500, 30, IF(F86&lt;=1000, 35, F86*0.035)))),
0)))</f>
        <v>0</v>
      </c>
      <c r="H86" s="159">
        <f>IF(I86="مخالفات",50,Basic3456789[[#This Row],[قيمة الرسوم / العموله]]+Basic3456789[[#This Row],[قيمة الشحنه]])</f>
        <v>0</v>
      </c>
      <c r="I86" s="90"/>
      <c r="J86" s="142" t="str">
        <f t="shared" si="1"/>
        <v>24.5.2026</v>
      </c>
      <c r="L86" s="153">
        <v>75</v>
      </c>
      <c r="M86" s="92"/>
    </row>
    <row r="87" spans="1:13" ht="21.6" x14ac:dyDescent="0.65">
      <c r="A87" s="195"/>
      <c r="B87" s="140">
        <v>84</v>
      </c>
      <c r="C87" s="2"/>
      <c r="D87" s="1"/>
      <c r="E87" s="3"/>
      <c r="F87" s="1"/>
      <c r="G87" s="141">
        <f>IF(Basic3456789[[#This Row],[نوع الخدمة]]="مخالفات", 50,
IF(Basic3456789[[#This Row],[نوع الخدمة]]="كاش ان",
    IF(F87&lt;=100, 18, IF(F87&lt;=250, 23, IF(F87&lt;=500, 35, IF(F87&lt;=1000, 40, F87*0.04)))),
IF(Basic3456789[[#This Row],[نوع الخدمة]]="كاش اوت",
    IF(F87&lt;=100, 15, IF(F87&lt;=250, 20, IF(F87&lt;=500, 30, IF(F87&lt;=1000, 35, F87*0.035)))),
0)))</f>
        <v>0</v>
      </c>
      <c r="H87" s="159">
        <f>IF(I87="مخالفات",50,Basic3456789[[#This Row],[قيمة الرسوم / العموله]]+Basic3456789[[#This Row],[قيمة الشحنه]])</f>
        <v>0</v>
      </c>
      <c r="I87" s="90"/>
      <c r="J87" s="142" t="str">
        <f t="shared" si="1"/>
        <v>24.5.2026</v>
      </c>
      <c r="L87" s="153">
        <v>76</v>
      </c>
      <c r="M87" s="92"/>
    </row>
    <row r="88" spans="1:13" ht="21.6" x14ac:dyDescent="0.65">
      <c r="A88" s="195"/>
      <c r="B88" s="140">
        <v>85</v>
      </c>
      <c r="C88" s="2"/>
      <c r="D88" s="1"/>
      <c r="E88" s="3"/>
      <c r="F88" s="1"/>
      <c r="G88" s="141">
        <f>IF(Basic3456789[[#This Row],[نوع الخدمة]]="مخالفات", 50,
IF(Basic3456789[[#This Row],[نوع الخدمة]]="كاش ان",
    IF(F88&lt;=100, 18, IF(F88&lt;=250, 23, IF(F88&lt;=500, 35, IF(F88&lt;=1000, 40, F88*0.04)))),
IF(Basic3456789[[#This Row],[نوع الخدمة]]="كاش اوت",
    IF(F88&lt;=100, 15, IF(F88&lt;=250, 20, IF(F88&lt;=500, 30, IF(F88&lt;=1000, 35, F88*0.035)))),
0)))</f>
        <v>0</v>
      </c>
      <c r="H88" s="159">
        <f>IF(I88="مخالفات",50,Basic3456789[[#This Row],[قيمة الرسوم / العموله]]+Basic3456789[[#This Row],[قيمة الشحنه]])</f>
        <v>0</v>
      </c>
      <c r="I88" s="90"/>
      <c r="J88" s="142" t="str">
        <f t="shared" si="1"/>
        <v>24.5.2026</v>
      </c>
      <c r="L88" s="153">
        <v>77</v>
      </c>
      <c r="M88" s="92"/>
    </row>
    <row r="89" spans="1:13" ht="21.6" x14ac:dyDescent="0.65">
      <c r="A89" s="195"/>
      <c r="B89" s="144">
        <v>86</v>
      </c>
      <c r="C89" s="2"/>
      <c r="D89" s="1"/>
      <c r="E89" s="3"/>
      <c r="F89" s="1"/>
      <c r="G89" s="141">
        <f>IF(Basic3456789[[#This Row],[نوع الخدمة]]="مخالفات", 50,
IF(Basic3456789[[#This Row],[نوع الخدمة]]="كاش ان",
    IF(F89&lt;=100, 18, IF(F89&lt;=250, 23, IF(F89&lt;=500, 35, IF(F89&lt;=1000, 40, F89*0.04)))),
IF(Basic3456789[[#This Row],[نوع الخدمة]]="كاش اوت",
    IF(F89&lt;=100, 15, IF(F89&lt;=250, 20, IF(F89&lt;=500, 30, IF(F89&lt;=1000, 35, F89*0.035)))),
0)))</f>
        <v>0</v>
      </c>
      <c r="H89" s="159">
        <f>IF(I89="مخالفات",50,Basic3456789[[#This Row],[قيمة الرسوم / العموله]]+Basic3456789[[#This Row],[قيمة الشحنه]])</f>
        <v>0</v>
      </c>
      <c r="I89" s="90"/>
      <c r="J89" s="142" t="str">
        <f t="shared" si="1"/>
        <v>24.5.2026</v>
      </c>
      <c r="L89" s="153">
        <v>78</v>
      </c>
      <c r="M89" s="92"/>
    </row>
    <row r="90" spans="1:13" ht="21.6" x14ac:dyDescent="0.65">
      <c r="A90" s="195"/>
      <c r="B90" s="140">
        <v>87</v>
      </c>
      <c r="C90" s="2"/>
      <c r="D90" s="1"/>
      <c r="E90" s="3"/>
      <c r="F90" s="1"/>
      <c r="G90" s="141">
        <f>IF(Basic3456789[[#This Row],[نوع الخدمة]]="مخالفات", 50,
IF(Basic3456789[[#This Row],[نوع الخدمة]]="كاش ان",
    IF(F90&lt;=100, 18, IF(F90&lt;=250, 23, IF(F90&lt;=500, 35, IF(F90&lt;=1000, 40, F90*0.04)))),
IF(Basic3456789[[#This Row],[نوع الخدمة]]="كاش اوت",
    IF(F90&lt;=100, 15, IF(F90&lt;=250, 20, IF(F90&lt;=500, 30, IF(F90&lt;=1000, 35, F90*0.035)))),
0)))</f>
        <v>0</v>
      </c>
      <c r="H90" s="159">
        <f>IF(I90="مخالفات",50,Basic3456789[[#This Row],[قيمة الرسوم / العموله]]+Basic3456789[[#This Row],[قيمة الشحنه]])</f>
        <v>0</v>
      </c>
      <c r="I90" s="90"/>
      <c r="J90" s="142" t="str">
        <f t="shared" si="1"/>
        <v>24.5.2026</v>
      </c>
      <c r="L90" s="153">
        <v>79</v>
      </c>
      <c r="M90" s="92"/>
    </row>
    <row r="91" spans="1:13" ht="21.6" x14ac:dyDescent="0.65">
      <c r="A91" s="195"/>
      <c r="B91" s="140">
        <v>88</v>
      </c>
      <c r="C91" s="2"/>
      <c r="D91" s="1"/>
      <c r="E91" s="3"/>
      <c r="F91" s="1"/>
      <c r="G91" s="141">
        <f>IF(Basic3456789[[#This Row],[نوع الخدمة]]="مخالفات", 50,
IF(Basic3456789[[#This Row],[نوع الخدمة]]="كاش ان",
    IF(F91&lt;=100, 18, IF(F91&lt;=250, 23, IF(F91&lt;=500, 35, IF(F91&lt;=1000, 40, F91*0.04)))),
IF(Basic3456789[[#This Row],[نوع الخدمة]]="كاش اوت",
    IF(F91&lt;=100, 15, IF(F91&lt;=250, 20, IF(F91&lt;=500, 30, IF(F91&lt;=1000, 35, F91*0.035)))),
0)))</f>
        <v>0</v>
      </c>
      <c r="H91" s="159">
        <f>IF(I91="مخالفات",50,Basic3456789[[#This Row],[قيمة الرسوم / العموله]]+Basic3456789[[#This Row],[قيمة الشحنه]])</f>
        <v>0</v>
      </c>
      <c r="I91" s="90"/>
      <c r="J91" s="142" t="str">
        <f t="shared" si="1"/>
        <v>24.5.2026</v>
      </c>
      <c r="L91" s="153">
        <v>80</v>
      </c>
      <c r="M91" s="92"/>
    </row>
    <row r="92" spans="1:13" ht="21.6" x14ac:dyDescent="0.65">
      <c r="A92" s="195"/>
      <c r="B92" s="140">
        <v>89</v>
      </c>
      <c r="C92" s="2"/>
      <c r="D92" s="1"/>
      <c r="E92" s="3"/>
      <c r="F92" s="1"/>
      <c r="G92" s="141">
        <f>IF(Basic3456789[[#This Row],[نوع الخدمة]]="مخالفات", 50,
IF(Basic3456789[[#This Row],[نوع الخدمة]]="كاش ان",
    IF(F92&lt;=100, 18, IF(F92&lt;=250, 23, IF(F92&lt;=500, 35, IF(F92&lt;=1000, 40, F92*0.04)))),
IF(Basic3456789[[#This Row],[نوع الخدمة]]="كاش اوت",
    IF(F92&lt;=100, 15, IF(F92&lt;=250, 20, IF(F92&lt;=500, 30, IF(F92&lt;=1000, 35, F92*0.035)))),
0)))</f>
        <v>0</v>
      </c>
      <c r="H92" s="159">
        <f>IF(I92="مخالفات",50,Basic3456789[[#This Row],[قيمة الرسوم / العموله]]+Basic3456789[[#This Row],[قيمة الشحنه]])</f>
        <v>0</v>
      </c>
      <c r="I92" s="90"/>
      <c r="J92" s="142" t="str">
        <f t="shared" si="1"/>
        <v>24.5.2026</v>
      </c>
      <c r="L92" s="153">
        <v>81</v>
      </c>
      <c r="M92" s="92"/>
    </row>
    <row r="93" spans="1:13" ht="21.6" x14ac:dyDescent="0.65">
      <c r="A93" s="195"/>
      <c r="B93" s="144">
        <v>90</v>
      </c>
      <c r="C93" s="2"/>
      <c r="D93" s="1"/>
      <c r="E93" s="3"/>
      <c r="F93" s="1"/>
      <c r="G93" s="141">
        <f>IF(Basic3456789[[#This Row],[نوع الخدمة]]="مخالفات", 50,
IF(Basic3456789[[#This Row],[نوع الخدمة]]="كاش ان",
    IF(F93&lt;=100, 18, IF(F93&lt;=250, 23, IF(F93&lt;=500, 35, IF(F93&lt;=1000, 40, F93*0.04)))),
IF(Basic3456789[[#This Row],[نوع الخدمة]]="كاش اوت",
    IF(F93&lt;=100, 15, IF(F93&lt;=250, 20, IF(F93&lt;=500, 30, IF(F93&lt;=1000, 35, F93*0.035)))),
0)))</f>
        <v>0</v>
      </c>
      <c r="H93" s="159">
        <f>IF(I93="مخالفات",50,Basic3456789[[#This Row],[قيمة الرسوم / العموله]]+Basic3456789[[#This Row],[قيمة الشحنه]])</f>
        <v>0</v>
      </c>
      <c r="I93" s="90"/>
      <c r="J93" s="142" t="str">
        <f t="shared" si="1"/>
        <v>24.5.2026</v>
      </c>
      <c r="L93" s="153">
        <v>82</v>
      </c>
      <c r="M93" s="92"/>
    </row>
    <row r="94" spans="1:13" ht="21.6" x14ac:dyDescent="0.65">
      <c r="A94" s="195"/>
      <c r="B94" s="140">
        <v>91</v>
      </c>
      <c r="C94" s="2"/>
      <c r="D94" s="1"/>
      <c r="E94" s="3"/>
      <c r="F94" s="1"/>
      <c r="G94" s="141">
        <f>IF(Basic3456789[[#This Row],[نوع الخدمة]]="مخالفات", 50,
IF(Basic3456789[[#This Row],[نوع الخدمة]]="كاش ان",
    IF(F94&lt;=100, 18, IF(F94&lt;=250, 23, IF(F94&lt;=500, 35, IF(F94&lt;=1000, 40, F94*0.04)))),
IF(Basic3456789[[#This Row],[نوع الخدمة]]="كاش اوت",
    IF(F94&lt;=100, 15, IF(F94&lt;=250, 20, IF(F94&lt;=500, 30, IF(F94&lt;=1000, 35, F94*0.035)))),
0)))</f>
        <v>0</v>
      </c>
      <c r="H94" s="159">
        <f>IF(I94="مخالفات",50,Basic3456789[[#This Row],[قيمة الرسوم / العموله]]+Basic3456789[[#This Row],[قيمة الشحنه]])</f>
        <v>0</v>
      </c>
      <c r="I94" s="90"/>
      <c r="J94" s="142" t="str">
        <f t="shared" si="1"/>
        <v>24.5.2026</v>
      </c>
      <c r="L94" s="153">
        <v>83</v>
      </c>
      <c r="M94" s="92"/>
    </row>
    <row r="95" spans="1:13" ht="21.6" x14ac:dyDescent="0.65">
      <c r="A95" s="195"/>
      <c r="B95" s="140">
        <v>92</v>
      </c>
      <c r="C95" s="2"/>
      <c r="D95" s="1"/>
      <c r="E95" s="3"/>
      <c r="F95" s="1"/>
      <c r="G95" s="141">
        <f>IF(Basic3456789[[#This Row],[نوع الخدمة]]="مخالفات", 50,
IF(Basic3456789[[#This Row],[نوع الخدمة]]="كاش ان",
    IF(F95&lt;=100, 18, IF(F95&lt;=250, 23, IF(F95&lt;=500, 35, IF(F95&lt;=1000, 40, F95*0.04)))),
IF(Basic3456789[[#This Row],[نوع الخدمة]]="كاش اوت",
    IF(F95&lt;=100, 15, IF(F95&lt;=250, 20, IF(F95&lt;=500, 30, IF(F95&lt;=1000, 35, F95*0.035)))),
0)))</f>
        <v>0</v>
      </c>
      <c r="H95" s="159">
        <f>IF(I95="مخالفات",50,Basic3456789[[#This Row],[قيمة الرسوم / العموله]]+Basic3456789[[#This Row],[قيمة الشحنه]])</f>
        <v>0</v>
      </c>
      <c r="I95" s="90"/>
      <c r="J95" s="142" t="str">
        <f t="shared" si="1"/>
        <v>24.5.2026</v>
      </c>
      <c r="L95" s="153">
        <v>84</v>
      </c>
      <c r="M95" s="92"/>
    </row>
    <row r="96" spans="1:13" ht="21.6" x14ac:dyDescent="0.65">
      <c r="A96" s="195"/>
      <c r="B96" s="140">
        <v>93</v>
      </c>
      <c r="C96" s="2"/>
      <c r="D96" s="1"/>
      <c r="E96" s="3"/>
      <c r="F96" s="1"/>
      <c r="G96" s="141">
        <f>IF(Basic3456789[[#This Row],[نوع الخدمة]]="مخالفات", 50,
IF(Basic3456789[[#This Row],[نوع الخدمة]]="كاش ان",
    IF(F96&lt;=100, 18, IF(F96&lt;=250, 23, IF(F96&lt;=500, 35, IF(F96&lt;=1000, 40, F96*0.04)))),
IF(Basic3456789[[#This Row],[نوع الخدمة]]="كاش اوت",
    IF(F96&lt;=100, 15, IF(F96&lt;=250, 20, IF(F96&lt;=500, 30, IF(F96&lt;=1000, 35, F96*0.035)))),
0)))</f>
        <v>0</v>
      </c>
      <c r="H96" s="159">
        <f>IF(I96="مخالفات",50,Basic3456789[[#This Row],[قيمة الرسوم / العموله]]+Basic3456789[[#This Row],[قيمة الشحنه]])</f>
        <v>0</v>
      </c>
      <c r="I96" s="90"/>
      <c r="J96" s="142" t="str">
        <f t="shared" si="1"/>
        <v>24.5.2026</v>
      </c>
      <c r="L96" s="153">
        <v>85</v>
      </c>
      <c r="M96" s="92"/>
    </row>
    <row r="97" spans="1:13" ht="21.6" x14ac:dyDescent="0.65">
      <c r="A97" s="195"/>
      <c r="B97" s="144">
        <v>94</v>
      </c>
      <c r="C97" s="2"/>
      <c r="D97" s="1"/>
      <c r="E97" s="3"/>
      <c r="F97" s="1"/>
      <c r="G97" s="141">
        <f>IF(Basic3456789[[#This Row],[نوع الخدمة]]="مخالفات", 50,
IF(Basic3456789[[#This Row],[نوع الخدمة]]="كاش ان",
    IF(F97&lt;=100, 18, IF(F97&lt;=250, 23, IF(F97&lt;=500, 35, IF(F97&lt;=1000, 40, F97*0.04)))),
IF(Basic3456789[[#This Row],[نوع الخدمة]]="كاش اوت",
    IF(F97&lt;=100, 15, IF(F97&lt;=250, 20, IF(F97&lt;=500, 30, IF(F97&lt;=1000, 35, F97*0.035)))),
0)))</f>
        <v>0</v>
      </c>
      <c r="H97" s="159">
        <f>IF(I97="مخالفات",50,Basic3456789[[#This Row],[قيمة الرسوم / العموله]]+Basic3456789[[#This Row],[قيمة الشحنه]])</f>
        <v>0</v>
      </c>
      <c r="I97" s="90"/>
      <c r="J97" s="142" t="str">
        <f t="shared" si="1"/>
        <v>24.5.2026</v>
      </c>
      <c r="L97" s="153">
        <v>86</v>
      </c>
      <c r="M97" s="92"/>
    </row>
    <row r="98" spans="1:13" ht="21.6" x14ac:dyDescent="0.65">
      <c r="A98" s="195"/>
      <c r="B98" s="140">
        <v>95</v>
      </c>
      <c r="C98" s="2"/>
      <c r="D98" s="1"/>
      <c r="E98" s="3"/>
      <c r="F98" s="1"/>
      <c r="G98" s="141">
        <f>IF(Basic3456789[[#This Row],[نوع الخدمة]]="مخالفات", 50,
IF(Basic3456789[[#This Row],[نوع الخدمة]]="كاش ان",
    IF(F98&lt;=100, 18, IF(F98&lt;=250, 23, IF(F98&lt;=500, 35, IF(F98&lt;=1000, 40, F98*0.04)))),
IF(Basic3456789[[#This Row],[نوع الخدمة]]="كاش اوت",
    IF(F98&lt;=100, 15, IF(F98&lt;=250, 20, IF(F98&lt;=500, 30, IF(F98&lt;=1000, 35, F98*0.035)))),
0)))</f>
        <v>0</v>
      </c>
      <c r="H98" s="159">
        <f>IF(I98="مخالفات",50,Basic3456789[[#This Row],[قيمة الرسوم / العموله]]+Basic3456789[[#This Row],[قيمة الشحنه]])</f>
        <v>0</v>
      </c>
      <c r="I98" s="90"/>
      <c r="J98" s="142" t="str">
        <f t="shared" si="1"/>
        <v>24.5.2026</v>
      </c>
      <c r="L98" s="153">
        <v>87</v>
      </c>
      <c r="M98" s="92"/>
    </row>
    <row r="99" spans="1:13" ht="21.6" x14ac:dyDescent="0.65">
      <c r="A99" s="195"/>
      <c r="B99" s="140">
        <v>96</v>
      </c>
      <c r="C99" s="2"/>
      <c r="D99" s="1"/>
      <c r="E99" s="3"/>
      <c r="F99" s="1"/>
      <c r="G99" s="141">
        <f>IF(Basic3456789[[#This Row],[نوع الخدمة]]="مخالفات", 50,
IF(Basic3456789[[#This Row],[نوع الخدمة]]="كاش ان",
    IF(F99&lt;=100, 18, IF(F99&lt;=250, 23, IF(F99&lt;=500, 35, IF(F99&lt;=1000, 40, F99*0.04)))),
IF(Basic3456789[[#This Row],[نوع الخدمة]]="كاش اوت",
    IF(F99&lt;=100, 15, IF(F99&lt;=250, 20, IF(F99&lt;=500, 30, IF(F99&lt;=1000, 35, F99*0.035)))),
0)))</f>
        <v>0</v>
      </c>
      <c r="H99" s="159">
        <f>IF(I99="مخالفات",50,Basic3456789[[#This Row],[قيمة الرسوم / العموله]]+Basic3456789[[#This Row],[قيمة الشحنه]])</f>
        <v>0</v>
      </c>
      <c r="I99" s="90"/>
      <c r="J99" s="142" t="str">
        <f t="shared" si="1"/>
        <v>24.5.2026</v>
      </c>
      <c r="L99" s="153">
        <v>88</v>
      </c>
      <c r="M99" s="92"/>
    </row>
    <row r="100" spans="1:13" ht="21.6" x14ac:dyDescent="0.65">
      <c r="A100" s="195"/>
      <c r="B100" s="140">
        <v>97</v>
      </c>
      <c r="C100" s="2"/>
      <c r="D100" s="1"/>
      <c r="E100" s="3"/>
      <c r="F100" s="1"/>
      <c r="G100" s="141">
        <f>IF(Basic3456789[[#This Row],[نوع الخدمة]]="مخالفات", 50,
IF(Basic3456789[[#This Row],[نوع الخدمة]]="كاش ان",
    IF(F100&lt;=100, 18, IF(F100&lt;=250, 23, IF(F100&lt;=500, 35, IF(F100&lt;=1000, 40, F100*0.04)))),
IF(Basic3456789[[#This Row],[نوع الخدمة]]="كاش اوت",
    IF(F100&lt;=100, 15, IF(F100&lt;=250, 20, IF(F100&lt;=500, 30, IF(F100&lt;=1000, 35, F100*0.035)))),
0)))</f>
        <v>0</v>
      </c>
      <c r="H100" s="159">
        <f>IF(I100="مخالفات",50,Basic3456789[[#This Row],[قيمة الرسوم / العموله]]+Basic3456789[[#This Row],[قيمة الشحنه]])</f>
        <v>0</v>
      </c>
      <c r="I100" s="90"/>
      <c r="J100" s="142" t="str">
        <f t="shared" si="1"/>
        <v>24.5.2026</v>
      </c>
      <c r="L100" s="153">
        <v>89</v>
      </c>
      <c r="M100" s="92"/>
    </row>
    <row r="101" spans="1:13" ht="21.6" x14ac:dyDescent="0.65">
      <c r="A101" s="195"/>
      <c r="B101" s="144">
        <v>98</v>
      </c>
      <c r="C101" s="2"/>
      <c r="D101" s="1"/>
      <c r="E101" s="3"/>
      <c r="F101" s="1"/>
      <c r="G101" s="141">
        <f>IF(Basic3456789[[#This Row],[نوع الخدمة]]="مخالفات", 50,
IF(Basic3456789[[#This Row],[نوع الخدمة]]="كاش ان",
    IF(F101&lt;=100, 18, IF(F101&lt;=250, 23, IF(F101&lt;=500, 35, IF(F101&lt;=1000, 40, F101*0.04)))),
IF(Basic3456789[[#This Row],[نوع الخدمة]]="كاش اوت",
    IF(F101&lt;=100, 15, IF(F101&lt;=250, 20, IF(F101&lt;=500, 30, IF(F101&lt;=1000, 35, F101*0.035)))),
0)))</f>
        <v>0</v>
      </c>
      <c r="H101" s="159">
        <f>IF(I101="مخالفات",50,Basic3456789[[#This Row],[قيمة الرسوم / العموله]]+Basic3456789[[#This Row],[قيمة الشحنه]])</f>
        <v>0</v>
      </c>
      <c r="I101" s="90"/>
      <c r="J101" s="142" t="str">
        <f t="shared" si="1"/>
        <v>24.5.2026</v>
      </c>
      <c r="L101" s="153">
        <v>90</v>
      </c>
      <c r="M101" s="92"/>
    </row>
    <row r="102" spans="1:13" ht="21.6" x14ac:dyDescent="0.65">
      <c r="A102" s="195"/>
      <c r="B102" s="140">
        <v>99</v>
      </c>
      <c r="C102" s="2"/>
      <c r="D102" s="1"/>
      <c r="E102" s="3"/>
      <c r="F102" s="1"/>
      <c r="G102" s="141">
        <f>IF(Basic3456789[[#This Row],[نوع الخدمة]]="مخالفات", 50,
IF(Basic3456789[[#This Row],[نوع الخدمة]]="كاش ان",
    IF(F102&lt;=100, 18, IF(F102&lt;=250, 23, IF(F102&lt;=500, 35, IF(F102&lt;=1000, 40, F102*0.04)))),
IF(Basic3456789[[#This Row],[نوع الخدمة]]="كاش اوت",
    IF(F102&lt;=100, 15, IF(F102&lt;=250, 20, IF(F102&lt;=500, 30, IF(F102&lt;=1000, 35, F102*0.035)))),
0)))</f>
        <v>0</v>
      </c>
      <c r="H102" s="159">
        <f>IF(I102="مخالفات",50,Basic3456789[[#This Row],[قيمة الرسوم / العموله]]+Basic3456789[[#This Row],[قيمة الشحنه]])</f>
        <v>0</v>
      </c>
      <c r="I102" s="90"/>
      <c r="J102" s="142" t="str">
        <f t="shared" si="1"/>
        <v>24.5.2026</v>
      </c>
      <c r="L102" s="153">
        <v>91</v>
      </c>
      <c r="M102" s="92"/>
    </row>
    <row r="103" spans="1:13" ht="21.6" x14ac:dyDescent="0.65">
      <c r="A103" s="195"/>
      <c r="B103" s="140">
        <v>100</v>
      </c>
      <c r="C103" s="2"/>
      <c r="D103" s="1"/>
      <c r="E103" s="3"/>
      <c r="F103" s="1"/>
      <c r="G103" s="141">
        <f>IF(Basic3456789[[#This Row],[نوع الخدمة]]="مخالفات", 50,
IF(Basic3456789[[#This Row],[نوع الخدمة]]="كاش ان",
    IF(F103&lt;=100, 18, IF(F103&lt;=250, 23, IF(F103&lt;=500, 35, IF(F103&lt;=1000, 40, F103*0.04)))),
IF(Basic3456789[[#This Row],[نوع الخدمة]]="كاش اوت",
    IF(F103&lt;=100, 15, IF(F103&lt;=250, 20, IF(F103&lt;=500, 30, IF(F103&lt;=1000, 35, F103*0.035)))),
0)))</f>
        <v>0</v>
      </c>
      <c r="H103" s="159">
        <f>IF(I103="مخالفات",50,Basic3456789[[#This Row],[قيمة الرسوم / العموله]]+Basic3456789[[#This Row],[قيمة الشحنه]])</f>
        <v>0</v>
      </c>
      <c r="I103" s="90"/>
      <c r="J103" s="142" t="str">
        <f t="shared" si="1"/>
        <v>24.5.2026</v>
      </c>
      <c r="L103" s="153">
        <v>92</v>
      </c>
      <c r="M103" s="92"/>
    </row>
    <row r="104" spans="1:13" ht="21.6" x14ac:dyDescent="0.65">
      <c r="A104" s="195"/>
      <c r="B104" s="140">
        <v>101</v>
      </c>
      <c r="C104" s="2"/>
      <c r="D104" s="1"/>
      <c r="E104" s="3"/>
      <c r="F104" s="1"/>
      <c r="G104" s="141">
        <f>IF(Basic3456789[[#This Row],[نوع الخدمة]]="مخالفات", 50,
IF(Basic3456789[[#This Row],[نوع الخدمة]]="كاش ان",
    IF(F104&lt;=100, 18, IF(F104&lt;=250, 23, IF(F104&lt;=500, 35, IF(F104&lt;=1000, 40, F104*0.04)))),
IF(Basic3456789[[#This Row],[نوع الخدمة]]="كاش اوت",
    IF(F104&lt;=100, 15, IF(F104&lt;=250, 20, IF(F104&lt;=500, 30, IF(F104&lt;=1000, 35, F104*0.035)))),
0)))</f>
        <v>0</v>
      </c>
      <c r="H104" s="159">
        <f>IF(I104="مخالفات",50,Basic3456789[[#This Row],[قيمة الرسوم / العموله]]+Basic3456789[[#This Row],[قيمة الشحنه]])</f>
        <v>0</v>
      </c>
      <c r="I104" s="90"/>
      <c r="J104" s="142" t="str">
        <f t="shared" si="1"/>
        <v>24.5.2026</v>
      </c>
      <c r="L104" s="153">
        <v>93</v>
      </c>
      <c r="M104" s="92"/>
    </row>
    <row r="105" spans="1:13" ht="21.6" x14ac:dyDescent="0.65">
      <c r="A105" s="195"/>
      <c r="B105" s="144">
        <v>102</v>
      </c>
      <c r="C105" s="2"/>
      <c r="D105" s="1"/>
      <c r="E105" s="3"/>
      <c r="F105" s="1"/>
      <c r="G105" s="141">
        <f>IF(Basic3456789[[#This Row],[نوع الخدمة]]="مخالفات", 50,
IF(Basic3456789[[#This Row],[نوع الخدمة]]="كاش ان",
    IF(F105&lt;=100, 18, IF(F105&lt;=250, 23, IF(F105&lt;=500, 35, IF(F105&lt;=1000, 40, F105*0.04)))),
IF(Basic3456789[[#This Row],[نوع الخدمة]]="كاش اوت",
    IF(F105&lt;=100, 15, IF(F105&lt;=250, 20, IF(F105&lt;=500, 30, IF(F105&lt;=1000, 35, F105*0.035)))),
0)))</f>
        <v>0</v>
      </c>
      <c r="H105" s="159">
        <f>IF(I105="مخالفات",50,Basic3456789[[#This Row],[قيمة الرسوم / العموله]]+Basic3456789[[#This Row],[قيمة الشحنه]])</f>
        <v>0</v>
      </c>
      <c r="I105" s="90"/>
      <c r="J105" s="142" t="str">
        <f t="shared" si="1"/>
        <v>24.5.2026</v>
      </c>
      <c r="L105" s="153">
        <v>94</v>
      </c>
      <c r="M105" s="92"/>
    </row>
    <row r="106" spans="1:13" ht="21.6" x14ac:dyDescent="0.65">
      <c r="A106" s="195"/>
      <c r="B106" s="140">
        <v>103</v>
      </c>
      <c r="C106" s="2"/>
      <c r="D106" s="1"/>
      <c r="E106" s="3"/>
      <c r="F106" s="1"/>
      <c r="G106" s="141">
        <f>IF(Basic3456789[[#This Row],[نوع الخدمة]]="مخالفات", 50,
IF(Basic3456789[[#This Row],[نوع الخدمة]]="كاش ان",
    IF(F106&lt;=100, 18, IF(F106&lt;=250, 23, IF(F106&lt;=500, 35, IF(F106&lt;=1000, 40, F106*0.04)))),
IF(Basic3456789[[#This Row],[نوع الخدمة]]="كاش اوت",
    IF(F106&lt;=100, 15, IF(F106&lt;=250, 20, IF(F106&lt;=500, 30, IF(F106&lt;=1000, 35, F106*0.035)))),
0)))</f>
        <v>0</v>
      </c>
      <c r="H106" s="159">
        <f>IF(I106="مخالفات",50,Basic3456789[[#This Row],[قيمة الرسوم / العموله]]+Basic3456789[[#This Row],[قيمة الشحنه]])</f>
        <v>0</v>
      </c>
      <c r="I106" s="90"/>
      <c r="J106" s="142" t="str">
        <f t="shared" si="1"/>
        <v>24.5.2026</v>
      </c>
      <c r="L106" s="153">
        <v>95</v>
      </c>
      <c r="M106" s="92"/>
    </row>
    <row r="107" spans="1:13" ht="21.6" x14ac:dyDescent="0.65">
      <c r="A107" s="195"/>
      <c r="B107" s="140">
        <v>104</v>
      </c>
      <c r="C107" s="2"/>
      <c r="D107" s="1"/>
      <c r="E107" s="3"/>
      <c r="F107" s="1"/>
      <c r="G107" s="141">
        <f>IF(Basic3456789[[#This Row],[نوع الخدمة]]="مخالفات", 50,
IF(Basic3456789[[#This Row],[نوع الخدمة]]="كاش ان",
    IF(F107&lt;=100, 18, IF(F107&lt;=250, 23, IF(F107&lt;=500, 35, IF(F107&lt;=1000, 40, F107*0.04)))),
IF(Basic3456789[[#This Row],[نوع الخدمة]]="كاش اوت",
    IF(F107&lt;=100, 15, IF(F107&lt;=250, 20, IF(F107&lt;=500, 30, IF(F107&lt;=1000, 35, F107*0.035)))),
0)))</f>
        <v>0</v>
      </c>
      <c r="H107" s="159">
        <f>IF(I107="مخالفات",50,Basic3456789[[#This Row],[قيمة الرسوم / العموله]]+Basic3456789[[#This Row],[قيمة الشحنه]])</f>
        <v>0</v>
      </c>
      <c r="I107" s="90"/>
      <c r="J107" s="142" t="str">
        <f t="shared" si="1"/>
        <v>24.5.2026</v>
      </c>
      <c r="L107" s="153">
        <v>96</v>
      </c>
      <c r="M107" s="92"/>
    </row>
    <row r="108" spans="1:13" ht="21.6" x14ac:dyDescent="0.65">
      <c r="A108" s="195"/>
      <c r="B108" s="140">
        <v>105</v>
      </c>
      <c r="C108" s="2"/>
      <c r="D108" s="1"/>
      <c r="E108" s="3"/>
      <c r="F108" s="1"/>
      <c r="G108" s="141">
        <f>IF(Basic3456789[[#This Row],[نوع الخدمة]]="مخالفات", 50,
IF(Basic3456789[[#This Row],[نوع الخدمة]]="كاش ان",
    IF(F108&lt;=100, 18, IF(F108&lt;=250, 23, IF(F108&lt;=500, 35, IF(F108&lt;=1000, 40, F108*0.04)))),
IF(Basic3456789[[#This Row],[نوع الخدمة]]="كاش اوت",
    IF(F108&lt;=100, 15, IF(F108&lt;=250, 20, IF(F108&lt;=500, 30, IF(F108&lt;=1000, 35, F108*0.035)))),
0)))</f>
        <v>0</v>
      </c>
      <c r="H108" s="159">
        <f>IF(I108="مخالفات",50,Basic3456789[[#This Row],[قيمة الرسوم / العموله]]+Basic3456789[[#This Row],[قيمة الشحنه]])</f>
        <v>0</v>
      </c>
      <c r="I108" s="90"/>
      <c r="J108" s="142" t="str">
        <f t="shared" si="1"/>
        <v>24.5.2026</v>
      </c>
      <c r="L108" s="153">
        <v>97</v>
      </c>
      <c r="M108" s="92"/>
    </row>
    <row r="109" spans="1:13" ht="21.6" x14ac:dyDescent="0.65">
      <c r="A109" s="195"/>
      <c r="B109" s="144">
        <v>106</v>
      </c>
      <c r="C109" s="2"/>
      <c r="D109" s="1"/>
      <c r="E109" s="3"/>
      <c r="F109" s="1"/>
      <c r="G109" s="141">
        <f>IF(Basic3456789[[#This Row],[نوع الخدمة]]="مخالفات", 50,
IF(Basic3456789[[#This Row],[نوع الخدمة]]="كاش ان",
    IF(F109&lt;=100, 18, IF(F109&lt;=250, 23, IF(F109&lt;=500, 35, IF(F109&lt;=1000, 40, F109*0.04)))),
IF(Basic3456789[[#This Row],[نوع الخدمة]]="كاش اوت",
    IF(F109&lt;=100, 15, IF(F109&lt;=250, 20, IF(F109&lt;=500, 30, IF(F109&lt;=1000, 35, F109*0.035)))),
0)))</f>
        <v>0</v>
      </c>
      <c r="H109" s="159">
        <f>IF(I109="مخالفات",50,Basic3456789[[#This Row],[قيمة الرسوم / العموله]]+Basic3456789[[#This Row],[قيمة الشحنه]])</f>
        <v>0</v>
      </c>
      <c r="I109" s="90"/>
      <c r="J109" s="142" t="str">
        <f t="shared" si="1"/>
        <v>24.5.2026</v>
      </c>
      <c r="L109" s="153">
        <v>98</v>
      </c>
      <c r="M109" s="92"/>
    </row>
    <row r="110" spans="1:13" ht="21.6" x14ac:dyDescent="0.65">
      <c r="A110" s="195"/>
      <c r="B110" s="140">
        <v>107</v>
      </c>
      <c r="C110" s="2"/>
      <c r="D110" s="1"/>
      <c r="E110" s="3"/>
      <c r="F110" s="1"/>
      <c r="G110" s="141">
        <f>IF(Basic3456789[[#This Row],[نوع الخدمة]]="مخالفات", 50,
IF(Basic3456789[[#This Row],[نوع الخدمة]]="كاش ان",
    IF(F110&lt;=100, 18, IF(F110&lt;=250, 23, IF(F110&lt;=500, 35, IF(F110&lt;=1000, 40, F110*0.04)))),
IF(Basic3456789[[#This Row],[نوع الخدمة]]="كاش اوت",
    IF(F110&lt;=100, 15, IF(F110&lt;=250, 20, IF(F110&lt;=500, 30, IF(F110&lt;=1000, 35, F110*0.035)))),
0)))</f>
        <v>0</v>
      </c>
      <c r="H110" s="159">
        <f>IF(I110="مخالفات",50,Basic3456789[[#This Row],[قيمة الرسوم / العموله]]+Basic3456789[[#This Row],[قيمة الشحنه]])</f>
        <v>0</v>
      </c>
      <c r="I110" s="90"/>
      <c r="J110" s="142" t="str">
        <f t="shared" si="1"/>
        <v>24.5.2026</v>
      </c>
      <c r="L110" s="153">
        <v>99</v>
      </c>
      <c r="M110" s="92"/>
    </row>
    <row r="111" spans="1:13" ht="21.6" x14ac:dyDescent="0.65">
      <c r="A111" s="195"/>
      <c r="B111" s="140">
        <v>108</v>
      </c>
      <c r="C111" s="2"/>
      <c r="D111" s="1"/>
      <c r="E111" s="3"/>
      <c r="F111" s="1"/>
      <c r="G111" s="141">
        <f>IF(Basic3456789[[#This Row],[نوع الخدمة]]="مخالفات", 50,
IF(Basic3456789[[#This Row],[نوع الخدمة]]="كاش ان",
    IF(F111&lt;=100, 18, IF(F111&lt;=250, 23, IF(F111&lt;=500, 35, IF(F111&lt;=1000, 40, F111*0.04)))),
IF(Basic3456789[[#This Row],[نوع الخدمة]]="كاش اوت",
    IF(F111&lt;=100, 15, IF(F111&lt;=250, 20, IF(F111&lt;=500, 30, IF(F111&lt;=1000, 35, F111*0.035)))),
0)))</f>
        <v>0</v>
      </c>
      <c r="H111" s="159">
        <f>IF(I111="مخالفات",50,Basic3456789[[#This Row],[قيمة الرسوم / العموله]]+Basic3456789[[#This Row],[قيمة الشحنه]])</f>
        <v>0</v>
      </c>
      <c r="I111" s="90"/>
      <c r="J111" s="142" t="str">
        <f t="shared" si="1"/>
        <v>24.5.2026</v>
      </c>
      <c r="L111" s="153">
        <v>100</v>
      </c>
      <c r="M111" s="92"/>
    </row>
    <row r="112" spans="1:13" ht="21.6" x14ac:dyDescent="0.65">
      <c r="A112" s="195"/>
      <c r="B112" s="140">
        <v>109</v>
      </c>
      <c r="C112" s="2"/>
      <c r="D112" s="1"/>
      <c r="E112" s="3"/>
      <c r="F112" s="1"/>
      <c r="G112" s="141">
        <f>IF(Basic3456789[[#This Row],[نوع الخدمة]]="مخالفات", 50,
IF(Basic3456789[[#This Row],[نوع الخدمة]]="كاش ان",
    IF(F112&lt;=100, 18, IF(F112&lt;=250, 23, IF(F112&lt;=500, 35, IF(F112&lt;=1000, 40, F112*0.04)))),
IF(Basic3456789[[#This Row],[نوع الخدمة]]="كاش اوت",
    IF(F112&lt;=100, 15, IF(F112&lt;=250, 20, IF(F112&lt;=500, 30, IF(F112&lt;=1000, 35, F112*0.035)))),
0)))</f>
        <v>0</v>
      </c>
      <c r="H112" s="159">
        <f>IF(I112="مخالفات",50,Basic3456789[[#This Row],[قيمة الرسوم / العموله]]+Basic3456789[[#This Row],[قيمة الشحنه]])</f>
        <v>0</v>
      </c>
      <c r="I112" s="90"/>
      <c r="J112" s="142" t="str">
        <f t="shared" si="1"/>
        <v>24.5.2026</v>
      </c>
      <c r="L112" s="153">
        <v>101</v>
      </c>
      <c r="M112" s="92"/>
    </row>
    <row r="113" spans="1:13" ht="21.6" x14ac:dyDescent="0.65">
      <c r="A113" s="195"/>
      <c r="B113" s="144">
        <v>110</v>
      </c>
      <c r="C113" s="2"/>
      <c r="D113" s="1"/>
      <c r="E113" s="3"/>
      <c r="F113" s="1"/>
      <c r="G113" s="141">
        <f>IF(Basic3456789[[#This Row],[نوع الخدمة]]="مخالفات", 50,
IF(Basic3456789[[#This Row],[نوع الخدمة]]="كاش ان",
    IF(F113&lt;=100, 18, IF(F113&lt;=250, 23, IF(F113&lt;=500, 35, IF(F113&lt;=1000, 40, F113*0.04)))),
IF(Basic3456789[[#This Row],[نوع الخدمة]]="كاش اوت",
    IF(F113&lt;=100, 15, IF(F113&lt;=250, 20, IF(F113&lt;=500, 30, IF(F113&lt;=1000, 35, F113*0.035)))),
0)))</f>
        <v>0</v>
      </c>
      <c r="H113" s="159">
        <f>IF(I113="مخالفات",50,Basic3456789[[#This Row],[قيمة الرسوم / العموله]]+Basic3456789[[#This Row],[قيمة الشحنه]])</f>
        <v>0</v>
      </c>
      <c r="I113" s="90"/>
      <c r="J113" s="142" t="str">
        <f t="shared" si="1"/>
        <v>24.5.2026</v>
      </c>
      <c r="L113" s="153">
        <v>102</v>
      </c>
      <c r="M113" s="92"/>
    </row>
    <row r="114" spans="1:13" ht="21.6" x14ac:dyDescent="0.65">
      <c r="A114" s="195"/>
      <c r="B114" s="140">
        <v>111</v>
      </c>
      <c r="C114" s="2"/>
      <c r="D114" s="1"/>
      <c r="E114" s="3"/>
      <c r="F114" s="1"/>
      <c r="G114" s="141">
        <f>IF(Basic3456789[[#This Row],[نوع الخدمة]]="مخالفات", 50,
IF(Basic3456789[[#This Row],[نوع الخدمة]]="كاش ان",
    IF(F114&lt;=100, 18, IF(F114&lt;=250, 23, IF(F114&lt;=500, 35, IF(F114&lt;=1000, 40, F114*0.04)))),
IF(Basic3456789[[#This Row],[نوع الخدمة]]="كاش اوت",
    IF(F114&lt;=100, 15, IF(F114&lt;=250, 20, IF(F114&lt;=500, 30, IF(F114&lt;=1000, 35, F114*0.035)))),
0)))</f>
        <v>0</v>
      </c>
      <c r="H114" s="159">
        <f>IF(I114="مخالفات",50,Basic3456789[[#This Row],[قيمة الرسوم / العموله]]+Basic3456789[[#This Row],[قيمة الشحنه]])</f>
        <v>0</v>
      </c>
      <c r="I114" s="90"/>
      <c r="J114" s="142" t="str">
        <f t="shared" si="1"/>
        <v>24.5.2026</v>
      </c>
      <c r="L114" s="153">
        <v>103</v>
      </c>
      <c r="M114" s="92"/>
    </row>
    <row r="115" spans="1:13" ht="21.6" x14ac:dyDescent="0.65">
      <c r="A115" s="195"/>
      <c r="B115" s="140">
        <v>112</v>
      </c>
      <c r="C115" s="2"/>
      <c r="D115" s="1"/>
      <c r="E115" s="3"/>
      <c r="F115" s="1"/>
      <c r="G115" s="141">
        <f>IF(Basic3456789[[#This Row],[نوع الخدمة]]="مخالفات", 50,
IF(Basic3456789[[#This Row],[نوع الخدمة]]="كاش ان",
    IF(F115&lt;=100, 18, IF(F115&lt;=250, 23, IF(F115&lt;=500, 35, IF(F115&lt;=1000, 40, F115*0.04)))),
IF(Basic3456789[[#This Row],[نوع الخدمة]]="كاش اوت",
    IF(F115&lt;=100, 15, IF(F115&lt;=250, 20, IF(F115&lt;=500, 30, IF(F115&lt;=1000, 35, F115*0.035)))),
0)))</f>
        <v>0</v>
      </c>
      <c r="H115" s="159">
        <f>IF(I115="مخالفات",50,Basic3456789[[#This Row],[قيمة الرسوم / العموله]]+Basic3456789[[#This Row],[قيمة الشحنه]])</f>
        <v>0</v>
      </c>
      <c r="I115" s="90"/>
      <c r="J115" s="142" t="str">
        <f t="shared" si="1"/>
        <v>24.5.2026</v>
      </c>
      <c r="L115" s="153">
        <v>104</v>
      </c>
      <c r="M115" s="92"/>
    </row>
    <row r="116" spans="1:13" ht="21.6" x14ac:dyDescent="0.65">
      <c r="A116" s="195"/>
      <c r="B116" s="140">
        <v>113</v>
      </c>
      <c r="C116" s="2"/>
      <c r="D116" s="1"/>
      <c r="E116" s="3"/>
      <c r="F116" s="1"/>
      <c r="G116" s="141">
        <f>IF(Basic3456789[[#This Row],[نوع الخدمة]]="مخالفات", 50,
IF(Basic3456789[[#This Row],[نوع الخدمة]]="كاش ان",
    IF(F116&lt;=100, 18, IF(F116&lt;=250, 23, IF(F116&lt;=500, 35, IF(F116&lt;=1000, 40, F116*0.04)))),
IF(Basic3456789[[#This Row],[نوع الخدمة]]="كاش اوت",
    IF(F116&lt;=100, 15, IF(F116&lt;=250, 20, IF(F116&lt;=500, 30, IF(F116&lt;=1000, 35, F116*0.035)))),
0)))</f>
        <v>0</v>
      </c>
      <c r="H116" s="159">
        <f>IF(I116="مخالفات",50,Basic3456789[[#This Row],[قيمة الرسوم / العموله]]+Basic3456789[[#This Row],[قيمة الشحنه]])</f>
        <v>0</v>
      </c>
      <c r="I116" s="90"/>
      <c r="J116" s="142" t="str">
        <f t="shared" si="1"/>
        <v>24.5.2026</v>
      </c>
      <c r="L116" s="153">
        <v>105</v>
      </c>
      <c r="M116" s="92"/>
    </row>
    <row r="117" spans="1:13" ht="21.6" x14ac:dyDescent="0.65">
      <c r="A117" s="195"/>
      <c r="B117" s="144">
        <v>114</v>
      </c>
      <c r="C117" s="2"/>
      <c r="D117" s="1"/>
      <c r="E117" s="3"/>
      <c r="F117" s="1"/>
      <c r="G117" s="141">
        <f>IF(Basic3456789[[#This Row],[نوع الخدمة]]="مخالفات", 50,
IF(Basic3456789[[#This Row],[نوع الخدمة]]="كاش ان",
    IF(F117&lt;=100, 18, IF(F117&lt;=250, 23, IF(F117&lt;=500, 35, IF(F117&lt;=1000, 40, F117*0.04)))),
IF(Basic3456789[[#This Row],[نوع الخدمة]]="كاش اوت",
    IF(F117&lt;=100, 15, IF(F117&lt;=250, 20, IF(F117&lt;=500, 30, IF(F117&lt;=1000, 35, F117*0.035)))),
0)))</f>
        <v>0</v>
      </c>
      <c r="H117" s="159">
        <f>IF(I117="مخالفات",50,Basic3456789[[#This Row],[قيمة الرسوم / العموله]]+Basic3456789[[#This Row],[قيمة الشحنه]])</f>
        <v>0</v>
      </c>
      <c r="I117" s="90"/>
      <c r="J117" s="142" t="str">
        <f t="shared" si="1"/>
        <v>24.5.2026</v>
      </c>
      <c r="L117" s="153">
        <v>106</v>
      </c>
      <c r="M117" s="92"/>
    </row>
    <row r="118" spans="1:13" ht="21.6" x14ac:dyDescent="0.65">
      <c r="A118" s="195"/>
      <c r="B118" s="140">
        <v>115</v>
      </c>
      <c r="C118" s="2"/>
      <c r="D118" s="1"/>
      <c r="E118" s="3"/>
      <c r="F118" s="1"/>
      <c r="G118" s="141">
        <f>IF(Basic3456789[[#This Row],[نوع الخدمة]]="مخالفات", 50,
IF(Basic3456789[[#This Row],[نوع الخدمة]]="كاش ان",
    IF(F118&lt;=100, 18, IF(F118&lt;=250, 23, IF(F118&lt;=500, 35, IF(F118&lt;=1000, 40, F118*0.04)))),
IF(Basic3456789[[#This Row],[نوع الخدمة]]="كاش اوت",
    IF(F118&lt;=100, 15, IF(F118&lt;=250, 20, IF(F118&lt;=500, 30, IF(F118&lt;=1000, 35, F118*0.035)))),
0)))</f>
        <v>0</v>
      </c>
      <c r="H118" s="159">
        <f>IF(I118="مخالفات",50,Basic3456789[[#This Row],[قيمة الرسوم / العموله]]+Basic3456789[[#This Row],[قيمة الشحنه]])</f>
        <v>0</v>
      </c>
      <c r="I118" s="90"/>
      <c r="J118" s="142" t="str">
        <f t="shared" si="1"/>
        <v>24.5.2026</v>
      </c>
      <c r="L118" s="153">
        <v>107</v>
      </c>
      <c r="M118" s="92"/>
    </row>
    <row r="119" spans="1:13" ht="21.6" x14ac:dyDescent="0.65">
      <c r="A119" s="195"/>
      <c r="B119" s="140">
        <v>116</v>
      </c>
      <c r="C119" s="2"/>
      <c r="D119" s="1"/>
      <c r="E119" s="3"/>
      <c r="F119" s="1"/>
      <c r="G119" s="141">
        <f>IF(Basic3456789[[#This Row],[نوع الخدمة]]="مخالفات", 50,
IF(Basic3456789[[#This Row],[نوع الخدمة]]="كاش ان",
    IF(F119&lt;=100, 18, IF(F119&lt;=250, 23, IF(F119&lt;=500, 35, IF(F119&lt;=1000, 40, F119*0.04)))),
IF(Basic3456789[[#This Row],[نوع الخدمة]]="كاش اوت",
    IF(F119&lt;=100, 15, IF(F119&lt;=250, 20, IF(F119&lt;=500, 30, IF(F119&lt;=1000, 35, F119*0.035)))),
0)))</f>
        <v>0</v>
      </c>
      <c r="H119" s="159">
        <f>IF(I119="مخالفات",50,Basic3456789[[#This Row],[قيمة الرسوم / العموله]]+Basic3456789[[#This Row],[قيمة الشحنه]])</f>
        <v>0</v>
      </c>
      <c r="I119" s="90"/>
      <c r="J119" s="142" t="str">
        <f t="shared" si="1"/>
        <v>24.5.2026</v>
      </c>
      <c r="L119" s="153">
        <v>108</v>
      </c>
      <c r="M119" s="92"/>
    </row>
    <row r="120" spans="1:13" ht="21.6" x14ac:dyDescent="0.65">
      <c r="A120" s="195"/>
      <c r="B120" s="140">
        <v>117</v>
      </c>
      <c r="C120" s="2"/>
      <c r="D120" s="1"/>
      <c r="E120" s="3"/>
      <c r="F120" s="1"/>
      <c r="G120" s="141">
        <f>IF(Basic3456789[[#This Row],[نوع الخدمة]]="مخالفات", 50,
IF(Basic3456789[[#This Row],[نوع الخدمة]]="كاش ان",
    IF(F120&lt;=100, 18, IF(F120&lt;=250, 23, IF(F120&lt;=500, 35, IF(F120&lt;=1000, 40, F120*0.04)))),
IF(Basic3456789[[#This Row],[نوع الخدمة]]="كاش اوت",
    IF(F120&lt;=100, 15, IF(F120&lt;=250, 20, IF(F120&lt;=500, 30, IF(F120&lt;=1000, 35, F120*0.035)))),
0)))</f>
        <v>0</v>
      </c>
      <c r="H120" s="159">
        <f>IF(I120="مخالفات",50,Basic3456789[[#This Row],[قيمة الرسوم / العموله]]+Basic3456789[[#This Row],[قيمة الشحنه]])</f>
        <v>0</v>
      </c>
      <c r="I120" s="90"/>
      <c r="J120" s="142" t="str">
        <f t="shared" si="1"/>
        <v>24.5.2026</v>
      </c>
      <c r="L120" s="153">
        <v>109</v>
      </c>
      <c r="M120" s="92"/>
    </row>
    <row r="121" spans="1:13" ht="21.6" x14ac:dyDescent="0.65">
      <c r="A121" s="195"/>
      <c r="B121" s="144">
        <v>118</v>
      </c>
      <c r="C121" s="2"/>
      <c r="D121" s="1"/>
      <c r="E121" s="3"/>
      <c r="F121" s="1"/>
      <c r="G121" s="141">
        <f>IF(Basic3456789[[#This Row],[نوع الخدمة]]="مخالفات", 50,
IF(Basic3456789[[#This Row],[نوع الخدمة]]="كاش ان",
    IF(F121&lt;=100, 18, IF(F121&lt;=250, 23, IF(F121&lt;=500, 35, IF(F121&lt;=1000, 40, F121*0.04)))),
IF(Basic3456789[[#This Row],[نوع الخدمة]]="كاش اوت",
    IF(F121&lt;=100, 15, IF(F121&lt;=250, 20, IF(F121&lt;=500, 30, IF(F121&lt;=1000, 35, F121*0.035)))),
0)))</f>
        <v>0</v>
      </c>
      <c r="H121" s="159">
        <f>IF(I121="مخالفات",50,Basic3456789[[#This Row],[قيمة الرسوم / العموله]]+Basic3456789[[#This Row],[قيمة الشحنه]])</f>
        <v>0</v>
      </c>
      <c r="I121" s="90"/>
      <c r="J121" s="142" t="str">
        <f t="shared" si="1"/>
        <v>24.5.2026</v>
      </c>
      <c r="L121" s="153">
        <v>110</v>
      </c>
      <c r="M121" s="92"/>
    </row>
    <row r="122" spans="1:13" ht="21.6" x14ac:dyDescent="0.65">
      <c r="A122" s="195"/>
      <c r="B122" s="140">
        <v>119</v>
      </c>
      <c r="C122" s="2"/>
      <c r="D122" s="1"/>
      <c r="E122" s="3"/>
      <c r="F122" s="1"/>
      <c r="G122" s="141">
        <f>IF(Basic3456789[[#This Row],[نوع الخدمة]]="مخالفات", 50,
IF(Basic3456789[[#This Row],[نوع الخدمة]]="كاش ان",
    IF(F122&lt;=100, 18, IF(F122&lt;=250, 23, IF(F122&lt;=500, 35, IF(F122&lt;=1000, 40, F122*0.04)))),
IF(Basic3456789[[#This Row],[نوع الخدمة]]="كاش اوت",
    IF(F122&lt;=100, 15, IF(F122&lt;=250, 20, IF(F122&lt;=500, 30, IF(F122&lt;=1000, 35, F122*0.035)))),
0)))</f>
        <v>0</v>
      </c>
      <c r="H122" s="159">
        <f>IF(I122="مخالفات",50,Basic3456789[[#This Row],[قيمة الرسوم / العموله]]+Basic3456789[[#This Row],[قيمة الشحنه]])</f>
        <v>0</v>
      </c>
      <c r="I122" s="90"/>
      <c r="J122" s="142" t="str">
        <f t="shared" si="1"/>
        <v>24.5.2026</v>
      </c>
      <c r="L122" s="153">
        <v>111</v>
      </c>
      <c r="M122" s="92"/>
    </row>
    <row r="123" spans="1:13" ht="21.6" x14ac:dyDescent="0.65">
      <c r="A123" s="195"/>
      <c r="B123" s="140">
        <v>120</v>
      </c>
      <c r="C123" s="2"/>
      <c r="D123" s="1"/>
      <c r="E123" s="3"/>
      <c r="F123" s="1"/>
      <c r="G123" s="141">
        <f>IF(Basic3456789[[#This Row],[نوع الخدمة]]="مخالفات", 50,
IF(Basic3456789[[#This Row],[نوع الخدمة]]="كاش ان",
    IF(F123&lt;=100, 18, IF(F123&lt;=250, 23, IF(F123&lt;=500, 35, IF(F123&lt;=1000, 40, F123*0.04)))),
IF(Basic3456789[[#This Row],[نوع الخدمة]]="كاش اوت",
    IF(F123&lt;=100, 15, IF(F123&lt;=250, 20, IF(F123&lt;=500, 30, IF(F123&lt;=1000, 35, F123*0.035)))),
0)))</f>
        <v>0</v>
      </c>
      <c r="H123" s="159">
        <f>IF(I123="مخالفات",50,Basic3456789[[#This Row],[قيمة الرسوم / العموله]]+Basic3456789[[#This Row],[قيمة الشحنه]])</f>
        <v>0</v>
      </c>
      <c r="I123" s="90"/>
      <c r="J123" s="142" t="str">
        <f t="shared" si="1"/>
        <v>24.5.2026</v>
      </c>
      <c r="L123" s="153">
        <v>112</v>
      </c>
      <c r="M123" s="92"/>
    </row>
    <row r="124" spans="1:13" ht="21.6" x14ac:dyDescent="0.65">
      <c r="A124" s="195"/>
      <c r="B124" s="140">
        <v>121</v>
      </c>
      <c r="C124" s="2"/>
      <c r="D124" s="1"/>
      <c r="E124" s="3"/>
      <c r="F124" s="1"/>
      <c r="G124" s="141">
        <f>IF(Basic3456789[[#This Row],[نوع الخدمة]]="مخالفات", 50,
IF(Basic3456789[[#This Row],[نوع الخدمة]]="كاش ان",
    IF(F124&lt;=100, 18, IF(F124&lt;=250, 23, IF(F124&lt;=500, 35, IF(F124&lt;=1000, 40, F124*0.04)))),
IF(Basic3456789[[#This Row],[نوع الخدمة]]="كاش اوت",
    IF(F124&lt;=100, 15, IF(F124&lt;=250, 20, IF(F124&lt;=500, 30, IF(F124&lt;=1000, 35, F124*0.035)))),
0)))</f>
        <v>0</v>
      </c>
      <c r="H124" s="159">
        <f>IF(I124="مخالفات",50,Basic3456789[[#This Row],[قيمة الرسوم / العموله]]+Basic3456789[[#This Row],[قيمة الشحنه]])</f>
        <v>0</v>
      </c>
      <c r="I124" s="90"/>
      <c r="J124" s="142" t="str">
        <f t="shared" si="1"/>
        <v>24.5.2026</v>
      </c>
      <c r="L124" s="153">
        <v>113</v>
      </c>
      <c r="M124" s="92"/>
    </row>
    <row r="125" spans="1:13" ht="21.6" x14ac:dyDescent="0.65">
      <c r="A125" s="195"/>
      <c r="B125" s="144">
        <v>122</v>
      </c>
      <c r="C125" s="2"/>
      <c r="D125" s="1"/>
      <c r="E125" s="3"/>
      <c r="F125" s="1"/>
      <c r="G125" s="141">
        <f>IF(Basic3456789[[#This Row],[نوع الخدمة]]="مخالفات", 50,
IF(Basic3456789[[#This Row],[نوع الخدمة]]="كاش ان",
    IF(F125&lt;=100, 18, IF(F125&lt;=250, 23, IF(F125&lt;=500, 35, IF(F125&lt;=1000, 40, F125*0.04)))),
IF(Basic3456789[[#This Row],[نوع الخدمة]]="كاش اوت",
    IF(F125&lt;=100, 15, IF(F125&lt;=250, 20, IF(F125&lt;=500, 30, IF(F125&lt;=1000, 35, F125*0.035)))),
0)))</f>
        <v>0</v>
      </c>
      <c r="H125" s="159">
        <f>IF(I125="مخالفات",50,Basic3456789[[#This Row],[قيمة الرسوم / العموله]]+Basic3456789[[#This Row],[قيمة الشحنه]])</f>
        <v>0</v>
      </c>
      <c r="I125" s="90"/>
      <c r="J125" s="142" t="str">
        <f t="shared" si="1"/>
        <v>24.5.2026</v>
      </c>
      <c r="L125" s="153">
        <v>114</v>
      </c>
      <c r="M125" s="92"/>
    </row>
    <row r="126" spans="1:13" ht="21.6" x14ac:dyDescent="0.65">
      <c r="A126" s="195"/>
      <c r="B126" s="140">
        <v>123</v>
      </c>
      <c r="C126" s="2"/>
      <c r="D126" s="1"/>
      <c r="E126" s="3"/>
      <c r="F126" s="1"/>
      <c r="G126" s="141">
        <f>IF(Basic3456789[[#This Row],[نوع الخدمة]]="مخالفات", 50,
IF(Basic3456789[[#This Row],[نوع الخدمة]]="كاش ان",
    IF(F126&lt;=100, 18, IF(F126&lt;=250, 23, IF(F126&lt;=500, 35, IF(F126&lt;=1000, 40, F126*0.04)))),
IF(Basic3456789[[#This Row],[نوع الخدمة]]="كاش اوت",
    IF(F126&lt;=100, 15, IF(F126&lt;=250, 20, IF(F126&lt;=500, 30, IF(F126&lt;=1000, 35, F126*0.035)))),
0)))</f>
        <v>0</v>
      </c>
      <c r="H126" s="159">
        <f>IF(I126="مخالفات",50,Basic3456789[[#This Row],[قيمة الرسوم / العموله]]+Basic3456789[[#This Row],[قيمة الشحنه]])</f>
        <v>0</v>
      </c>
      <c r="I126" s="90"/>
      <c r="J126" s="142" t="str">
        <f t="shared" si="1"/>
        <v>24.5.2026</v>
      </c>
      <c r="L126" s="153">
        <v>115</v>
      </c>
      <c r="M126" s="92"/>
    </row>
    <row r="127" spans="1:13" ht="21.6" x14ac:dyDescent="0.65">
      <c r="A127" s="195"/>
      <c r="B127" s="140">
        <v>124</v>
      </c>
      <c r="C127" s="2"/>
      <c r="D127" s="1"/>
      <c r="E127" s="3"/>
      <c r="F127" s="1"/>
      <c r="G127" s="141">
        <f>IF(Basic3456789[[#This Row],[نوع الخدمة]]="مخالفات", 50,
IF(Basic3456789[[#This Row],[نوع الخدمة]]="كاش ان",
    IF(F127&lt;=100, 18, IF(F127&lt;=250, 23, IF(F127&lt;=500, 35, IF(F127&lt;=1000, 40, F127*0.04)))),
IF(Basic3456789[[#This Row],[نوع الخدمة]]="كاش اوت",
    IF(F127&lt;=100, 15, IF(F127&lt;=250, 20, IF(F127&lt;=500, 30, IF(F127&lt;=1000, 35, F127*0.035)))),
0)))</f>
        <v>0</v>
      </c>
      <c r="H127" s="159">
        <f>IF(I127="مخالفات",50,Basic3456789[[#This Row],[قيمة الرسوم / العموله]]+Basic3456789[[#This Row],[قيمة الشحنه]])</f>
        <v>0</v>
      </c>
      <c r="I127" s="90"/>
      <c r="J127" s="142" t="str">
        <f t="shared" si="1"/>
        <v>24.5.2026</v>
      </c>
      <c r="L127" s="153">
        <v>116</v>
      </c>
      <c r="M127" s="92"/>
    </row>
    <row r="128" spans="1:13" ht="21.6" x14ac:dyDescent="0.65">
      <c r="A128" s="195"/>
      <c r="B128" s="140">
        <v>125</v>
      </c>
      <c r="C128" s="2"/>
      <c r="D128" s="1"/>
      <c r="E128" s="3"/>
      <c r="F128" s="1"/>
      <c r="G128" s="141">
        <f>IF(Basic3456789[[#This Row],[نوع الخدمة]]="مخالفات", 50,
IF(Basic3456789[[#This Row],[نوع الخدمة]]="كاش ان",
    IF(F128&lt;=100, 18, IF(F128&lt;=250, 23, IF(F128&lt;=500, 35, IF(F128&lt;=1000, 40, F128*0.04)))),
IF(Basic3456789[[#This Row],[نوع الخدمة]]="كاش اوت",
    IF(F128&lt;=100, 15, IF(F128&lt;=250, 20, IF(F128&lt;=500, 30, IF(F128&lt;=1000, 35, F128*0.035)))),
0)))</f>
        <v>0</v>
      </c>
      <c r="H128" s="159">
        <f>IF(I128="مخالفات",50,Basic3456789[[#This Row],[قيمة الرسوم / العموله]]+Basic3456789[[#This Row],[قيمة الشحنه]])</f>
        <v>0</v>
      </c>
      <c r="I128" s="90"/>
      <c r="J128" s="142" t="str">
        <f t="shared" si="1"/>
        <v>24.5.2026</v>
      </c>
      <c r="L128" s="153">
        <v>117</v>
      </c>
      <c r="M128" s="92"/>
    </row>
    <row r="129" spans="1:13" ht="21.6" x14ac:dyDescent="0.65">
      <c r="A129" s="195"/>
      <c r="B129" s="144">
        <v>126</v>
      </c>
      <c r="C129" s="2"/>
      <c r="D129" s="1"/>
      <c r="E129" s="3"/>
      <c r="F129" s="1"/>
      <c r="G129" s="141">
        <f>IF(Basic3456789[[#This Row],[نوع الخدمة]]="مخالفات", 50,
IF(Basic3456789[[#This Row],[نوع الخدمة]]="كاش ان",
    IF(F129&lt;=100, 18, IF(F129&lt;=250, 23, IF(F129&lt;=500, 35, IF(F129&lt;=1000, 40, F129*0.04)))),
IF(Basic3456789[[#This Row],[نوع الخدمة]]="كاش اوت",
    IF(F129&lt;=100, 15, IF(F129&lt;=250, 20, IF(F129&lt;=500, 30, IF(F129&lt;=1000, 35, F129*0.035)))),
0)))</f>
        <v>0</v>
      </c>
      <c r="H129" s="159">
        <f>IF(I129="مخالفات",50,Basic3456789[[#This Row],[قيمة الرسوم / العموله]]+Basic3456789[[#This Row],[قيمة الشحنه]])</f>
        <v>0</v>
      </c>
      <c r="I129" s="90"/>
      <c r="J129" s="142" t="str">
        <f t="shared" si="1"/>
        <v>24.5.2026</v>
      </c>
      <c r="L129" s="153">
        <v>118</v>
      </c>
      <c r="M129" s="92"/>
    </row>
    <row r="130" spans="1:13" ht="21.6" x14ac:dyDescent="0.65">
      <c r="A130" s="195"/>
      <c r="B130" s="140">
        <v>127</v>
      </c>
      <c r="C130" s="2"/>
      <c r="D130" s="1"/>
      <c r="E130" s="3"/>
      <c r="F130" s="1"/>
      <c r="G130" s="141">
        <f>IF(Basic3456789[[#This Row],[نوع الخدمة]]="مخالفات", 50,
IF(Basic3456789[[#This Row],[نوع الخدمة]]="كاش ان",
    IF(F130&lt;=100, 18, IF(F130&lt;=250, 23, IF(F130&lt;=500, 35, IF(F130&lt;=1000, 40, F130*0.04)))),
IF(Basic3456789[[#This Row],[نوع الخدمة]]="كاش اوت",
    IF(F130&lt;=100, 15, IF(F130&lt;=250, 20, IF(F130&lt;=500, 30, IF(F130&lt;=1000, 35, F130*0.035)))),
0)))</f>
        <v>0</v>
      </c>
      <c r="H130" s="159">
        <f>IF(I130="مخالفات",50,Basic3456789[[#This Row],[قيمة الرسوم / العموله]]+Basic3456789[[#This Row],[قيمة الشحنه]])</f>
        <v>0</v>
      </c>
      <c r="I130" s="90"/>
      <c r="J130" s="142" t="str">
        <f t="shared" si="1"/>
        <v>24.5.2026</v>
      </c>
      <c r="L130" s="153">
        <v>119</v>
      </c>
      <c r="M130" s="92"/>
    </row>
    <row r="131" spans="1:13" ht="21.6" x14ac:dyDescent="0.65">
      <c r="A131" s="195"/>
      <c r="B131" s="140">
        <v>128</v>
      </c>
      <c r="C131" s="2"/>
      <c r="D131" s="1"/>
      <c r="E131" s="3"/>
      <c r="F131" s="1"/>
      <c r="G131" s="141">
        <f>IF(Basic3456789[[#This Row],[نوع الخدمة]]="مخالفات", 50,
IF(Basic3456789[[#This Row],[نوع الخدمة]]="كاش ان",
    IF(F131&lt;=100, 18, IF(F131&lt;=250, 23, IF(F131&lt;=500, 35, IF(F131&lt;=1000, 40, F131*0.04)))),
IF(Basic3456789[[#This Row],[نوع الخدمة]]="كاش اوت",
    IF(F131&lt;=100, 15, IF(F131&lt;=250, 20, IF(F131&lt;=500, 30, IF(F131&lt;=1000, 35, F131*0.035)))),
0)))</f>
        <v>0</v>
      </c>
      <c r="H131" s="159">
        <f>IF(I131="مخالفات",50,Basic3456789[[#This Row],[قيمة الرسوم / العموله]]+Basic3456789[[#This Row],[قيمة الشحنه]])</f>
        <v>0</v>
      </c>
      <c r="I131" s="90"/>
      <c r="J131" s="142" t="str">
        <f t="shared" si="1"/>
        <v>24.5.2026</v>
      </c>
      <c r="L131" s="153">
        <v>120</v>
      </c>
      <c r="M131" s="92"/>
    </row>
    <row r="132" spans="1:13" ht="21.6" x14ac:dyDescent="0.65">
      <c r="A132" s="195"/>
      <c r="B132" s="140">
        <v>129</v>
      </c>
      <c r="C132" s="2"/>
      <c r="D132" s="1"/>
      <c r="E132" s="3"/>
      <c r="F132" s="1"/>
      <c r="G132" s="141">
        <f>IF(Basic3456789[[#This Row],[نوع الخدمة]]="مخالفات", 50,
IF(Basic3456789[[#This Row],[نوع الخدمة]]="كاش ان",
    IF(F132&lt;=100, 18, IF(F132&lt;=250, 23, IF(F132&lt;=500, 35, IF(F132&lt;=1000, 40, F132*0.04)))),
IF(Basic3456789[[#This Row],[نوع الخدمة]]="كاش اوت",
    IF(F132&lt;=100, 15, IF(F132&lt;=250, 20, IF(F132&lt;=500, 30, IF(F132&lt;=1000, 35, F132*0.035)))),
0)))</f>
        <v>0</v>
      </c>
      <c r="H132" s="159">
        <f>IF(I132="مخالفات",50,Basic3456789[[#This Row],[قيمة الرسوم / العموله]]+Basic3456789[[#This Row],[قيمة الشحنه]])</f>
        <v>0</v>
      </c>
      <c r="I132" s="90"/>
      <c r="J132" s="142" t="str">
        <f t="shared" ref="J132:J195" si="2">M$3</f>
        <v>24.5.2026</v>
      </c>
      <c r="L132" s="153">
        <v>121</v>
      </c>
      <c r="M132" s="92"/>
    </row>
    <row r="133" spans="1:13" ht="21.6" x14ac:dyDescent="0.65">
      <c r="A133" s="195"/>
      <c r="B133" s="144">
        <v>130</v>
      </c>
      <c r="C133" s="2"/>
      <c r="D133" s="1"/>
      <c r="E133" s="3"/>
      <c r="F133" s="1"/>
      <c r="G133" s="141">
        <f>IF(Basic3456789[[#This Row],[نوع الخدمة]]="مخالفات", 50,
IF(Basic3456789[[#This Row],[نوع الخدمة]]="كاش ان",
    IF(F133&lt;=100, 18, IF(F133&lt;=250, 23, IF(F133&lt;=500, 35, IF(F133&lt;=1000, 40, F133*0.04)))),
IF(Basic3456789[[#This Row],[نوع الخدمة]]="كاش اوت",
    IF(F133&lt;=100, 15, IF(F133&lt;=250, 20, IF(F133&lt;=500, 30, IF(F133&lt;=1000, 35, F133*0.035)))),
0)))</f>
        <v>0</v>
      </c>
      <c r="H133" s="159">
        <f>IF(I133="مخالفات",50,Basic3456789[[#This Row],[قيمة الرسوم / العموله]]+Basic3456789[[#This Row],[قيمة الشحنه]])</f>
        <v>0</v>
      </c>
      <c r="I133" s="90"/>
      <c r="J133" s="142" t="str">
        <f t="shared" si="2"/>
        <v>24.5.2026</v>
      </c>
      <c r="L133" s="153">
        <v>122</v>
      </c>
      <c r="M133" s="92"/>
    </row>
    <row r="134" spans="1:13" ht="21.6" x14ac:dyDescent="0.65">
      <c r="A134" s="195"/>
      <c r="B134" s="140">
        <v>131</v>
      </c>
      <c r="C134" s="2"/>
      <c r="D134" s="1"/>
      <c r="E134" s="3"/>
      <c r="F134" s="1"/>
      <c r="G134" s="141">
        <f>IF(Basic3456789[[#This Row],[نوع الخدمة]]="مخالفات", 50,
IF(Basic3456789[[#This Row],[نوع الخدمة]]="كاش ان",
    IF(F134&lt;=100, 18, IF(F134&lt;=250, 23, IF(F134&lt;=500, 35, IF(F134&lt;=1000, 40, F134*0.04)))),
IF(Basic3456789[[#This Row],[نوع الخدمة]]="كاش اوت",
    IF(F134&lt;=100, 15, IF(F134&lt;=250, 20, IF(F134&lt;=500, 30, IF(F134&lt;=1000, 35, F134*0.035)))),
0)))</f>
        <v>0</v>
      </c>
      <c r="H134" s="159">
        <f>IF(I134="مخالفات",50,Basic3456789[[#This Row],[قيمة الرسوم / العموله]]+Basic3456789[[#This Row],[قيمة الشحنه]])</f>
        <v>0</v>
      </c>
      <c r="I134" s="90"/>
      <c r="J134" s="142" t="str">
        <f t="shared" si="2"/>
        <v>24.5.2026</v>
      </c>
      <c r="L134" s="153">
        <v>123</v>
      </c>
      <c r="M134" s="92"/>
    </row>
    <row r="135" spans="1:13" ht="21.6" x14ac:dyDescent="0.65">
      <c r="A135" s="195"/>
      <c r="B135" s="140">
        <v>132</v>
      </c>
      <c r="C135" s="2"/>
      <c r="D135" s="1"/>
      <c r="E135" s="3"/>
      <c r="F135" s="1"/>
      <c r="G135" s="141">
        <f>IF(Basic3456789[[#This Row],[نوع الخدمة]]="مخالفات", 50,
IF(Basic3456789[[#This Row],[نوع الخدمة]]="كاش ان",
    IF(F135&lt;=100, 18, IF(F135&lt;=250, 23, IF(F135&lt;=500, 35, IF(F135&lt;=1000, 40, F135*0.04)))),
IF(Basic3456789[[#This Row],[نوع الخدمة]]="كاش اوت",
    IF(F135&lt;=100, 15, IF(F135&lt;=250, 20, IF(F135&lt;=500, 30, IF(F135&lt;=1000, 35, F135*0.035)))),
0)))</f>
        <v>0</v>
      </c>
      <c r="H135" s="159">
        <f>IF(I135="مخالفات",50,Basic3456789[[#This Row],[قيمة الرسوم / العموله]]+Basic3456789[[#This Row],[قيمة الشحنه]])</f>
        <v>0</v>
      </c>
      <c r="I135" s="90"/>
      <c r="J135" s="142" t="str">
        <f t="shared" si="2"/>
        <v>24.5.2026</v>
      </c>
      <c r="L135" s="153">
        <v>124</v>
      </c>
      <c r="M135" s="92"/>
    </row>
    <row r="136" spans="1:13" ht="21.6" x14ac:dyDescent="0.65">
      <c r="A136" s="195"/>
      <c r="B136" s="140">
        <v>133</v>
      </c>
      <c r="C136" s="2"/>
      <c r="D136" s="1"/>
      <c r="E136" s="3"/>
      <c r="F136" s="1"/>
      <c r="G136" s="141">
        <f>IF(Basic3456789[[#This Row],[نوع الخدمة]]="مخالفات", 50,
IF(Basic3456789[[#This Row],[نوع الخدمة]]="كاش ان",
    IF(F136&lt;=100, 18, IF(F136&lt;=250, 23, IF(F136&lt;=500, 35, IF(F136&lt;=1000, 40, F136*0.04)))),
IF(Basic3456789[[#This Row],[نوع الخدمة]]="كاش اوت",
    IF(F136&lt;=100, 15, IF(F136&lt;=250, 20, IF(F136&lt;=500, 30, IF(F136&lt;=1000, 35, F136*0.035)))),
0)))</f>
        <v>0</v>
      </c>
      <c r="H136" s="159">
        <f>IF(I136="مخالفات",50,Basic3456789[[#This Row],[قيمة الرسوم / العموله]]+Basic3456789[[#This Row],[قيمة الشحنه]])</f>
        <v>0</v>
      </c>
      <c r="I136" s="90"/>
      <c r="J136" s="142" t="str">
        <f t="shared" si="2"/>
        <v>24.5.2026</v>
      </c>
      <c r="L136" s="153">
        <v>125</v>
      </c>
      <c r="M136" s="92"/>
    </row>
    <row r="137" spans="1:13" ht="21.6" x14ac:dyDescent="0.65">
      <c r="A137" s="195"/>
      <c r="B137" s="144">
        <v>134</v>
      </c>
      <c r="C137" s="2"/>
      <c r="D137" s="1"/>
      <c r="E137" s="3"/>
      <c r="F137" s="1"/>
      <c r="G137" s="141">
        <f>IF(Basic3456789[[#This Row],[نوع الخدمة]]="مخالفات", 50,
IF(Basic3456789[[#This Row],[نوع الخدمة]]="كاش ان",
    IF(F137&lt;=100, 18, IF(F137&lt;=250, 23, IF(F137&lt;=500, 35, IF(F137&lt;=1000, 40, F137*0.04)))),
IF(Basic3456789[[#This Row],[نوع الخدمة]]="كاش اوت",
    IF(F137&lt;=100, 15, IF(F137&lt;=250, 20, IF(F137&lt;=500, 30, IF(F137&lt;=1000, 35, F137*0.035)))),
0)))</f>
        <v>0</v>
      </c>
      <c r="H137" s="159">
        <f>IF(I137="مخالفات",50,Basic3456789[[#This Row],[قيمة الرسوم / العموله]]+Basic3456789[[#This Row],[قيمة الشحنه]])</f>
        <v>0</v>
      </c>
      <c r="I137" s="90"/>
      <c r="J137" s="142" t="str">
        <f t="shared" si="2"/>
        <v>24.5.2026</v>
      </c>
      <c r="L137" s="153">
        <v>126</v>
      </c>
      <c r="M137" s="92"/>
    </row>
    <row r="138" spans="1:13" ht="21.6" x14ac:dyDescent="0.65">
      <c r="A138" s="195"/>
      <c r="B138" s="140">
        <v>135</v>
      </c>
      <c r="C138" s="2"/>
      <c r="D138" s="1"/>
      <c r="E138" s="3"/>
      <c r="F138" s="1"/>
      <c r="G138" s="141">
        <f>IF(Basic3456789[[#This Row],[نوع الخدمة]]="مخالفات", 50,
IF(Basic3456789[[#This Row],[نوع الخدمة]]="كاش ان",
    IF(F138&lt;=100, 18, IF(F138&lt;=250, 23, IF(F138&lt;=500, 35, IF(F138&lt;=1000, 40, F138*0.04)))),
IF(Basic3456789[[#This Row],[نوع الخدمة]]="كاش اوت",
    IF(F138&lt;=100, 15, IF(F138&lt;=250, 20, IF(F138&lt;=500, 30, IF(F138&lt;=1000, 35, F138*0.035)))),
0)))</f>
        <v>0</v>
      </c>
      <c r="H138" s="159">
        <f>IF(I138="مخالفات",50,Basic3456789[[#This Row],[قيمة الرسوم / العموله]]+Basic3456789[[#This Row],[قيمة الشحنه]])</f>
        <v>0</v>
      </c>
      <c r="I138" s="90"/>
      <c r="J138" s="142" t="str">
        <f t="shared" si="2"/>
        <v>24.5.2026</v>
      </c>
      <c r="L138" s="153">
        <v>127</v>
      </c>
      <c r="M138" s="92"/>
    </row>
    <row r="139" spans="1:13" ht="21.6" x14ac:dyDescent="0.65">
      <c r="A139" s="195"/>
      <c r="B139" s="140">
        <v>136</v>
      </c>
      <c r="C139" s="2"/>
      <c r="D139" s="1"/>
      <c r="E139" s="3"/>
      <c r="F139" s="1"/>
      <c r="G139" s="141">
        <f>IF(Basic3456789[[#This Row],[نوع الخدمة]]="مخالفات", 50,
IF(Basic3456789[[#This Row],[نوع الخدمة]]="كاش ان",
    IF(F139&lt;=100, 18, IF(F139&lt;=250, 23, IF(F139&lt;=500, 35, IF(F139&lt;=1000, 40, F139*0.04)))),
IF(Basic3456789[[#This Row],[نوع الخدمة]]="كاش اوت",
    IF(F139&lt;=100, 15, IF(F139&lt;=250, 20, IF(F139&lt;=500, 30, IF(F139&lt;=1000, 35, F139*0.035)))),
0)))</f>
        <v>0</v>
      </c>
      <c r="H139" s="159">
        <f>IF(I139="مخالفات",50,Basic3456789[[#This Row],[قيمة الرسوم / العموله]]+Basic3456789[[#This Row],[قيمة الشحنه]])</f>
        <v>0</v>
      </c>
      <c r="I139" s="90"/>
      <c r="J139" s="142" t="str">
        <f t="shared" si="2"/>
        <v>24.5.2026</v>
      </c>
      <c r="L139" s="153">
        <v>128</v>
      </c>
      <c r="M139" s="92"/>
    </row>
    <row r="140" spans="1:13" ht="21.6" x14ac:dyDescent="0.65">
      <c r="A140" s="195"/>
      <c r="B140" s="140">
        <v>137</v>
      </c>
      <c r="C140" s="2"/>
      <c r="D140" s="1"/>
      <c r="E140" s="3"/>
      <c r="F140" s="1"/>
      <c r="G140" s="141">
        <f>IF(Basic3456789[[#This Row],[نوع الخدمة]]="مخالفات", 50,
IF(Basic3456789[[#This Row],[نوع الخدمة]]="كاش ان",
    IF(F140&lt;=100, 18, IF(F140&lt;=250, 23, IF(F140&lt;=500, 35, IF(F140&lt;=1000, 40, F140*0.04)))),
IF(Basic3456789[[#This Row],[نوع الخدمة]]="كاش اوت",
    IF(F140&lt;=100, 15, IF(F140&lt;=250, 20, IF(F140&lt;=500, 30, IF(F140&lt;=1000, 35, F140*0.035)))),
0)))</f>
        <v>0</v>
      </c>
      <c r="H140" s="159">
        <f>IF(I140="مخالفات",50,Basic3456789[[#This Row],[قيمة الرسوم / العموله]]+Basic3456789[[#This Row],[قيمة الشحنه]])</f>
        <v>0</v>
      </c>
      <c r="I140" s="90"/>
      <c r="J140" s="142" t="str">
        <f t="shared" si="2"/>
        <v>24.5.2026</v>
      </c>
      <c r="L140" s="153">
        <v>129</v>
      </c>
      <c r="M140" s="92"/>
    </row>
    <row r="141" spans="1:13" ht="21.6" x14ac:dyDescent="0.65">
      <c r="A141" s="195"/>
      <c r="B141" s="144">
        <v>138</v>
      </c>
      <c r="C141" s="2"/>
      <c r="D141" s="1"/>
      <c r="E141" s="3"/>
      <c r="F141" s="1"/>
      <c r="G141" s="141">
        <f>IF(Basic3456789[[#This Row],[نوع الخدمة]]="مخالفات", 50,
IF(Basic3456789[[#This Row],[نوع الخدمة]]="كاش ان",
    IF(F141&lt;=100, 18, IF(F141&lt;=250, 23, IF(F141&lt;=500, 35, IF(F141&lt;=1000, 40, F141*0.04)))),
IF(Basic3456789[[#This Row],[نوع الخدمة]]="كاش اوت",
    IF(F141&lt;=100, 15, IF(F141&lt;=250, 20, IF(F141&lt;=500, 30, IF(F141&lt;=1000, 35, F141*0.035)))),
0)))</f>
        <v>0</v>
      </c>
      <c r="H141" s="159">
        <f>IF(I141="مخالفات",50,Basic3456789[[#This Row],[قيمة الرسوم / العموله]]+Basic3456789[[#This Row],[قيمة الشحنه]])</f>
        <v>0</v>
      </c>
      <c r="I141" s="90"/>
      <c r="J141" s="142" t="str">
        <f t="shared" si="2"/>
        <v>24.5.2026</v>
      </c>
      <c r="L141" s="153">
        <v>130</v>
      </c>
      <c r="M141" s="92"/>
    </row>
    <row r="142" spans="1:13" ht="21.6" x14ac:dyDescent="0.65">
      <c r="A142" s="195"/>
      <c r="B142" s="140">
        <v>139</v>
      </c>
      <c r="C142" s="2"/>
      <c r="D142" s="1"/>
      <c r="E142" s="3"/>
      <c r="F142" s="1"/>
      <c r="G142" s="141">
        <f>IF(Basic3456789[[#This Row],[نوع الخدمة]]="مخالفات", 50,
IF(Basic3456789[[#This Row],[نوع الخدمة]]="كاش ان",
    IF(F142&lt;=100, 18, IF(F142&lt;=250, 23, IF(F142&lt;=500, 35, IF(F142&lt;=1000, 40, F142*0.04)))),
IF(Basic3456789[[#This Row],[نوع الخدمة]]="كاش اوت",
    IF(F142&lt;=100, 15, IF(F142&lt;=250, 20, IF(F142&lt;=500, 30, IF(F142&lt;=1000, 35, F142*0.035)))),
0)))</f>
        <v>0</v>
      </c>
      <c r="H142" s="159">
        <f>IF(I142="مخالفات",50,Basic3456789[[#This Row],[قيمة الرسوم / العموله]]+Basic3456789[[#This Row],[قيمة الشحنه]])</f>
        <v>0</v>
      </c>
      <c r="I142" s="90"/>
      <c r="J142" s="142" t="str">
        <f t="shared" si="2"/>
        <v>24.5.2026</v>
      </c>
      <c r="L142" s="153">
        <v>131</v>
      </c>
      <c r="M142" s="92"/>
    </row>
    <row r="143" spans="1:13" ht="21.6" x14ac:dyDescent="0.65">
      <c r="A143" s="195"/>
      <c r="B143" s="140">
        <v>140</v>
      </c>
      <c r="C143" s="2"/>
      <c r="D143" s="1"/>
      <c r="E143" s="3"/>
      <c r="F143" s="1"/>
      <c r="G143" s="141">
        <f>IF(Basic3456789[[#This Row],[نوع الخدمة]]="مخالفات", 50,
IF(Basic3456789[[#This Row],[نوع الخدمة]]="كاش ان",
    IF(F143&lt;=100, 18, IF(F143&lt;=250, 23, IF(F143&lt;=500, 35, IF(F143&lt;=1000, 40, F143*0.04)))),
IF(Basic3456789[[#This Row],[نوع الخدمة]]="كاش اوت",
    IF(F143&lt;=100, 15, IF(F143&lt;=250, 20, IF(F143&lt;=500, 30, IF(F143&lt;=1000, 35, F143*0.035)))),
0)))</f>
        <v>0</v>
      </c>
      <c r="H143" s="159">
        <f>IF(I143="مخالفات",50,Basic3456789[[#This Row],[قيمة الرسوم / العموله]]+Basic3456789[[#This Row],[قيمة الشحنه]])</f>
        <v>0</v>
      </c>
      <c r="I143" s="90"/>
      <c r="J143" s="142" t="str">
        <f t="shared" si="2"/>
        <v>24.5.2026</v>
      </c>
      <c r="L143" s="153">
        <v>132</v>
      </c>
      <c r="M143" s="92"/>
    </row>
    <row r="144" spans="1:13" ht="21.6" x14ac:dyDescent="0.65">
      <c r="A144" s="195"/>
      <c r="B144" s="140">
        <v>141</v>
      </c>
      <c r="C144" s="2"/>
      <c r="D144" s="1"/>
      <c r="E144" s="3"/>
      <c r="F144" s="1"/>
      <c r="G144" s="141">
        <f>IF(Basic3456789[[#This Row],[نوع الخدمة]]="مخالفات", 50,
IF(Basic3456789[[#This Row],[نوع الخدمة]]="كاش ان",
    IF(F144&lt;=100, 18, IF(F144&lt;=250, 23, IF(F144&lt;=500, 35, IF(F144&lt;=1000, 40, F144*0.04)))),
IF(Basic3456789[[#This Row],[نوع الخدمة]]="كاش اوت",
    IF(F144&lt;=100, 15, IF(F144&lt;=250, 20, IF(F144&lt;=500, 30, IF(F144&lt;=1000, 35, F144*0.035)))),
0)))</f>
        <v>0</v>
      </c>
      <c r="H144" s="159">
        <f>IF(I144="مخالفات",50,Basic3456789[[#This Row],[قيمة الرسوم / العموله]]+Basic3456789[[#This Row],[قيمة الشحنه]])</f>
        <v>0</v>
      </c>
      <c r="I144" s="90"/>
      <c r="J144" s="142" t="str">
        <f t="shared" si="2"/>
        <v>24.5.2026</v>
      </c>
      <c r="L144" s="153">
        <v>133</v>
      </c>
      <c r="M144" s="92"/>
    </row>
    <row r="145" spans="1:13" ht="21.6" x14ac:dyDescent="0.65">
      <c r="A145" s="195"/>
      <c r="B145" s="144">
        <v>142</v>
      </c>
      <c r="C145" s="2"/>
      <c r="D145" s="1"/>
      <c r="E145" s="3"/>
      <c r="F145" s="1"/>
      <c r="G145" s="141">
        <f>IF(Basic3456789[[#This Row],[نوع الخدمة]]="مخالفات", 50,
IF(Basic3456789[[#This Row],[نوع الخدمة]]="كاش ان",
    IF(F145&lt;=100, 18, IF(F145&lt;=250, 23, IF(F145&lt;=500, 35, IF(F145&lt;=1000, 40, F145*0.04)))),
IF(Basic3456789[[#This Row],[نوع الخدمة]]="كاش اوت",
    IF(F145&lt;=100, 15, IF(F145&lt;=250, 20, IF(F145&lt;=500, 30, IF(F145&lt;=1000, 35, F145*0.035)))),
0)))</f>
        <v>0</v>
      </c>
      <c r="H145" s="159">
        <f>IF(I145="مخالفات",50,Basic3456789[[#This Row],[قيمة الرسوم / العموله]]+Basic3456789[[#This Row],[قيمة الشحنه]])</f>
        <v>0</v>
      </c>
      <c r="I145" s="90"/>
      <c r="J145" s="142" t="str">
        <f t="shared" si="2"/>
        <v>24.5.2026</v>
      </c>
      <c r="L145" s="153">
        <v>134</v>
      </c>
      <c r="M145" s="92"/>
    </row>
    <row r="146" spans="1:13" ht="21.6" x14ac:dyDescent="0.65">
      <c r="A146" s="195"/>
      <c r="B146" s="140">
        <v>143</v>
      </c>
      <c r="C146" s="2"/>
      <c r="D146" s="1"/>
      <c r="E146" s="3"/>
      <c r="F146" s="1"/>
      <c r="G146" s="141">
        <f>IF(Basic3456789[[#This Row],[نوع الخدمة]]="مخالفات", 50,
IF(Basic3456789[[#This Row],[نوع الخدمة]]="كاش ان",
    IF(F146&lt;=100, 18, IF(F146&lt;=250, 23, IF(F146&lt;=500, 35, IF(F146&lt;=1000, 40, F146*0.04)))),
IF(Basic3456789[[#This Row],[نوع الخدمة]]="كاش اوت",
    IF(F146&lt;=100, 15, IF(F146&lt;=250, 20, IF(F146&lt;=500, 30, IF(F146&lt;=1000, 35, F146*0.035)))),
0)))</f>
        <v>0</v>
      </c>
      <c r="H146" s="159">
        <f>IF(I146="مخالفات",50,Basic3456789[[#This Row],[قيمة الرسوم / العموله]]+Basic3456789[[#This Row],[قيمة الشحنه]])</f>
        <v>0</v>
      </c>
      <c r="I146" s="90"/>
      <c r="J146" s="142" t="str">
        <f t="shared" si="2"/>
        <v>24.5.2026</v>
      </c>
      <c r="L146" s="153">
        <v>135</v>
      </c>
      <c r="M146" s="92"/>
    </row>
    <row r="147" spans="1:13" ht="21.6" x14ac:dyDescent="0.65">
      <c r="A147" s="195"/>
      <c r="B147" s="140">
        <v>144</v>
      </c>
      <c r="C147" s="2"/>
      <c r="D147" s="1"/>
      <c r="E147" s="3"/>
      <c r="F147" s="1"/>
      <c r="G147" s="141">
        <f>IF(Basic3456789[[#This Row],[نوع الخدمة]]="مخالفات", 50,
IF(Basic3456789[[#This Row],[نوع الخدمة]]="كاش ان",
    IF(F147&lt;=100, 18, IF(F147&lt;=250, 23, IF(F147&lt;=500, 35, IF(F147&lt;=1000, 40, F147*0.04)))),
IF(Basic3456789[[#This Row],[نوع الخدمة]]="كاش اوت",
    IF(F147&lt;=100, 15, IF(F147&lt;=250, 20, IF(F147&lt;=500, 30, IF(F147&lt;=1000, 35, F147*0.035)))),
0)))</f>
        <v>0</v>
      </c>
      <c r="H147" s="159">
        <f>IF(I147="مخالفات",50,Basic3456789[[#This Row],[قيمة الرسوم / العموله]]+Basic3456789[[#This Row],[قيمة الشحنه]])</f>
        <v>0</v>
      </c>
      <c r="I147" s="90"/>
      <c r="J147" s="142" t="str">
        <f t="shared" si="2"/>
        <v>24.5.2026</v>
      </c>
      <c r="L147" s="153">
        <v>136</v>
      </c>
      <c r="M147" s="92"/>
    </row>
    <row r="148" spans="1:13" ht="21.6" x14ac:dyDescent="0.65">
      <c r="A148" s="195"/>
      <c r="B148" s="140">
        <v>145</v>
      </c>
      <c r="C148" s="2"/>
      <c r="D148" s="1"/>
      <c r="E148" s="3"/>
      <c r="F148" s="1"/>
      <c r="G148" s="141">
        <f>IF(Basic3456789[[#This Row],[نوع الخدمة]]="مخالفات", 50,
IF(Basic3456789[[#This Row],[نوع الخدمة]]="كاش ان",
    IF(F148&lt;=100, 18, IF(F148&lt;=250, 23, IF(F148&lt;=500, 35, IF(F148&lt;=1000, 40, F148*0.04)))),
IF(Basic3456789[[#This Row],[نوع الخدمة]]="كاش اوت",
    IF(F148&lt;=100, 15, IF(F148&lt;=250, 20, IF(F148&lt;=500, 30, IF(F148&lt;=1000, 35, F148*0.035)))),
0)))</f>
        <v>0</v>
      </c>
      <c r="H148" s="159">
        <f>IF(I148="مخالفات",50,Basic3456789[[#This Row],[قيمة الرسوم / العموله]]+Basic3456789[[#This Row],[قيمة الشحنه]])</f>
        <v>0</v>
      </c>
      <c r="I148" s="90"/>
      <c r="J148" s="142" t="str">
        <f t="shared" si="2"/>
        <v>24.5.2026</v>
      </c>
      <c r="L148" s="153">
        <v>137</v>
      </c>
      <c r="M148" s="92"/>
    </row>
    <row r="149" spans="1:13" ht="21.6" x14ac:dyDescent="0.65">
      <c r="A149" s="195"/>
      <c r="B149" s="144">
        <v>146</v>
      </c>
      <c r="C149" s="2"/>
      <c r="D149" s="1"/>
      <c r="E149" s="3"/>
      <c r="F149" s="1"/>
      <c r="G149" s="141">
        <f>IF(Basic3456789[[#This Row],[نوع الخدمة]]="مخالفات", 50,
IF(Basic3456789[[#This Row],[نوع الخدمة]]="كاش ان",
    IF(F149&lt;=100, 18, IF(F149&lt;=250, 23, IF(F149&lt;=500, 35, IF(F149&lt;=1000, 40, F149*0.04)))),
IF(Basic3456789[[#This Row],[نوع الخدمة]]="كاش اوت",
    IF(F149&lt;=100, 15, IF(F149&lt;=250, 20, IF(F149&lt;=500, 30, IF(F149&lt;=1000, 35, F149*0.035)))),
0)))</f>
        <v>0</v>
      </c>
      <c r="H149" s="159">
        <f>IF(I149="مخالفات",50,Basic3456789[[#This Row],[قيمة الرسوم / العموله]]+Basic3456789[[#This Row],[قيمة الشحنه]])</f>
        <v>0</v>
      </c>
      <c r="I149" s="90"/>
      <c r="J149" s="142" t="str">
        <f t="shared" si="2"/>
        <v>24.5.2026</v>
      </c>
      <c r="L149" s="153">
        <v>138</v>
      </c>
      <c r="M149" s="92"/>
    </row>
    <row r="150" spans="1:13" ht="21.6" x14ac:dyDescent="0.65">
      <c r="A150" s="195"/>
      <c r="B150" s="140">
        <v>147</v>
      </c>
      <c r="C150" s="2"/>
      <c r="D150" s="1"/>
      <c r="E150" s="3"/>
      <c r="F150" s="1"/>
      <c r="G150" s="141">
        <f>IF(Basic3456789[[#This Row],[نوع الخدمة]]="مخالفات", 50,
IF(Basic3456789[[#This Row],[نوع الخدمة]]="كاش ان",
    IF(F150&lt;=100, 18, IF(F150&lt;=250, 23, IF(F150&lt;=500, 35, IF(F150&lt;=1000, 40, F150*0.04)))),
IF(Basic3456789[[#This Row],[نوع الخدمة]]="كاش اوت",
    IF(F150&lt;=100, 15, IF(F150&lt;=250, 20, IF(F150&lt;=500, 30, IF(F150&lt;=1000, 35, F150*0.035)))),
0)))</f>
        <v>0</v>
      </c>
      <c r="H150" s="159">
        <f>IF(I150="مخالفات",50,Basic3456789[[#This Row],[قيمة الرسوم / العموله]]+Basic3456789[[#This Row],[قيمة الشحنه]])</f>
        <v>0</v>
      </c>
      <c r="I150" s="90"/>
      <c r="J150" s="142" t="str">
        <f t="shared" si="2"/>
        <v>24.5.2026</v>
      </c>
      <c r="L150" s="153">
        <v>139</v>
      </c>
      <c r="M150" s="92"/>
    </row>
    <row r="151" spans="1:13" ht="21.6" x14ac:dyDescent="0.65">
      <c r="A151" s="195"/>
      <c r="B151" s="140">
        <v>148</v>
      </c>
      <c r="C151" s="2"/>
      <c r="D151" s="1"/>
      <c r="E151" s="3"/>
      <c r="F151" s="1"/>
      <c r="G151" s="141">
        <f>IF(Basic3456789[[#This Row],[نوع الخدمة]]="مخالفات", 50,
IF(Basic3456789[[#This Row],[نوع الخدمة]]="كاش ان",
    IF(F151&lt;=100, 18, IF(F151&lt;=250, 23, IF(F151&lt;=500, 35, IF(F151&lt;=1000, 40, F151*0.04)))),
IF(Basic3456789[[#This Row],[نوع الخدمة]]="كاش اوت",
    IF(F151&lt;=100, 15, IF(F151&lt;=250, 20, IF(F151&lt;=500, 30, IF(F151&lt;=1000, 35, F151*0.035)))),
0)))</f>
        <v>0</v>
      </c>
      <c r="H151" s="159">
        <f>IF(I151="مخالفات",50,Basic3456789[[#This Row],[قيمة الرسوم / العموله]]+Basic3456789[[#This Row],[قيمة الشحنه]])</f>
        <v>0</v>
      </c>
      <c r="I151" s="90"/>
      <c r="J151" s="142" t="str">
        <f t="shared" si="2"/>
        <v>24.5.2026</v>
      </c>
      <c r="L151" s="153">
        <v>140</v>
      </c>
      <c r="M151" s="92"/>
    </row>
    <row r="152" spans="1:13" ht="21.6" x14ac:dyDescent="0.65">
      <c r="A152" s="195"/>
      <c r="B152" s="140">
        <v>149</v>
      </c>
      <c r="C152" s="2"/>
      <c r="D152" s="1"/>
      <c r="E152" s="3"/>
      <c r="F152" s="1"/>
      <c r="G152" s="141">
        <f>IF(Basic3456789[[#This Row],[نوع الخدمة]]="مخالفات", 50,
IF(Basic3456789[[#This Row],[نوع الخدمة]]="كاش ان",
    IF(F152&lt;=100, 18, IF(F152&lt;=250, 23, IF(F152&lt;=500, 35, IF(F152&lt;=1000, 40, F152*0.04)))),
IF(Basic3456789[[#This Row],[نوع الخدمة]]="كاش اوت",
    IF(F152&lt;=100, 15, IF(F152&lt;=250, 20, IF(F152&lt;=500, 30, IF(F152&lt;=1000, 35, F152*0.035)))),
0)))</f>
        <v>0</v>
      </c>
      <c r="H152" s="159">
        <f>IF(I152="مخالفات",50,Basic3456789[[#This Row],[قيمة الرسوم / العموله]]+Basic3456789[[#This Row],[قيمة الشحنه]])</f>
        <v>0</v>
      </c>
      <c r="I152" s="90"/>
      <c r="J152" s="142" t="str">
        <f t="shared" si="2"/>
        <v>24.5.2026</v>
      </c>
      <c r="L152" s="153">
        <v>141</v>
      </c>
      <c r="M152" s="92"/>
    </row>
    <row r="153" spans="1:13" ht="21.6" x14ac:dyDescent="0.65">
      <c r="A153" s="195"/>
      <c r="B153" s="144">
        <v>150</v>
      </c>
      <c r="C153" s="2"/>
      <c r="D153" s="1"/>
      <c r="E153" s="3"/>
      <c r="F153" s="1"/>
      <c r="G153" s="141">
        <f>IF(Basic3456789[[#This Row],[نوع الخدمة]]="مخالفات", 50,
IF(Basic3456789[[#This Row],[نوع الخدمة]]="كاش ان",
    IF(F153&lt;=100, 18, IF(F153&lt;=250, 23, IF(F153&lt;=500, 35, IF(F153&lt;=1000, 40, F153*0.04)))),
IF(Basic3456789[[#This Row],[نوع الخدمة]]="كاش اوت",
    IF(F153&lt;=100, 15, IF(F153&lt;=250, 20, IF(F153&lt;=500, 30, IF(F153&lt;=1000, 35, F153*0.035)))),
0)))</f>
        <v>0</v>
      </c>
      <c r="H153" s="159">
        <f>IF(I153="مخالفات",50,Basic3456789[[#This Row],[قيمة الرسوم / العموله]]+Basic3456789[[#This Row],[قيمة الشحنه]])</f>
        <v>0</v>
      </c>
      <c r="I153" s="90"/>
      <c r="J153" s="142" t="str">
        <f t="shared" si="2"/>
        <v>24.5.2026</v>
      </c>
      <c r="L153" s="153">
        <v>142</v>
      </c>
      <c r="M153" s="92"/>
    </row>
    <row r="154" spans="1:13" ht="21.6" x14ac:dyDescent="0.65">
      <c r="A154" s="195"/>
      <c r="B154" s="140">
        <v>151</v>
      </c>
      <c r="C154" s="2"/>
      <c r="D154" s="1"/>
      <c r="E154" s="3"/>
      <c r="F154" s="1"/>
      <c r="G154" s="141">
        <f>IF(Basic3456789[[#This Row],[نوع الخدمة]]="مخالفات", 50,
IF(Basic3456789[[#This Row],[نوع الخدمة]]="كاش ان",
    IF(F154&lt;=100, 18, IF(F154&lt;=250, 23, IF(F154&lt;=500, 35, IF(F154&lt;=1000, 40, F154*0.04)))),
IF(Basic3456789[[#This Row],[نوع الخدمة]]="كاش اوت",
    IF(F154&lt;=100, 15, IF(F154&lt;=250, 20, IF(F154&lt;=500, 30, IF(F154&lt;=1000, 35, F154*0.035)))),
0)))</f>
        <v>0</v>
      </c>
      <c r="H154" s="159">
        <f>IF(I154="مخالفات",50,Basic3456789[[#This Row],[قيمة الرسوم / العموله]]+Basic3456789[[#This Row],[قيمة الشحنه]])</f>
        <v>0</v>
      </c>
      <c r="I154" s="90"/>
      <c r="J154" s="142" t="str">
        <f t="shared" si="2"/>
        <v>24.5.2026</v>
      </c>
      <c r="L154" s="153">
        <v>143</v>
      </c>
      <c r="M154" s="92"/>
    </row>
    <row r="155" spans="1:13" ht="21.6" x14ac:dyDescent="0.65">
      <c r="A155" s="195"/>
      <c r="B155" s="140">
        <v>152</v>
      </c>
      <c r="C155" s="2"/>
      <c r="D155" s="1"/>
      <c r="E155" s="3"/>
      <c r="F155" s="1"/>
      <c r="G155" s="141">
        <f>IF(Basic3456789[[#This Row],[نوع الخدمة]]="مخالفات", 50,
IF(Basic3456789[[#This Row],[نوع الخدمة]]="كاش ان",
    IF(F155&lt;=100, 18, IF(F155&lt;=250, 23, IF(F155&lt;=500, 35, IF(F155&lt;=1000, 40, F155*0.04)))),
IF(Basic3456789[[#This Row],[نوع الخدمة]]="كاش اوت",
    IF(F155&lt;=100, 15, IF(F155&lt;=250, 20, IF(F155&lt;=500, 30, IF(F155&lt;=1000, 35, F155*0.035)))),
0)))</f>
        <v>0</v>
      </c>
      <c r="H155" s="159">
        <f>IF(I155="مخالفات",50,Basic3456789[[#This Row],[قيمة الرسوم / العموله]]+Basic3456789[[#This Row],[قيمة الشحنه]])</f>
        <v>0</v>
      </c>
      <c r="I155" s="90"/>
      <c r="J155" s="142" t="str">
        <f t="shared" si="2"/>
        <v>24.5.2026</v>
      </c>
      <c r="L155" s="153">
        <v>144</v>
      </c>
      <c r="M155" s="92"/>
    </row>
    <row r="156" spans="1:13" ht="21.6" x14ac:dyDescent="0.65">
      <c r="A156" s="195"/>
      <c r="B156" s="140">
        <v>153</v>
      </c>
      <c r="C156" s="2"/>
      <c r="D156" s="1"/>
      <c r="E156" s="3"/>
      <c r="F156" s="1"/>
      <c r="G156" s="141">
        <f>IF(Basic3456789[[#This Row],[نوع الخدمة]]="مخالفات", 50,
IF(Basic3456789[[#This Row],[نوع الخدمة]]="كاش ان",
    IF(F156&lt;=100, 18, IF(F156&lt;=250, 23, IF(F156&lt;=500, 35, IF(F156&lt;=1000, 40, F156*0.04)))),
IF(Basic3456789[[#This Row],[نوع الخدمة]]="كاش اوت",
    IF(F156&lt;=100, 15, IF(F156&lt;=250, 20, IF(F156&lt;=500, 30, IF(F156&lt;=1000, 35, F156*0.035)))),
0)))</f>
        <v>0</v>
      </c>
      <c r="H156" s="159">
        <f>IF(I156="مخالفات",50,Basic3456789[[#This Row],[قيمة الرسوم / العموله]]+Basic3456789[[#This Row],[قيمة الشحنه]])</f>
        <v>0</v>
      </c>
      <c r="I156" s="90"/>
      <c r="J156" s="142" t="str">
        <f t="shared" si="2"/>
        <v>24.5.2026</v>
      </c>
      <c r="L156" s="153">
        <v>145</v>
      </c>
      <c r="M156" s="92"/>
    </row>
    <row r="157" spans="1:13" ht="21.6" x14ac:dyDescent="0.65">
      <c r="A157" s="195"/>
      <c r="B157" s="144">
        <v>154</v>
      </c>
      <c r="C157" s="2"/>
      <c r="D157" s="1"/>
      <c r="E157" s="3"/>
      <c r="F157" s="1"/>
      <c r="G157" s="141">
        <f>IF(Basic3456789[[#This Row],[نوع الخدمة]]="مخالفات", 50,
IF(Basic3456789[[#This Row],[نوع الخدمة]]="كاش ان",
    IF(F157&lt;=100, 18, IF(F157&lt;=250, 23, IF(F157&lt;=500, 35, IF(F157&lt;=1000, 40, F157*0.04)))),
IF(Basic3456789[[#This Row],[نوع الخدمة]]="كاش اوت",
    IF(F157&lt;=100, 15, IF(F157&lt;=250, 20, IF(F157&lt;=500, 30, IF(F157&lt;=1000, 35, F157*0.035)))),
0)))</f>
        <v>0</v>
      </c>
      <c r="H157" s="159">
        <f>IF(I157="مخالفات",50,Basic3456789[[#This Row],[قيمة الرسوم / العموله]]+Basic3456789[[#This Row],[قيمة الشحنه]])</f>
        <v>0</v>
      </c>
      <c r="I157" s="90"/>
      <c r="J157" s="142" t="str">
        <f t="shared" si="2"/>
        <v>24.5.2026</v>
      </c>
      <c r="L157" s="153">
        <v>146</v>
      </c>
      <c r="M157" s="92"/>
    </row>
    <row r="158" spans="1:13" ht="21.6" x14ac:dyDescent="0.65">
      <c r="A158" s="195"/>
      <c r="B158" s="140">
        <v>155</v>
      </c>
      <c r="C158" s="2"/>
      <c r="D158" s="1"/>
      <c r="E158" s="3"/>
      <c r="F158" s="1"/>
      <c r="G158" s="141">
        <f>IF(Basic3456789[[#This Row],[نوع الخدمة]]="مخالفات", 50,
IF(Basic3456789[[#This Row],[نوع الخدمة]]="كاش ان",
    IF(F158&lt;=100, 18, IF(F158&lt;=250, 23, IF(F158&lt;=500, 35, IF(F158&lt;=1000, 40, F158*0.04)))),
IF(Basic3456789[[#This Row],[نوع الخدمة]]="كاش اوت",
    IF(F158&lt;=100, 15, IF(F158&lt;=250, 20, IF(F158&lt;=500, 30, IF(F158&lt;=1000, 35, F158*0.035)))),
0)))</f>
        <v>0</v>
      </c>
      <c r="H158" s="159">
        <f>IF(I158="مخالفات",50,Basic3456789[[#This Row],[قيمة الرسوم / العموله]]+Basic3456789[[#This Row],[قيمة الشحنه]])</f>
        <v>0</v>
      </c>
      <c r="I158" s="90"/>
      <c r="J158" s="142" t="str">
        <f t="shared" si="2"/>
        <v>24.5.2026</v>
      </c>
      <c r="L158" s="153">
        <v>147</v>
      </c>
      <c r="M158" s="92"/>
    </row>
    <row r="159" spans="1:13" ht="21.6" x14ac:dyDescent="0.65">
      <c r="A159" s="195"/>
      <c r="B159" s="140">
        <v>156</v>
      </c>
      <c r="C159" s="2"/>
      <c r="D159" s="1"/>
      <c r="E159" s="3"/>
      <c r="F159" s="1"/>
      <c r="G159" s="141">
        <f>IF(Basic3456789[[#This Row],[نوع الخدمة]]="مخالفات", 50,
IF(Basic3456789[[#This Row],[نوع الخدمة]]="كاش ان",
    IF(F159&lt;=100, 18, IF(F159&lt;=250, 23, IF(F159&lt;=500, 35, IF(F159&lt;=1000, 40, F159*0.04)))),
IF(Basic3456789[[#This Row],[نوع الخدمة]]="كاش اوت",
    IF(F159&lt;=100, 15, IF(F159&lt;=250, 20, IF(F159&lt;=500, 30, IF(F159&lt;=1000, 35, F159*0.035)))),
0)))</f>
        <v>0</v>
      </c>
      <c r="H159" s="159">
        <f>IF(I159="مخالفات",50,Basic3456789[[#This Row],[قيمة الرسوم / العموله]]+Basic3456789[[#This Row],[قيمة الشحنه]])</f>
        <v>0</v>
      </c>
      <c r="I159" s="90"/>
      <c r="J159" s="142" t="str">
        <f t="shared" si="2"/>
        <v>24.5.2026</v>
      </c>
      <c r="L159" s="153">
        <v>148</v>
      </c>
      <c r="M159" s="92"/>
    </row>
    <row r="160" spans="1:13" ht="21.6" x14ac:dyDescent="0.65">
      <c r="A160" s="195"/>
      <c r="B160" s="140">
        <v>157</v>
      </c>
      <c r="C160" s="2"/>
      <c r="D160" s="1"/>
      <c r="E160" s="3"/>
      <c r="F160" s="1"/>
      <c r="G160" s="141">
        <f>IF(Basic3456789[[#This Row],[نوع الخدمة]]="مخالفات", 50,
IF(Basic3456789[[#This Row],[نوع الخدمة]]="كاش ان",
    IF(F160&lt;=100, 18, IF(F160&lt;=250, 23, IF(F160&lt;=500, 35, IF(F160&lt;=1000, 40, F160*0.04)))),
IF(Basic3456789[[#This Row],[نوع الخدمة]]="كاش اوت",
    IF(F160&lt;=100, 15, IF(F160&lt;=250, 20, IF(F160&lt;=500, 30, IF(F160&lt;=1000, 35, F160*0.035)))),
0)))</f>
        <v>0</v>
      </c>
      <c r="H160" s="159">
        <f>IF(I160="مخالفات",50,Basic3456789[[#This Row],[قيمة الرسوم / العموله]]+Basic3456789[[#This Row],[قيمة الشحنه]])</f>
        <v>0</v>
      </c>
      <c r="I160" s="90"/>
      <c r="J160" s="142" t="str">
        <f t="shared" si="2"/>
        <v>24.5.2026</v>
      </c>
      <c r="L160" s="153">
        <v>149</v>
      </c>
      <c r="M160" s="92"/>
    </row>
    <row r="161" spans="1:13" ht="21.6" x14ac:dyDescent="0.65">
      <c r="A161" s="195"/>
      <c r="B161" s="144">
        <v>158</v>
      </c>
      <c r="C161" s="2"/>
      <c r="D161" s="1"/>
      <c r="E161" s="3"/>
      <c r="F161" s="1"/>
      <c r="G161" s="141">
        <f>IF(Basic3456789[[#This Row],[نوع الخدمة]]="مخالفات", 50,
IF(Basic3456789[[#This Row],[نوع الخدمة]]="كاش ان",
    IF(F161&lt;=100, 18, IF(F161&lt;=250, 23, IF(F161&lt;=500, 35, IF(F161&lt;=1000, 40, F161*0.04)))),
IF(Basic3456789[[#This Row],[نوع الخدمة]]="كاش اوت",
    IF(F161&lt;=100, 15, IF(F161&lt;=250, 20, IF(F161&lt;=500, 30, IF(F161&lt;=1000, 35, F161*0.035)))),
0)))</f>
        <v>0</v>
      </c>
      <c r="H161" s="159">
        <f>IF(I161="مخالفات",50,Basic3456789[[#This Row],[قيمة الرسوم / العموله]]+Basic3456789[[#This Row],[قيمة الشحنه]])</f>
        <v>0</v>
      </c>
      <c r="I161" s="90"/>
      <c r="J161" s="142" t="str">
        <f t="shared" si="2"/>
        <v>24.5.2026</v>
      </c>
      <c r="L161" s="153">
        <v>150</v>
      </c>
      <c r="M161" s="92"/>
    </row>
    <row r="162" spans="1:13" ht="21.6" x14ac:dyDescent="0.65">
      <c r="A162" s="195"/>
      <c r="B162" s="140">
        <v>159</v>
      </c>
      <c r="C162" s="2"/>
      <c r="D162" s="1"/>
      <c r="E162" s="3"/>
      <c r="F162" s="1"/>
      <c r="G162" s="141">
        <f>IF(Basic3456789[[#This Row],[نوع الخدمة]]="مخالفات", 50,
IF(Basic3456789[[#This Row],[نوع الخدمة]]="كاش ان",
    IF(F162&lt;=100, 18, IF(F162&lt;=250, 23, IF(F162&lt;=500, 35, IF(F162&lt;=1000, 40, F162*0.04)))),
IF(Basic3456789[[#This Row],[نوع الخدمة]]="كاش اوت",
    IF(F162&lt;=100, 15, IF(F162&lt;=250, 20, IF(F162&lt;=500, 30, IF(F162&lt;=1000, 35, F162*0.035)))),
0)))</f>
        <v>0</v>
      </c>
      <c r="H162" s="159">
        <f>IF(I162="مخالفات",50,Basic3456789[[#This Row],[قيمة الرسوم / العموله]]+Basic3456789[[#This Row],[قيمة الشحنه]])</f>
        <v>0</v>
      </c>
      <c r="I162" s="90"/>
      <c r="J162" s="142" t="str">
        <f t="shared" si="2"/>
        <v>24.5.2026</v>
      </c>
      <c r="L162" s="153">
        <v>151</v>
      </c>
      <c r="M162" s="92"/>
    </row>
    <row r="163" spans="1:13" ht="21.6" x14ac:dyDescent="0.65">
      <c r="A163" s="195"/>
      <c r="B163" s="140">
        <v>160</v>
      </c>
      <c r="C163" s="2"/>
      <c r="D163" s="1"/>
      <c r="E163" s="3"/>
      <c r="F163" s="1"/>
      <c r="G163" s="141">
        <f>IF(Basic3456789[[#This Row],[نوع الخدمة]]="مخالفات", 50,
IF(Basic3456789[[#This Row],[نوع الخدمة]]="كاش ان",
    IF(F163&lt;=100, 18, IF(F163&lt;=250, 23, IF(F163&lt;=500, 35, IF(F163&lt;=1000, 40, F163*0.04)))),
IF(Basic3456789[[#This Row],[نوع الخدمة]]="كاش اوت",
    IF(F163&lt;=100, 15, IF(F163&lt;=250, 20, IF(F163&lt;=500, 30, IF(F163&lt;=1000, 35, F163*0.035)))),
0)))</f>
        <v>0</v>
      </c>
      <c r="H163" s="159">
        <f>IF(I163="مخالفات",50,Basic3456789[[#This Row],[قيمة الرسوم / العموله]]+Basic3456789[[#This Row],[قيمة الشحنه]])</f>
        <v>0</v>
      </c>
      <c r="I163" s="90"/>
      <c r="J163" s="142" t="str">
        <f t="shared" si="2"/>
        <v>24.5.2026</v>
      </c>
      <c r="L163" s="153">
        <v>152</v>
      </c>
      <c r="M163" s="92"/>
    </row>
    <row r="164" spans="1:13" ht="21.6" x14ac:dyDescent="0.65">
      <c r="A164" s="195"/>
      <c r="B164" s="140">
        <v>161</v>
      </c>
      <c r="C164" s="2"/>
      <c r="D164" s="1"/>
      <c r="E164" s="3"/>
      <c r="F164" s="1"/>
      <c r="G164" s="141">
        <f>IF(Basic3456789[[#This Row],[نوع الخدمة]]="مخالفات", 50,
IF(Basic3456789[[#This Row],[نوع الخدمة]]="كاش ان",
    IF(F164&lt;=100, 18, IF(F164&lt;=250, 23, IF(F164&lt;=500, 35, IF(F164&lt;=1000, 40, F164*0.04)))),
IF(Basic3456789[[#This Row],[نوع الخدمة]]="كاش اوت",
    IF(F164&lt;=100, 15, IF(F164&lt;=250, 20, IF(F164&lt;=500, 30, IF(F164&lt;=1000, 35, F164*0.035)))),
0)))</f>
        <v>0</v>
      </c>
      <c r="H164" s="159">
        <f>IF(I164="مخالفات",50,Basic3456789[[#This Row],[قيمة الرسوم / العموله]]+Basic3456789[[#This Row],[قيمة الشحنه]])</f>
        <v>0</v>
      </c>
      <c r="I164" s="90"/>
      <c r="J164" s="142" t="str">
        <f t="shared" si="2"/>
        <v>24.5.2026</v>
      </c>
      <c r="L164" s="153">
        <v>153</v>
      </c>
      <c r="M164" s="92"/>
    </row>
    <row r="165" spans="1:13" ht="21.6" x14ac:dyDescent="0.65">
      <c r="A165" s="195"/>
      <c r="B165" s="144">
        <v>162</v>
      </c>
      <c r="C165" s="2"/>
      <c r="D165" s="1"/>
      <c r="E165" s="3"/>
      <c r="F165" s="1"/>
      <c r="G165" s="141">
        <f>IF(Basic3456789[[#This Row],[نوع الخدمة]]="مخالفات", 50,
IF(Basic3456789[[#This Row],[نوع الخدمة]]="كاش ان",
    IF(F165&lt;=100, 18, IF(F165&lt;=250, 23, IF(F165&lt;=500, 35, IF(F165&lt;=1000, 40, F165*0.04)))),
IF(Basic3456789[[#This Row],[نوع الخدمة]]="كاش اوت",
    IF(F165&lt;=100, 15, IF(F165&lt;=250, 20, IF(F165&lt;=500, 30, IF(F165&lt;=1000, 35, F165*0.035)))),
0)))</f>
        <v>0</v>
      </c>
      <c r="H165" s="159">
        <f>IF(I165="مخالفات",50,Basic3456789[[#This Row],[قيمة الرسوم / العموله]]+Basic3456789[[#This Row],[قيمة الشحنه]])</f>
        <v>0</v>
      </c>
      <c r="I165" s="90"/>
      <c r="J165" s="142" t="str">
        <f t="shared" si="2"/>
        <v>24.5.2026</v>
      </c>
      <c r="L165" s="153">
        <v>154</v>
      </c>
      <c r="M165" s="92"/>
    </row>
    <row r="166" spans="1:13" ht="21.6" x14ac:dyDescent="0.65">
      <c r="A166" s="195"/>
      <c r="B166" s="140">
        <v>163</v>
      </c>
      <c r="C166" s="2"/>
      <c r="D166" s="1"/>
      <c r="E166" s="3"/>
      <c r="F166" s="1"/>
      <c r="G166" s="141">
        <f>IF(Basic3456789[[#This Row],[نوع الخدمة]]="مخالفات", 50,
IF(Basic3456789[[#This Row],[نوع الخدمة]]="كاش ان",
    IF(F166&lt;=100, 18, IF(F166&lt;=250, 23, IF(F166&lt;=500, 35, IF(F166&lt;=1000, 40, F166*0.04)))),
IF(Basic3456789[[#This Row],[نوع الخدمة]]="كاش اوت",
    IF(F166&lt;=100, 15, IF(F166&lt;=250, 20, IF(F166&lt;=500, 30, IF(F166&lt;=1000, 35, F166*0.035)))),
0)))</f>
        <v>0</v>
      </c>
      <c r="H166" s="159">
        <f>IF(I166="مخالفات",50,Basic3456789[[#This Row],[قيمة الرسوم / العموله]]+Basic3456789[[#This Row],[قيمة الشحنه]])</f>
        <v>0</v>
      </c>
      <c r="I166" s="90"/>
      <c r="J166" s="142" t="str">
        <f t="shared" si="2"/>
        <v>24.5.2026</v>
      </c>
      <c r="L166" s="153">
        <v>155</v>
      </c>
      <c r="M166" s="92"/>
    </row>
    <row r="167" spans="1:13" ht="21.6" x14ac:dyDescent="0.65">
      <c r="A167" s="195"/>
      <c r="B167" s="140">
        <v>164</v>
      </c>
      <c r="C167" s="2"/>
      <c r="D167" s="1"/>
      <c r="E167" s="3"/>
      <c r="F167" s="1"/>
      <c r="G167" s="141">
        <f>IF(Basic3456789[[#This Row],[نوع الخدمة]]="مخالفات", 50,
IF(Basic3456789[[#This Row],[نوع الخدمة]]="كاش ان",
    IF(F167&lt;=100, 18, IF(F167&lt;=250, 23, IF(F167&lt;=500, 35, IF(F167&lt;=1000, 40, F167*0.04)))),
IF(Basic3456789[[#This Row],[نوع الخدمة]]="كاش اوت",
    IF(F167&lt;=100, 15, IF(F167&lt;=250, 20, IF(F167&lt;=500, 30, IF(F167&lt;=1000, 35, F167*0.035)))),
0)))</f>
        <v>0</v>
      </c>
      <c r="H167" s="159">
        <f>IF(I167="مخالفات",50,Basic3456789[[#This Row],[قيمة الرسوم / العموله]]+Basic3456789[[#This Row],[قيمة الشحنه]])</f>
        <v>0</v>
      </c>
      <c r="I167" s="90"/>
      <c r="J167" s="142" t="str">
        <f t="shared" si="2"/>
        <v>24.5.2026</v>
      </c>
      <c r="L167" s="153">
        <v>156</v>
      </c>
      <c r="M167" s="92"/>
    </row>
    <row r="168" spans="1:13" ht="21.6" x14ac:dyDescent="0.65">
      <c r="A168" s="195"/>
      <c r="B168" s="140">
        <v>165</v>
      </c>
      <c r="C168" s="2"/>
      <c r="D168" s="1"/>
      <c r="E168" s="3"/>
      <c r="F168" s="1"/>
      <c r="G168" s="141">
        <f>IF(Basic3456789[[#This Row],[نوع الخدمة]]="مخالفات", 50,
IF(Basic3456789[[#This Row],[نوع الخدمة]]="كاش ان",
    IF(F168&lt;=100, 18, IF(F168&lt;=250, 23, IF(F168&lt;=500, 35, IF(F168&lt;=1000, 40, F168*0.04)))),
IF(Basic3456789[[#This Row],[نوع الخدمة]]="كاش اوت",
    IF(F168&lt;=100, 15, IF(F168&lt;=250, 20, IF(F168&lt;=500, 30, IF(F168&lt;=1000, 35, F168*0.035)))),
0)))</f>
        <v>0</v>
      </c>
      <c r="H168" s="159">
        <f>IF(I168="مخالفات",50,Basic3456789[[#This Row],[قيمة الرسوم / العموله]]+Basic3456789[[#This Row],[قيمة الشحنه]])</f>
        <v>0</v>
      </c>
      <c r="I168" s="90"/>
      <c r="J168" s="142" t="str">
        <f t="shared" si="2"/>
        <v>24.5.2026</v>
      </c>
      <c r="L168" s="153">
        <v>157</v>
      </c>
      <c r="M168" s="92"/>
    </row>
    <row r="169" spans="1:13" ht="21.6" x14ac:dyDescent="0.65">
      <c r="A169" s="195"/>
      <c r="B169" s="144">
        <v>166</v>
      </c>
      <c r="C169" s="2"/>
      <c r="D169" s="1"/>
      <c r="E169" s="3"/>
      <c r="F169" s="1"/>
      <c r="G169" s="141">
        <f>IF(Basic3456789[[#This Row],[نوع الخدمة]]="مخالفات", 50,
IF(Basic3456789[[#This Row],[نوع الخدمة]]="كاش ان",
    IF(F169&lt;=100, 18, IF(F169&lt;=250, 23, IF(F169&lt;=500, 35, IF(F169&lt;=1000, 40, F169*0.04)))),
IF(Basic3456789[[#This Row],[نوع الخدمة]]="كاش اوت",
    IF(F169&lt;=100, 15, IF(F169&lt;=250, 20, IF(F169&lt;=500, 30, IF(F169&lt;=1000, 35, F169*0.035)))),
0)))</f>
        <v>0</v>
      </c>
      <c r="H169" s="159">
        <f>IF(I169="مخالفات",50,Basic3456789[[#This Row],[قيمة الرسوم / العموله]]+Basic3456789[[#This Row],[قيمة الشحنه]])</f>
        <v>0</v>
      </c>
      <c r="I169" s="90"/>
      <c r="J169" s="142" t="str">
        <f t="shared" si="2"/>
        <v>24.5.2026</v>
      </c>
      <c r="L169" s="153">
        <v>158</v>
      </c>
      <c r="M169" s="92"/>
    </row>
    <row r="170" spans="1:13" ht="21.6" x14ac:dyDescent="0.65">
      <c r="A170" s="195"/>
      <c r="B170" s="140">
        <v>167</v>
      </c>
      <c r="C170" s="2"/>
      <c r="D170" s="1"/>
      <c r="E170" s="3"/>
      <c r="F170" s="1"/>
      <c r="G170" s="141">
        <f>IF(Basic3456789[[#This Row],[نوع الخدمة]]="مخالفات", 50,
IF(Basic3456789[[#This Row],[نوع الخدمة]]="كاش ان",
    IF(F170&lt;=100, 18, IF(F170&lt;=250, 23, IF(F170&lt;=500, 35, IF(F170&lt;=1000, 40, F170*0.04)))),
IF(Basic3456789[[#This Row],[نوع الخدمة]]="كاش اوت",
    IF(F170&lt;=100, 15, IF(F170&lt;=250, 20, IF(F170&lt;=500, 30, IF(F170&lt;=1000, 35, F170*0.035)))),
0)))</f>
        <v>0</v>
      </c>
      <c r="H170" s="159">
        <f>IF(I170="مخالفات",50,Basic3456789[[#This Row],[قيمة الرسوم / العموله]]+Basic3456789[[#This Row],[قيمة الشحنه]])</f>
        <v>0</v>
      </c>
      <c r="I170" s="90"/>
      <c r="J170" s="142" t="str">
        <f t="shared" si="2"/>
        <v>24.5.2026</v>
      </c>
      <c r="L170" s="153">
        <v>159</v>
      </c>
      <c r="M170" s="92"/>
    </row>
    <row r="171" spans="1:13" ht="21.6" x14ac:dyDescent="0.65">
      <c r="A171" s="195"/>
      <c r="B171" s="140">
        <v>168</v>
      </c>
      <c r="C171" s="2"/>
      <c r="D171" s="1"/>
      <c r="E171" s="3"/>
      <c r="F171" s="1"/>
      <c r="G171" s="141">
        <f>IF(Basic3456789[[#This Row],[نوع الخدمة]]="مخالفات", 50,
IF(Basic3456789[[#This Row],[نوع الخدمة]]="كاش ان",
    IF(F171&lt;=100, 18, IF(F171&lt;=250, 23, IF(F171&lt;=500, 35, IF(F171&lt;=1000, 40, F171*0.04)))),
IF(Basic3456789[[#This Row],[نوع الخدمة]]="كاش اوت",
    IF(F171&lt;=100, 15, IF(F171&lt;=250, 20, IF(F171&lt;=500, 30, IF(F171&lt;=1000, 35, F171*0.035)))),
0)))</f>
        <v>0</v>
      </c>
      <c r="H171" s="159">
        <f>IF(I171="مخالفات",50,Basic3456789[[#This Row],[قيمة الرسوم / العموله]]+Basic3456789[[#This Row],[قيمة الشحنه]])</f>
        <v>0</v>
      </c>
      <c r="I171" s="90"/>
      <c r="J171" s="142" t="str">
        <f t="shared" si="2"/>
        <v>24.5.2026</v>
      </c>
      <c r="L171" s="153">
        <v>160</v>
      </c>
      <c r="M171" s="92"/>
    </row>
    <row r="172" spans="1:13" ht="21.6" x14ac:dyDescent="0.65">
      <c r="A172" s="195"/>
      <c r="B172" s="140">
        <v>169</v>
      </c>
      <c r="C172" s="2"/>
      <c r="D172" s="1"/>
      <c r="E172" s="3"/>
      <c r="F172" s="1"/>
      <c r="G172" s="141">
        <f>IF(Basic3456789[[#This Row],[نوع الخدمة]]="مخالفات", 50,
IF(Basic3456789[[#This Row],[نوع الخدمة]]="كاش ان",
    IF(F172&lt;=100, 18, IF(F172&lt;=250, 23, IF(F172&lt;=500, 35, IF(F172&lt;=1000, 40, F172*0.04)))),
IF(Basic3456789[[#This Row],[نوع الخدمة]]="كاش اوت",
    IF(F172&lt;=100, 15, IF(F172&lt;=250, 20, IF(F172&lt;=500, 30, IF(F172&lt;=1000, 35, F172*0.035)))),
0)))</f>
        <v>0</v>
      </c>
      <c r="H172" s="159">
        <f>IF(I172="مخالفات",50,Basic3456789[[#This Row],[قيمة الرسوم / العموله]]+Basic3456789[[#This Row],[قيمة الشحنه]])</f>
        <v>0</v>
      </c>
      <c r="I172" s="90"/>
      <c r="J172" s="142" t="str">
        <f t="shared" si="2"/>
        <v>24.5.2026</v>
      </c>
      <c r="L172" s="153">
        <v>161</v>
      </c>
      <c r="M172" s="92"/>
    </row>
    <row r="173" spans="1:13" ht="21.6" x14ac:dyDescent="0.65">
      <c r="A173" s="195"/>
      <c r="B173" s="144">
        <v>170</v>
      </c>
      <c r="C173" s="2"/>
      <c r="D173" s="1"/>
      <c r="E173" s="3"/>
      <c r="F173" s="1"/>
      <c r="G173" s="141">
        <f>IF(Basic3456789[[#This Row],[نوع الخدمة]]="مخالفات", 50,
IF(Basic3456789[[#This Row],[نوع الخدمة]]="كاش ان",
    IF(F173&lt;=100, 18, IF(F173&lt;=250, 23, IF(F173&lt;=500, 35, IF(F173&lt;=1000, 40, F173*0.04)))),
IF(Basic3456789[[#This Row],[نوع الخدمة]]="كاش اوت",
    IF(F173&lt;=100, 15, IF(F173&lt;=250, 20, IF(F173&lt;=500, 30, IF(F173&lt;=1000, 35, F173*0.035)))),
0)))</f>
        <v>0</v>
      </c>
      <c r="H173" s="159">
        <f>IF(I173="مخالفات",50,Basic3456789[[#This Row],[قيمة الرسوم / العموله]]+Basic3456789[[#This Row],[قيمة الشحنه]])</f>
        <v>0</v>
      </c>
      <c r="I173" s="90"/>
      <c r="J173" s="142" t="str">
        <f t="shared" si="2"/>
        <v>24.5.2026</v>
      </c>
      <c r="L173" s="153">
        <v>162</v>
      </c>
      <c r="M173" s="92"/>
    </row>
    <row r="174" spans="1:13" ht="21.6" x14ac:dyDescent="0.65">
      <c r="A174" s="195"/>
      <c r="B174" s="140">
        <v>171</v>
      </c>
      <c r="C174" s="2"/>
      <c r="D174" s="1"/>
      <c r="E174" s="3"/>
      <c r="F174" s="1"/>
      <c r="G174" s="141">
        <f>IF(Basic3456789[[#This Row],[نوع الخدمة]]="مخالفات", 50,
IF(Basic3456789[[#This Row],[نوع الخدمة]]="كاش ان",
    IF(F174&lt;=100, 18, IF(F174&lt;=250, 23, IF(F174&lt;=500, 35, IF(F174&lt;=1000, 40, F174*0.04)))),
IF(Basic3456789[[#This Row],[نوع الخدمة]]="كاش اوت",
    IF(F174&lt;=100, 15, IF(F174&lt;=250, 20, IF(F174&lt;=500, 30, IF(F174&lt;=1000, 35, F174*0.035)))),
0)))</f>
        <v>0</v>
      </c>
      <c r="H174" s="159">
        <f>IF(I174="مخالفات",50,Basic3456789[[#This Row],[قيمة الرسوم / العموله]]+Basic3456789[[#This Row],[قيمة الشحنه]])</f>
        <v>0</v>
      </c>
      <c r="I174" s="90"/>
      <c r="J174" s="142" t="str">
        <f t="shared" si="2"/>
        <v>24.5.2026</v>
      </c>
      <c r="L174" s="153">
        <v>163</v>
      </c>
      <c r="M174" s="92"/>
    </row>
    <row r="175" spans="1:13" ht="21.6" x14ac:dyDescent="0.65">
      <c r="A175" s="195"/>
      <c r="B175" s="140">
        <v>172</v>
      </c>
      <c r="C175" s="2"/>
      <c r="D175" s="1"/>
      <c r="E175" s="3"/>
      <c r="F175" s="1"/>
      <c r="G175" s="141">
        <f>IF(Basic3456789[[#This Row],[نوع الخدمة]]="مخالفات", 50,
IF(Basic3456789[[#This Row],[نوع الخدمة]]="كاش ان",
    IF(F175&lt;=100, 18, IF(F175&lt;=250, 23, IF(F175&lt;=500, 35, IF(F175&lt;=1000, 40, F175*0.04)))),
IF(Basic3456789[[#This Row],[نوع الخدمة]]="كاش اوت",
    IF(F175&lt;=100, 15, IF(F175&lt;=250, 20, IF(F175&lt;=500, 30, IF(F175&lt;=1000, 35, F175*0.035)))),
0)))</f>
        <v>0</v>
      </c>
      <c r="H175" s="159">
        <f>IF(I175="مخالفات",50,Basic3456789[[#This Row],[قيمة الرسوم / العموله]]+Basic3456789[[#This Row],[قيمة الشحنه]])</f>
        <v>0</v>
      </c>
      <c r="I175" s="90"/>
      <c r="J175" s="142" t="str">
        <f t="shared" si="2"/>
        <v>24.5.2026</v>
      </c>
      <c r="L175" s="153">
        <v>164</v>
      </c>
      <c r="M175" s="92"/>
    </row>
    <row r="176" spans="1:13" ht="21.6" x14ac:dyDescent="0.65">
      <c r="A176" s="195"/>
      <c r="B176" s="140">
        <v>173</v>
      </c>
      <c r="C176" s="2"/>
      <c r="D176" s="1"/>
      <c r="E176" s="3"/>
      <c r="F176" s="1"/>
      <c r="G176" s="141">
        <f>IF(Basic3456789[[#This Row],[نوع الخدمة]]="مخالفات", 50,
IF(Basic3456789[[#This Row],[نوع الخدمة]]="كاش ان",
    IF(F176&lt;=100, 18, IF(F176&lt;=250, 23, IF(F176&lt;=500, 35, IF(F176&lt;=1000, 40, F176*0.04)))),
IF(Basic3456789[[#This Row],[نوع الخدمة]]="كاش اوت",
    IF(F176&lt;=100, 15, IF(F176&lt;=250, 20, IF(F176&lt;=500, 30, IF(F176&lt;=1000, 35, F176*0.035)))),
0)))</f>
        <v>0</v>
      </c>
      <c r="H176" s="159">
        <f>IF(I176="مخالفات",50,Basic3456789[[#This Row],[قيمة الرسوم / العموله]]+Basic3456789[[#This Row],[قيمة الشحنه]])</f>
        <v>0</v>
      </c>
      <c r="I176" s="90"/>
      <c r="J176" s="142" t="str">
        <f t="shared" si="2"/>
        <v>24.5.2026</v>
      </c>
      <c r="L176" s="153">
        <v>165</v>
      </c>
      <c r="M176" s="92"/>
    </row>
    <row r="177" spans="1:13" ht="21.6" x14ac:dyDescent="0.65">
      <c r="A177" s="195"/>
      <c r="B177" s="144">
        <v>174</v>
      </c>
      <c r="C177" s="2"/>
      <c r="D177" s="1"/>
      <c r="E177" s="3"/>
      <c r="F177" s="1"/>
      <c r="G177" s="141">
        <f>IF(Basic3456789[[#This Row],[نوع الخدمة]]="مخالفات", 50,
IF(Basic3456789[[#This Row],[نوع الخدمة]]="كاش ان",
    IF(F177&lt;=100, 18, IF(F177&lt;=250, 23, IF(F177&lt;=500, 35, IF(F177&lt;=1000, 40, F177*0.04)))),
IF(Basic3456789[[#This Row],[نوع الخدمة]]="كاش اوت",
    IF(F177&lt;=100, 15, IF(F177&lt;=250, 20, IF(F177&lt;=500, 30, IF(F177&lt;=1000, 35, F177*0.035)))),
0)))</f>
        <v>0</v>
      </c>
      <c r="H177" s="159">
        <f>IF(I177="مخالفات",50,Basic3456789[[#This Row],[قيمة الرسوم / العموله]]+Basic3456789[[#This Row],[قيمة الشحنه]])</f>
        <v>0</v>
      </c>
      <c r="I177" s="90"/>
      <c r="J177" s="142" t="str">
        <f t="shared" si="2"/>
        <v>24.5.2026</v>
      </c>
      <c r="L177" s="153">
        <v>166</v>
      </c>
      <c r="M177" s="92"/>
    </row>
    <row r="178" spans="1:13" ht="21.6" x14ac:dyDescent="0.65">
      <c r="A178" s="195"/>
      <c r="B178" s="140">
        <v>175</v>
      </c>
      <c r="C178" s="2"/>
      <c r="D178" s="1"/>
      <c r="E178" s="3"/>
      <c r="F178" s="1"/>
      <c r="G178" s="141">
        <f>IF(Basic3456789[[#This Row],[نوع الخدمة]]="مخالفات", 50,
IF(Basic3456789[[#This Row],[نوع الخدمة]]="كاش ان",
    IF(F178&lt;=100, 18, IF(F178&lt;=250, 23, IF(F178&lt;=500, 35, IF(F178&lt;=1000, 40, F178*0.04)))),
IF(Basic3456789[[#This Row],[نوع الخدمة]]="كاش اوت",
    IF(F178&lt;=100, 15, IF(F178&lt;=250, 20, IF(F178&lt;=500, 30, IF(F178&lt;=1000, 35, F178*0.035)))),
0)))</f>
        <v>0</v>
      </c>
      <c r="H178" s="159">
        <f>IF(I178="مخالفات",50,Basic3456789[[#This Row],[قيمة الرسوم / العموله]]+Basic3456789[[#This Row],[قيمة الشحنه]])</f>
        <v>0</v>
      </c>
      <c r="I178" s="90"/>
      <c r="J178" s="142" t="str">
        <f t="shared" si="2"/>
        <v>24.5.2026</v>
      </c>
      <c r="L178" s="153">
        <v>167</v>
      </c>
      <c r="M178" s="92"/>
    </row>
    <row r="179" spans="1:13" ht="21.6" x14ac:dyDescent="0.65">
      <c r="A179" s="195"/>
      <c r="B179" s="140">
        <v>176</v>
      </c>
      <c r="C179" s="2"/>
      <c r="D179" s="1"/>
      <c r="E179" s="3"/>
      <c r="F179" s="1"/>
      <c r="G179" s="141">
        <f>IF(Basic3456789[[#This Row],[نوع الخدمة]]="مخالفات", 50,
IF(Basic3456789[[#This Row],[نوع الخدمة]]="كاش ان",
    IF(F179&lt;=100, 18, IF(F179&lt;=250, 23, IF(F179&lt;=500, 35, IF(F179&lt;=1000, 40, F179*0.04)))),
IF(Basic3456789[[#This Row],[نوع الخدمة]]="كاش اوت",
    IF(F179&lt;=100, 15, IF(F179&lt;=250, 20, IF(F179&lt;=500, 30, IF(F179&lt;=1000, 35, F179*0.035)))),
0)))</f>
        <v>0</v>
      </c>
      <c r="H179" s="159">
        <f>IF(I179="مخالفات",50,Basic3456789[[#This Row],[قيمة الرسوم / العموله]]+Basic3456789[[#This Row],[قيمة الشحنه]])</f>
        <v>0</v>
      </c>
      <c r="I179" s="90"/>
      <c r="J179" s="142" t="str">
        <f t="shared" si="2"/>
        <v>24.5.2026</v>
      </c>
      <c r="L179" s="153">
        <v>168</v>
      </c>
      <c r="M179" s="92"/>
    </row>
    <row r="180" spans="1:13" ht="21.6" x14ac:dyDescent="0.65">
      <c r="A180" s="195"/>
      <c r="B180" s="140">
        <v>177</v>
      </c>
      <c r="C180" s="2"/>
      <c r="D180" s="1"/>
      <c r="E180" s="3"/>
      <c r="F180" s="1"/>
      <c r="G180" s="141">
        <f>IF(Basic3456789[[#This Row],[نوع الخدمة]]="مخالفات", 50,
IF(Basic3456789[[#This Row],[نوع الخدمة]]="كاش ان",
    IF(F180&lt;=100, 18, IF(F180&lt;=250, 23, IF(F180&lt;=500, 35, IF(F180&lt;=1000, 40, F180*0.04)))),
IF(Basic3456789[[#This Row],[نوع الخدمة]]="كاش اوت",
    IF(F180&lt;=100, 15, IF(F180&lt;=250, 20, IF(F180&lt;=500, 30, IF(F180&lt;=1000, 35, F180*0.035)))),
0)))</f>
        <v>0</v>
      </c>
      <c r="H180" s="159">
        <f>IF(I180="مخالفات",50,Basic3456789[[#This Row],[قيمة الرسوم / العموله]]+Basic3456789[[#This Row],[قيمة الشحنه]])</f>
        <v>0</v>
      </c>
      <c r="I180" s="90"/>
      <c r="J180" s="142" t="str">
        <f t="shared" si="2"/>
        <v>24.5.2026</v>
      </c>
      <c r="L180" s="153">
        <v>169</v>
      </c>
      <c r="M180" s="92"/>
    </row>
    <row r="181" spans="1:13" ht="21.6" x14ac:dyDescent="0.65">
      <c r="A181" s="195"/>
      <c r="B181" s="144">
        <v>178</v>
      </c>
      <c r="C181" s="2"/>
      <c r="D181" s="1"/>
      <c r="E181" s="3"/>
      <c r="F181" s="1"/>
      <c r="G181" s="141">
        <f>IF(Basic3456789[[#This Row],[نوع الخدمة]]="مخالفات", 50,
IF(Basic3456789[[#This Row],[نوع الخدمة]]="كاش ان",
    IF(F181&lt;=100, 18, IF(F181&lt;=250, 23, IF(F181&lt;=500, 35, IF(F181&lt;=1000, 40, F181*0.04)))),
IF(Basic3456789[[#This Row],[نوع الخدمة]]="كاش اوت",
    IF(F181&lt;=100, 15, IF(F181&lt;=250, 20, IF(F181&lt;=500, 30, IF(F181&lt;=1000, 35, F181*0.035)))),
0)))</f>
        <v>0</v>
      </c>
      <c r="H181" s="159">
        <f>IF(I181="مخالفات",50,Basic3456789[[#This Row],[قيمة الرسوم / العموله]]+Basic3456789[[#This Row],[قيمة الشحنه]])</f>
        <v>0</v>
      </c>
      <c r="I181" s="90"/>
      <c r="J181" s="142" t="str">
        <f t="shared" si="2"/>
        <v>24.5.2026</v>
      </c>
      <c r="L181" s="153">
        <v>170</v>
      </c>
      <c r="M181" s="92"/>
    </row>
    <row r="182" spans="1:13" ht="21.6" x14ac:dyDescent="0.65">
      <c r="A182" s="195"/>
      <c r="B182" s="140">
        <v>179</v>
      </c>
      <c r="C182" s="2"/>
      <c r="D182" s="1"/>
      <c r="E182" s="3"/>
      <c r="F182" s="1"/>
      <c r="G182" s="141">
        <f>IF(Basic3456789[[#This Row],[نوع الخدمة]]="مخالفات", 50,
IF(Basic3456789[[#This Row],[نوع الخدمة]]="كاش ان",
    IF(F182&lt;=100, 18, IF(F182&lt;=250, 23, IF(F182&lt;=500, 35, IF(F182&lt;=1000, 40, F182*0.04)))),
IF(Basic3456789[[#This Row],[نوع الخدمة]]="كاش اوت",
    IF(F182&lt;=100, 15, IF(F182&lt;=250, 20, IF(F182&lt;=500, 30, IF(F182&lt;=1000, 35, F182*0.035)))),
0)))</f>
        <v>0</v>
      </c>
      <c r="H182" s="159">
        <f>IF(I182="مخالفات",50,Basic3456789[[#This Row],[قيمة الرسوم / العموله]]+Basic3456789[[#This Row],[قيمة الشحنه]])</f>
        <v>0</v>
      </c>
      <c r="I182" s="90"/>
      <c r="J182" s="142" t="str">
        <f t="shared" si="2"/>
        <v>24.5.2026</v>
      </c>
      <c r="L182" s="153">
        <v>171</v>
      </c>
      <c r="M182" s="92"/>
    </row>
    <row r="183" spans="1:13" ht="21.6" x14ac:dyDescent="0.65">
      <c r="A183" s="195"/>
      <c r="B183" s="140">
        <v>180</v>
      </c>
      <c r="C183" s="2"/>
      <c r="D183" s="1"/>
      <c r="E183" s="3"/>
      <c r="F183" s="1"/>
      <c r="G183" s="141">
        <f>IF(Basic3456789[[#This Row],[نوع الخدمة]]="مخالفات", 50,
IF(Basic3456789[[#This Row],[نوع الخدمة]]="كاش ان",
    IF(F183&lt;=100, 18, IF(F183&lt;=250, 23, IF(F183&lt;=500, 35, IF(F183&lt;=1000, 40, F183*0.04)))),
IF(Basic3456789[[#This Row],[نوع الخدمة]]="كاش اوت",
    IF(F183&lt;=100, 15, IF(F183&lt;=250, 20, IF(F183&lt;=500, 30, IF(F183&lt;=1000, 35, F183*0.035)))),
0)))</f>
        <v>0</v>
      </c>
      <c r="H183" s="159">
        <f>IF(I183="مخالفات",50,Basic3456789[[#This Row],[قيمة الرسوم / العموله]]+Basic3456789[[#This Row],[قيمة الشحنه]])</f>
        <v>0</v>
      </c>
      <c r="I183" s="90"/>
      <c r="J183" s="142" t="str">
        <f t="shared" si="2"/>
        <v>24.5.2026</v>
      </c>
      <c r="L183" s="153">
        <v>172</v>
      </c>
      <c r="M183" s="92"/>
    </row>
    <row r="184" spans="1:13" ht="21.6" x14ac:dyDescent="0.65">
      <c r="A184" s="195"/>
      <c r="B184" s="140">
        <v>181</v>
      </c>
      <c r="C184" s="2"/>
      <c r="D184" s="1"/>
      <c r="E184" s="3"/>
      <c r="F184" s="1"/>
      <c r="G184" s="141">
        <f>IF(Basic3456789[[#This Row],[نوع الخدمة]]="مخالفات", 50,
IF(Basic3456789[[#This Row],[نوع الخدمة]]="كاش ان",
    IF(F184&lt;=100, 18, IF(F184&lt;=250, 23, IF(F184&lt;=500, 35, IF(F184&lt;=1000, 40, F184*0.04)))),
IF(Basic3456789[[#This Row],[نوع الخدمة]]="كاش اوت",
    IF(F184&lt;=100, 15, IF(F184&lt;=250, 20, IF(F184&lt;=500, 30, IF(F184&lt;=1000, 35, F184*0.035)))),
0)))</f>
        <v>0</v>
      </c>
      <c r="H184" s="159">
        <f>IF(I184="مخالفات",50,Basic3456789[[#This Row],[قيمة الرسوم / العموله]]+Basic3456789[[#This Row],[قيمة الشحنه]])</f>
        <v>0</v>
      </c>
      <c r="I184" s="90"/>
      <c r="J184" s="142" t="str">
        <f t="shared" si="2"/>
        <v>24.5.2026</v>
      </c>
      <c r="L184" s="153">
        <v>173</v>
      </c>
      <c r="M184" s="92"/>
    </row>
    <row r="185" spans="1:13" ht="21.6" x14ac:dyDescent="0.65">
      <c r="A185" s="195"/>
      <c r="B185" s="144">
        <v>182</v>
      </c>
      <c r="C185" s="2"/>
      <c r="D185" s="1"/>
      <c r="E185" s="3"/>
      <c r="F185" s="1"/>
      <c r="G185" s="141">
        <f>IF(Basic3456789[[#This Row],[نوع الخدمة]]="مخالفات", 50,
IF(Basic3456789[[#This Row],[نوع الخدمة]]="كاش ان",
    IF(F185&lt;=100, 18, IF(F185&lt;=250, 23, IF(F185&lt;=500, 35, IF(F185&lt;=1000, 40, F185*0.04)))),
IF(Basic3456789[[#This Row],[نوع الخدمة]]="كاش اوت",
    IF(F185&lt;=100, 15, IF(F185&lt;=250, 20, IF(F185&lt;=500, 30, IF(F185&lt;=1000, 35, F185*0.035)))),
0)))</f>
        <v>0</v>
      </c>
      <c r="H185" s="159">
        <f>IF(I185="مخالفات",50,Basic3456789[[#This Row],[قيمة الرسوم / العموله]]+Basic3456789[[#This Row],[قيمة الشحنه]])</f>
        <v>0</v>
      </c>
      <c r="I185" s="90"/>
      <c r="J185" s="142" t="str">
        <f t="shared" si="2"/>
        <v>24.5.2026</v>
      </c>
      <c r="L185" s="153">
        <v>174</v>
      </c>
      <c r="M185" s="92"/>
    </row>
    <row r="186" spans="1:13" ht="21.6" x14ac:dyDescent="0.65">
      <c r="A186" s="195"/>
      <c r="B186" s="140">
        <v>183</v>
      </c>
      <c r="C186" s="2"/>
      <c r="D186" s="1"/>
      <c r="E186" s="3"/>
      <c r="F186" s="1"/>
      <c r="G186" s="141">
        <f>IF(Basic3456789[[#This Row],[نوع الخدمة]]="مخالفات", 50,
IF(Basic3456789[[#This Row],[نوع الخدمة]]="كاش ان",
    IF(F186&lt;=100, 18, IF(F186&lt;=250, 23, IF(F186&lt;=500, 35, IF(F186&lt;=1000, 40, F186*0.04)))),
IF(Basic3456789[[#This Row],[نوع الخدمة]]="كاش اوت",
    IF(F186&lt;=100, 15, IF(F186&lt;=250, 20, IF(F186&lt;=500, 30, IF(F186&lt;=1000, 35, F186*0.035)))),
0)))</f>
        <v>0</v>
      </c>
      <c r="H186" s="159">
        <f>IF(I186="مخالفات",50,Basic3456789[[#This Row],[قيمة الرسوم / العموله]]+Basic3456789[[#This Row],[قيمة الشحنه]])</f>
        <v>0</v>
      </c>
      <c r="I186" s="90"/>
      <c r="J186" s="142" t="str">
        <f t="shared" si="2"/>
        <v>24.5.2026</v>
      </c>
      <c r="L186" s="153">
        <v>175</v>
      </c>
      <c r="M186" s="92"/>
    </row>
    <row r="187" spans="1:13" ht="21.6" x14ac:dyDescent="0.65">
      <c r="A187" s="195"/>
      <c r="B187" s="140">
        <v>184</v>
      </c>
      <c r="C187" s="2"/>
      <c r="D187" s="1"/>
      <c r="E187" s="3"/>
      <c r="F187" s="1"/>
      <c r="G187" s="141">
        <f>IF(Basic3456789[[#This Row],[نوع الخدمة]]="مخالفات", 50,
IF(Basic3456789[[#This Row],[نوع الخدمة]]="كاش ان",
    IF(F187&lt;=100, 18, IF(F187&lt;=250, 23, IF(F187&lt;=500, 35, IF(F187&lt;=1000, 40, F187*0.04)))),
IF(Basic3456789[[#This Row],[نوع الخدمة]]="كاش اوت",
    IF(F187&lt;=100, 15, IF(F187&lt;=250, 20, IF(F187&lt;=500, 30, IF(F187&lt;=1000, 35, F187*0.035)))),
0)))</f>
        <v>0</v>
      </c>
      <c r="H187" s="159">
        <f>IF(I187="مخالفات",50,Basic3456789[[#This Row],[قيمة الرسوم / العموله]]+Basic3456789[[#This Row],[قيمة الشحنه]])</f>
        <v>0</v>
      </c>
      <c r="I187" s="90"/>
      <c r="J187" s="142" t="str">
        <f t="shared" si="2"/>
        <v>24.5.2026</v>
      </c>
      <c r="L187" s="153">
        <v>176</v>
      </c>
      <c r="M187" s="92"/>
    </row>
    <row r="188" spans="1:13" ht="21.6" x14ac:dyDescent="0.65">
      <c r="A188" s="195"/>
      <c r="B188" s="140">
        <v>185</v>
      </c>
      <c r="C188" s="2"/>
      <c r="D188" s="1"/>
      <c r="E188" s="3"/>
      <c r="F188" s="1"/>
      <c r="G188" s="141">
        <f>IF(Basic3456789[[#This Row],[نوع الخدمة]]="مخالفات", 50,
IF(Basic3456789[[#This Row],[نوع الخدمة]]="كاش ان",
    IF(F188&lt;=100, 18, IF(F188&lt;=250, 23, IF(F188&lt;=500, 35, IF(F188&lt;=1000, 40, F188*0.04)))),
IF(Basic3456789[[#This Row],[نوع الخدمة]]="كاش اوت",
    IF(F188&lt;=100, 15, IF(F188&lt;=250, 20, IF(F188&lt;=500, 30, IF(F188&lt;=1000, 35, F188*0.035)))),
0)))</f>
        <v>0</v>
      </c>
      <c r="H188" s="159">
        <f>IF(I188="مخالفات",50,Basic3456789[[#This Row],[قيمة الرسوم / العموله]]+Basic3456789[[#This Row],[قيمة الشحنه]])</f>
        <v>0</v>
      </c>
      <c r="I188" s="90"/>
      <c r="J188" s="142" t="str">
        <f t="shared" si="2"/>
        <v>24.5.2026</v>
      </c>
      <c r="L188" s="153">
        <v>177</v>
      </c>
      <c r="M188" s="92"/>
    </row>
    <row r="189" spans="1:13" ht="21.6" x14ac:dyDescent="0.65">
      <c r="A189" s="195"/>
      <c r="B189" s="144">
        <v>186</v>
      </c>
      <c r="C189" s="2"/>
      <c r="D189" s="1"/>
      <c r="E189" s="3"/>
      <c r="F189" s="1"/>
      <c r="G189" s="141">
        <f>IF(Basic3456789[[#This Row],[نوع الخدمة]]="مخالفات", 50,
IF(Basic3456789[[#This Row],[نوع الخدمة]]="كاش ان",
    IF(F189&lt;=100, 18, IF(F189&lt;=250, 23, IF(F189&lt;=500, 35, IF(F189&lt;=1000, 40, F189*0.04)))),
IF(Basic3456789[[#This Row],[نوع الخدمة]]="كاش اوت",
    IF(F189&lt;=100, 15, IF(F189&lt;=250, 20, IF(F189&lt;=500, 30, IF(F189&lt;=1000, 35, F189*0.035)))),
0)))</f>
        <v>0</v>
      </c>
      <c r="H189" s="159">
        <f>IF(I189="مخالفات",50,Basic3456789[[#This Row],[قيمة الرسوم / العموله]]+Basic3456789[[#This Row],[قيمة الشحنه]])</f>
        <v>0</v>
      </c>
      <c r="I189" s="90"/>
      <c r="J189" s="142" t="str">
        <f t="shared" si="2"/>
        <v>24.5.2026</v>
      </c>
      <c r="L189" s="153">
        <v>178</v>
      </c>
      <c r="M189" s="92"/>
    </row>
    <row r="190" spans="1:13" ht="21.6" x14ac:dyDescent="0.65">
      <c r="A190" s="195"/>
      <c r="B190" s="140">
        <v>187</v>
      </c>
      <c r="C190" s="2"/>
      <c r="D190" s="1"/>
      <c r="E190" s="3"/>
      <c r="F190" s="1"/>
      <c r="G190" s="141">
        <f>IF(Basic3456789[[#This Row],[نوع الخدمة]]="مخالفات", 50,
IF(Basic3456789[[#This Row],[نوع الخدمة]]="كاش ان",
    IF(F190&lt;=100, 18, IF(F190&lt;=250, 23, IF(F190&lt;=500, 35, IF(F190&lt;=1000, 40, F190*0.04)))),
IF(Basic3456789[[#This Row],[نوع الخدمة]]="كاش اوت",
    IF(F190&lt;=100, 15, IF(F190&lt;=250, 20, IF(F190&lt;=500, 30, IF(F190&lt;=1000, 35, F190*0.035)))),
0)))</f>
        <v>0</v>
      </c>
      <c r="H190" s="159">
        <f>IF(I190="مخالفات",50,Basic3456789[[#This Row],[قيمة الرسوم / العموله]]+Basic3456789[[#This Row],[قيمة الشحنه]])</f>
        <v>0</v>
      </c>
      <c r="I190" s="90"/>
      <c r="J190" s="142" t="str">
        <f t="shared" si="2"/>
        <v>24.5.2026</v>
      </c>
      <c r="L190" s="153">
        <v>179</v>
      </c>
      <c r="M190" s="92"/>
    </row>
    <row r="191" spans="1:13" ht="21.6" x14ac:dyDescent="0.65">
      <c r="A191" s="195"/>
      <c r="B191" s="140">
        <v>188</v>
      </c>
      <c r="C191" s="2"/>
      <c r="D191" s="1"/>
      <c r="E191" s="3"/>
      <c r="F191" s="1"/>
      <c r="G191" s="141">
        <f>IF(Basic3456789[[#This Row],[نوع الخدمة]]="مخالفات", 50,
IF(Basic3456789[[#This Row],[نوع الخدمة]]="كاش ان",
    IF(F191&lt;=100, 18, IF(F191&lt;=250, 23, IF(F191&lt;=500, 35, IF(F191&lt;=1000, 40, F191*0.04)))),
IF(Basic3456789[[#This Row],[نوع الخدمة]]="كاش اوت",
    IF(F191&lt;=100, 15, IF(F191&lt;=250, 20, IF(F191&lt;=500, 30, IF(F191&lt;=1000, 35, F191*0.035)))),
0)))</f>
        <v>0</v>
      </c>
      <c r="H191" s="159">
        <f>IF(I191="مخالفات",50,Basic3456789[[#This Row],[قيمة الرسوم / العموله]]+Basic3456789[[#This Row],[قيمة الشحنه]])</f>
        <v>0</v>
      </c>
      <c r="I191" s="90"/>
      <c r="J191" s="142" t="str">
        <f t="shared" si="2"/>
        <v>24.5.2026</v>
      </c>
      <c r="L191" s="153">
        <v>180</v>
      </c>
      <c r="M191" s="92"/>
    </row>
    <row r="192" spans="1:13" ht="21.6" x14ac:dyDescent="0.65">
      <c r="A192" s="195"/>
      <c r="B192" s="140">
        <v>189</v>
      </c>
      <c r="C192" s="2"/>
      <c r="D192" s="1"/>
      <c r="E192" s="3"/>
      <c r="F192" s="1"/>
      <c r="G192" s="141">
        <f>IF(Basic3456789[[#This Row],[نوع الخدمة]]="مخالفات", 50,
IF(Basic3456789[[#This Row],[نوع الخدمة]]="كاش ان",
    IF(F192&lt;=100, 18, IF(F192&lt;=250, 23, IF(F192&lt;=500, 35, IF(F192&lt;=1000, 40, F192*0.04)))),
IF(Basic3456789[[#This Row],[نوع الخدمة]]="كاش اوت",
    IF(F192&lt;=100, 15, IF(F192&lt;=250, 20, IF(F192&lt;=500, 30, IF(F192&lt;=1000, 35, F192*0.035)))),
0)))</f>
        <v>0</v>
      </c>
      <c r="H192" s="159">
        <f>IF(I192="مخالفات",50,Basic3456789[[#This Row],[قيمة الرسوم / العموله]]+Basic3456789[[#This Row],[قيمة الشحنه]])</f>
        <v>0</v>
      </c>
      <c r="I192" s="90"/>
      <c r="J192" s="142" t="str">
        <f t="shared" si="2"/>
        <v>24.5.2026</v>
      </c>
      <c r="L192" s="153">
        <v>181</v>
      </c>
      <c r="M192" s="92"/>
    </row>
    <row r="193" spans="1:13" ht="21.6" x14ac:dyDescent="0.65">
      <c r="A193" s="195"/>
      <c r="B193" s="144">
        <v>190</v>
      </c>
      <c r="C193" s="2"/>
      <c r="D193" s="1"/>
      <c r="E193" s="3"/>
      <c r="F193" s="1"/>
      <c r="G193" s="141">
        <f>IF(Basic3456789[[#This Row],[نوع الخدمة]]="مخالفات", 50,
IF(Basic3456789[[#This Row],[نوع الخدمة]]="كاش ان",
    IF(F193&lt;=100, 18, IF(F193&lt;=250, 23, IF(F193&lt;=500, 35, IF(F193&lt;=1000, 40, F193*0.04)))),
IF(Basic3456789[[#This Row],[نوع الخدمة]]="كاش اوت",
    IF(F193&lt;=100, 15, IF(F193&lt;=250, 20, IF(F193&lt;=500, 30, IF(F193&lt;=1000, 35, F193*0.035)))),
0)))</f>
        <v>0</v>
      </c>
      <c r="H193" s="159">
        <f>IF(I193="مخالفات",50,Basic3456789[[#This Row],[قيمة الرسوم / العموله]]+Basic3456789[[#This Row],[قيمة الشحنه]])</f>
        <v>0</v>
      </c>
      <c r="I193" s="90"/>
      <c r="J193" s="142" t="str">
        <f t="shared" si="2"/>
        <v>24.5.2026</v>
      </c>
      <c r="L193" s="153">
        <v>182</v>
      </c>
      <c r="M193" s="92"/>
    </row>
    <row r="194" spans="1:13" ht="21.6" x14ac:dyDescent="0.65">
      <c r="A194" s="195"/>
      <c r="B194" s="140">
        <v>191</v>
      </c>
      <c r="C194" s="2"/>
      <c r="D194" s="1"/>
      <c r="E194" s="3"/>
      <c r="F194" s="1"/>
      <c r="G194" s="141">
        <f>IF(Basic3456789[[#This Row],[نوع الخدمة]]="مخالفات", 50,
IF(Basic3456789[[#This Row],[نوع الخدمة]]="كاش ان",
    IF(F194&lt;=100, 18, IF(F194&lt;=250, 23, IF(F194&lt;=500, 35, IF(F194&lt;=1000, 40, F194*0.04)))),
IF(Basic3456789[[#This Row],[نوع الخدمة]]="كاش اوت",
    IF(F194&lt;=100, 15, IF(F194&lt;=250, 20, IF(F194&lt;=500, 30, IF(F194&lt;=1000, 35, F194*0.035)))),
0)))</f>
        <v>0</v>
      </c>
      <c r="H194" s="159">
        <f>IF(I194="مخالفات",50,Basic3456789[[#This Row],[قيمة الرسوم / العموله]]+Basic3456789[[#This Row],[قيمة الشحنه]])</f>
        <v>0</v>
      </c>
      <c r="I194" s="90"/>
      <c r="J194" s="142" t="str">
        <f t="shared" si="2"/>
        <v>24.5.2026</v>
      </c>
      <c r="L194" s="153">
        <v>183</v>
      </c>
      <c r="M194" s="92"/>
    </row>
    <row r="195" spans="1:13" ht="21.6" x14ac:dyDescent="0.65">
      <c r="A195" s="195"/>
      <c r="B195" s="140">
        <v>192</v>
      </c>
      <c r="C195" s="2"/>
      <c r="D195" s="1"/>
      <c r="E195" s="3"/>
      <c r="F195" s="1"/>
      <c r="G195" s="141">
        <f>IF(Basic3456789[[#This Row],[نوع الخدمة]]="مخالفات", 50,
IF(Basic3456789[[#This Row],[نوع الخدمة]]="كاش ان",
    IF(F195&lt;=100, 18, IF(F195&lt;=250, 23, IF(F195&lt;=500, 35, IF(F195&lt;=1000, 40, F195*0.04)))),
IF(Basic3456789[[#This Row],[نوع الخدمة]]="كاش اوت",
    IF(F195&lt;=100, 15, IF(F195&lt;=250, 20, IF(F195&lt;=500, 30, IF(F195&lt;=1000, 35, F195*0.035)))),
0)))</f>
        <v>0</v>
      </c>
      <c r="H195" s="159">
        <f>IF(I195="مخالفات",50,Basic3456789[[#This Row],[قيمة الرسوم / العموله]]+Basic3456789[[#This Row],[قيمة الشحنه]])</f>
        <v>0</v>
      </c>
      <c r="I195" s="90"/>
      <c r="J195" s="142" t="str">
        <f t="shared" si="2"/>
        <v>24.5.2026</v>
      </c>
      <c r="L195" s="153">
        <v>184</v>
      </c>
      <c r="M195" s="92"/>
    </row>
    <row r="196" spans="1:13" ht="21.6" x14ac:dyDescent="0.65">
      <c r="A196" s="195"/>
      <c r="B196" s="140">
        <v>193</v>
      </c>
      <c r="C196" s="2"/>
      <c r="D196" s="1"/>
      <c r="E196" s="3"/>
      <c r="F196" s="1"/>
      <c r="G196" s="141">
        <f>IF(Basic3456789[[#This Row],[نوع الخدمة]]="مخالفات", 50,
IF(Basic3456789[[#This Row],[نوع الخدمة]]="كاش ان",
    IF(F196&lt;=100, 18, IF(F196&lt;=250, 23, IF(F196&lt;=500, 35, IF(F196&lt;=1000, 40, F196*0.04)))),
IF(Basic3456789[[#This Row],[نوع الخدمة]]="كاش اوت",
    IF(F196&lt;=100, 15, IF(F196&lt;=250, 20, IF(F196&lt;=500, 30, IF(F196&lt;=1000, 35, F196*0.035)))),
0)))</f>
        <v>0</v>
      </c>
      <c r="H196" s="159">
        <f>IF(I196="مخالفات",50,Basic3456789[[#This Row],[قيمة الرسوم / العموله]]+Basic3456789[[#This Row],[قيمة الشحنه]])</f>
        <v>0</v>
      </c>
      <c r="I196" s="90"/>
      <c r="J196" s="142" t="str">
        <f t="shared" ref="J196:J226" si="3">M$3</f>
        <v>24.5.2026</v>
      </c>
      <c r="L196" s="153">
        <v>185</v>
      </c>
      <c r="M196" s="92"/>
    </row>
    <row r="197" spans="1:13" ht="21.6" x14ac:dyDescent="0.65">
      <c r="A197" s="195"/>
      <c r="B197" s="144">
        <v>194</v>
      </c>
      <c r="C197" s="2"/>
      <c r="D197" s="1"/>
      <c r="E197" s="3"/>
      <c r="F197" s="1"/>
      <c r="G197" s="141">
        <f>IF(Basic3456789[[#This Row],[نوع الخدمة]]="مخالفات", 50,
IF(Basic3456789[[#This Row],[نوع الخدمة]]="كاش ان",
    IF(F197&lt;=100, 18, IF(F197&lt;=250, 23, IF(F197&lt;=500, 35, IF(F197&lt;=1000, 40, F197*0.04)))),
IF(Basic3456789[[#This Row],[نوع الخدمة]]="كاش اوت",
    IF(F197&lt;=100, 15, IF(F197&lt;=250, 20, IF(F197&lt;=500, 30, IF(F197&lt;=1000, 35, F197*0.035)))),
0)))</f>
        <v>0</v>
      </c>
      <c r="H197" s="159">
        <f>IF(I197="مخالفات",50,Basic3456789[[#This Row],[قيمة الرسوم / العموله]]+Basic3456789[[#This Row],[قيمة الشحنه]])</f>
        <v>0</v>
      </c>
      <c r="I197" s="90"/>
      <c r="J197" s="142" t="str">
        <f t="shared" si="3"/>
        <v>24.5.2026</v>
      </c>
      <c r="L197" s="153">
        <v>186</v>
      </c>
      <c r="M197" s="92"/>
    </row>
    <row r="198" spans="1:13" ht="21.6" x14ac:dyDescent="0.65">
      <c r="A198" s="195"/>
      <c r="B198" s="140">
        <v>195</v>
      </c>
      <c r="C198" s="2"/>
      <c r="D198" s="1"/>
      <c r="E198" s="3"/>
      <c r="F198" s="1"/>
      <c r="G198" s="141">
        <f>IF(Basic3456789[[#This Row],[نوع الخدمة]]="مخالفات", 50,
IF(Basic3456789[[#This Row],[نوع الخدمة]]="كاش ان",
    IF(F198&lt;=100, 18, IF(F198&lt;=250, 23, IF(F198&lt;=500, 35, IF(F198&lt;=1000, 40, F198*0.04)))),
IF(Basic3456789[[#This Row],[نوع الخدمة]]="كاش اوت",
    IF(F198&lt;=100, 15, IF(F198&lt;=250, 20, IF(F198&lt;=500, 30, IF(F198&lt;=1000, 35, F198*0.035)))),
0)))</f>
        <v>0</v>
      </c>
      <c r="H198" s="159">
        <f>IF(I198="مخالفات",50,Basic3456789[[#This Row],[قيمة الرسوم / العموله]]+Basic3456789[[#This Row],[قيمة الشحنه]])</f>
        <v>0</v>
      </c>
      <c r="I198" s="90"/>
      <c r="J198" s="142" t="str">
        <f t="shared" si="3"/>
        <v>24.5.2026</v>
      </c>
      <c r="L198" s="153">
        <v>187</v>
      </c>
      <c r="M198" s="92"/>
    </row>
    <row r="199" spans="1:13" ht="21.6" x14ac:dyDescent="0.65">
      <c r="A199" s="195"/>
      <c r="B199" s="140">
        <v>196</v>
      </c>
      <c r="C199" s="2"/>
      <c r="D199" s="1"/>
      <c r="E199" s="3"/>
      <c r="F199" s="1"/>
      <c r="G199" s="141">
        <f>IF(Basic3456789[[#This Row],[نوع الخدمة]]="مخالفات", 50,
IF(Basic3456789[[#This Row],[نوع الخدمة]]="كاش ان",
    IF(F199&lt;=100, 18, IF(F199&lt;=250, 23, IF(F199&lt;=500, 35, IF(F199&lt;=1000, 40, F199*0.04)))),
IF(Basic3456789[[#This Row],[نوع الخدمة]]="كاش اوت",
    IF(F199&lt;=100, 15, IF(F199&lt;=250, 20, IF(F199&lt;=500, 30, IF(F199&lt;=1000, 35, F199*0.035)))),
0)))</f>
        <v>0</v>
      </c>
      <c r="H199" s="159">
        <f>IF(I199="مخالفات",50,Basic3456789[[#This Row],[قيمة الرسوم / العموله]]+Basic3456789[[#This Row],[قيمة الشحنه]])</f>
        <v>0</v>
      </c>
      <c r="I199" s="90"/>
      <c r="J199" s="142" t="str">
        <f t="shared" si="3"/>
        <v>24.5.2026</v>
      </c>
      <c r="L199" s="153">
        <v>188</v>
      </c>
      <c r="M199" s="92"/>
    </row>
    <row r="200" spans="1:13" ht="21.6" x14ac:dyDescent="0.65">
      <c r="A200" s="195"/>
      <c r="B200" s="140">
        <v>197</v>
      </c>
      <c r="C200" s="2"/>
      <c r="D200" s="1"/>
      <c r="E200" s="3"/>
      <c r="F200" s="1"/>
      <c r="G200" s="141">
        <f>IF(Basic3456789[[#This Row],[نوع الخدمة]]="مخالفات", 50,
IF(Basic3456789[[#This Row],[نوع الخدمة]]="كاش ان",
    IF(F200&lt;=100, 18, IF(F200&lt;=250, 23, IF(F200&lt;=500, 35, IF(F200&lt;=1000, 40, F200*0.04)))),
IF(Basic3456789[[#This Row],[نوع الخدمة]]="كاش اوت",
    IF(F200&lt;=100, 15, IF(F200&lt;=250, 20, IF(F200&lt;=500, 30, IF(F200&lt;=1000, 35, F200*0.035)))),
0)))</f>
        <v>0</v>
      </c>
      <c r="H200" s="159">
        <f>IF(I200="مخالفات",50,Basic3456789[[#This Row],[قيمة الرسوم / العموله]]+Basic3456789[[#This Row],[قيمة الشحنه]])</f>
        <v>0</v>
      </c>
      <c r="I200" s="90"/>
      <c r="J200" s="142" t="str">
        <f t="shared" si="3"/>
        <v>24.5.2026</v>
      </c>
      <c r="L200" s="153">
        <v>189</v>
      </c>
      <c r="M200" s="92"/>
    </row>
    <row r="201" spans="1:13" ht="21.6" x14ac:dyDescent="0.65">
      <c r="A201" s="195"/>
      <c r="B201" s="144">
        <v>198</v>
      </c>
      <c r="C201" s="2"/>
      <c r="D201" s="1"/>
      <c r="E201" s="3"/>
      <c r="F201" s="1"/>
      <c r="G201" s="141">
        <f>IF(Basic3456789[[#This Row],[نوع الخدمة]]="مخالفات", 50,
IF(Basic3456789[[#This Row],[نوع الخدمة]]="كاش ان",
    IF(F201&lt;=100, 18, IF(F201&lt;=250, 23, IF(F201&lt;=500, 35, IF(F201&lt;=1000, 40, F201*0.04)))),
IF(Basic3456789[[#This Row],[نوع الخدمة]]="كاش اوت",
    IF(F201&lt;=100, 15, IF(F201&lt;=250, 20, IF(F201&lt;=500, 30, IF(F201&lt;=1000, 35, F201*0.035)))),
0)))</f>
        <v>0</v>
      </c>
      <c r="H201" s="159">
        <f>IF(I201="مخالفات",50,Basic3456789[[#This Row],[قيمة الرسوم / العموله]]+Basic3456789[[#This Row],[قيمة الشحنه]])</f>
        <v>0</v>
      </c>
      <c r="I201" s="90"/>
      <c r="J201" s="142" t="str">
        <f t="shared" si="3"/>
        <v>24.5.2026</v>
      </c>
      <c r="L201" s="153">
        <v>190</v>
      </c>
      <c r="M201" s="92"/>
    </row>
    <row r="202" spans="1:13" ht="21.6" x14ac:dyDescent="0.65">
      <c r="A202" s="195"/>
      <c r="B202" s="140">
        <v>199</v>
      </c>
      <c r="C202" s="2"/>
      <c r="D202" s="1"/>
      <c r="E202" s="3"/>
      <c r="F202" s="1"/>
      <c r="G202" s="141">
        <f>IF(Basic3456789[[#This Row],[نوع الخدمة]]="مخالفات", 50,
IF(Basic3456789[[#This Row],[نوع الخدمة]]="كاش ان",
    IF(F202&lt;=100, 18, IF(F202&lt;=250, 23, IF(F202&lt;=500, 35, IF(F202&lt;=1000, 40, F202*0.04)))),
IF(Basic3456789[[#This Row],[نوع الخدمة]]="كاش اوت",
    IF(F202&lt;=100, 15, IF(F202&lt;=250, 20, IF(F202&lt;=500, 30, IF(F202&lt;=1000, 35, F202*0.035)))),
0)))</f>
        <v>0</v>
      </c>
      <c r="H202" s="159">
        <f>IF(I202="مخالفات",50,Basic3456789[[#This Row],[قيمة الرسوم / العموله]]+Basic3456789[[#This Row],[قيمة الشحنه]])</f>
        <v>0</v>
      </c>
      <c r="I202" s="90"/>
      <c r="J202" s="142" t="str">
        <f t="shared" si="3"/>
        <v>24.5.2026</v>
      </c>
      <c r="L202" s="153">
        <v>191</v>
      </c>
      <c r="M202" s="92"/>
    </row>
    <row r="203" spans="1:13" ht="21.6" x14ac:dyDescent="0.65">
      <c r="A203" s="195"/>
      <c r="B203" s="140">
        <v>200</v>
      </c>
      <c r="C203" s="2"/>
      <c r="D203" s="1"/>
      <c r="E203" s="3"/>
      <c r="F203" s="1"/>
      <c r="G203" s="141">
        <f>IF(Basic3456789[[#This Row],[نوع الخدمة]]="مخالفات", 50,
IF(Basic3456789[[#This Row],[نوع الخدمة]]="كاش ان",
    IF(F203&lt;=100, 18, IF(F203&lt;=250, 23, IF(F203&lt;=500, 35, IF(F203&lt;=1000, 40, F203*0.04)))),
IF(Basic3456789[[#This Row],[نوع الخدمة]]="كاش اوت",
    IF(F203&lt;=100, 15, IF(F203&lt;=250, 20, IF(F203&lt;=500, 30, IF(F203&lt;=1000, 35, F203*0.035)))),
0)))</f>
        <v>0</v>
      </c>
      <c r="H203" s="159">
        <f>IF(I203="مخالفات",50,Basic3456789[[#This Row],[قيمة الرسوم / العموله]]+Basic3456789[[#This Row],[قيمة الشحنه]])</f>
        <v>0</v>
      </c>
      <c r="I203" s="90"/>
      <c r="J203" s="142" t="str">
        <f t="shared" si="3"/>
        <v>24.5.2026</v>
      </c>
      <c r="L203" s="153">
        <v>192</v>
      </c>
      <c r="M203" s="92"/>
    </row>
    <row r="204" spans="1:13" ht="21.6" x14ac:dyDescent="0.65">
      <c r="A204" s="195"/>
      <c r="B204" s="140">
        <v>201</v>
      </c>
      <c r="C204" s="2"/>
      <c r="D204" s="1"/>
      <c r="E204" s="3"/>
      <c r="F204" s="1"/>
      <c r="G204" s="141">
        <f>IF(Basic3456789[[#This Row],[نوع الخدمة]]="مخالفات", 50,
IF(Basic3456789[[#This Row],[نوع الخدمة]]="كاش ان",
    IF(F204&lt;=100, 18, IF(F204&lt;=250, 23, IF(F204&lt;=500, 35, IF(F204&lt;=1000, 40, F204*0.04)))),
IF(Basic3456789[[#This Row],[نوع الخدمة]]="كاش اوت",
    IF(F204&lt;=100, 15, IF(F204&lt;=250, 20, IF(F204&lt;=500, 30, IF(F204&lt;=1000, 35, F204*0.035)))),
0)))</f>
        <v>0</v>
      </c>
      <c r="H204" s="159">
        <f>IF(I204="مخالفات",50,Basic3456789[[#This Row],[قيمة الرسوم / العموله]]+Basic3456789[[#This Row],[قيمة الشحنه]])</f>
        <v>0</v>
      </c>
      <c r="I204" s="90"/>
      <c r="J204" s="142" t="str">
        <f t="shared" si="3"/>
        <v>24.5.2026</v>
      </c>
      <c r="L204" s="153">
        <v>193</v>
      </c>
      <c r="M204" s="92"/>
    </row>
    <row r="205" spans="1:13" ht="21.6" x14ac:dyDescent="0.65">
      <c r="A205" s="195"/>
      <c r="B205" s="144">
        <v>202</v>
      </c>
      <c r="C205" s="2"/>
      <c r="D205" s="1"/>
      <c r="E205" s="3"/>
      <c r="F205" s="1"/>
      <c r="G205" s="141">
        <f>IF(Basic3456789[[#This Row],[نوع الخدمة]]="مخالفات", 50,
IF(Basic3456789[[#This Row],[نوع الخدمة]]="كاش ان",
    IF(F205&lt;=100, 18, IF(F205&lt;=250, 23, IF(F205&lt;=500, 35, IF(F205&lt;=1000, 40, F205*0.04)))),
IF(Basic3456789[[#This Row],[نوع الخدمة]]="كاش اوت",
    IF(F205&lt;=100, 15, IF(F205&lt;=250, 20, IF(F205&lt;=500, 30, IF(F205&lt;=1000, 35, F205*0.035)))),
0)))</f>
        <v>0</v>
      </c>
      <c r="H205" s="159">
        <f>IF(I205="مخالفات",50,Basic3456789[[#This Row],[قيمة الرسوم / العموله]]+Basic3456789[[#This Row],[قيمة الشحنه]])</f>
        <v>0</v>
      </c>
      <c r="I205" s="90"/>
      <c r="J205" s="142" t="str">
        <f t="shared" si="3"/>
        <v>24.5.2026</v>
      </c>
      <c r="L205" s="153">
        <v>194</v>
      </c>
      <c r="M205" s="92"/>
    </row>
    <row r="206" spans="1:13" ht="21.6" x14ac:dyDescent="0.65">
      <c r="A206" s="195"/>
      <c r="B206" s="140">
        <v>203</v>
      </c>
      <c r="C206" s="2"/>
      <c r="D206" s="1"/>
      <c r="E206" s="3"/>
      <c r="F206" s="1"/>
      <c r="G206" s="141">
        <f>IF(Basic3456789[[#This Row],[نوع الخدمة]]="مخالفات", 50,
IF(Basic3456789[[#This Row],[نوع الخدمة]]="كاش ان",
    IF(F206&lt;=100, 18, IF(F206&lt;=250, 23, IF(F206&lt;=500, 35, IF(F206&lt;=1000, 40, F206*0.04)))),
IF(Basic3456789[[#This Row],[نوع الخدمة]]="كاش اوت",
    IF(F206&lt;=100, 15, IF(F206&lt;=250, 20, IF(F206&lt;=500, 30, IF(F206&lt;=1000, 35, F206*0.035)))),
0)))</f>
        <v>0</v>
      </c>
      <c r="H206" s="159">
        <f>IF(I206="مخالفات",50,Basic3456789[[#This Row],[قيمة الرسوم / العموله]]+Basic3456789[[#This Row],[قيمة الشحنه]])</f>
        <v>0</v>
      </c>
      <c r="I206" s="90"/>
      <c r="J206" s="142" t="str">
        <f t="shared" si="3"/>
        <v>24.5.2026</v>
      </c>
      <c r="L206" s="153">
        <v>195</v>
      </c>
      <c r="M206" s="92"/>
    </row>
    <row r="207" spans="1:13" ht="21.6" x14ac:dyDescent="0.65">
      <c r="A207" s="195"/>
      <c r="B207" s="140">
        <v>204</v>
      </c>
      <c r="C207" s="2"/>
      <c r="D207" s="1"/>
      <c r="E207" s="3"/>
      <c r="F207" s="1"/>
      <c r="G207" s="141">
        <f>IF(Basic3456789[[#This Row],[نوع الخدمة]]="مخالفات", 50,
IF(Basic3456789[[#This Row],[نوع الخدمة]]="كاش ان",
    IF(F207&lt;=100, 18, IF(F207&lt;=250, 23, IF(F207&lt;=500, 35, IF(F207&lt;=1000, 40, F207*0.04)))),
IF(Basic3456789[[#This Row],[نوع الخدمة]]="كاش اوت",
    IF(F207&lt;=100, 15, IF(F207&lt;=250, 20, IF(F207&lt;=500, 30, IF(F207&lt;=1000, 35, F207*0.035)))),
0)))</f>
        <v>0</v>
      </c>
      <c r="H207" s="159">
        <f>IF(I207="مخالفات",50,Basic3456789[[#This Row],[قيمة الرسوم / العموله]]+Basic3456789[[#This Row],[قيمة الشحنه]])</f>
        <v>0</v>
      </c>
      <c r="I207" s="90"/>
      <c r="J207" s="142" t="str">
        <f t="shared" si="3"/>
        <v>24.5.2026</v>
      </c>
      <c r="L207" s="153">
        <v>196</v>
      </c>
      <c r="M207" s="92"/>
    </row>
    <row r="208" spans="1:13" ht="21.6" x14ac:dyDescent="0.65">
      <c r="A208" s="195"/>
      <c r="B208" s="140">
        <v>205</v>
      </c>
      <c r="C208" s="2"/>
      <c r="D208" s="1"/>
      <c r="E208" s="3"/>
      <c r="F208" s="1"/>
      <c r="G208" s="141">
        <f>IF(Basic3456789[[#This Row],[نوع الخدمة]]="مخالفات", 50,
IF(Basic3456789[[#This Row],[نوع الخدمة]]="كاش ان",
    IF(F208&lt;=100, 18, IF(F208&lt;=250, 23, IF(F208&lt;=500, 35, IF(F208&lt;=1000, 40, F208*0.04)))),
IF(Basic3456789[[#This Row],[نوع الخدمة]]="كاش اوت",
    IF(F208&lt;=100, 15, IF(F208&lt;=250, 20, IF(F208&lt;=500, 30, IF(F208&lt;=1000, 35, F208*0.035)))),
0)))</f>
        <v>0</v>
      </c>
      <c r="H208" s="159">
        <f>IF(I208="مخالفات",50,Basic3456789[[#This Row],[قيمة الرسوم / العموله]]+Basic3456789[[#This Row],[قيمة الشحنه]])</f>
        <v>0</v>
      </c>
      <c r="I208" s="90"/>
      <c r="J208" s="142" t="str">
        <f t="shared" si="3"/>
        <v>24.5.2026</v>
      </c>
      <c r="L208" s="153">
        <v>197</v>
      </c>
      <c r="M208" s="92"/>
    </row>
    <row r="209" spans="1:13" ht="21.6" x14ac:dyDescent="0.65">
      <c r="A209" s="195"/>
      <c r="B209" s="144">
        <v>206</v>
      </c>
      <c r="C209" s="2"/>
      <c r="D209" s="1"/>
      <c r="E209" s="3"/>
      <c r="F209" s="1"/>
      <c r="G209" s="141">
        <f>IF(Basic3456789[[#This Row],[نوع الخدمة]]="مخالفات", 50,
IF(Basic3456789[[#This Row],[نوع الخدمة]]="كاش ان",
    IF(F209&lt;=100, 18, IF(F209&lt;=250, 23, IF(F209&lt;=500, 35, IF(F209&lt;=1000, 40, F209*0.04)))),
IF(Basic3456789[[#This Row],[نوع الخدمة]]="كاش اوت",
    IF(F209&lt;=100, 15, IF(F209&lt;=250, 20, IF(F209&lt;=500, 30, IF(F209&lt;=1000, 35, F209*0.035)))),
0)))</f>
        <v>0</v>
      </c>
      <c r="H209" s="159">
        <f>IF(I209="مخالفات",50,Basic3456789[[#This Row],[قيمة الرسوم / العموله]]+Basic3456789[[#This Row],[قيمة الشحنه]])</f>
        <v>0</v>
      </c>
      <c r="I209" s="90"/>
      <c r="J209" s="142" t="str">
        <f t="shared" si="3"/>
        <v>24.5.2026</v>
      </c>
      <c r="L209" s="153">
        <v>198</v>
      </c>
      <c r="M209" s="92"/>
    </row>
    <row r="210" spans="1:13" ht="21.6" x14ac:dyDescent="0.65">
      <c r="A210" s="195"/>
      <c r="B210" s="140">
        <v>207</v>
      </c>
      <c r="C210" s="2"/>
      <c r="D210" s="1"/>
      <c r="E210" s="3"/>
      <c r="F210" s="1"/>
      <c r="G210" s="141">
        <f>IF(Basic3456789[[#This Row],[نوع الخدمة]]="مخالفات", 50,
IF(Basic3456789[[#This Row],[نوع الخدمة]]="كاش ان",
    IF(F210&lt;=100, 18, IF(F210&lt;=250, 23, IF(F210&lt;=500, 35, IF(F210&lt;=1000, 40, F210*0.04)))),
IF(Basic3456789[[#This Row],[نوع الخدمة]]="كاش اوت",
    IF(F210&lt;=100, 15, IF(F210&lt;=250, 20, IF(F210&lt;=500, 30, IF(F210&lt;=1000, 35, F210*0.035)))),
0)))</f>
        <v>0</v>
      </c>
      <c r="H210" s="159">
        <f>IF(I210="مخالفات",50,Basic3456789[[#This Row],[قيمة الرسوم / العموله]]+Basic3456789[[#This Row],[قيمة الشحنه]])</f>
        <v>0</v>
      </c>
      <c r="I210" s="90"/>
      <c r="J210" s="142" t="str">
        <f t="shared" si="3"/>
        <v>24.5.2026</v>
      </c>
      <c r="L210" s="153">
        <v>199</v>
      </c>
      <c r="M210" s="92"/>
    </row>
    <row r="211" spans="1:13" ht="21.6" x14ac:dyDescent="0.65">
      <c r="A211" s="195"/>
      <c r="B211" s="140">
        <v>208</v>
      </c>
      <c r="C211" s="2"/>
      <c r="D211" s="1"/>
      <c r="E211" s="3"/>
      <c r="F211" s="1"/>
      <c r="G211" s="141">
        <f>IF(Basic3456789[[#This Row],[نوع الخدمة]]="مخالفات", 50,
IF(Basic3456789[[#This Row],[نوع الخدمة]]="كاش ان",
    IF(F211&lt;=100, 18, IF(F211&lt;=250, 23, IF(F211&lt;=500, 35, IF(F211&lt;=1000, 40, F211*0.04)))),
IF(Basic3456789[[#This Row],[نوع الخدمة]]="كاش اوت",
    IF(F211&lt;=100, 15, IF(F211&lt;=250, 20, IF(F211&lt;=500, 30, IF(F211&lt;=1000, 35, F211*0.035)))),
0)))</f>
        <v>0</v>
      </c>
      <c r="H211" s="159">
        <f>IF(I211="مخالفات",50,Basic3456789[[#This Row],[قيمة الرسوم / العموله]]+Basic3456789[[#This Row],[قيمة الشحنه]])</f>
        <v>0</v>
      </c>
      <c r="I211" s="90"/>
      <c r="J211" s="142" t="str">
        <f t="shared" si="3"/>
        <v>24.5.2026</v>
      </c>
      <c r="L211" s="153">
        <v>200</v>
      </c>
      <c r="M211" s="92"/>
    </row>
    <row r="212" spans="1:13" ht="21.6" x14ac:dyDescent="0.65">
      <c r="A212" s="195"/>
      <c r="B212" s="140">
        <v>209</v>
      </c>
      <c r="C212" s="2"/>
      <c r="D212" s="1"/>
      <c r="E212" s="3"/>
      <c r="F212" s="1"/>
      <c r="G212" s="141">
        <f>IF(Basic3456789[[#This Row],[نوع الخدمة]]="مخالفات", 50,
IF(Basic3456789[[#This Row],[نوع الخدمة]]="كاش ان",
    IF(F212&lt;=100, 18, IF(F212&lt;=250, 23, IF(F212&lt;=500, 35, IF(F212&lt;=1000, 40, F212*0.04)))),
IF(Basic3456789[[#This Row],[نوع الخدمة]]="كاش اوت",
    IF(F212&lt;=100, 15, IF(F212&lt;=250, 20, IF(F212&lt;=500, 30, IF(F212&lt;=1000, 35, F212*0.035)))),
0)))</f>
        <v>0</v>
      </c>
      <c r="H212" s="159">
        <f>IF(I212="مخالفات",50,Basic3456789[[#This Row],[قيمة الرسوم / العموله]]+Basic3456789[[#This Row],[قيمة الشحنه]])</f>
        <v>0</v>
      </c>
      <c r="I212" s="90"/>
      <c r="J212" s="142" t="str">
        <f t="shared" si="3"/>
        <v>24.5.2026</v>
      </c>
      <c r="L212" s="153">
        <v>201</v>
      </c>
      <c r="M212" s="92"/>
    </row>
    <row r="213" spans="1:13" ht="21.6" x14ac:dyDescent="0.65">
      <c r="A213" s="195"/>
      <c r="B213" s="144">
        <v>210</v>
      </c>
      <c r="C213" s="2"/>
      <c r="D213" s="1"/>
      <c r="E213" s="3"/>
      <c r="F213" s="1"/>
      <c r="G213" s="141">
        <f>IF(Basic3456789[[#This Row],[نوع الخدمة]]="مخالفات", 50,
IF(Basic3456789[[#This Row],[نوع الخدمة]]="كاش ان",
    IF(F213&lt;=100, 18, IF(F213&lt;=250, 23, IF(F213&lt;=500, 35, IF(F213&lt;=1000, 40, F213*0.04)))),
IF(Basic3456789[[#This Row],[نوع الخدمة]]="كاش اوت",
    IF(F213&lt;=100, 15, IF(F213&lt;=250, 20, IF(F213&lt;=500, 30, IF(F213&lt;=1000, 35, F213*0.035)))),
0)))</f>
        <v>0</v>
      </c>
      <c r="H213" s="159">
        <f>IF(I213="مخالفات",50,Basic3456789[[#This Row],[قيمة الرسوم / العموله]]+Basic3456789[[#This Row],[قيمة الشحنه]])</f>
        <v>0</v>
      </c>
      <c r="I213" s="90"/>
      <c r="J213" s="142" t="str">
        <f t="shared" si="3"/>
        <v>24.5.2026</v>
      </c>
      <c r="L213" s="153">
        <v>202</v>
      </c>
      <c r="M213" s="92"/>
    </row>
    <row r="214" spans="1:13" ht="21.6" x14ac:dyDescent="0.65">
      <c r="A214" s="195"/>
      <c r="B214" s="140">
        <v>211</v>
      </c>
      <c r="C214" s="2"/>
      <c r="D214" s="1"/>
      <c r="E214" s="3"/>
      <c r="F214" s="1"/>
      <c r="G214" s="141">
        <f>IF(Basic3456789[[#This Row],[نوع الخدمة]]="مخالفات", 50,
IF(Basic3456789[[#This Row],[نوع الخدمة]]="كاش ان",
    IF(F214&lt;=100, 18, IF(F214&lt;=250, 23, IF(F214&lt;=500, 35, IF(F214&lt;=1000, 40, F214*0.04)))),
IF(Basic3456789[[#This Row],[نوع الخدمة]]="كاش اوت",
    IF(F214&lt;=100, 15, IF(F214&lt;=250, 20, IF(F214&lt;=500, 30, IF(F214&lt;=1000, 35, F214*0.035)))),
0)))</f>
        <v>0</v>
      </c>
      <c r="H214" s="159">
        <f>IF(I214="مخالفات",50,Basic3456789[[#This Row],[قيمة الرسوم / العموله]]+Basic3456789[[#This Row],[قيمة الشحنه]])</f>
        <v>0</v>
      </c>
      <c r="I214" s="90"/>
      <c r="J214" s="142" t="str">
        <f t="shared" si="3"/>
        <v>24.5.2026</v>
      </c>
      <c r="L214" s="153">
        <v>203</v>
      </c>
      <c r="M214" s="92"/>
    </row>
    <row r="215" spans="1:13" ht="21.6" x14ac:dyDescent="0.65">
      <c r="A215" s="195"/>
      <c r="B215" s="140">
        <v>212</v>
      </c>
      <c r="C215" s="2"/>
      <c r="D215" s="1"/>
      <c r="E215" s="3"/>
      <c r="F215" s="1"/>
      <c r="G215" s="141">
        <f>IF(Basic3456789[[#This Row],[نوع الخدمة]]="مخالفات", 50,
IF(Basic3456789[[#This Row],[نوع الخدمة]]="كاش ان",
    IF(F215&lt;=100, 18, IF(F215&lt;=250, 23, IF(F215&lt;=500, 35, IF(F215&lt;=1000, 40, F215*0.04)))),
IF(Basic3456789[[#This Row],[نوع الخدمة]]="كاش اوت",
    IF(F215&lt;=100, 15, IF(F215&lt;=250, 20, IF(F215&lt;=500, 30, IF(F215&lt;=1000, 35, F215*0.035)))),
0)))</f>
        <v>0</v>
      </c>
      <c r="H215" s="159">
        <f>IF(I215="مخالفات",50,Basic3456789[[#This Row],[قيمة الرسوم / العموله]]+Basic3456789[[#This Row],[قيمة الشحنه]])</f>
        <v>0</v>
      </c>
      <c r="I215" s="90"/>
      <c r="J215" s="142" t="str">
        <f t="shared" si="3"/>
        <v>24.5.2026</v>
      </c>
      <c r="L215" s="153">
        <v>204</v>
      </c>
      <c r="M215" s="92"/>
    </row>
    <row r="216" spans="1:13" ht="21.6" x14ac:dyDescent="0.65">
      <c r="A216" s="195"/>
      <c r="B216" s="140">
        <v>213</v>
      </c>
      <c r="C216" s="2"/>
      <c r="D216" s="1"/>
      <c r="E216" s="3"/>
      <c r="F216" s="1"/>
      <c r="G216" s="141">
        <f>IF(Basic3456789[[#This Row],[نوع الخدمة]]="مخالفات", 50,
IF(Basic3456789[[#This Row],[نوع الخدمة]]="كاش ان",
    IF(F216&lt;=100, 18, IF(F216&lt;=250, 23, IF(F216&lt;=500, 35, IF(F216&lt;=1000, 40, F216*0.04)))),
IF(Basic3456789[[#This Row],[نوع الخدمة]]="كاش اوت",
    IF(F216&lt;=100, 15, IF(F216&lt;=250, 20, IF(F216&lt;=500, 30, IF(F216&lt;=1000, 35, F216*0.035)))),
0)))</f>
        <v>0</v>
      </c>
      <c r="H216" s="159">
        <f>IF(I216="مخالفات",50,Basic3456789[[#This Row],[قيمة الرسوم / العموله]]+Basic3456789[[#This Row],[قيمة الشحنه]])</f>
        <v>0</v>
      </c>
      <c r="I216" s="90"/>
      <c r="J216" s="142" t="str">
        <f t="shared" si="3"/>
        <v>24.5.2026</v>
      </c>
      <c r="L216" s="153">
        <v>205</v>
      </c>
      <c r="M216" s="92"/>
    </row>
    <row r="217" spans="1:13" ht="21.6" x14ac:dyDescent="0.65">
      <c r="A217" s="195"/>
      <c r="B217" s="144">
        <v>214</v>
      </c>
      <c r="C217" s="2"/>
      <c r="D217" s="1"/>
      <c r="E217" s="3"/>
      <c r="F217" s="1"/>
      <c r="G217" s="141">
        <f>IF(Basic3456789[[#This Row],[نوع الخدمة]]="مخالفات", 50,
IF(Basic3456789[[#This Row],[نوع الخدمة]]="كاش ان",
    IF(F217&lt;=100, 18, IF(F217&lt;=250, 23, IF(F217&lt;=500, 35, IF(F217&lt;=1000, 40, F217*0.04)))),
IF(Basic3456789[[#This Row],[نوع الخدمة]]="كاش اوت",
    IF(F217&lt;=100, 15, IF(F217&lt;=250, 20, IF(F217&lt;=500, 30, IF(F217&lt;=1000, 35, F217*0.035)))),
0)))</f>
        <v>0</v>
      </c>
      <c r="H217" s="159">
        <f>IF(I217="مخالفات",50,Basic3456789[[#This Row],[قيمة الرسوم / العموله]]+Basic3456789[[#This Row],[قيمة الشحنه]])</f>
        <v>0</v>
      </c>
      <c r="I217" s="90"/>
      <c r="J217" s="142" t="str">
        <f t="shared" si="3"/>
        <v>24.5.2026</v>
      </c>
      <c r="L217" s="153">
        <v>206</v>
      </c>
      <c r="M217" s="92"/>
    </row>
    <row r="218" spans="1:13" ht="21.6" x14ac:dyDescent="0.65">
      <c r="A218" s="195"/>
      <c r="B218" s="140">
        <v>215</v>
      </c>
      <c r="C218" s="2"/>
      <c r="D218" s="1"/>
      <c r="E218" s="3"/>
      <c r="F218" s="1"/>
      <c r="G218" s="141">
        <f>IF(Basic3456789[[#This Row],[نوع الخدمة]]="مخالفات", 50,
IF(Basic3456789[[#This Row],[نوع الخدمة]]="كاش ان",
    IF(F218&lt;=100, 18, IF(F218&lt;=250, 23, IF(F218&lt;=500, 35, IF(F218&lt;=1000, 40, F218*0.04)))),
IF(Basic3456789[[#This Row],[نوع الخدمة]]="كاش اوت",
    IF(F218&lt;=100, 15, IF(F218&lt;=250, 20, IF(F218&lt;=500, 30, IF(F218&lt;=1000, 35, F218*0.035)))),
0)))</f>
        <v>0</v>
      </c>
      <c r="H218" s="159">
        <f>IF(I218="مخالفات",50,Basic3456789[[#This Row],[قيمة الرسوم / العموله]]+Basic3456789[[#This Row],[قيمة الشحنه]])</f>
        <v>0</v>
      </c>
      <c r="I218" s="90"/>
      <c r="J218" s="142" t="str">
        <f t="shared" si="3"/>
        <v>24.5.2026</v>
      </c>
      <c r="L218" s="153">
        <v>207</v>
      </c>
      <c r="M218" s="92"/>
    </row>
    <row r="219" spans="1:13" ht="21.6" x14ac:dyDescent="0.65">
      <c r="A219" s="195"/>
      <c r="B219" s="140">
        <v>216</v>
      </c>
      <c r="C219" s="2"/>
      <c r="D219" s="1"/>
      <c r="E219" s="3"/>
      <c r="F219" s="1"/>
      <c r="G219" s="141">
        <f>IF(Basic3456789[[#This Row],[نوع الخدمة]]="مخالفات", 50,
IF(Basic3456789[[#This Row],[نوع الخدمة]]="كاش ان",
    IF(F219&lt;=100, 18, IF(F219&lt;=250, 23, IF(F219&lt;=500, 35, IF(F219&lt;=1000, 40, F219*0.04)))),
IF(Basic3456789[[#This Row],[نوع الخدمة]]="كاش اوت",
    IF(F219&lt;=100, 15, IF(F219&lt;=250, 20, IF(F219&lt;=500, 30, IF(F219&lt;=1000, 35, F219*0.035)))),
0)))</f>
        <v>0</v>
      </c>
      <c r="H219" s="159">
        <f>IF(I219="مخالفات",50,Basic3456789[[#This Row],[قيمة الرسوم / العموله]]+Basic3456789[[#This Row],[قيمة الشحنه]])</f>
        <v>0</v>
      </c>
      <c r="I219" s="90"/>
      <c r="J219" s="142" t="str">
        <f t="shared" si="3"/>
        <v>24.5.2026</v>
      </c>
      <c r="L219" s="153">
        <v>208</v>
      </c>
      <c r="M219" s="92"/>
    </row>
    <row r="220" spans="1:13" ht="21.6" x14ac:dyDescent="0.65">
      <c r="A220" s="195"/>
      <c r="B220" s="140">
        <v>217</v>
      </c>
      <c r="C220" s="2"/>
      <c r="D220" s="1"/>
      <c r="E220" s="3"/>
      <c r="F220" s="1"/>
      <c r="G220" s="141">
        <f>IF(Basic3456789[[#This Row],[نوع الخدمة]]="مخالفات", 50,
IF(Basic3456789[[#This Row],[نوع الخدمة]]="كاش ان",
    IF(F220&lt;=100, 18, IF(F220&lt;=250, 23, IF(F220&lt;=500, 35, IF(F220&lt;=1000, 40, F220*0.04)))),
IF(Basic3456789[[#This Row],[نوع الخدمة]]="كاش اوت",
    IF(F220&lt;=100, 15, IF(F220&lt;=250, 20, IF(F220&lt;=500, 30, IF(F220&lt;=1000, 35, F220*0.035)))),
0)))</f>
        <v>0</v>
      </c>
      <c r="H220" s="159">
        <f>IF(I220="مخالفات",50,Basic3456789[[#This Row],[قيمة الرسوم / العموله]]+Basic3456789[[#This Row],[قيمة الشحنه]])</f>
        <v>0</v>
      </c>
      <c r="I220" s="90"/>
      <c r="J220" s="142" t="str">
        <f t="shared" si="3"/>
        <v>24.5.2026</v>
      </c>
      <c r="L220" s="153">
        <v>209</v>
      </c>
      <c r="M220" s="92"/>
    </row>
    <row r="221" spans="1:13" ht="21.6" x14ac:dyDescent="0.65">
      <c r="A221" s="195"/>
      <c r="B221" s="144">
        <v>218</v>
      </c>
      <c r="C221" s="2"/>
      <c r="D221" s="1"/>
      <c r="E221" s="3"/>
      <c r="F221" s="1"/>
      <c r="G221" s="141">
        <f>IF(Basic3456789[[#This Row],[نوع الخدمة]]="مخالفات", 50,
IF(Basic3456789[[#This Row],[نوع الخدمة]]="كاش ان",
    IF(F221&lt;=100, 18, IF(F221&lt;=250, 23, IF(F221&lt;=500, 35, IF(F221&lt;=1000, 40, F221*0.04)))),
IF(Basic3456789[[#This Row],[نوع الخدمة]]="كاش اوت",
    IF(F221&lt;=100, 15, IF(F221&lt;=250, 20, IF(F221&lt;=500, 30, IF(F221&lt;=1000, 35, F221*0.035)))),
0)))</f>
        <v>0</v>
      </c>
      <c r="H221" s="159">
        <f>IF(I221="مخالفات",50,Basic3456789[[#This Row],[قيمة الرسوم / العموله]]+Basic3456789[[#This Row],[قيمة الشحنه]])</f>
        <v>0</v>
      </c>
      <c r="I221" s="90"/>
      <c r="J221" s="142" t="str">
        <f t="shared" si="3"/>
        <v>24.5.2026</v>
      </c>
      <c r="L221" s="153">
        <v>210</v>
      </c>
      <c r="M221" s="92"/>
    </row>
    <row r="222" spans="1:13" ht="21.6" x14ac:dyDescent="0.65">
      <c r="A222" s="195"/>
      <c r="B222" s="140">
        <v>219</v>
      </c>
      <c r="C222" s="2"/>
      <c r="D222" s="1"/>
      <c r="E222" s="3"/>
      <c r="F222" s="1"/>
      <c r="G222" s="141">
        <f>IF(Basic3456789[[#This Row],[نوع الخدمة]]="مخالفات", 50,
IF(Basic3456789[[#This Row],[نوع الخدمة]]="كاش ان",
    IF(F222&lt;=100, 18, IF(F222&lt;=250, 23, IF(F222&lt;=500, 35, IF(F222&lt;=1000, 40, F222*0.04)))),
IF(Basic3456789[[#This Row],[نوع الخدمة]]="كاش اوت",
    IF(F222&lt;=100, 15, IF(F222&lt;=250, 20, IF(F222&lt;=500, 30, IF(F222&lt;=1000, 35, F222*0.035)))),
0)))</f>
        <v>0</v>
      </c>
      <c r="H222" s="159">
        <f>IF(I222="مخالفات",50,Basic3456789[[#This Row],[قيمة الرسوم / العموله]]+Basic3456789[[#This Row],[قيمة الشحنه]])</f>
        <v>0</v>
      </c>
      <c r="I222" s="90"/>
      <c r="J222" s="142" t="str">
        <f t="shared" si="3"/>
        <v>24.5.2026</v>
      </c>
      <c r="L222" s="153">
        <v>211</v>
      </c>
      <c r="M222" s="92"/>
    </row>
    <row r="223" spans="1:13" ht="21.6" x14ac:dyDescent="0.65">
      <c r="A223" s="195"/>
      <c r="B223" s="140">
        <v>220</v>
      </c>
      <c r="C223" s="2"/>
      <c r="D223" s="1"/>
      <c r="E223" s="3"/>
      <c r="F223" s="1"/>
      <c r="G223" s="141">
        <f>IF(Basic3456789[[#This Row],[نوع الخدمة]]="مخالفات", 50,
IF(Basic3456789[[#This Row],[نوع الخدمة]]="كاش ان",
    IF(F223&lt;=100, 18, IF(F223&lt;=250, 23, IF(F223&lt;=500, 35, IF(F223&lt;=1000, 40, F223*0.04)))),
IF(Basic3456789[[#This Row],[نوع الخدمة]]="كاش اوت",
    IF(F223&lt;=100, 15, IF(F223&lt;=250, 20, IF(F223&lt;=500, 30, IF(F223&lt;=1000, 35, F223*0.035)))),
0)))</f>
        <v>0</v>
      </c>
      <c r="H223" s="159">
        <f>IF(I223="مخالفات",50,Basic3456789[[#This Row],[قيمة الرسوم / العموله]]+Basic3456789[[#This Row],[قيمة الشحنه]])</f>
        <v>0</v>
      </c>
      <c r="I223" s="90"/>
      <c r="J223" s="142" t="str">
        <f t="shared" si="3"/>
        <v>24.5.2026</v>
      </c>
      <c r="L223" s="153">
        <v>212</v>
      </c>
      <c r="M223" s="92"/>
    </row>
    <row r="224" spans="1:13" ht="21.6" x14ac:dyDescent="0.65">
      <c r="A224" s="195"/>
      <c r="B224" s="140">
        <v>221</v>
      </c>
      <c r="C224" s="2"/>
      <c r="D224" s="1"/>
      <c r="E224" s="3"/>
      <c r="F224" s="1"/>
      <c r="G224" s="141">
        <f>IF(Basic3456789[[#This Row],[نوع الخدمة]]="مخالفات", 50,
IF(Basic3456789[[#This Row],[نوع الخدمة]]="كاش ان",
    IF(F224&lt;=100, 18, IF(F224&lt;=250, 23, IF(F224&lt;=500, 35, IF(F224&lt;=1000, 40, F224*0.04)))),
IF(Basic3456789[[#This Row],[نوع الخدمة]]="كاش اوت",
    IF(F224&lt;=100, 15, IF(F224&lt;=250, 20, IF(F224&lt;=500, 30, IF(F224&lt;=1000, 35, F224*0.035)))),
0)))</f>
        <v>0</v>
      </c>
      <c r="H224" s="159">
        <f>IF(I224="مخالفات",50,Basic3456789[[#This Row],[قيمة الرسوم / العموله]]+Basic3456789[[#This Row],[قيمة الشحنه]])</f>
        <v>0</v>
      </c>
      <c r="I224" s="90"/>
      <c r="J224" s="142" t="str">
        <f t="shared" si="3"/>
        <v>24.5.2026</v>
      </c>
      <c r="L224" s="153">
        <v>213</v>
      </c>
      <c r="M224" s="92"/>
    </row>
    <row r="225" spans="1:13" ht="21.6" x14ac:dyDescent="0.65">
      <c r="A225" s="195"/>
      <c r="B225" s="144">
        <v>222</v>
      </c>
      <c r="C225" s="2"/>
      <c r="D225" s="1"/>
      <c r="E225" s="3"/>
      <c r="F225" s="1"/>
      <c r="G225" s="141">
        <f>IF(Basic3456789[[#This Row],[نوع الخدمة]]="مخالفات", 50,
IF(Basic3456789[[#This Row],[نوع الخدمة]]="كاش ان",
    IF(F225&lt;=100, 18, IF(F225&lt;=250, 23, IF(F225&lt;=500, 35, IF(F225&lt;=1000, 40, F225*0.04)))),
IF(Basic3456789[[#This Row],[نوع الخدمة]]="كاش اوت",
    IF(F225&lt;=100, 15, IF(F225&lt;=250, 20, IF(F225&lt;=500, 30, IF(F225&lt;=1000, 35, F225*0.035)))),
0)))</f>
        <v>0</v>
      </c>
      <c r="H225" s="159">
        <f>IF(I225="مخالفات",50,Basic3456789[[#This Row],[قيمة الرسوم / العموله]]+Basic3456789[[#This Row],[قيمة الشحنه]])</f>
        <v>0</v>
      </c>
      <c r="I225" s="90"/>
      <c r="J225" s="142" t="str">
        <f t="shared" si="3"/>
        <v>24.5.2026</v>
      </c>
      <c r="L225" s="153">
        <v>214</v>
      </c>
      <c r="M225" s="92"/>
    </row>
    <row r="226" spans="1:13" ht="21.6" x14ac:dyDescent="0.65">
      <c r="A226" s="195"/>
      <c r="B226" s="140">
        <v>223</v>
      </c>
      <c r="C226" s="4"/>
      <c r="D226" s="5"/>
      <c r="E226" s="6"/>
      <c r="F226" s="5"/>
      <c r="G226" s="141">
        <f>IF(Basic3456789[[#This Row],[نوع الخدمة]]="مخالفات", 50,
IF(Basic3456789[[#This Row],[نوع الخدمة]]="كاش ان",
    IF(F226&lt;=100, 18, IF(F226&lt;=250, 23, IF(F226&lt;=500, 35, IF(F226&lt;=1000, 40, F226*0.04)))),
IF(Basic3456789[[#This Row],[نوع الخدمة]]="كاش اوت",
    IF(F226&lt;=100, 15, IF(F226&lt;=250, 20, IF(F226&lt;=500, 30, IF(F226&lt;=1000, 35, F226*0.035)))),
0)))</f>
        <v>0</v>
      </c>
      <c r="H226" s="160">
        <f>IF(I226="مخالفات",50,Basic3456789[[#This Row],[قيمة الرسوم / العموله]]+Basic3456789[[#This Row],[قيمة الشحنه]])</f>
        <v>0</v>
      </c>
      <c r="I226" s="90"/>
      <c r="J226" s="142" t="str">
        <f t="shared" si="3"/>
        <v>24.5.2026</v>
      </c>
      <c r="L226" s="156">
        <v>215</v>
      </c>
      <c r="M226" s="93"/>
    </row>
  </sheetData>
  <sheetProtection algorithmName="SHA-512" hashValue="OebZbHqF1+lkaN/aZGjGukezxL53+pKqa2O6fStn3aV+FkeN0wOEKOKoCfguNyuicA/szuQGipuDtBWUzLSnJg==" saltValue="w0OZ22P+imse8UEDTPfY2A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31" priority="12" operator="equal">
      <formula>$BH$10</formula>
    </cfRule>
    <cfRule type="cellIs" dxfId="30" priority="13" operator="equal">
      <formula>$BH$9</formula>
    </cfRule>
    <cfRule type="cellIs" dxfId="29" priority="14" operator="equal">
      <formula>$BH$8</formula>
    </cfRule>
  </conditionalFormatting>
  <conditionalFormatting sqref="P11">
    <cfRule type="cellIs" dxfId="28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{0CFF4F56-066C-4959-94AE-87454CB361D0}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{D365892A-AA15-4693-BB39-78533C9490C8}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{000846F5-E2A6-4B2F-8EBC-536BCA06A1CE}</x14:id>
        </ext>
      </extLst>
    </cfRule>
  </conditionalFormatting>
  <dataValidations count="2">
    <dataValidation type="textLength" operator="equal" allowBlank="1" showInputMessage="1" showErrorMessage="1" errorTitle="يجب إخال رقم IPN صحيح 13 رقم" sqref="C1:C1048576" xr:uid="{00000000-0002-0000-1700-000000000000}">
      <formula1>13</formula1>
    </dataValidation>
    <dataValidation type="list" allowBlank="1" showInputMessage="1" showErrorMessage="1" sqref="I4:I226" xr:uid="{00000000-0002-0000-1700-000001000000}">
      <formula1>$BH$8:$BH$10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CFF4F56-066C-4959-94AE-87454CB361D0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D365892A-AA15-4693-BB39-78533C9490C8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000846F5-E2A6-4B2F-8EBC-536BCA06A1C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H226"/>
  <sheetViews>
    <sheetView showGridLines="0" showRowColHeaders="0" rightToLeft="1" topLeftCell="E1" zoomScale="80" zoomScaleNormal="80" workbookViewId="0">
      <selection activeCell="R10" sqref="R10:W10"/>
    </sheetView>
  </sheetViews>
  <sheetFormatPr defaultColWidth="9.109375" defaultRowHeight="14.4" x14ac:dyDescent="0.3"/>
  <cols>
    <col min="1" max="1" width="3" style="124" customWidth="1"/>
    <col min="2" max="2" width="6.5546875" style="125" bestFit="1" customWidth="1"/>
    <col min="3" max="3" width="26" style="126" customWidth="1"/>
    <col min="4" max="4" width="15.6640625" style="124" customWidth="1"/>
    <col min="5" max="5" width="17.5546875" style="157" customWidth="1"/>
    <col min="6" max="6" width="12.88671875" style="124" bestFit="1" customWidth="1"/>
    <col min="7" max="7" width="19" style="124" bestFit="1" customWidth="1"/>
    <col min="8" max="8" width="19" style="124" customWidth="1"/>
    <col min="9" max="9" width="12.44140625" style="128" bestFit="1" customWidth="1"/>
    <col min="10" max="10" width="17.5546875" style="129" customWidth="1"/>
    <col min="11" max="11" width="3.5546875" style="124" customWidth="1"/>
    <col min="12" max="12" width="8.5546875" style="124" bestFit="1" customWidth="1"/>
    <col min="13" max="13" width="26.109375" style="124" customWidth="1"/>
    <col min="14" max="14" width="8.33203125" style="124" bestFit="1" customWidth="1"/>
    <col min="15" max="15" width="26.5546875" style="124" bestFit="1" customWidth="1"/>
    <col min="16" max="16" width="14.44140625" style="124" customWidth="1"/>
    <col min="17" max="17" width="3.5546875" style="124" customWidth="1"/>
    <col min="18" max="18" width="17.33203125" style="124" customWidth="1"/>
    <col min="19" max="19" width="16.44140625" style="124" customWidth="1"/>
    <col min="20" max="20" width="11.5546875" style="124" bestFit="1" customWidth="1"/>
    <col min="21" max="21" width="10.5546875" style="124" bestFit="1" customWidth="1"/>
    <col min="22" max="22" width="10.109375" style="124" bestFit="1" customWidth="1"/>
    <col min="23" max="23" width="9.33203125" style="124" customWidth="1"/>
    <col min="24" max="24" width="12.6640625" style="124" customWidth="1"/>
    <col min="25" max="16384" width="9.109375" style="124"/>
  </cols>
  <sheetData>
    <row r="1" spans="1:60" x14ac:dyDescent="0.3">
      <c r="E1" s="127">
        <f>Total!F5</f>
        <v>69</v>
      </c>
      <c r="F1" s="192" t="str">
        <f>Total!G5</f>
        <v>العبور</v>
      </c>
      <c r="G1" s="192"/>
      <c r="H1" s="192"/>
    </row>
    <row r="3" spans="1:60" ht="15.6" x14ac:dyDescent="0.3">
      <c r="B3" s="130" t="s">
        <v>0</v>
      </c>
      <c r="C3" s="131" t="s">
        <v>1</v>
      </c>
      <c r="D3" s="132" t="s">
        <v>2</v>
      </c>
      <c r="E3" s="133" t="s">
        <v>3</v>
      </c>
      <c r="F3" s="132" t="s">
        <v>4</v>
      </c>
      <c r="G3" s="132" t="s">
        <v>5</v>
      </c>
      <c r="H3" s="132" t="s">
        <v>76</v>
      </c>
      <c r="I3" s="132" t="s">
        <v>6</v>
      </c>
      <c r="J3" s="134" t="s">
        <v>7</v>
      </c>
      <c r="L3" s="135" t="s">
        <v>7</v>
      </c>
      <c r="M3" s="7" t="s">
        <v>108</v>
      </c>
      <c r="O3" s="137" t="s">
        <v>17</v>
      </c>
      <c r="P3" s="138">
        <f>M5+M6</f>
        <v>0</v>
      </c>
      <c r="T3" s="139"/>
      <c r="U3" s="139"/>
      <c r="V3" s="139"/>
      <c r="W3" s="139"/>
      <c r="X3" s="139"/>
    </row>
    <row r="4" spans="1:60" ht="21.6" x14ac:dyDescent="0.65">
      <c r="A4" s="195"/>
      <c r="B4" s="140">
        <v>1</v>
      </c>
      <c r="C4" s="8"/>
      <c r="D4" s="9"/>
      <c r="E4" s="10"/>
      <c r="F4" s="9"/>
      <c r="G4" s="141">
        <f>IF(Basic345678[[#This Row],[نوع الخدمة]]="مخالفات", 50,
IF(Basic345678[[#This Row],[نوع الخدمة]]="كاش ان",
    IF(F4&lt;=100, 18, IF(F4&lt;=250, 23, IF(F4&lt;=500, 35, IF(F4&lt;=1000, 40, F4*0.04)))),
IF(Basic345678[[#This Row],[نوع الخدمة]]="كاش اوت",
    IF(F4&lt;=100, 15, IF(F4&lt;=250, 20, IF(F4&lt;=500, 30, IF(F4&lt;=1000, 35, F4*0.035)))),
0)))</f>
        <v>0</v>
      </c>
      <c r="H4" s="162">
        <f>IF(I4="مخالفات",50,Basic345678[[#This Row],[قيمة الرسوم / العموله]]+Basic345678[[#This Row],[قيمة الشحنه]])</f>
        <v>0</v>
      </c>
      <c r="I4" s="90"/>
      <c r="J4" s="142" t="str">
        <f t="shared" ref="J4:J67" si="0">M$3</f>
        <v>25.5.2026</v>
      </c>
      <c r="L4" s="135" t="s">
        <v>26</v>
      </c>
      <c r="M4" s="90">
        <v>0</v>
      </c>
      <c r="O4" s="137" t="s">
        <v>18</v>
      </c>
      <c r="P4" s="138">
        <f>M4</f>
        <v>0</v>
      </c>
      <c r="S4" s="143" t="s">
        <v>22</v>
      </c>
      <c r="T4" s="143" t="s">
        <v>23</v>
      </c>
      <c r="U4" s="139"/>
      <c r="V4" s="139"/>
      <c r="W4" s="139"/>
      <c r="X4" s="139"/>
    </row>
    <row r="5" spans="1:60" ht="21.6" x14ac:dyDescent="0.65">
      <c r="A5" s="195"/>
      <c r="B5" s="144">
        <v>2</v>
      </c>
      <c r="C5" s="8"/>
      <c r="D5" s="9"/>
      <c r="E5" s="10"/>
      <c r="F5" s="9"/>
      <c r="G5" s="141">
        <f>IF(Basic345678[[#This Row],[نوع الخدمة]]="مخالفات", 50,
IF(Basic345678[[#This Row],[نوع الخدمة]]="كاش ان",
    IF(F5&lt;=100, 18, IF(F5&lt;=250, 23, IF(F5&lt;=500, 35, IF(F5&lt;=1000, 40, F5*0.04)))),
IF(Basic345678[[#This Row],[نوع الخدمة]]="كاش اوت",
    IF(F5&lt;=100, 15, IF(F5&lt;=250, 20, IF(F5&lt;=500, 30, IF(F5&lt;=1000, 35, F5*0.035)))),
0)))</f>
        <v>0</v>
      </c>
      <c r="H5" s="162">
        <f>IF(I5="مخالفات",50,Basic345678[[#This Row],[قيمة الرسوم / العموله]]+Basic345678[[#This Row],[قيمة الشحنه]])</f>
        <v>0</v>
      </c>
      <c r="I5" s="90"/>
      <c r="J5" s="142" t="str">
        <f t="shared" si="0"/>
        <v>25.5.2026</v>
      </c>
      <c r="L5" s="135" t="s">
        <v>27</v>
      </c>
      <c r="M5" s="90"/>
      <c r="O5" s="137" t="s">
        <v>19</v>
      </c>
      <c r="P5" s="138">
        <f>SUMIF(Basic345678[نوع الخدمة],"كاش ان",Basic345678[قيمة الشحنه])</f>
        <v>0</v>
      </c>
      <c r="S5" s="145">
        <f>P5+P9+P12+P7</f>
        <v>0</v>
      </c>
      <c r="T5" s="145">
        <f>P3</f>
        <v>0</v>
      </c>
    </row>
    <row r="6" spans="1:60" ht="21.6" x14ac:dyDescent="0.65">
      <c r="A6" s="195"/>
      <c r="B6" s="140">
        <v>3</v>
      </c>
      <c r="C6" s="8"/>
      <c r="D6" s="9"/>
      <c r="E6" s="10"/>
      <c r="F6" s="9"/>
      <c r="G6" s="141">
        <f>IF(Basic345678[[#This Row],[نوع الخدمة]]="مخالفات", 50,
IF(Basic345678[[#This Row],[نوع الخدمة]]="كاش ان",
    IF(F6&lt;=100, 18, IF(F6&lt;=250, 23, IF(F6&lt;=500, 35, IF(F6&lt;=1000, 40, F6*0.04)))),
IF(Basic345678[[#This Row],[نوع الخدمة]]="كاش اوت",
    IF(F6&lt;=100, 15, IF(F6&lt;=250, 20, IF(F6&lt;=500, 30, IF(F6&lt;=1000, 35, F6*0.035)))),
0)))</f>
        <v>0</v>
      </c>
      <c r="H6" s="162">
        <f>IF(I6="مخالفات",50,Basic345678[[#This Row],[قيمة الرسوم / العموله]]+Basic345678[[#This Row],[قيمة الشحنه]])</f>
        <v>0</v>
      </c>
      <c r="I6" s="90"/>
      <c r="J6" s="142" t="str">
        <f t="shared" si="0"/>
        <v>25.5.2026</v>
      </c>
      <c r="L6" s="135" t="s">
        <v>28</v>
      </c>
      <c r="M6" s="90"/>
      <c r="O6" s="146" t="s">
        <v>12</v>
      </c>
      <c r="P6" s="138">
        <f>P3*150</f>
        <v>0</v>
      </c>
    </row>
    <row r="7" spans="1:60" ht="21.6" x14ac:dyDescent="0.65">
      <c r="A7" s="195"/>
      <c r="B7" s="140">
        <v>4</v>
      </c>
      <c r="C7" s="8"/>
      <c r="D7" s="9"/>
      <c r="E7" s="10"/>
      <c r="F7" s="9"/>
      <c r="G7" s="141">
        <f>IF(Basic345678[[#This Row],[نوع الخدمة]]="مخالفات", 50,
IF(Basic345678[[#This Row],[نوع الخدمة]]="كاش ان",
    IF(F7&lt;=100, 18, IF(F7&lt;=250, 23, IF(F7&lt;=500, 35, IF(F7&lt;=1000, 40, F7*0.04)))),
IF(Basic345678[[#This Row],[نوع الخدمة]]="كاش اوت",
    IF(F7&lt;=100, 15, IF(F7&lt;=250, 20, IF(F7&lt;=500, 30, IF(F7&lt;=1000, 35, F7*0.035)))),
0)))</f>
        <v>0</v>
      </c>
      <c r="H7" s="162">
        <f>IF(I7="مخالفات",50,Basic345678[[#This Row],[قيمة الرسوم / العموله]]+Basic345678[[#This Row],[قيمة الشحنه]])</f>
        <v>0</v>
      </c>
      <c r="I7" s="90"/>
      <c r="J7" s="142" t="str">
        <f t="shared" si="0"/>
        <v>25.5.2026</v>
      </c>
      <c r="L7" s="137" t="s">
        <v>11</v>
      </c>
      <c r="M7" s="165"/>
      <c r="O7" s="146" t="s">
        <v>75</v>
      </c>
      <c r="P7" s="138">
        <f>SUMIF(Basic345678[نوع الخدمة],"مخالفات",Basic345678[الاجمــــــــــالي])</f>
        <v>0</v>
      </c>
      <c r="R7" s="139"/>
      <c r="S7" s="139"/>
    </row>
    <row r="8" spans="1:60" ht="21.6" x14ac:dyDescent="0.65">
      <c r="A8" s="195"/>
      <c r="B8" s="140">
        <v>5</v>
      </c>
      <c r="C8" s="8"/>
      <c r="D8" s="9"/>
      <c r="E8" s="10"/>
      <c r="F8" s="9"/>
      <c r="G8" s="141">
        <f>IF(Basic345678[[#This Row],[نوع الخدمة]]="مخالفات", 50,
IF(Basic345678[[#This Row],[نوع الخدمة]]="كاش ان",
    IF(F8&lt;=100, 18, IF(F8&lt;=250, 23, IF(F8&lt;=500, 35, IF(F8&lt;=1000, 40, F8*0.04)))),
IF(Basic345678[[#This Row],[نوع الخدمة]]="كاش اوت",
    IF(F8&lt;=100, 15, IF(F8&lt;=250, 20, IF(F8&lt;=500, 30, IF(F8&lt;=1000, 35, F8*0.035)))),
0)))</f>
        <v>0</v>
      </c>
      <c r="H8" s="162">
        <f>IF(I8="مخالفات",50,Basic345678[[#This Row],[قيمة الرسوم / العموله]]+Basic345678[[#This Row],[قيمة الشحنه]])</f>
        <v>0</v>
      </c>
      <c r="I8" s="90"/>
      <c r="J8" s="142" t="str">
        <f t="shared" si="0"/>
        <v>25.5.2026</v>
      </c>
      <c r="L8" s="166" t="s">
        <v>79</v>
      </c>
      <c r="M8" s="167">
        <v>0</v>
      </c>
      <c r="O8" s="137" t="s">
        <v>11</v>
      </c>
      <c r="P8" s="138">
        <f>M7</f>
        <v>0</v>
      </c>
      <c r="R8" s="143" t="s">
        <v>72</v>
      </c>
      <c r="S8" s="143" t="s">
        <v>25</v>
      </c>
      <c r="T8" s="143" t="s">
        <v>24</v>
      </c>
      <c r="U8" s="143" t="s">
        <v>73</v>
      </c>
      <c r="V8" s="143" t="s">
        <v>25</v>
      </c>
      <c r="W8" s="143" t="s">
        <v>24</v>
      </c>
      <c r="BH8" s="148" t="s">
        <v>8</v>
      </c>
    </row>
    <row r="9" spans="1:60" ht="18" customHeight="1" x14ac:dyDescent="0.65">
      <c r="A9" s="195"/>
      <c r="B9" s="144">
        <v>6</v>
      </c>
      <c r="C9" s="8"/>
      <c r="D9" s="9"/>
      <c r="E9" s="10"/>
      <c r="F9" s="9"/>
      <c r="G9" s="141">
        <f>IF(Basic345678[[#This Row],[نوع الخدمة]]="مخالفات", 50,
IF(Basic345678[[#This Row],[نوع الخدمة]]="كاش ان",
    IF(F9&lt;=100, 18, IF(F9&lt;=250, 23, IF(F9&lt;=500, 35, IF(F9&lt;=1000, 40, F9*0.04)))),
IF(Basic345678[[#This Row],[نوع الخدمة]]="كاش اوت",
    IF(F9&lt;=100, 15, IF(F9&lt;=250, 20, IF(F9&lt;=500, 30, IF(F9&lt;=1000, 35, F9*0.035)))),
0)))</f>
        <v>0</v>
      </c>
      <c r="H9" s="162">
        <f>IF(I9="مخالفات",50,Basic345678[[#This Row],[قيمة الرسوم / العموله]]+Basic345678[[#This Row],[قيمة الشحنه]])</f>
        <v>0</v>
      </c>
      <c r="I9" s="90"/>
      <c r="J9" s="142" t="str">
        <f t="shared" si="0"/>
        <v>25.5.2026</v>
      </c>
      <c r="L9" s="166" t="s">
        <v>80</v>
      </c>
      <c r="M9" s="167">
        <v>0</v>
      </c>
      <c r="O9" s="137" t="s">
        <v>20</v>
      </c>
      <c r="P9" s="138">
        <f>SUMIF(Basic345678[نوع الخدمة],"كاش ان",Basic345678[قيمة الرسوم / العموله])</f>
        <v>0</v>
      </c>
      <c r="R9" s="182">
        <f>Total!H5/24</f>
        <v>29166.666666666668</v>
      </c>
      <c r="S9" s="182">
        <f>S5</f>
        <v>0</v>
      </c>
      <c r="T9" s="183">
        <f>S9/R9</f>
        <v>0</v>
      </c>
      <c r="U9" s="182">
        <f>Total!K5/24</f>
        <v>2.9166666666666665</v>
      </c>
      <c r="V9" s="182">
        <f>T5</f>
        <v>0</v>
      </c>
      <c r="W9" s="183">
        <f>V9/U9</f>
        <v>0</v>
      </c>
      <c r="BH9" s="148" t="s">
        <v>9</v>
      </c>
    </row>
    <row r="10" spans="1:60" ht="21.6" x14ac:dyDescent="0.65">
      <c r="A10" s="195"/>
      <c r="B10" s="140">
        <v>7</v>
      </c>
      <c r="C10" s="8"/>
      <c r="D10" s="9"/>
      <c r="E10" s="10"/>
      <c r="F10" s="9"/>
      <c r="G10" s="141">
        <f>IF(Basic345678[[#This Row],[نوع الخدمة]]="مخالفات", 50,
IF(Basic345678[[#This Row],[نوع الخدمة]]="كاش ان",
    IF(F10&lt;=100, 18, IF(F10&lt;=250, 23, IF(F10&lt;=500, 35, IF(F10&lt;=1000, 40, F10*0.04)))),
IF(Basic345678[[#This Row],[نوع الخدمة]]="كاش اوت",
    IF(F10&lt;=100, 15, IF(F10&lt;=250, 20, IF(F10&lt;=500, 30, IF(F10&lt;=1000, 35, F10*0.035)))),
0)))</f>
        <v>0</v>
      </c>
      <c r="H10" s="162">
        <f>IF(I10="مخالفات",50,Basic345678[[#This Row],[قيمة الرسوم / العموله]]+Basic345678[[#This Row],[قيمة الشحنه]])</f>
        <v>0</v>
      </c>
      <c r="I10" s="90"/>
      <c r="J10" s="142" t="str">
        <f t="shared" si="0"/>
        <v>25.5.2026</v>
      </c>
      <c r="O10" s="137" t="s">
        <v>16</v>
      </c>
      <c r="P10" s="138">
        <f>SUMIF(Basic345678[نوع الخدمة],"كاش اوت",Basic345678[قيمة الشحنه])</f>
        <v>0</v>
      </c>
      <c r="R10" s="211">
        <f>(W9+T9)/2</f>
        <v>0</v>
      </c>
      <c r="S10" s="211"/>
      <c r="T10" s="211"/>
      <c r="U10" s="211"/>
      <c r="V10" s="211"/>
      <c r="W10" s="211"/>
      <c r="BH10" s="148" t="s">
        <v>10</v>
      </c>
    </row>
    <row r="11" spans="1:60" ht="21.6" x14ac:dyDescent="0.65">
      <c r="A11" s="195"/>
      <c r="B11" s="140">
        <v>8</v>
      </c>
      <c r="C11" s="8"/>
      <c r="D11" s="9"/>
      <c r="E11" s="10"/>
      <c r="F11" s="9"/>
      <c r="G11" s="141">
        <f>IF(Basic345678[[#This Row],[نوع الخدمة]]="مخالفات", 50,
IF(Basic345678[[#This Row],[نوع الخدمة]]="كاش ان",
    IF(F11&lt;=100, 18, IF(F11&lt;=250, 23, IF(F11&lt;=500, 35, IF(F11&lt;=1000, 40, F11*0.04)))),
IF(Basic345678[[#This Row],[نوع الخدمة]]="كاش اوت",
    IF(F11&lt;=100, 15, IF(F11&lt;=250, 20, IF(F11&lt;=500, 30, IF(F11&lt;=1000, 35, F11*0.035)))),
0)))</f>
        <v>0</v>
      </c>
      <c r="H11" s="162">
        <f>IF(I11="مخالفات",50,Basic345678[[#This Row],[قيمة الرسوم / العموله]]+Basic345678[[#This Row],[قيمة الشحنه]])</f>
        <v>0</v>
      </c>
      <c r="I11" s="90"/>
      <c r="J11" s="142" t="str">
        <f t="shared" si="0"/>
        <v>25.5.2026</v>
      </c>
      <c r="L11" s="169" t="s">
        <v>77</v>
      </c>
      <c r="M11" s="168" t="s">
        <v>78</v>
      </c>
      <c r="O11" s="151" t="s">
        <v>21</v>
      </c>
      <c r="P11" s="152">
        <f>(P5+P6+P9+P7+P4)-P10-P8</f>
        <v>0</v>
      </c>
      <c r="T11" s="139"/>
    </row>
    <row r="12" spans="1:60" ht="21.6" x14ac:dyDescent="0.65">
      <c r="A12" s="195"/>
      <c r="B12" s="140">
        <v>9</v>
      </c>
      <c r="C12" s="8"/>
      <c r="D12" s="9"/>
      <c r="E12" s="10"/>
      <c r="F12" s="9"/>
      <c r="G12" s="141">
        <f>IF(Basic345678[[#This Row],[نوع الخدمة]]="مخالفات", 50,
IF(Basic345678[[#This Row],[نوع الخدمة]]="كاش ان",
    IF(F12&lt;=100, 18, IF(F12&lt;=250, 23, IF(F12&lt;=500, 35, IF(F12&lt;=1000, 40, F12*0.04)))),
IF(Basic345678[[#This Row],[نوع الخدمة]]="كاش اوت",
    IF(F12&lt;=100, 15, IF(F12&lt;=250, 20, IF(F12&lt;=500, 30, IF(F12&lt;=1000, 35, F12*0.035)))),
0)))</f>
        <v>0</v>
      </c>
      <c r="H12" s="162">
        <f>IF(I12="مخالفات",50,Basic345678[[#This Row],[قيمة الرسوم / العموله]]+Basic345678[[#This Row],[قيمة الشحنه]])</f>
        <v>0</v>
      </c>
      <c r="I12" s="90"/>
      <c r="J12" s="142" t="str">
        <f t="shared" si="0"/>
        <v>25.5.2026</v>
      </c>
      <c r="L12" s="153">
        <v>1</v>
      </c>
      <c r="M12" s="91"/>
      <c r="O12" s="137" t="s">
        <v>29</v>
      </c>
      <c r="P12" s="138">
        <f>SUMIF(Basic345678[نوع الخدمة],"كاش اوت",Basic345678[الاجمــــــــــالي])</f>
        <v>0</v>
      </c>
    </row>
    <row r="13" spans="1:60" ht="21.6" x14ac:dyDescent="0.65">
      <c r="A13" s="195"/>
      <c r="B13" s="144">
        <v>10</v>
      </c>
      <c r="C13" s="8"/>
      <c r="D13" s="9"/>
      <c r="E13" s="10"/>
      <c r="F13" s="9"/>
      <c r="G13" s="141">
        <f>IF(Basic345678[[#This Row],[نوع الخدمة]]="مخالفات", 50,
IF(Basic345678[[#This Row],[نوع الخدمة]]="كاش ان",
    IF(F13&lt;=100, 18, IF(F13&lt;=250, 23, IF(F13&lt;=500, 35, IF(F13&lt;=1000, 40, F13*0.04)))),
IF(Basic345678[[#This Row],[نوع الخدمة]]="كاش اوت",
    IF(F13&lt;=100, 15, IF(F13&lt;=250, 20, IF(F13&lt;=500, 30, IF(F13&lt;=1000, 35, F13*0.035)))),
0)))</f>
        <v>0</v>
      </c>
      <c r="H13" s="162">
        <f>IF(I13="مخالفات",50,Basic345678[[#This Row],[قيمة الرسوم / العموله]]+Basic345678[[#This Row],[قيمة الشحنه]])</f>
        <v>0</v>
      </c>
      <c r="I13" s="90"/>
      <c r="J13" s="142" t="str">
        <f t="shared" si="0"/>
        <v>25.5.2026</v>
      </c>
      <c r="L13" s="153">
        <v>2</v>
      </c>
      <c r="M13" s="92"/>
    </row>
    <row r="14" spans="1:60" ht="21.6" x14ac:dyDescent="0.65">
      <c r="A14" s="195"/>
      <c r="B14" s="140">
        <v>11</v>
      </c>
      <c r="C14" s="2"/>
      <c r="D14" s="1"/>
      <c r="E14" s="3"/>
      <c r="F14" s="1"/>
      <c r="G14" s="141">
        <f>IF(Basic345678[[#This Row],[نوع الخدمة]]="مخالفات", 50,
IF(Basic345678[[#This Row],[نوع الخدمة]]="كاش ان",
    IF(F14&lt;=100, 18, IF(F14&lt;=250, 23, IF(F14&lt;=500, 35, IF(F14&lt;=1000, 40, F14*0.04)))),
IF(Basic345678[[#This Row],[نوع الخدمة]]="كاش اوت",
    IF(F14&lt;=100, 15, IF(F14&lt;=250, 20, IF(F14&lt;=500, 30, IF(F14&lt;=1000, 35, F14*0.035)))),
0)))</f>
        <v>0</v>
      </c>
      <c r="H14" s="163">
        <f>IF(I14="مخالفات",50,Basic345678[[#This Row],[قيمة الرسوم / العموله]]+Basic345678[[#This Row],[قيمة الشحنه]])</f>
        <v>0</v>
      </c>
      <c r="I14" s="90"/>
      <c r="J14" s="142" t="str">
        <f t="shared" si="0"/>
        <v>25.5.2026</v>
      </c>
      <c r="L14" s="153">
        <v>3</v>
      </c>
      <c r="M14" s="92"/>
    </row>
    <row r="15" spans="1:60" ht="21.6" x14ac:dyDescent="0.65">
      <c r="A15" s="195"/>
      <c r="B15" s="140">
        <v>12</v>
      </c>
      <c r="C15" s="2"/>
      <c r="D15" s="1"/>
      <c r="E15" s="3"/>
      <c r="F15" s="1"/>
      <c r="G15" s="141">
        <f>IF(Basic345678[[#This Row],[نوع الخدمة]]="مخالفات", 50,
IF(Basic345678[[#This Row],[نوع الخدمة]]="كاش ان",
    IF(F15&lt;=100, 18, IF(F15&lt;=250, 23, IF(F15&lt;=500, 35, IF(F15&lt;=1000, 40, F15*0.04)))),
IF(Basic345678[[#This Row],[نوع الخدمة]]="كاش اوت",
    IF(F15&lt;=100, 15, IF(F15&lt;=250, 20, IF(F15&lt;=500, 30, IF(F15&lt;=1000, 35, F15*0.035)))),
0)))</f>
        <v>0</v>
      </c>
      <c r="H15" s="163">
        <f>IF(I15="مخالفات",50,Basic345678[[#This Row],[قيمة الرسوم / العموله]]+Basic345678[[#This Row],[قيمة الشحنه]])</f>
        <v>0</v>
      </c>
      <c r="I15" s="90"/>
      <c r="J15" s="142" t="str">
        <f t="shared" si="0"/>
        <v>25.5.2026</v>
      </c>
      <c r="L15" s="153">
        <v>4</v>
      </c>
      <c r="M15" s="92"/>
      <c r="O15" s="154" t="s">
        <v>10</v>
      </c>
      <c r="P15" s="155">
        <f>COUNTIF(Basic345678[نوع الخدمة],"مخالفات")</f>
        <v>0</v>
      </c>
    </row>
    <row r="16" spans="1:60" ht="21.6" x14ac:dyDescent="0.65">
      <c r="A16" s="195"/>
      <c r="B16" s="140">
        <v>13</v>
      </c>
      <c r="C16" s="2"/>
      <c r="D16" s="1"/>
      <c r="E16" s="3"/>
      <c r="F16" s="1"/>
      <c r="G16" s="141">
        <f>IF(Basic345678[[#This Row],[نوع الخدمة]]="مخالفات", 50,
IF(Basic345678[[#This Row],[نوع الخدمة]]="كاش ان",
    IF(F16&lt;=100, 18, IF(F16&lt;=250, 23, IF(F16&lt;=500, 35, IF(F16&lt;=1000, 40, F16*0.04)))),
IF(Basic345678[[#This Row],[نوع الخدمة]]="كاش اوت",
    IF(F16&lt;=100, 15, IF(F16&lt;=250, 20, IF(F16&lt;=500, 30, IF(F16&lt;=1000, 35, F16*0.035)))),
0)))</f>
        <v>0</v>
      </c>
      <c r="H16" s="163">
        <f>IF(I16="مخالفات",50,Basic345678[[#This Row],[قيمة الرسوم / العموله]]+Basic345678[[#This Row],[قيمة الشحنه]])</f>
        <v>0</v>
      </c>
      <c r="I16" s="90"/>
      <c r="J16" s="142" t="str">
        <f t="shared" si="0"/>
        <v>25.5.2026</v>
      </c>
      <c r="L16" s="153">
        <v>5</v>
      </c>
      <c r="M16" s="92"/>
      <c r="O16" s="154" t="s">
        <v>13</v>
      </c>
      <c r="P16" s="155">
        <f>COUNTIF(Basic345678[نوع الخدمة],"كاش ان")</f>
        <v>0</v>
      </c>
    </row>
    <row r="17" spans="1:21" ht="21.6" x14ac:dyDescent="0.65">
      <c r="A17" s="195"/>
      <c r="B17" s="144">
        <v>14</v>
      </c>
      <c r="C17" s="2"/>
      <c r="D17" s="1"/>
      <c r="E17" s="3"/>
      <c r="F17" s="1"/>
      <c r="G17" s="141">
        <f>IF(Basic345678[[#This Row],[نوع الخدمة]]="مخالفات", 50,
IF(Basic345678[[#This Row],[نوع الخدمة]]="كاش ان",
    IF(F17&lt;=100, 18, IF(F17&lt;=250, 23, IF(F17&lt;=500, 35, IF(F17&lt;=1000, 40, F17*0.04)))),
IF(Basic345678[[#This Row],[نوع الخدمة]]="كاش اوت",
    IF(F17&lt;=100, 15, IF(F17&lt;=250, 20, IF(F17&lt;=500, 30, IF(F17&lt;=1000, 35, F17*0.035)))),
0)))</f>
        <v>0</v>
      </c>
      <c r="H17" s="163">
        <f>IF(I17="مخالفات",50,Basic345678[[#This Row],[قيمة الرسوم / العموله]]+Basic345678[[#This Row],[قيمة الشحنه]])</f>
        <v>0</v>
      </c>
      <c r="I17" s="90"/>
      <c r="J17" s="142" t="str">
        <f t="shared" si="0"/>
        <v>25.5.2026</v>
      </c>
      <c r="L17" s="153">
        <v>6</v>
      </c>
      <c r="M17" s="92"/>
      <c r="O17" s="154" t="s">
        <v>14</v>
      </c>
      <c r="P17" s="155">
        <f>COUNTIF(Basic345678[نوع الخدمة],"كاش اوت")</f>
        <v>0</v>
      </c>
    </row>
    <row r="18" spans="1:21" ht="21.6" x14ac:dyDescent="0.65">
      <c r="A18" s="195"/>
      <c r="B18" s="140">
        <v>15</v>
      </c>
      <c r="C18" s="2"/>
      <c r="D18" s="1"/>
      <c r="E18" s="3"/>
      <c r="F18" s="1"/>
      <c r="G18" s="141">
        <f>IF(Basic345678[[#This Row],[نوع الخدمة]]="مخالفات", 50,
IF(Basic345678[[#This Row],[نوع الخدمة]]="كاش ان",
    IF(F18&lt;=100, 18, IF(F18&lt;=250, 23, IF(F18&lt;=500, 35, IF(F18&lt;=1000, 40, F18*0.04)))),
IF(Basic345678[[#This Row],[نوع الخدمة]]="كاش اوت",
    IF(F18&lt;=100, 15, IF(F18&lt;=250, 20, IF(F18&lt;=500, 30, IF(F18&lt;=1000, 35, F18*0.035)))),
0)))</f>
        <v>0</v>
      </c>
      <c r="H18" s="163">
        <f>IF(I18="مخالفات",50,Basic345678[[#This Row],[قيمة الرسوم / العموله]]+Basic345678[[#This Row],[قيمة الشحنه]])</f>
        <v>0</v>
      </c>
      <c r="I18" s="90"/>
      <c r="J18" s="142" t="str">
        <f t="shared" si="0"/>
        <v>25.5.2026</v>
      </c>
      <c r="L18" s="153">
        <v>7</v>
      </c>
      <c r="M18" s="92"/>
      <c r="O18" s="154" t="s">
        <v>15</v>
      </c>
      <c r="P18" s="155">
        <f>P16+P17</f>
        <v>0</v>
      </c>
    </row>
    <row r="19" spans="1:21" ht="21.6" x14ac:dyDescent="0.65">
      <c r="A19" s="195"/>
      <c r="B19" s="140">
        <v>16</v>
      </c>
      <c r="C19" s="2"/>
      <c r="D19" s="1"/>
      <c r="E19" s="3"/>
      <c r="F19" s="1"/>
      <c r="G19" s="141">
        <f>IF(Basic345678[[#This Row],[نوع الخدمة]]="مخالفات", 50,
IF(Basic345678[[#This Row],[نوع الخدمة]]="كاش ان",
    IF(F19&lt;=100, 18, IF(F19&lt;=250, 23, IF(F19&lt;=500, 35, IF(F19&lt;=1000, 40, F19*0.04)))),
IF(Basic345678[[#This Row],[نوع الخدمة]]="كاش اوت",
    IF(F19&lt;=100, 15, IF(F19&lt;=250, 20, IF(F19&lt;=500, 30, IF(F19&lt;=1000, 35, F19*0.035)))),
0)))</f>
        <v>0</v>
      </c>
      <c r="H19" s="163">
        <f>IF(I19="مخالفات",50,Basic345678[[#This Row],[قيمة الرسوم / العموله]]+Basic345678[[#This Row],[قيمة الشحنه]])</f>
        <v>0</v>
      </c>
      <c r="I19" s="90"/>
      <c r="J19" s="142" t="str">
        <f t="shared" si="0"/>
        <v>25.5.2026</v>
      </c>
      <c r="L19" s="153">
        <v>8</v>
      </c>
      <c r="M19" s="92"/>
    </row>
    <row r="20" spans="1:21" ht="21.6" x14ac:dyDescent="0.65">
      <c r="A20" s="195"/>
      <c r="B20" s="140">
        <v>17</v>
      </c>
      <c r="C20" s="2"/>
      <c r="D20" s="1"/>
      <c r="E20" s="3"/>
      <c r="F20" s="1"/>
      <c r="G20" s="141">
        <f>IF(Basic345678[[#This Row],[نوع الخدمة]]="مخالفات", 50,
IF(Basic345678[[#This Row],[نوع الخدمة]]="كاش ان",
    IF(F20&lt;=100, 18, IF(F20&lt;=250, 23, IF(F20&lt;=500, 35, IF(F20&lt;=1000, 40, F20*0.04)))),
IF(Basic345678[[#This Row],[نوع الخدمة]]="كاش اوت",
    IF(F20&lt;=100, 15, IF(F20&lt;=250, 20, IF(F20&lt;=500, 30, IF(F20&lt;=1000, 35, F20*0.035)))),
0)))</f>
        <v>0</v>
      </c>
      <c r="H20" s="163">
        <f>IF(I20="مخالفات",50,Basic345678[[#This Row],[قيمة الرسوم / العموله]]+Basic345678[[#This Row],[قيمة الشحنه]])</f>
        <v>0</v>
      </c>
      <c r="I20" s="90"/>
      <c r="J20" s="142" t="str">
        <f t="shared" si="0"/>
        <v>25.5.2026</v>
      </c>
      <c r="L20" s="153">
        <v>9</v>
      </c>
      <c r="M20" s="92"/>
      <c r="O20" s="193" t="s">
        <v>30</v>
      </c>
      <c r="P20" s="194"/>
    </row>
    <row r="21" spans="1:21" ht="21.6" x14ac:dyDescent="0.65">
      <c r="A21" s="195"/>
      <c r="B21" s="144">
        <v>18</v>
      </c>
      <c r="C21" s="2"/>
      <c r="D21" s="1"/>
      <c r="E21" s="3"/>
      <c r="F21" s="1"/>
      <c r="G21" s="141">
        <f>IF(Basic345678[[#This Row],[نوع الخدمة]]="مخالفات", 50,
IF(Basic345678[[#This Row],[نوع الخدمة]]="كاش ان",
    IF(F21&lt;=100, 18, IF(F21&lt;=250, 23, IF(F21&lt;=500, 35, IF(F21&lt;=1000, 40, F21*0.04)))),
IF(Basic345678[[#This Row],[نوع الخدمة]]="كاش اوت",
    IF(F21&lt;=100, 15, IF(F21&lt;=250, 20, IF(F21&lt;=500, 30, IF(F21&lt;=1000, 35, F21*0.035)))),
0)))</f>
        <v>0</v>
      </c>
      <c r="H21" s="163">
        <f>IF(I21="مخالفات",50,Basic345678[[#This Row],[قيمة الرسوم / العموله]]+Basic345678[[#This Row],[قيمة الشحنه]])</f>
        <v>0</v>
      </c>
      <c r="I21" s="90"/>
      <c r="J21" s="142" t="str">
        <f t="shared" si="0"/>
        <v>25.5.2026</v>
      </c>
      <c r="L21" s="153">
        <v>10</v>
      </c>
      <c r="M21" s="92"/>
      <c r="O21" s="196" t="s">
        <v>31</v>
      </c>
      <c r="P21" s="197"/>
    </row>
    <row r="22" spans="1:21" ht="21.6" x14ac:dyDescent="0.65">
      <c r="A22" s="195"/>
      <c r="B22" s="140">
        <v>19</v>
      </c>
      <c r="C22" s="2"/>
      <c r="D22" s="1"/>
      <c r="E22" s="3"/>
      <c r="F22" s="1"/>
      <c r="G22" s="141">
        <f>IF(Basic345678[[#This Row],[نوع الخدمة]]="مخالفات", 50,
IF(Basic345678[[#This Row],[نوع الخدمة]]="كاش ان",
    IF(F22&lt;=100, 18, IF(F22&lt;=250, 23, IF(F22&lt;=500, 35, IF(F22&lt;=1000, 40, F22*0.04)))),
IF(Basic345678[[#This Row],[نوع الخدمة]]="كاش اوت",
    IF(F22&lt;=100, 15, IF(F22&lt;=250, 20, IF(F22&lt;=500, 30, IF(F22&lt;=1000, 35, F22*0.035)))),
0)))</f>
        <v>0</v>
      </c>
      <c r="H22" s="163">
        <f>IF(I22="مخالفات",50,Basic345678[[#This Row],[قيمة الرسوم / العموله]]+Basic345678[[#This Row],[قيمة الشحنه]])</f>
        <v>0</v>
      </c>
      <c r="I22" s="90"/>
      <c r="J22" s="142" t="str">
        <f t="shared" si="0"/>
        <v>25.5.2026</v>
      </c>
      <c r="L22" s="153">
        <v>11</v>
      </c>
      <c r="M22" s="92"/>
      <c r="O22" s="147" t="s">
        <v>27</v>
      </c>
      <c r="P22" s="135">
        <f>M8+'24'!P28</f>
        <v>-4</v>
      </c>
    </row>
    <row r="23" spans="1:21" ht="21.6" x14ac:dyDescent="0.65">
      <c r="A23" s="195"/>
      <c r="B23" s="140">
        <v>20</v>
      </c>
      <c r="C23" s="2"/>
      <c r="D23" s="1"/>
      <c r="E23" s="3"/>
      <c r="F23" s="1"/>
      <c r="G23" s="141">
        <f>IF(Basic345678[[#This Row],[نوع الخدمة]]="مخالفات", 50,
IF(Basic345678[[#This Row],[نوع الخدمة]]="كاش ان",
    IF(F23&lt;=100, 18, IF(F23&lt;=250, 23, IF(F23&lt;=500, 35, IF(F23&lt;=1000, 40, F23*0.04)))),
IF(Basic345678[[#This Row],[نوع الخدمة]]="كاش اوت",
    IF(F23&lt;=100, 15, IF(F23&lt;=250, 20, IF(F23&lt;=500, 30, IF(F23&lt;=1000, 35, F23*0.035)))),
0)))</f>
        <v>0</v>
      </c>
      <c r="H23" s="163">
        <f>IF(I23="مخالفات",50,Basic345678[[#This Row],[قيمة الرسوم / العموله]]+Basic345678[[#This Row],[قيمة الشحنه]])</f>
        <v>0</v>
      </c>
      <c r="I23" s="90"/>
      <c r="J23" s="142" t="str">
        <f t="shared" si="0"/>
        <v>25.5.2026</v>
      </c>
      <c r="L23" s="153">
        <v>12</v>
      </c>
      <c r="M23" s="92"/>
      <c r="O23" s="147" t="s">
        <v>28</v>
      </c>
      <c r="P23" s="135">
        <f>M9+'24'!P29</f>
        <v>0</v>
      </c>
      <c r="T23" s="139"/>
      <c r="U23" s="139"/>
    </row>
    <row r="24" spans="1:21" ht="21.6" x14ac:dyDescent="0.65">
      <c r="A24" s="195"/>
      <c r="B24" s="140">
        <v>21</v>
      </c>
      <c r="C24" s="2"/>
      <c r="D24" s="1"/>
      <c r="E24" s="3"/>
      <c r="F24" s="1"/>
      <c r="G24" s="141">
        <f>IF(Basic345678[[#This Row],[نوع الخدمة]]="مخالفات", 50,
IF(Basic345678[[#This Row],[نوع الخدمة]]="كاش ان",
    IF(F24&lt;=100, 18, IF(F24&lt;=250, 23, IF(F24&lt;=500, 35, IF(F24&lt;=1000, 40, F24*0.04)))),
IF(Basic345678[[#This Row],[نوع الخدمة]]="كاش اوت",
    IF(F24&lt;=100, 15, IF(F24&lt;=250, 20, IF(F24&lt;=500, 30, IF(F24&lt;=1000, 35, F24*0.035)))),
0)))</f>
        <v>0</v>
      </c>
      <c r="H24" s="163">
        <f>IF(I24="مخالفات",50,Basic345678[[#This Row],[قيمة الرسوم / العموله]]+Basic345678[[#This Row],[قيمة الشحنه]])</f>
        <v>0</v>
      </c>
      <c r="I24" s="90"/>
      <c r="J24" s="142" t="str">
        <f t="shared" si="0"/>
        <v>25.5.2026</v>
      </c>
      <c r="L24" s="153">
        <v>13</v>
      </c>
      <c r="M24" s="92"/>
      <c r="O24" s="196" t="s">
        <v>32</v>
      </c>
      <c r="P24" s="197"/>
    </row>
    <row r="25" spans="1:21" ht="21.6" x14ac:dyDescent="0.65">
      <c r="A25" s="195"/>
      <c r="B25" s="144">
        <v>22</v>
      </c>
      <c r="C25" s="2"/>
      <c r="D25" s="1"/>
      <c r="E25" s="3"/>
      <c r="F25" s="1"/>
      <c r="G25" s="141">
        <f>IF(Basic345678[[#This Row],[نوع الخدمة]]="مخالفات", 50,
IF(Basic345678[[#This Row],[نوع الخدمة]]="كاش ان",
    IF(F25&lt;=100, 18, IF(F25&lt;=250, 23, IF(F25&lt;=500, 35, IF(F25&lt;=1000, 40, F25*0.04)))),
IF(Basic345678[[#This Row],[نوع الخدمة]]="كاش اوت",
    IF(F25&lt;=100, 15, IF(F25&lt;=250, 20, IF(F25&lt;=500, 30, IF(F25&lt;=1000, 35, F25*0.035)))),
0)))</f>
        <v>0</v>
      </c>
      <c r="H25" s="163">
        <f>IF(I25="مخالفات",50,Basic345678[[#This Row],[قيمة الرسوم / العموله]]+Basic345678[[#This Row],[قيمة الشحنه]])</f>
        <v>0</v>
      </c>
      <c r="I25" s="90"/>
      <c r="J25" s="142" t="str">
        <f t="shared" si="0"/>
        <v>25.5.2026</v>
      </c>
      <c r="L25" s="153">
        <v>14</v>
      </c>
      <c r="M25" s="92"/>
      <c r="O25" s="147" t="s">
        <v>27</v>
      </c>
      <c r="P25" s="135">
        <f>M5</f>
        <v>0</v>
      </c>
    </row>
    <row r="26" spans="1:21" ht="21.6" x14ac:dyDescent="0.65">
      <c r="A26" s="195"/>
      <c r="B26" s="140">
        <v>23</v>
      </c>
      <c r="C26" s="2"/>
      <c r="D26" s="1"/>
      <c r="E26" s="3"/>
      <c r="F26" s="1"/>
      <c r="G26" s="141">
        <f>IF(Basic345678[[#This Row],[نوع الخدمة]]="مخالفات", 50,
IF(Basic345678[[#This Row],[نوع الخدمة]]="كاش ان",
    IF(F26&lt;=100, 18, IF(F26&lt;=250, 23, IF(F26&lt;=500, 35, IF(F26&lt;=1000, 40, F26*0.04)))),
IF(Basic345678[[#This Row],[نوع الخدمة]]="كاش اوت",
    IF(F26&lt;=100, 15, IF(F26&lt;=250, 20, IF(F26&lt;=500, 30, IF(F26&lt;=1000, 35, F26*0.035)))),
0)))</f>
        <v>0</v>
      </c>
      <c r="H26" s="163">
        <f>IF(I26="مخالفات",50,Basic345678[[#This Row],[قيمة الرسوم / العموله]]+Basic345678[[#This Row],[قيمة الشحنه]])</f>
        <v>0</v>
      </c>
      <c r="I26" s="90"/>
      <c r="J26" s="142" t="str">
        <f t="shared" si="0"/>
        <v>25.5.2026</v>
      </c>
      <c r="L26" s="153">
        <v>15</v>
      </c>
      <c r="M26" s="92"/>
      <c r="O26" s="147" t="s">
        <v>28</v>
      </c>
      <c r="P26" s="135">
        <f>M6</f>
        <v>0</v>
      </c>
    </row>
    <row r="27" spans="1:21" ht="21.6" x14ac:dyDescent="0.65">
      <c r="A27" s="195"/>
      <c r="B27" s="140">
        <v>24</v>
      </c>
      <c r="C27" s="2"/>
      <c r="D27" s="1"/>
      <c r="E27" s="3"/>
      <c r="F27" s="1"/>
      <c r="G27" s="141">
        <f>IF(Basic345678[[#This Row],[نوع الخدمة]]="مخالفات", 50,
IF(Basic345678[[#This Row],[نوع الخدمة]]="كاش ان",
    IF(F27&lt;=100, 18, IF(F27&lt;=250, 23, IF(F27&lt;=500, 35, IF(F27&lt;=1000, 40, F27*0.04)))),
IF(Basic345678[[#This Row],[نوع الخدمة]]="كاش اوت",
    IF(F27&lt;=100, 15, IF(F27&lt;=250, 20, IF(F27&lt;=500, 30, IF(F27&lt;=1000, 35, F27*0.035)))),
0)))</f>
        <v>0</v>
      </c>
      <c r="H27" s="163">
        <f>IF(I27="مخالفات",50,Basic345678[[#This Row],[قيمة الرسوم / العموله]]+Basic345678[[#This Row],[قيمة الشحنه]])</f>
        <v>0</v>
      </c>
      <c r="I27" s="90"/>
      <c r="J27" s="142" t="str">
        <f t="shared" si="0"/>
        <v>25.5.2026</v>
      </c>
      <c r="L27" s="153">
        <v>16</v>
      </c>
      <c r="M27" s="92"/>
      <c r="O27" s="196" t="s">
        <v>33</v>
      </c>
      <c r="P27" s="197"/>
    </row>
    <row r="28" spans="1:21" ht="21.6" x14ac:dyDescent="0.65">
      <c r="A28" s="195"/>
      <c r="B28" s="140">
        <v>25</v>
      </c>
      <c r="C28" s="2"/>
      <c r="D28" s="1"/>
      <c r="E28" s="3"/>
      <c r="F28" s="1"/>
      <c r="G28" s="141">
        <f>IF(Basic345678[[#This Row],[نوع الخدمة]]="مخالفات", 50,
IF(Basic345678[[#This Row],[نوع الخدمة]]="كاش ان",
    IF(F28&lt;=100, 18, IF(F28&lt;=250, 23, IF(F28&lt;=500, 35, IF(F28&lt;=1000, 40, F28*0.04)))),
IF(Basic345678[[#This Row],[نوع الخدمة]]="كاش اوت",
    IF(F28&lt;=100, 15, IF(F28&lt;=250, 20, IF(F28&lt;=500, 30, IF(F28&lt;=1000, 35, F28*0.035)))),
0)))</f>
        <v>0</v>
      </c>
      <c r="H28" s="163">
        <f>IF(I28="مخالفات",50,Basic345678[[#This Row],[قيمة الرسوم / العموله]]+Basic345678[[#This Row],[قيمة الشحنه]])</f>
        <v>0</v>
      </c>
      <c r="I28" s="90"/>
      <c r="J28" s="142" t="str">
        <f t="shared" si="0"/>
        <v>25.5.2026</v>
      </c>
      <c r="L28" s="153">
        <v>17</v>
      </c>
      <c r="M28" s="92"/>
      <c r="O28" s="147" t="s">
        <v>27</v>
      </c>
      <c r="P28" s="135">
        <f>P22-P25</f>
        <v>-4</v>
      </c>
    </row>
    <row r="29" spans="1:21" ht="21.6" x14ac:dyDescent="0.65">
      <c r="A29" s="195"/>
      <c r="B29" s="144">
        <v>26</v>
      </c>
      <c r="C29" s="2"/>
      <c r="D29" s="1"/>
      <c r="E29" s="3"/>
      <c r="F29" s="1"/>
      <c r="G29" s="141">
        <f>IF(Basic345678[[#This Row],[نوع الخدمة]]="مخالفات", 50,
IF(Basic345678[[#This Row],[نوع الخدمة]]="كاش ان",
    IF(F29&lt;=100, 18, IF(F29&lt;=250, 23, IF(F29&lt;=500, 35, IF(F29&lt;=1000, 40, F29*0.04)))),
IF(Basic345678[[#This Row],[نوع الخدمة]]="كاش اوت",
    IF(F29&lt;=100, 15, IF(F29&lt;=250, 20, IF(F29&lt;=500, 30, IF(F29&lt;=1000, 35, F29*0.035)))),
0)))</f>
        <v>0</v>
      </c>
      <c r="H29" s="163">
        <f>IF(I29="مخالفات",50,Basic345678[[#This Row],[قيمة الرسوم / العموله]]+Basic345678[[#This Row],[قيمة الشحنه]])</f>
        <v>0</v>
      </c>
      <c r="I29" s="90"/>
      <c r="J29" s="142" t="str">
        <f t="shared" si="0"/>
        <v>25.5.2026</v>
      </c>
      <c r="L29" s="153">
        <v>18</v>
      </c>
      <c r="M29" s="92"/>
      <c r="O29" s="147" t="s">
        <v>28</v>
      </c>
      <c r="P29" s="135">
        <f>P23-P26</f>
        <v>0</v>
      </c>
    </row>
    <row r="30" spans="1:21" ht="21.6" x14ac:dyDescent="0.65">
      <c r="A30" s="195"/>
      <c r="B30" s="140">
        <v>27</v>
      </c>
      <c r="C30" s="2"/>
      <c r="D30" s="1"/>
      <c r="E30" s="3"/>
      <c r="F30" s="1"/>
      <c r="G30" s="141">
        <f>IF(Basic345678[[#This Row],[نوع الخدمة]]="مخالفات", 50,
IF(Basic345678[[#This Row],[نوع الخدمة]]="كاش ان",
    IF(F30&lt;=100, 18, IF(F30&lt;=250, 23, IF(F30&lt;=500, 35, IF(F30&lt;=1000, 40, F30*0.04)))),
IF(Basic345678[[#This Row],[نوع الخدمة]]="كاش اوت",
    IF(F30&lt;=100, 15, IF(F30&lt;=250, 20, IF(F30&lt;=500, 30, IF(F30&lt;=1000, 35, F30*0.035)))),
0)))</f>
        <v>0</v>
      </c>
      <c r="H30" s="163">
        <f>IF(I30="مخالفات",50,Basic345678[[#This Row],[قيمة الرسوم / العموله]]+Basic345678[[#This Row],[قيمة الشحنه]])</f>
        <v>0</v>
      </c>
      <c r="I30" s="90"/>
      <c r="J30" s="142" t="str">
        <f t="shared" si="0"/>
        <v>25.5.2026</v>
      </c>
      <c r="L30" s="153">
        <v>19</v>
      </c>
      <c r="M30" s="92"/>
    </row>
    <row r="31" spans="1:21" ht="21.6" x14ac:dyDescent="0.65">
      <c r="A31" s="195"/>
      <c r="B31" s="140">
        <v>28</v>
      </c>
      <c r="C31" s="2"/>
      <c r="D31" s="1"/>
      <c r="E31" s="3"/>
      <c r="F31" s="1"/>
      <c r="G31" s="141">
        <f>IF(Basic345678[[#This Row],[نوع الخدمة]]="مخالفات", 50,
IF(Basic345678[[#This Row],[نوع الخدمة]]="كاش ان",
    IF(F31&lt;=100, 18, IF(F31&lt;=250, 23, IF(F31&lt;=500, 35, IF(F31&lt;=1000, 40, F31*0.04)))),
IF(Basic345678[[#This Row],[نوع الخدمة]]="كاش اوت",
    IF(F31&lt;=100, 15, IF(F31&lt;=250, 20, IF(F31&lt;=500, 30, IF(F31&lt;=1000, 35, F31*0.035)))),
0)))</f>
        <v>0</v>
      </c>
      <c r="H31" s="163">
        <f>IF(I31="مخالفات",50,Basic345678[[#This Row],[قيمة الرسوم / العموله]]+Basic345678[[#This Row],[قيمة الشحنه]])</f>
        <v>0</v>
      </c>
      <c r="I31" s="90"/>
      <c r="J31" s="142" t="str">
        <f t="shared" si="0"/>
        <v>25.5.2026</v>
      </c>
      <c r="L31" s="153">
        <v>20</v>
      </c>
      <c r="M31" s="92"/>
    </row>
    <row r="32" spans="1:21" ht="21.6" x14ac:dyDescent="0.65">
      <c r="A32" s="195"/>
      <c r="B32" s="140">
        <v>29</v>
      </c>
      <c r="C32" s="2"/>
      <c r="D32" s="1"/>
      <c r="E32" s="3"/>
      <c r="F32" s="1"/>
      <c r="G32" s="141">
        <f>IF(Basic345678[[#This Row],[نوع الخدمة]]="مخالفات", 50,
IF(Basic345678[[#This Row],[نوع الخدمة]]="كاش ان",
    IF(F32&lt;=100, 18, IF(F32&lt;=250, 23, IF(F32&lt;=500, 35, IF(F32&lt;=1000, 40, F32*0.04)))),
IF(Basic345678[[#This Row],[نوع الخدمة]]="كاش اوت",
    IF(F32&lt;=100, 15, IF(F32&lt;=250, 20, IF(F32&lt;=500, 30, IF(F32&lt;=1000, 35, F32*0.035)))),
0)))</f>
        <v>0</v>
      </c>
      <c r="H32" s="163">
        <f>IF(I32="مخالفات",50,Basic345678[[#This Row],[قيمة الرسوم / العموله]]+Basic345678[[#This Row],[قيمة الشحنه]])</f>
        <v>0</v>
      </c>
      <c r="I32" s="90"/>
      <c r="J32" s="142" t="str">
        <f t="shared" si="0"/>
        <v>25.5.2026</v>
      </c>
      <c r="L32" s="153">
        <v>21</v>
      </c>
      <c r="M32" s="92"/>
    </row>
    <row r="33" spans="1:13" ht="21.6" x14ac:dyDescent="0.65">
      <c r="A33" s="195"/>
      <c r="B33" s="144">
        <v>30</v>
      </c>
      <c r="C33" s="2"/>
      <c r="D33" s="1"/>
      <c r="E33" s="3"/>
      <c r="F33" s="1"/>
      <c r="G33" s="141">
        <f>IF(Basic345678[[#This Row],[نوع الخدمة]]="مخالفات", 50,
IF(Basic345678[[#This Row],[نوع الخدمة]]="كاش ان",
    IF(F33&lt;=100, 18, IF(F33&lt;=250, 23, IF(F33&lt;=500, 35, IF(F33&lt;=1000, 40, F33*0.04)))),
IF(Basic345678[[#This Row],[نوع الخدمة]]="كاش اوت",
    IF(F33&lt;=100, 15, IF(F33&lt;=250, 20, IF(F33&lt;=500, 30, IF(F33&lt;=1000, 35, F33*0.035)))),
0)))</f>
        <v>0</v>
      </c>
      <c r="H33" s="163">
        <f>IF(I33="مخالفات",50,Basic345678[[#This Row],[قيمة الرسوم / العموله]]+Basic345678[[#This Row],[قيمة الشحنه]])</f>
        <v>0</v>
      </c>
      <c r="I33" s="90"/>
      <c r="J33" s="142" t="str">
        <f t="shared" si="0"/>
        <v>25.5.2026</v>
      </c>
      <c r="L33" s="153">
        <v>22</v>
      </c>
      <c r="M33" s="92"/>
    </row>
    <row r="34" spans="1:13" ht="21.6" x14ac:dyDescent="0.65">
      <c r="A34" s="195"/>
      <c r="B34" s="140">
        <v>31</v>
      </c>
      <c r="C34" s="2"/>
      <c r="D34" s="1"/>
      <c r="E34" s="3"/>
      <c r="F34" s="1"/>
      <c r="G34" s="141">
        <f>IF(Basic345678[[#This Row],[نوع الخدمة]]="مخالفات", 50,
IF(Basic345678[[#This Row],[نوع الخدمة]]="كاش ان",
    IF(F34&lt;=100, 18, IF(F34&lt;=250, 23, IF(F34&lt;=500, 35, IF(F34&lt;=1000, 40, F34*0.04)))),
IF(Basic345678[[#This Row],[نوع الخدمة]]="كاش اوت",
    IF(F34&lt;=100, 15, IF(F34&lt;=250, 20, IF(F34&lt;=500, 30, IF(F34&lt;=1000, 35, F34*0.035)))),
0)))</f>
        <v>0</v>
      </c>
      <c r="H34" s="163">
        <f>IF(I34="مخالفات",50,Basic345678[[#This Row],[قيمة الرسوم / العموله]]+Basic345678[[#This Row],[قيمة الشحنه]])</f>
        <v>0</v>
      </c>
      <c r="I34" s="90"/>
      <c r="J34" s="142" t="str">
        <f t="shared" si="0"/>
        <v>25.5.2026</v>
      </c>
      <c r="L34" s="153">
        <v>23</v>
      </c>
      <c r="M34" s="92"/>
    </row>
    <row r="35" spans="1:13" ht="21.6" x14ac:dyDescent="0.65">
      <c r="A35" s="195"/>
      <c r="B35" s="140">
        <v>32</v>
      </c>
      <c r="C35" s="2"/>
      <c r="D35" s="1"/>
      <c r="E35" s="3"/>
      <c r="F35" s="1"/>
      <c r="G35" s="141">
        <f>IF(Basic345678[[#This Row],[نوع الخدمة]]="مخالفات", 50,
IF(Basic345678[[#This Row],[نوع الخدمة]]="كاش ان",
    IF(F35&lt;=100, 18, IF(F35&lt;=250, 23, IF(F35&lt;=500, 35, IF(F35&lt;=1000, 40, F35*0.04)))),
IF(Basic345678[[#This Row],[نوع الخدمة]]="كاش اوت",
    IF(F35&lt;=100, 15, IF(F35&lt;=250, 20, IF(F35&lt;=500, 30, IF(F35&lt;=1000, 35, F35*0.035)))),
0)))</f>
        <v>0</v>
      </c>
      <c r="H35" s="163">
        <f>IF(I35="مخالفات",50,Basic345678[[#This Row],[قيمة الرسوم / العموله]]+Basic345678[[#This Row],[قيمة الشحنه]])</f>
        <v>0</v>
      </c>
      <c r="I35" s="90"/>
      <c r="J35" s="142" t="str">
        <f t="shared" si="0"/>
        <v>25.5.2026</v>
      </c>
      <c r="L35" s="153">
        <v>24</v>
      </c>
      <c r="M35" s="92"/>
    </row>
    <row r="36" spans="1:13" ht="21.6" x14ac:dyDescent="0.65">
      <c r="A36" s="195"/>
      <c r="B36" s="140">
        <v>33</v>
      </c>
      <c r="C36" s="2"/>
      <c r="D36" s="1"/>
      <c r="E36" s="3"/>
      <c r="F36" s="1"/>
      <c r="G36" s="141">
        <f>IF(Basic345678[[#This Row],[نوع الخدمة]]="مخالفات", 50,
IF(Basic345678[[#This Row],[نوع الخدمة]]="كاش ان",
    IF(F36&lt;=100, 18, IF(F36&lt;=250, 23, IF(F36&lt;=500, 35, IF(F36&lt;=1000, 40, F36*0.04)))),
IF(Basic345678[[#This Row],[نوع الخدمة]]="كاش اوت",
    IF(F36&lt;=100, 15, IF(F36&lt;=250, 20, IF(F36&lt;=500, 30, IF(F36&lt;=1000, 35, F36*0.035)))),
0)))</f>
        <v>0</v>
      </c>
      <c r="H36" s="163">
        <f>IF(I36="مخالفات",50,Basic345678[[#This Row],[قيمة الرسوم / العموله]]+Basic345678[[#This Row],[قيمة الشحنه]])</f>
        <v>0</v>
      </c>
      <c r="I36" s="90"/>
      <c r="J36" s="142" t="str">
        <f t="shared" si="0"/>
        <v>25.5.2026</v>
      </c>
      <c r="L36" s="153">
        <v>25</v>
      </c>
      <c r="M36" s="92"/>
    </row>
    <row r="37" spans="1:13" ht="21.6" x14ac:dyDescent="0.65">
      <c r="A37" s="195"/>
      <c r="B37" s="144">
        <v>34</v>
      </c>
      <c r="C37" s="2"/>
      <c r="D37" s="1"/>
      <c r="E37" s="3"/>
      <c r="F37" s="1"/>
      <c r="G37" s="141">
        <f>IF(Basic345678[[#This Row],[نوع الخدمة]]="مخالفات", 50,
IF(Basic345678[[#This Row],[نوع الخدمة]]="كاش ان",
    IF(F37&lt;=100, 18, IF(F37&lt;=250, 23, IF(F37&lt;=500, 35, IF(F37&lt;=1000, 40, F37*0.04)))),
IF(Basic345678[[#This Row],[نوع الخدمة]]="كاش اوت",
    IF(F37&lt;=100, 15, IF(F37&lt;=250, 20, IF(F37&lt;=500, 30, IF(F37&lt;=1000, 35, F37*0.035)))),
0)))</f>
        <v>0</v>
      </c>
      <c r="H37" s="163">
        <f>IF(I37="مخالفات",50,Basic345678[[#This Row],[قيمة الرسوم / العموله]]+Basic345678[[#This Row],[قيمة الشحنه]])</f>
        <v>0</v>
      </c>
      <c r="I37" s="90"/>
      <c r="J37" s="142" t="str">
        <f t="shared" si="0"/>
        <v>25.5.2026</v>
      </c>
      <c r="L37" s="153">
        <v>26</v>
      </c>
      <c r="M37" s="92"/>
    </row>
    <row r="38" spans="1:13" ht="21.6" x14ac:dyDescent="0.65">
      <c r="A38" s="195"/>
      <c r="B38" s="140">
        <v>35</v>
      </c>
      <c r="C38" s="2"/>
      <c r="D38" s="1"/>
      <c r="E38" s="3"/>
      <c r="F38" s="1"/>
      <c r="G38" s="141">
        <f>IF(Basic345678[[#This Row],[نوع الخدمة]]="مخالفات", 50,
IF(Basic345678[[#This Row],[نوع الخدمة]]="كاش ان",
    IF(F38&lt;=100, 18, IF(F38&lt;=250, 23, IF(F38&lt;=500, 35, IF(F38&lt;=1000, 40, F38*0.04)))),
IF(Basic345678[[#This Row],[نوع الخدمة]]="كاش اوت",
    IF(F38&lt;=100, 15, IF(F38&lt;=250, 20, IF(F38&lt;=500, 30, IF(F38&lt;=1000, 35, F38*0.035)))),
0)))</f>
        <v>0</v>
      </c>
      <c r="H38" s="163">
        <f>IF(I38="مخالفات",50,Basic345678[[#This Row],[قيمة الرسوم / العموله]]+Basic345678[[#This Row],[قيمة الشحنه]])</f>
        <v>0</v>
      </c>
      <c r="I38" s="90"/>
      <c r="J38" s="142" t="str">
        <f t="shared" si="0"/>
        <v>25.5.2026</v>
      </c>
      <c r="L38" s="153">
        <v>27</v>
      </c>
      <c r="M38" s="92"/>
    </row>
    <row r="39" spans="1:13" ht="21.6" x14ac:dyDescent="0.65">
      <c r="A39" s="195"/>
      <c r="B39" s="140">
        <v>36</v>
      </c>
      <c r="C39" s="2"/>
      <c r="D39" s="1"/>
      <c r="E39" s="3"/>
      <c r="F39" s="1"/>
      <c r="G39" s="141">
        <f>IF(Basic345678[[#This Row],[نوع الخدمة]]="مخالفات", 50,
IF(Basic345678[[#This Row],[نوع الخدمة]]="كاش ان",
    IF(F39&lt;=100, 18, IF(F39&lt;=250, 23, IF(F39&lt;=500, 35, IF(F39&lt;=1000, 40, F39*0.04)))),
IF(Basic345678[[#This Row],[نوع الخدمة]]="كاش اوت",
    IF(F39&lt;=100, 15, IF(F39&lt;=250, 20, IF(F39&lt;=500, 30, IF(F39&lt;=1000, 35, F39*0.035)))),
0)))</f>
        <v>0</v>
      </c>
      <c r="H39" s="163">
        <f>IF(I39="مخالفات",50,Basic345678[[#This Row],[قيمة الرسوم / العموله]]+Basic345678[[#This Row],[قيمة الشحنه]])</f>
        <v>0</v>
      </c>
      <c r="I39" s="90"/>
      <c r="J39" s="142" t="str">
        <f t="shared" si="0"/>
        <v>25.5.2026</v>
      </c>
      <c r="L39" s="153">
        <v>28</v>
      </c>
      <c r="M39" s="92"/>
    </row>
    <row r="40" spans="1:13" ht="21.6" x14ac:dyDescent="0.65">
      <c r="A40" s="195"/>
      <c r="B40" s="140">
        <v>37</v>
      </c>
      <c r="C40" s="2"/>
      <c r="D40" s="1"/>
      <c r="E40" s="3"/>
      <c r="F40" s="1"/>
      <c r="G40" s="141">
        <f>IF(Basic345678[[#This Row],[نوع الخدمة]]="مخالفات", 50,
IF(Basic345678[[#This Row],[نوع الخدمة]]="كاش ان",
    IF(F40&lt;=100, 18, IF(F40&lt;=250, 23, IF(F40&lt;=500, 35, IF(F40&lt;=1000, 40, F40*0.04)))),
IF(Basic345678[[#This Row],[نوع الخدمة]]="كاش اوت",
    IF(F40&lt;=100, 15, IF(F40&lt;=250, 20, IF(F40&lt;=500, 30, IF(F40&lt;=1000, 35, F40*0.035)))),
0)))</f>
        <v>0</v>
      </c>
      <c r="H40" s="163">
        <f>IF(I40="مخالفات",50,Basic345678[[#This Row],[قيمة الرسوم / العموله]]+Basic345678[[#This Row],[قيمة الشحنه]])</f>
        <v>0</v>
      </c>
      <c r="I40" s="90"/>
      <c r="J40" s="142" t="str">
        <f t="shared" si="0"/>
        <v>25.5.2026</v>
      </c>
      <c r="L40" s="153">
        <v>29</v>
      </c>
      <c r="M40" s="92"/>
    </row>
    <row r="41" spans="1:13" ht="21.6" x14ac:dyDescent="0.65">
      <c r="A41" s="195"/>
      <c r="B41" s="144">
        <v>38</v>
      </c>
      <c r="C41" s="2"/>
      <c r="D41" s="1"/>
      <c r="E41" s="3"/>
      <c r="F41" s="1"/>
      <c r="G41" s="141">
        <f>IF(Basic345678[[#This Row],[نوع الخدمة]]="مخالفات", 50,
IF(Basic345678[[#This Row],[نوع الخدمة]]="كاش ان",
    IF(F41&lt;=100, 18, IF(F41&lt;=250, 23, IF(F41&lt;=500, 35, IF(F41&lt;=1000, 40, F41*0.04)))),
IF(Basic345678[[#This Row],[نوع الخدمة]]="كاش اوت",
    IF(F41&lt;=100, 15, IF(F41&lt;=250, 20, IF(F41&lt;=500, 30, IF(F41&lt;=1000, 35, F41*0.035)))),
0)))</f>
        <v>0</v>
      </c>
      <c r="H41" s="163">
        <f>IF(I41="مخالفات",50,Basic345678[[#This Row],[قيمة الرسوم / العموله]]+Basic345678[[#This Row],[قيمة الشحنه]])</f>
        <v>0</v>
      </c>
      <c r="I41" s="90"/>
      <c r="J41" s="142" t="str">
        <f t="shared" si="0"/>
        <v>25.5.2026</v>
      </c>
      <c r="L41" s="153">
        <v>30</v>
      </c>
      <c r="M41" s="92"/>
    </row>
    <row r="42" spans="1:13" ht="21.6" x14ac:dyDescent="0.65">
      <c r="A42" s="195"/>
      <c r="B42" s="140">
        <v>39</v>
      </c>
      <c r="C42" s="2"/>
      <c r="D42" s="1"/>
      <c r="E42" s="3"/>
      <c r="F42" s="1"/>
      <c r="G42" s="141">
        <f>IF(Basic345678[[#This Row],[نوع الخدمة]]="مخالفات", 50,
IF(Basic345678[[#This Row],[نوع الخدمة]]="كاش ان",
    IF(F42&lt;=100, 18, IF(F42&lt;=250, 23, IF(F42&lt;=500, 35, IF(F42&lt;=1000, 40, F42*0.04)))),
IF(Basic345678[[#This Row],[نوع الخدمة]]="كاش اوت",
    IF(F42&lt;=100, 15, IF(F42&lt;=250, 20, IF(F42&lt;=500, 30, IF(F42&lt;=1000, 35, F42*0.035)))),
0)))</f>
        <v>0</v>
      </c>
      <c r="H42" s="163">
        <f>IF(I42="مخالفات",50,Basic345678[[#This Row],[قيمة الرسوم / العموله]]+Basic345678[[#This Row],[قيمة الشحنه]])</f>
        <v>0</v>
      </c>
      <c r="I42" s="90"/>
      <c r="J42" s="142" t="str">
        <f t="shared" si="0"/>
        <v>25.5.2026</v>
      </c>
      <c r="L42" s="153">
        <v>31</v>
      </c>
      <c r="M42" s="92"/>
    </row>
    <row r="43" spans="1:13" ht="21.6" x14ac:dyDescent="0.65">
      <c r="A43" s="195"/>
      <c r="B43" s="140">
        <v>40</v>
      </c>
      <c r="C43" s="2"/>
      <c r="D43" s="1"/>
      <c r="E43" s="3"/>
      <c r="F43" s="1"/>
      <c r="G43" s="141">
        <f>IF(Basic345678[[#This Row],[نوع الخدمة]]="مخالفات", 50,
IF(Basic345678[[#This Row],[نوع الخدمة]]="كاش ان",
    IF(F43&lt;=100, 18, IF(F43&lt;=250, 23, IF(F43&lt;=500, 35, IF(F43&lt;=1000, 40, F43*0.04)))),
IF(Basic345678[[#This Row],[نوع الخدمة]]="كاش اوت",
    IF(F43&lt;=100, 15, IF(F43&lt;=250, 20, IF(F43&lt;=500, 30, IF(F43&lt;=1000, 35, F43*0.035)))),
0)))</f>
        <v>0</v>
      </c>
      <c r="H43" s="163">
        <f>IF(I43="مخالفات",50,Basic345678[[#This Row],[قيمة الرسوم / العموله]]+Basic345678[[#This Row],[قيمة الشحنه]])</f>
        <v>0</v>
      </c>
      <c r="I43" s="90"/>
      <c r="J43" s="142" t="str">
        <f t="shared" si="0"/>
        <v>25.5.2026</v>
      </c>
      <c r="L43" s="153">
        <v>32</v>
      </c>
      <c r="M43" s="92"/>
    </row>
    <row r="44" spans="1:13" ht="21.6" x14ac:dyDescent="0.65">
      <c r="A44" s="195"/>
      <c r="B44" s="140">
        <v>41</v>
      </c>
      <c r="C44" s="2"/>
      <c r="D44" s="1"/>
      <c r="E44" s="3"/>
      <c r="F44" s="1"/>
      <c r="G44" s="141">
        <f>IF(Basic345678[[#This Row],[نوع الخدمة]]="مخالفات", 50,
IF(Basic345678[[#This Row],[نوع الخدمة]]="كاش ان",
    IF(F44&lt;=100, 18, IF(F44&lt;=250, 23, IF(F44&lt;=500, 35, IF(F44&lt;=1000, 40, F44*0.04)))),
IF(Basic345678[[#This Row],[نوع الخدمة]]="كاش اوت",
    IF(F44&lt;=100, 15, IF(F44&lt;=250, 20, IF(F44&lt;=500, 30, IF(F44&lt;=1000, 35, F44*0.035)))),
0)))</f>
        <v>0</v>
      </c>
      <c r="H44" s="163">
        <f>IF(I44="مخالفات",50,Basic345678[[#This Row],[قيمة الرسوم / العموله]]+Basic345678[[#This Row],[قيمة الشحنه]])</f>
        <v>0</v>
      </c>
      <c r="I44" s="90"/>
      <c r="J44" s="142" t="str">
        <f t="shared" si="0"/>
        <v>25.5.2026</v>
      </c>
      <c r="L44" s="153">
        <v>33</v>
      </c>
      <c r="M44" s="92"/>
    </row>
    <row r="45" spans="1:13" ht="21.6" x14ac:dyDescent="0.65">
      <c r="A45" s="195"/>
      <c r="B45" s="144">
        <v>42</v>
      </c>
      <c r="C45" s="2"/>
      <c r="D45" s="1"/>
      <c r="E45" s="3"/>
      <c r="F45" s="1"/>
      <c r="G45" s="141">
        <f>IF(Basic345678[[#This Row],[نوع الخدمة]]="مخالفات", 50,
IF(Basic345678[[#This Row],[نوع الخدمة]]="كاش ان",
    IF(F45&lt;=100, 18, IF(F45&lt;=250, 23, IF(F45&lt;=500, 35, IF(F45&lt;=1000, 40, F45*0.04)))),
IF(Basic345678[[#This Row],[نوع الخدمة]]="كاش اوت",
    IF(F45&lt;=100, 15, IF(F45&lt;=250, 20, IF(F45&lt;=500, 30, IF(F45&lt;=1000, 35, F45*0.035)))),
0)))</f>
        <v>0</v>
      </c>
      <c r="H45" s="163">
        <f>IF(I45="مخالفات",50,Basic345678[[#This Row],[قيمة الرسوم / العموله]]+Basic345678[[#This Row],[قيمة الشحنه]])</f>
        <v>0</v>
      </c>
      <c r="I45" s="90"/>
      <c r="J45" s="142" t="str">
        <f t="shared" si="0"/>
        <v>25.5.2026</v>
      </c>
      <c r="L45" s="153">
        <v>34</v>
      </c>
      <c r="M45" s="92"/>
    </row>
    <row r="46" spans="1:13" ht="21.6" x14ac:dyDescent="0.65">
      <c r="A46" s="195"/>
      <c r="B46" s="140">
        <v>43</v>
      </c>
      <c r="C46" s="2"/>
      <c r="D46" s="1"/>
      <c r="E46" s="3"/>
      <c r="F46" s="1"/>
      <c r="G46" s="141">
        <f>IF(Basic345678[[#This Row],[نوع الخدمة]]="مخالفات", 50,
IF(Basic345678[[#This Row],[نوع الخدمة]]="كاش ان",
    IF(F46&lt;=100, 18, IF(F46&lt;=250, 23, IF(F46&lt;=500, 35, IF(F46&lt;=1000, 40, F46*0.04)))),
IF(Basic345678[[#This Row],[نوع الخدمة]]="كاش اوت",
    IF(F46&lt;=100, 15, IF(F46&lt;=250, 20, IF(F46&lt;=500, 30, IF(F46&lt;=1000, 35, F46*0.035)))),
0)))</f>
        <v>0</v>
      </c>
      <c r="H46" s="163">
        <f>IF(I46="مخالفات",50,Basic345678[[#This Row],[قيمة الرسوم / العموله]]+Basic345678[[#This Row],[قيمة الشحنه]])</f>
        <v>0</v>
      </c>
      <c r="I46" s="90"/>
      <c r="J46" s="142" t="str">
        <f t="shared" si="0"/>
        <v>25.5.2026</v>
      </c>
      <c r="L46" s="153">
        <v>35</v>
      </c>
      <c r="M46" s="92"/>
    </row>
    <row r="47" spans="1:13" ht="21.6" x14ac:dyDescent="0.65">
      <c r="A47" s="195"/>
      <c r="B47" s="140">
        <v>44</v>
      </c>
      <c r="C47" s="2"/>
      <c r="D47" s="1"/>
      <c r="E47" s="3"/>
      <c r="F47" s="1"/>
      <c r="G47" s="141">
        <f>IF(Basic345678[[#This Row],[نوع الخدمة]]="مخالفات", 50,
IF(Basic345678[[#This Row],[نوع الخدمة]]="كاش ان",
    IF(F47&lt;=100, 18, IF(F47&lt;=250, 23, IF(F47&lt;=500, 35, IF(F47&lt;=1000, 40, F47*0.04)))),
IF(Basic345678[[#This Row],[نوع الخدمة]]="كاش اوت",
    IF(F47&lt;=100, 15, IF(F47&lt;=250, 20, IF(F47&lt;=500, 30, IF(F47&lt;=1000, 35, F47*0.035)))),
0)))</f>
        <v>0</v>
      </c>
      <c r="H47" s="163">
        <f>IF(I47="مخالفات",50,Basic345678[[#This Row],[قيمة الرسوم / العموله]]+Basic345678[[#This Row],[قيمة الشحنه]])</f>
        <v>0</v>
      </c>
      <c r="I47" s="90"/>
      <c r="J47" s="142" t="str">
        <f t="shared" si="0"/>
        <v>25.5.2026</v>
      </c>
      <c r="L47" s="153">
        <v>36</v>
      </c>
      <c r="M47" s="92"/>
    </row>
    <row r="48" spans="1:13" ht="21.6" x14ac:dyDescent="0.65">
      <c r="A48" s="195"/>
      <c r="B48" s="140">
        <v>45</v>
      </c>
      <c r="C48" s="2"/>
      <c r="D48" s="1"/>
      <c r="E48" s="3"/>
      <c r="F48" s="1"/>
      <c r="G48" s="141">
        <f>IF(Basic345678[[#This Row],[نوع الخدمة]]="مخالفات", 50,
IF(Basic345678[[#This Row],[نوع الخدمة]]="كاش ان",
    IF(F48&lt;=100, 18, IF(F48&lt;=250, 23, IF(F48&lt;=500, 35, IF(F48&lt;=1000, 40, F48*0.04)))),
IF(Basic345678[[#This Row],[نوع الخدمة]]="كاش اوت",
    IF(F48&lt;=100, 15, IF(F48&lt;=250, 20, IF(F48&lt;=500, 30, IF(F48&lt;=1000, 35, F48*0.035)))),
0)))</f>
        <v>0</v>
      </c>
      <c r="H48" s="163">
        <f>IF(I48="مخالفات",50,Basic345678[[#This Row],[قيمة الرسوم / العموله]]+Basic345678[[#This Row],[قيمة الشحنه]])</f>
        <v>0</v>
      </c>
      <c r="I48" s="90"/>
      <c r="J48" s="142" t="str">
        <f t="shared" si="0"/>
        <v>25.5.2026</v>
      </c>
      <c r="L48" s="153">
        <v>37</v>
      </c>
      <c r="M48" s="92"/>
    </row>
    <row r="49" spans="1:13" ht="21.6" x14ac:dyDescent="0.65">
      <c r="A49" s="195"/>
      <c r="B49" s="144">
        <v>46</v>
      </c>
      <c r="C49" s="2"/>
      <c r="D49" s="1"/>
      <c r="E49" s="3"/>
      <c r="F49" s="1"/>
      <c r="G49" s="141">
        <f>IF(Basic345678[[#This Row],[نوع الخدمة]]="مخالفات", 50,
IF(Basic345678[[#This Row],[نوع الخدمة]]="كاش ان",
    IF(F49&lt;=100, 18, IF(F49&lt;=250, 23, IF(F49&lt;=500, 35, IF(F49&lt;=1000, 40, F49*0.04)))),
IF(Basic345678[[#This Row],[نوع الخدمة]]="كاش اوت",
    IF(F49&lt;=100, 15, IF(F49&lt;=250, 20, IF(F49&lt;=500, 30, IF(F49&lt;=1000, 35, F49*0.035)))),
0)))</f>
        <v>0</v>
      </c>
      <c r="H49" s="163">
        <f>IF(I49="مخالفات",50,Basic345678[[#This Row],[قيمة الرسوم / العموله]]+Basic345678[[#This Row],[قيمة الشحنه]])</f>
        <v>0</v>
      </c>
      <c r="I49" s="90"/>
      <c r="J49" s="142" t="str">
        <f t="shared" si="0"/>
        <v>25.5.2026</v>
      </c>
      <c r="L49" s="153">
        <v>38</v>
      </c>
      <c r="M49" s="92"/>
    </row>
    <row r="50" spans="1:13" ht="21.6" x14ac:dyDescent="0.65">
      <c r="A50" s="195"/>
      <c r="B50" s="140">
        <v>47</v>
      </c>
      <c r="C50" s="2"/>
      <c r="D50" s="1"/>
      <c r="E50" s="3"/>
      <c r="F50" s="1"/>
      <c r="G50" s="141">
        <f>IF(Basic345678[[#This Row],[نوع الخدمة]]="مخالفات", 50,
IF(Basic345678[[#This Row],[نوع الخدمة]]="كاش ان",
    IF(F50&lt;=100, 18, IF(F50&lt;=250, 23, IF(F50&lt;=500, 35, IF(F50&lt;=1000, 40, F50*0.04)))),
IF(Basic345678[[#This Row],[نوع الخدمة]]="كاش اوت",
    IF(F50&lt;=100, 15, IF(F50&lt;=250, 20, IF(F50&lt;=500, 30, IF(F50&lt;=1000, 35, F50*0.035)))),
0)))</f>
        <v>0</v>
      </c>
      <c r="H50" s="163">
        <f>IF(I50="مخالفات",50,Basic345678[[#This Row],[قيمة الرسوم / العموله]]+Basic345678[[#This Row],[قيمة الشحنه]])</f>
        <v>0</v>
      </c>
      <c r="I50" s="90"/>
      <c r="J50" s="142" t="str">
        <f t="shared" si="0"/>
        <v>25.5.2026</v>
      </c>
      <c r="L50" s="153">
        <v>39</v>
      </c>
      <c r="M50" s="92"/>
    </row>
    <row r="51" spans="1:13" ht="21.6" x14ac:dyDescent="0.65">
      <c r="A51" s="195"/>
      <c r="B51" s="140">
        <v>48</v>
      </c>
      <c r="C51" s="2"/>
      <c r="D51" s="1"/>
      <c r="E51" s="3"/>
      <c r="F51" s="1"/>
      <c r="G51" s="141">
        <f>IF(Basic345678[[#This Row],[نوع الخدمة]]="مخالفات", 50,
IF(Basic345678[[#This Row],[نوع الخدمة]]="كاش ان",
    IF(F51&lt;=100, 18, IF(F51&lt;=250, 23, IF(F51&lt;=500, 35, IF(F51&lt;=1000, 40, F51*0.04)))),
IF(Basic345678[[#This Row],[نوع الخدمة]]="كاش اوت",
    IF(F51&lt;=100, 15, IF(F51&lt;=250, 20, IF(F51&lt;=500, 30, IF(F51&lt;=1000, 35, F51*0.035)))),
0)))</f>
        <v>0</v>
      </c>
      <c r="H51" s="163">
        <f>IF(I51="مخالفات",50,Basic345678[[#This Row],[قيمة الرسوم / العموله]]+Basic345678[[#This Row],[قيمة الشحنه]])</f>
        <v>0</v>
      </c>
      <c r="I51" s="90"/>
      <c r="J51" s="142" t="str">
        <f t="shared" si="0"/>
        <v>25.5.2026</v>
      </c>
      <c r="L51" s="153">
        <v>40</v>
      </c>
      <c r="M51" s="92"/>
    </row>
    <row r="52" spans="1:13" ht="21.6" x14ac:dyDescent="0.65">
      <c r="A52" s="195"/>
      <c r="B52" s="140">
        <v>49</v>
      </c>
      <c r="C52" s="2"/>
      <c r="D52" s="1"/>
      <c r="E52" s="3"/>
      <c r="F52" s="1"/>
      <c r="G52" s="141">
        <f>IF(Basic345678[[#This Row],[نوع الخدمة]]="مخالفات", 50,
IF(Basic345678[[#This Row],[نوع الخدمة]]="كاش ان",
    IF(F52&lt;=100, 18, IF(F52&lt;=250, 23, IF(F52&lt;=500, 35, IF(F52&lt;=1000, 40, F52*0.04)))),
IF(Basic345678[[#This Row],[نوع الخدمة]]="كاش اوت",
    IF(F52&lt;=100, 15, IF(F52&lt;=250, 20, IF(F52&lt;=500, 30, IF(F52&lt;=1000, 35, F52*0.035)))),
0)))</f>
        <v>0</v>
      </c>
      <c r="H52" s="163">
        <f>IF(I52="مخالفات",50,Basic345678[[#This Row],[قيمة الرسوم / العموله]]+Basic345678[[#This Row],[قيمة الشحنه]])</f>
        <v>0</v>
      </c>
      <c r="I52" s="90"/>
      <c r="J52" s="142" t="str">
        <f t="shared" si="0"/>
        <v>25.5.2026</v>
      </c>
      <c r="L52" s="153">
        <v>41</v>
      </c>
      <c r="M52" s="92"/>
    </row>
    <row r="53" spans="1:13" ht="21.6" x14ac:dyDescent="0.65">
      <c r="A53" s="195"/>
      <c r="B53" s="144">
        <v>50</v>
      </c>
      <c r="C53" s="2"/>
      <c r="D53" s="1"/>
      <c r="E53" s="3"/>
      <c r="F53" s="1"/>
      <c r="G53" s="141">
        <f>IF(Basic345678[[#This Row],[نوع الخدمة]]="مخالفات", 50,
IF(Basic345678[[#This Row],[نوع الخدمة]]="كاش ان",
    IF(F53&lt;=100, 18, IF(F53&lt;=250, 23, IF(F53&lt;=500, 35, IF(F53&lt;=1000, 40, F53*0.04)))),
IF(Basic345678[[#This Row],[نوع الخدمة]]="كاش اوت",
    IF(F53&lt;=100, 15, IF(F53&lt;=250, 20, IF(F53&lt;=500, 30, IF(F53&lt;=1000, 35, F53*0.035)))),
0)))</f>
        <v>0</v>
      </c>
      <c r="H53" s="163">
        <f>IF(I53="مخالفات",50,Basic345678[[#This Row],[قيمة الرسوم / العموله]]+Basic345678[[#This Row],[قيمة الشحنه]])</f>
        <v>0</v>
      </c>
      <c r="I53" s="90"/>
      <c r="J53" s="142" t="str">
        <f t="shared" si="0"/>
        <v>25.5.2026</v>
      </c>
      <c r="L53" s="153">
        <v>42</v>
      </c>
      <c r="M53" s="92"/>
    </row>
    <row r="54" spans="1:13" ht="21.6" x14ac:dyDescent="0.65">
      <c r="A54" s="195"/>
      <c r="B54" s="140">
        <v>51</v>
      </c>
      <c r="C54" s="2"/>
      <c r="D54" s="1"/>
      <c r="E54" s="3"/>
      <c r="F54" s="1"/>
      <c r="G54" s="141">
        <f>IF(Basic345678[[#This Row],[نوع الخدمة]]="مخالفات", 50,
IF(Basic345678[[#This Row],[نوع الخدمة]]="كاش ان",
    IF(F54&lt;=100, 18, IF(F54&lt;=250, 23, IF(F54&lt;=500, 35, IF(F54&lt;=1000, 40, F54*0.04)))),
IF(Basic345678[[#This Row],[نوع الخدمة]]="كاش اوت",
    IF(F54&lt;=100, 15, IF(F54&lt;=250, 20, IF(F54&lt;=500, 30, IF(F54&lt;=1000, 35, F54*0.035)))),
0)))</f>
        <v>0</v>
      </c>
      <c r="H54" s="163">
        <f>IF(I54="مخالفات",50,Basic345678[[#This Row],[قيمة الرسوم / العموله]]+Basic345678[[#This Row],[قيمة الشحنه]])</f>
        <v>0</v>
      </c>
      <c r="I54" s="90"/>
      <c r="J54" s="142" t="str">
        <f t="shared" si="0"/>
        <v>25.5.2026</v>
      </c>
      <c r="L54" s="153">
        <v>43</v>
      </c>
      <c r="M54" s="92"/>
    </row>
    <row r="55" spans="1:13" ht="21.6" x14ac:dyDescent="0.65">
      <c r="A55" s="195"/>
      <c r="B55" s="140">
        <v>52</v>
      </c>
      <c r="C55" s="2"/>
      <c r="D55" s="1"/>
      <c r="E55" s="3"/>
      <c r="F55" s="1"/>
      <c r="G55" s="141">
        <f>IF(Basic345678[[#This Row],[نوع الخدمة]]="مخالفات", 50,
IF(Basic345678[[#This Row],[نوع الخدمة]]="كاش ان",
    IF(F55&lt;=100, 18, IF(F55&lt;=250, 23, IF(F55&lt;=500, 35, IF(F55&lt;=1000, 40, F55*0.04)))),
IF(Basic345678[[#This Row],[نوع الخدمة]]="كاش اوت",
    IF(F55&lt;=100, 15, IF(F55&lt;=250, 20, IF(F55&lt;=500, 30, IF(F55&lt;=1000, 35, F55*0.035)))),
0)))</f>
        <v>0</v>
      </c>
      <c r="H55" s="163">
        <f>IF(I55="مخالفات",50,Basic345678[[#This Row],[قيمة الرسوم / العموله]]+Basic345678[[#This Row],[قيمة الشحنه]])</f>
        <v>0</v>
      </c>
      <c r="I55" s="90"/>
      <c r="J55" s="142" t="str">
        <f t="shared" si="0"/>
        <v>25.5.2026</v>
      </c>
      <c r="L55" s="153">
        <v>44</v>
      </c>
      <c r="M55" s="92"/>
    </row>
    <row r="56" spans="1:13" ht="21.6" x14ac:dyDescent="0.65">
      <c r="A56" s="195"/>
      <c r="B56" s="140">
        <v>53</v>
      </c>
      <c r="C56" s="2"/>
      <c r="D56" s="1"/>
      <c r="E56" s="3"/>
      <c r="F56" s="1"/>
      <c r="G56" s="141">
        <f>IF(Basic345678[[#This Row],[نوع الخدمة]]="مخالفات", 50,
IF(Basic345678[[#This Row],[نوع الخدمة]]="كاش ان",
    IF(F56&lt;=100, 18, IF(F56&lt;=250, 23, IF(F56&lt;=500, 35, IF(F56&lt;=1000, 40, F56*0.04)))),
IF(Basic345678[[#This Row],[نوع الخدمة]]="كاش اوت",
    IF(F56&lt;=100, 15, IF(F56&lt;=250, 20, IF(F56&lt;=500, 30, IF(F56&lt;=1000, 35, F56*0.035)))),
0)))</f>
        <v>0</v>
      </c>
      <c r="H56" s="163">
        <f>IF(I56="مخالفات",50,Basic345678[[#This Row],[قيمة الرسوم / العموله]]+Basic345678[[#This Row],[قيمة الشحنه]])</f>
        <v>0</v>
      </c>
      <c r="I56" s="90"/>
      <c r="J56" s="142" t="str">
        <f t="shared" si="0"/>
        <v>25.5.2026</v>
      </c>
      <c r="L56" s="153">
        <v>45</v>
      </c>
      <c r="M56" s="92"/>
    </row>
    <row r="57" spans="1:13" ht="21.6" x14ac:dyDescent="0.65">
      <c r="A57" s="195"/>
      <c r="B57" s="144">
        <v>54</v>
      </c>
      <c r="C57" s="2"/>
      <c r="D57" s="1"/>
      <c r="E57" s="3"/>
      <c r="F57" s="1"/>
      <c r="G57" s="141">
        <f>IF(Basic345678[[#This Row],[نوع الخدمة]]="مخالفات", 50,
IF(Basic345678[[#This Row],[نوع الخدمة]]="كاش ان",
    IF(F57&lt;=100, 18, IF(F57&lt;=250, 23, IF(F57&lt;=500, 35, IF(F57&lt;=1000, 40, F57*0.04)))),
IF(Basic345678[[#This Row],[نوع الخدمة]]="كاش اوت",
    IF(F57&lt;=100, 15, IF(F57&lt;=250, 20, IF(F57&lt;=500, 30, IF(F57&lt;=1000, 35, F57*0.035)))),
0)))</f>
        <v>0</v>
      </c>
      <c r="H57" s="163">
        <f>IF(I57="مخالفات",50,Basic345678[[#This Row],[قيمة الرسوم / العموله]]+Basic345678[[#This Row],[قيمة الشحنه]])</f>
        <v>0</v>
      </c>
      <c r="I57" s="90"/>
      <c r="J57" s="142" t="str">
        <f t="shared" si="0"/>
        <v>25.5.2026</v>
      </c>
      <c r="L57" s="153">
        <v>46</v>
      </c>
      <c r="M57" s="92"/>
    </row>
    <row r="58" spans="1:13" ht="21.6" x14ac:dyDescent="0.65">
      <c r="A58" s="195"/>
      <c r="B58" s="140">
        <v>55</v>
      </c>
      <c r="C58" s="2"/>
      <c r="D58" s="1"/>
      <c r="E58" s="3"/>
      <c r="F58" s="1"/>
      <c r="G58" s="141">
        <f>IF(Basic345678[[#This Row],[نوع الخدمة]]="مخالفات", 50,
IF(Basic345678[[#This Row],[نوع الخدمة]]="كاش ان",
    IF(F58&lt;=100, 18, IF(F58&lt;=250, 23, IF(F58&lt;=500, 35, IF(F58&lt;=1000, 40, F58*0.04)))),
IF(Basic345678[[#This Row],[نوع الخدمة]]="كاش اوت",
    IF(F58&lt;=100, 15, IF(F58&lt;=250, 20, IF(F58&lt;=500, 30, IF(F58&lt;=1000, 35, F58*0.035)))),
0)))</f>
        <v>0</v>
      </c>
      <c r="H58" s="163">
        <f>IF(I58="مخالفات",50,Basic345678[[#This Row],[قيمة الرسوم / العموله]]+Basic345678[[#This Row],[قيمة الشحنه]])</f>
        <v>0</v>
      </c>
      <c r="I58" s="90"/>
      <c r="J58" s="142" t="str">
        <f t="shared" si="0"/>
        <v>25.5.2026</v>
      </c>
      <c r="L58" s="153">
        <v>47</v>
      </c>
      <c r="M58" s="92"/>
    </row>
    <row r="59" spans="1:13" ht="21.6" x14ac:dyDescent="0.65">
      <c r="A59" s="195"/>
      <c r="B59" s="140">
        <v>56</v>
      </c>
      <c r="C59" s="2"/>
      <c r="D59" s="1"/>
      <c r="E59" s="3"/>
      <c r="F59" s="1"/>
      <c r="G59" s="141">
        <f>IF(Basic345678[[#This Row],[نوع الخدمة]]="مخالفات", 50,
IF(Basic345678[[#This Row],[نوع الخدمة]]="كاش ان",
    IF(F59&lt;=100, 18, IF(F59&lt;=250, 23, IF(F59&lt;=500, 35, IF(F59&lt;=1000, 40, F59*0.04)))),
IF(Basic345678[[#This Row],[نوع الخدمة]]="كاش اوت",
    IF(F59&lt;=100, 15, IF(F59&lt;=250, 20, IF(F59&lt;=500, 30, IF(F59&lt;=1000, 35, F59*0.035)))),
0)))</f>
        <v>0</v>
      </c>
      <c r="H59" s="163">
        <f>IF(I59="مخالفات",50,Basic345678[[#This Row],[قيمة الرسوم / العموله]]+Basic345678[[#This Row],[قيمة الشحنه]])</f>
        <v>0</v>
      </c>
      <c r="I59" s="90"/>
      <c r="J59" s="142" t="str">
        <f t="shared" si="0"/>
        <v>25.5.2026</v>
      </c>
      <c r="L59" s="153">
        <v>48</v>
      </c>
      <c r="M59" s="92"/>
    </row>
    <row r="60" spans="1:13" ht="21.6" x14ac:dyDescent="0.65">
      <c r="A60" s="195"/>
      <c r="B60" s="140">
        <v>57</v>
      </c>
      <c r="C60" s="2"/>
      <c r="D60" s="1"/>
      <c r="E60" s="3"/>
      <c r="F60" s="1"/>
      <c r="G60" s="141">
        <f>IF(Basic345678[[#This Row],[نوع الخدمة]]="مخالفات", 50,
IF(Basic345678[[#This Row],[نوع الخدمة]]="كاش ان",
    IF(F60&lt;=100, 18, IF(F60&lt;=250, 23, IF(F60&lt;=500, 35, IF(F60&lt;=1000, 40, F60*0.04)))),
IF(Basic345678[[#This Row],[نوع الخدمة]]="كاش اوت",
    IF(F60&lt;=100, 15, IF(F60&lt;=250, 20, IF(F60&lt;=500, 30, IF(F60&lt;=1000, 35, F60*0.035)))),
0)))</f>
        <v>0</v>
      </c>
      <c r="H60" s="163">
        <f>IF(I60="مخالفات",50,Basic345678[[#This Row],[قيمة الرسوم / العموله]]+Basic345678[[#This Row],[قيمة الشحنه]])</f>
        <v>0</v>
      </c>
      <c r="I60" s="90"/>
      <c r="J60" s="142" t="str">
        <f t="shared" si="0"/>
        <v>25.5.2026</v>
      </c>
      <c r="L60" s="153">
        <v>49</v>
      </c>
      <c r="M60" s="92"/>
    </row>
    <row r="61" spans="1:13" ht="21.6" x14ac:dyDescent="0.65">
      <c r="A61" s="195"/>
      <c r="B61" s="144">
        <v>58</v>
      </c>
      <c r="C61" s="2"/>
      <c r="D61" s="1"/>
      <c r="E61" s="3"/>
      <c r="F61" s="1"/>
      <c r="G61" s="141">
        <f>IF(Basic345678[[#This Row],[نوع الخدمة]]="مخالفات", 50,
IF(Basic345678[[#This Row],[نوع الخدمة]]="كاش ان",
    IF(F61&lt;=100, 18, IF(F61&lt;=250, 23, IF(F61&lt;=500, 35, IF(F61&lt;=1000, 40, F61*0.04)))),
IF(Basic345678[[#This Row],[نوع الخدمة]]="كاش اوت",
    IF(F61&lt;=100, 15, IF(F61&lt;=250, 20, IF(F61&lt;=500, 30, IF(F61&lt;=1000, 35, F61*0.035)))),
0)))</f>
        <v>0</v>
      </c>
      <c r="H61" s="163">
        <f>IF(I61="مخالفات",50,Basic345678[[#This Row],[قيمة الرسوم / العموله]]+Basic345678[[#This Row],[قيمة الشحنه]])</f>
        <v>0</v>
      </c>
      <c r="I61" s="90"/>
      <c r="J61" s="142" t="str">
        <f t="shared" si="0"/>
        <v>25.5.2026</v>
      </c>
      <c r="L61" s="153">
        <v>50</v>
      </c>
      <c r="M61" s="92"/>
    </row>
    <row r="62" spans="1:13" ht="21.6" x14ac:dyDescent="0.65">
      <c r="A62" s="195"/>
      <c r="B62" s="140">
        <v>59</v>
      </c>
      <c r="C62" s="2"/>
      <c r="D62" s="1"/>
      <c r="E62" s="3"/>
      <c r="F62" s="1"/>
      <c r="G62" s="141">
        <f>IF(Basic345678[[#This Row],[نوع الخدمة]]="مخالفات", 50,
IF(Basic345678[[#This Row],[نوع الخدمة]]="كاش ان",
    IF(F62&lt;=100, 18, IF(F62&lt;=250, 23, IF(F62&lt;=500, 35, IF(F62&lt;=1000, 40, F62*0.04)))),
IF(Basic345678[[#This Row],[نوع الخدمة]]="كاش اوت",
    IF(F62&lt;=100, 15, IF(F62&lt;=250, 20, IF(F62&lt;=500, 30, IF(F62&lt;=1000, 35, F62*0.035)))),
0)))</f>
        <v>0</v>
      </c>
      <c r="H62" s="163">
        <f>IF(I62="مخالفات",50,Basic345678[[#This Row],[قيمة الرسوم / العموله]]+Basic345678[[#This Row],[قيمة الشحنه]])</f>
        <v>0</v>
      </c>
      <c r="I62" s="90"/>
      <c r="J62" s="142" t="str">
        <f t="shared" si="0"/>
        <v>25.5.2026</v>
      </c>
      <c r="L62" s="153">
        <v>51</v>
      </c>
      <c r="M62" s="92"/>
    </row>
    <row r="63" spans="1:13" ht="21.6" x14ac:dyDescent="0.65">
      <c r="A63" s="195"/>
      <c r="B63" s="140">
        <v>60</v>
      </c>
      <c r="C63" s="2"/>
      <c r="D63" s="1"/>
      <c r="E63" s="3"/>
      <c r="F63" s="1"/>
      <c r="G63" s="141">
        <f>IF(Basic345678[[#This Row],[نوع الخدمة]]="مخالفات", 50,
IF(Basic345678[[#This Row],[نوع الخدمة]]="كاش ان",
    IF(F63&lt;=100, 18, IF(F63&lt;=250, 23, IF(F63&lt;=500, 35, IF(F63&lt;=1000, 40, F63*0.04)))),
IF(Basic345678[[#This Row],[نوع الخدمة]]="كاش اوت",
    IF(F63&lt;=100, 15, IF(F63&lt;=250, 20, IF(F63&lt;=500, 30, IF(F63&lt;=1000, 35, F63*0.035)))),
0)))</f>
        <v>0</v>
      </c>
      <c r="H63" s="163">
        <f>IF(I63="مخالفات",50,Basic345678[[#This Row],[قيمة الرسوم / العموله]]+Basic345678[[#This Row],[قيمة الشحنه]])</f>
        <v>0</v>
      </c>
      <c r="I63" s="90"/>
      <c r="J63" s="142" t="str">
        <f t="shared" si="0"/>
        <v>25.5.2026</v>
      </c>
      <c r="L63" s="153">
        <v>52</v>
      </c>
      <c r="M63" s="92"/>
    </row>
    <row r="64" spans="1:13" ht="21.6" x14ac:dyDescent="0.65">
      <c r="A64" s="195"/>
      <c r="B64" s="140">
        <v>61</v>
      </c>
      <c r="C64" s="2"/>
      <c r="D64" s="1"/>
      <c r="E64" s="3"/>
      <c r="F64" s="1"/>
      <c r="G64" s="141">
        <f>IF(Basic345678[[#This Row],[نوع الخدمة]]="مخالفات", 50,
IF(Basic345678[[#This Row],[نوع الخدمة]]="كاش ان",
    IF(F64&lt;=100, 18, IF(F64&lt;=250, 23, IF(F64&lt;=500, 35, IF(F64&lt;=1000, 40, F64*0.04)))),
IF(Basic345678[[#This Row],[نوع الخدمة]]="كاش اوت",
    IF(F64&lt;=100, 15, IF(F64&lt;=250, 20, IF(F64&lt;=500, 30, IF(F64&lt;=1000, 35, F64*0.035)))),
0)))</f>
        <v>0</v>
      </c>
      <c r="H64" s="163">
        <f>IF(I64="مخالفات",50,Basic345678[[#This Row],[قيمة الرسوم / العموله]]+Basic345678[[#This Row],[قيمة الشحنه]])</f>
        <v>0</v>
      </c>
      <c r="I64" s="90"/>
      <c r="J64" s="142" t="str">
        <f t="shared" si="0"/>
        <v>25.5.2026</v>
      </c>
      <c r="L64" s="153">
        <v>53</v>
      </c>
      <c r="M64" s="92"/>
    </row>
    <row r="65" spans="1:13" ht="21.6" x14ac:dyDescent="0.65">
      <c r="A65" s="195"/>
      <c r="B65" s="144">
        <v>62</v>
      </c>
      <c r="C65" s="2"/>
      <c r="D65" s="1"/>
      <c r="E65" s="3"/>
      <c r="F65" s="1"/>
      <c r="G65" s="141">
        <f>IF(Basic345678[[#This Row],[نوع الخدمة]]="مخالفات", 50,
IF(Basic345678[[#This Row],[نوع الخدمة]]="كاش ان",
    IF(F65&lt;=100, 18, IF(F65&lt;=250, 23, IF(F65&lt;=500, 35, IF(F65&lt;=1000, 40, F65*0.04)))),
IF(Basic345678[[#This Row],[نوع الخدمة]]="كاش اوت",
    IF(F65&lt;=100, 15, IF(F65&lt;=250, 20, IF(F65&lt;=500, 30, IF(F65&lt;=1000, 35, F65*0.035)))),
0)))</f>
        <v>0</v>
      </c>
      <c r="H65" s="163">
        <f>IF(I65="مخالفات",50,Basic345678[[#This Row],[قيمة الرسوم / العموله]]+Basic345678[[#This Row],[قيمة الشحنه]])</f>
        <v>0</v>
      </c>
      <c r="I65" s="90"/>
      <c r="J65" s="142" t="str">
        <f t="shared" si="0"/>
        <v>25.5.2026</v>
      </c>
      <c r="L65" s="153">
        <v>54</v>
      </c>
      <c r="M65" s="92"/>
    </row>
    <row r="66" spans="1:13" ht="21.6" x14ac:dyDescent="0.65">
      <c r="A66" s="195"/>
      <c r="B66" s="140">
        <v>63</v>
      </c>
      <c r="C66" s="2"/>
      <c r="D66" s="1"/>
      <c r="E66" s="3"/>
      <c r="F66" s="1"/>
      <c r="G66" s="141">
        <f>IF(Basic345678[[#This Row],[نوع الخدمة]]="مخالفات", 50,
IF(Basic345678[[#This Row],[نوع الخدمة]]="كاش ان",
    IF(F66&lt;=100, 18, IF(F66&lt;=250, 23, IF(F66&lt;=500, 35, IF(F66&lt;=1000, 40, F66*0.04)))),
IF(Basic345678[[#This Row],[نوع الخدمة]]="كاش اوت",
    IF(F66&lt;=100, 15, IF(F66&lt;=250, 20, IF(F66&lt;=500, 30, IF(F66&lt;=1000, 35, F66*0.035)))),
0)))</f>
        <v>0</v>
      </c>
      <c r="H66" s="163">
        <f>IF(I66="مخالفات",50,Basic345678[[#This Row],[قيمة الرسوم / العموله]]+Basic345678[[#This Row],[قيمة الشحنه]])</f>
        <v>0</v>
      </c>
      <c r="I66" s="90"/>
      <c r="J66" s="142" t="str">
        <f t="shared" si="0"/>
        <v>25.5.2026</v>
      </c>
      <c r="L66" s="153">
        <v>55</v>
      </c>
      <c r="M66" s="92"/>
    </row>
    <row r="67" spans="1:13" ht="21.6" x14ac:dyDescent="0.65">
      <c r="A67" s="195"/>
      <c r="B67" s="140">
        <v>64</v>
      </c>
      <c r="C67" s="2"/>
      <c r="D67" s="1"/>
      <c r="E67" s="3"/>
      <c r="F67" s="1"/>
      <c r="G67" s="141">
        <f>IF(Basic345678[[#This Row],[نوع الخدمة]]="مخالفات", 50,
IF(Basic345678[[#This Row],[نوع الخدمة]]="كاش ان",
    IF(F67&lt;=100, 18, IF(F67&lt;=250, 23, IF(F67&lt;=500, 35, IF(F67&lt;=1000, 40, F67*0.04)))),
IF(Basic345678[[#This Row],[نوع الخدمة]]="كاش اوت",
    IF(F67&lt;=100, 15, IF(F67&lt;=250, 20, IF(F67&lt;=500, 30, IF(F67&lt;=1000, 35, F67*0.035)))),
0)))</f>
        <v>0</v>
      </c>
      <c r="H67" s="163">
        <f>IF(I67="مخالفات",50,Basic345678[[#This Row],[قيمة الرسوم / العموله]]+Basic345678[[#This Row],[قيمة الشحنه]])</f>
        <v>0</v>
      </c>
      <c r="I67" s="90"/>
      <c r="J67" s="142" t="str">
        <f t="shared" si="0"/>
        <v>25.5.2026</v>
      </c>
      <c r="L67" s="153">
        <v>56</v>
      </c>
      <c r="M67" s="92"/>
    </row>
    <row r="68" spans="1:13" ht="21.6" x14ac:dyDescent="0.65">
      <c r="A68" s="195"/>
      <c r="B68" s="140">
        <v>65</v>
      </c>
      <c r="C68" s="2"/>
      <c r="D68" s="1"/>
      <c r="E68" s="3"/>
      <c r="F68" s="1"/>
      <c r="G68" s="141">
        <f>IF(Basic345678[[#This Row],[نوع الخدمة]]="مخالفات", 50,
IF(Basic345678[[#This Row],[نوع الخدمة]]="كاش ان",
    IF(F68&lt;=100, 18, IF(F68&lt;=250, 23, IF(F68&lt;=500, 35, IF(F68&lt;=1000, 40, F68*0.04)))),
IF(Basic345678[[#This Row],[نوع الخدمة]]="كاش اوت",
    IF(F68&lt;=100, 15, IF(F68&lt;=250, 20, IF(F68&lt;=500, 30, IF(F68&lt;=1000, 35, F68*0.035)))),
0)))</f>
        <v>0</v>
      </c>
      <c r="H68" s="163">
        <f>IF(I68="مخالفات",50,Basic345678[[#This Row],[قيمة الرسوم / العموله]]+Basic345678[[#This Row],[قيمة الشحنه]])</f>
        <v>0</v>
      </c>
      <c r="I68" s="90"/>
      <c r="J68" s="142" t="str">
        <f t="shared" ref="J68:J131" si="1">M$3</f>
        <v>25.5.2026</v>
      </c>
      <c r="L68" s="153">
        <v>57</v>
      </c>
      <c r="M68" s="92"/>
    </row>
    <row r="69" spans="1:13" ht="21.6" x14ac:dyDescent="0.65">
      <c r="A69" s="195"/>
      <c r="B69" s="144">
        <v>66</v>
      </c>
      <c r="C69" s="2"/>
      <c r="D69" s="1"/>
      <c r="E69" s="3"/>
      <c r="F69" s="1"/>
      <c r="G69" s="141">
        <f>IF(Basic345678[[#This Row],[نوع الخدمة]]="مخالفات", 50,
IF(Basic345678[[#This Row],[نوع الخدمة]]="كاش ان",
    IF(F69&lt;=100, 18, IF(F69&lt;=250, 23, IF(F69&lt;=500, 35, IF(F69&lt;=1000, 40, F69*0.04)))),
IF(Basic345678[[#This Row],[نوع الخدمة]]="كاش اوت",
    IF(F69&lt;=100, 15, IF(F69&lt;=250, 20, IF(F69&lt;=500, 30, IF(F69&lt;=1000, 35, F69*0.035)))),
0)))</f>
        <v>0</v>
      </c>
      <c r="H69" s="163">
        <f>IF(I69="مخالفات",50,Basic345678[[#This Row],[قيمة الرسوم / العموله]]+Basic345678[[#This Row],[قيمة الشحنه]])</f>
        <v>0</v>
      </c>
      <c r="I69" s="90"/>
      <c r="J69" s="142" t="str">
        <f t="shared" si="1"/>
        <v>25.5.2026</v>
      </c>
      <c r="L69" s="153">
        <v>58</v>
      </c>
      <c r="M69" s="92"/>
    </row>
    <row r="70" spans="1:13" ht="21.6" x14ac:dyDescent="0.65">
      <c r="A70" s="195"/>
      <c r="B70" s="140">
        <v>67</v>
      </c>
      <c r="C70" s="2"/>
      <c r="D70" s="1"/>
      <c r="E70" s="3"/>
      <c r="F70" s="1"/>
      <c r="G70" s="141">
        <f>IF(Basic345678[[#This Row],[نوع الخدمة]]="مخالفات", 50,
IF(Basic345678[[#This Row],[نوع الخدمة]]="كاش ان",
    IF(F70&lt;=100, 18, IF(F70&lt;=250, 23, IF(F70&lt;=500, 35, IF(F70&lt;=1000, 40, F70*0.04)))),
IF(Basic345678[[#This Row],[نوع الخدمة]]="كاش اوت",
    IF(F70&lt;=100, 15, IF(F70&lt;=250, 20, IF(F70&lt;=500, 30, IF(F70&lt;=1000, 35, F70*0.035)))),
0)))</f>
        <v>0</v>
      </c>
      <c r="H70" s="163">
        <f>IF(I70="مخالفات",50,Basic345678[[#This Row],[قيمة الرسوم / العموله]]+Basic345678[[#This Row],[قيمة الشحنه]])</f>
        <v>0</v>
      </c>
      <c r="I70" s="90"/>
      <c r="J70" s="142" t="str">
        <f t="shared" si="1"/>
        <v>25.5.2026</v>
      </c>
      <c r="L70" s="153">
        <v>59</v>
      </c>
      <c r="M70" s="92"/>
    </row>
    <row r="71" spans="1:13" ht="21.6" x14ac:dyDescent="0.65">
      <c r="A71" s="195"/>
      <c r="B71" s="140">
        <v>68</v>
      </c>
      <c r="C71" s="2"/>
      <c r="D71" s="1"/>
      <c r="E71" s="3"/>
      <c r="F71" s="1"/>
      <c r="G71" s="141">
        <f>IF(Basic345678[[#This Row],[نوع الخدمة]]="مخالفات", 50,
IF(Basic345678[[#This Row],[نوع الخدمة]]="كاش ان",
    IF(F71&lt;=100, 18, IF(F71&lt;=250, 23, IF(F71&lt;=500, 35, IF(F71&lt;=1000, 40, F71*0.04)))),
IF(Basic345678[[#This Row],[نوع الخدمة]]="كاش اوت",
    IF(F71&lt;=100, 15, IF(F71&lt;=250, 20, IF(F71&lt;=500, 30, IF(F71&lt;=1000, 35, F71*0.035)))),
0)))</f>
        <v>0</v>
      </c>
      <c r="H71" s="163">
        <f>IF(I71="مخالفات",50,Basic345678[[#This Row],[قيمة الرسوم / العموله]]+Basic345678[[#This Row],[قيمة الشحنه]])</f>
        <v>0</v>
      </c>
      <c r="I71" s="90"/>
      <c r="J71" s="142" t="str">
        <f t="shared" si="1"/>
        <v>25.5.2026</v>
      </c>
      <c r="L71" s="153">
        <v>60</v>
      </c>
      <c r="M71" s="92"/>
    </row>
    <row r="72" spans="1:13" ht="21.6" x14ac:dyDescent="0.65">
      <c r="A72" s="195"/>
      <c r="B72" s="140">
        <v>69</v>
      </c>
      <c r="C72" s="2"/>
      <c r="D72" s="1"/>
      <c r="E72" s="3"/>
      <c r="F72" s="1"/>
      <c r="G72" s="141">
        <f>IF(Basic345678[[#This Row],[نوع الخدمة]]="مخالفات", 50,
IF(Basic345678[[#This Row],[نوع الخدمة]]="كاش ان",
    IF(F72&lt;=100, 18, IF(F72&lt;=250, 23, IF(F72&lt;=500, 35, IF(F72&lt;=1000, 40, F72*0.04)))),
IF(Basic345678[[#This Row],[نوع الخدمة]]="كاش اوت",
    IF(F72&lt;=100, 15, IF(F72&lt;=250, 20, IF(F72&lt;=500, 30, IF(F72&lt;=1000, 35, F72*0.035)))),
0)))</f>
        <v>0</v>
      </c>
      <c r="H72" s="163">
        <f>IF(I72="مخالفات",50,Basic345678[[#This Row],[قيمة الرسوم / العموله]]+Basic345678[[#This Row],[قيمة الشحنه]])</f>
        <v>0</v>
      </c>
      <c r="I72" s="90"/>
      <c r="J72" s="142" t="str">
        <f t="shared" si="1"/>
        <v>25.5.2026</v>
      </c>
      <c r="L72" s="153">
        <v>61</v>
      </c>
      <c r="M72" s="92"/>
    </row>
    <row r="73" spans="1:13" ht="21.6" x14ac:dyDescent="0.65">
      <c r="A73" s="195"/>
      <c r="B73" s="144">
        <v>70</v>
      </c>
      <c r="C73" s="2"/>
      <c r="D73" s="1"/>
      <c r="E73" s="3"/>
      <c r="F73" s="1"/>
      <c r="G73" s="141">
        <f>IF(Basic345678[[#This Row],[نوع الخدمة]]="مخالفات", 50,
IF(Basic345678[[#This Row],[نوع الخدمة]]="كاش ان",
    IF(F73&lt;=100, 18, IF(F73&lt;=250, 23, IF(F73&lt;=500, 35, IF(F73&lt;=1000, 40, F73*0.04)))),
IF(Basic345678[[#This Row],[نوع الخدمة]]="كاش اوت",
    IF(F73&lt;=100, 15, IF(F73&lt;=250, 20, IF(F73&lt;=500, 30, IF(F73&lt;=1000, 35, F73*0.035)))),
0)))</f>
        <v>0</v>
      </c>
      <c r="H73" s="163">
        <f>IF(I73="مخالفات",50,Basic345678[[#This Row],[قيمة الرسوم / العموله]]+Basic345678[[#This Row],[قيمة الشحنه]])</f>
        <v>0</v>
      </c>
      <c r="I73" s="90"/>
      <c r="J73" s="142" t="str">
        <f t="shared" si="1"/>
        <v>25.5.2026</v>
      </c>
      <c r="L73" s="153">
        <v>62</v>
      </c>
      <c r="M73" s="92"/>
    </row>
    <row r="74" spans="1:13" ht="21.6" x14ac:dyDescent="0.65">
      <c r="A74" s="195"/>
      <c r="B74" s="140">
        <v>71</v>
      </c>
      <c r="C74" s="2"/>
      <c r="D74" s="1"/>
      <c r="E74" s="3"/>
      <c r="F74" s="1"/>
      <c r="G74" s="141">
        <f>IF(Basic345678[[#This Row],[نوع الخدمة]]="مخالفات", 50,
IF(Basic345678[[#This Row],[نوع الخدمة]]="كاش ان",
    IF(F74&lt;=100, 18, IF(F74&lt;=250, 23, IF(F74&lt;=500, 35, IF(F74&lt;=1000, 40, F74*0.04)))),
IF(Basic345678[[#This Row],[نوع الخدمة]]="كاش اوت",
    IF(F74&lt;=100, 15, IF(F74&lt;=250, 20, IF(F74&lt;=500, 30, IF(F74&lt;=1000, 35, F74*0.035)))),
0)))</f>
        <v>0</v>
      </c>
      <c r="H74" s="163">
        <f>IF(I74="مخالفات",50,Basic345678[[#This Row],[قيمة الرسوم / العموله]]+Basic345678[[#This Row],[قيمة الشحنه]])</f>
        <v>0</v>
      </c>
      <c r="I74" s="90"/>
      <c r="J74" s="142" t="str">
        <f t="shared" si="1"/>
        <v>25.5.2026</v>
      </c>
      <c r="L74" s="153">
        <v>63</v>
      </c>
      <c r="M74" s="92"/>
    </row>
    <row r="75" spans="1:13" ht="21.6" x14ac:dyDescent="0.65">
      <c r="A75" s="195"/>
      <c r="B75" s="140">
        <v>72</v>
      </c>
      <c r="C75" s="2"/>
      <c r="D75" s="1"/>
      <c r="E75" s="3"/>
      <c r="F75" s="1"/>
      <c r="G75" s="141">
        <f>IF(Basic345678[[#This Row],[نوع الخدمة]]="مخالفات", 50,
IF(Basic345678[[#This Row],[نوع الخدمة]]="كاش ان",
    IF(F75&lt;=100, 18, IF(F75&lt;=250, 23, IF(F75&lt;=500, 35, IF(F75&lt;=1000, 40, F75*0.04)))),
IF(Basic345678[[#This Row],[نوع الخدمة]]="كاش اوت",
    IF(F75&lt;=100, 15, IF(F75&lt;=250, 20, IF(F75&lt;=500, 30, IF(F75&lt;=1000, 35, F75*0.035)))),
0)))</f>
        <v>0</v>
      </c>
      <c r="H75" s="163">
        <f>IF(I75="مخالفات",50,Basic345678[[#This Row],[قيمة الرسوم / العموله]]+Basic345678[[#This Row],[قيمة الشحنه]])</f>
        <v>0</v>
      </c>
      <c r="I75" s="90"/>
      <c r="J75" s="142" t="str">
        <f t="shared" si="1"/>
        <v>25.5.2026</v>
      </c>
      <c r="L75" s="153">
        <v>64</v>
      </c>
      <c r="M75" s="92"/>
    </row>
    <row r="76" spans="1:13" ht="21.6" x14ac:dyDescent="0.65">
      <c r="A76" s="195"/>
      <c r="B76" s="140">
        <v>73</v>
      </c>
      <c r="C76" s="2"/>
      <c r="D76" s="1"/>
      <c r="E76" s="3"/>
      <c r="F76" s="1"/>
      <c r="G76" s="141">
        <f>IF(Basic345678[[#This Row],[نوع الخدمة]]="مخالفات", 50,
IF(Basic345678[[#This Row],[نوع الخدمة]]="كاش ان",
    IF(F76&lt;=100, 18, IF(F76&lt;=250, 23, IF(F76&lt;=500, 35, IF(F76&lt;=1000, 40, F76*0.04)))),
IF(Basic345678[[#This Row],[نوع الخدمة]]="كاش اوت",
    IF(F76&lt;=100, 15, IF(F76&lt;=250, 20, IF(F76&lt;=500, 30, IF(F76&lt;=1000, 35, F76*0.035)))),
0)))</f>
        <v>0</v>
      </c>
      <c r="H76" s="163">
        <f>IF(I76="مخالفات",50,Basic345678[[#This Row],[قيمة الرسوم / العموله]]+Basic345678[[#This Row],[قيمة الشحنه]])</f>
        <v>0</v>
      </c>
      <c r="I76" s="90"/>
      <c r="J76" s="142" t="str">
        <f t="shared" si="1"/>
        <v>25.5.2026</v>
      </c>
      <c r="L76" s="153">
        <v>65</v>
      </c>
      <c r="M76" s="92"/>
    </row>
    <row r="77" spans="1:13" ht="21.6" x14ac:dyDescent="0.65">
      <c r="A77" s="195"/>
      <c r="B77" s="144">
        <v>74</v>
      </c>
      <c r="C77" s="2"/>
      <c r="D77" s="1"/>
      <c r="E77" s="3"/>
      <c r="F77" s="1"/>
      <c r="G77" s="141">
        <f>IF(Basic345678[[#This Row],[نوع الخدمة]]="مخالفات", 50,
IF(Basic345678[[#This Row],[نوع الخدمة]]="كاش ان",
    IF(F77&lt;=100, 18, IF(F77&lt;=250, 23, IF(F77&lt;=500, 35, IF(F77&lt;=1000, 40, F77*0.04)))),
IF(Basic345678[[#This Row],[نوع الخدمة]]="كاش اوت",
    IF(F77&lt;=100, 15, IF(F77&lt;=250, 20, IF(F77&lt;=500, 30, IF(F77&lt;=1000, 35, F77*0.035)))),
0)))</f>
        <v>0</v>
      </c>
      <c r="H77" s="163">
        <f>IF(I77="مخالفات",50,Basic345678[[#This Row],[قيمة الرسوم / العموله]]+Basic345678[[#This Row],[قيمة الشحنه]])</f>
        <v>0</v>
      </c>
      <c r="I77" s="90"/>
      <c r="J77" s="142" t="str">
        <f t="shared" si="1"/>
        <v>25.5.2026</v>
      </c>
      <c r="L77" s="153">
        <v>66</v>
      </c>
      <c r="M77" s="92"/>
    </row>
    <row r="78" spans="1:13" ht="21.6" x14ac:dyDescent="0.65">
      <c r="A78" s="195"/>
      <c r="B78" s="140">
        <v>75</v>
      </c>
      <c r="C78" s="2"/>
      <c r="D78" s="1"/>
      <c r="E78" s="3"/>
      <c r="F78" s="1"/>
      <c r="G78" s="141">
        <f>IF(Basic345678[[#This Row],[نوع الخدمة]]="مخالفات", 50,
IF(Basic345678[[#This Row],[نوع الخدمة]]="كاش ان",
    IF(F78&lt;=100, 18, IF(F78&lt;=250, 23, IF(F78&lt;=500, 35, IF(F78&lt;=1000, 40, F78*0.04)))),
IF(Basic345678[[#This Row],[نوع الخدمة]]="كاش اوت",
    IF(F78&lt;=100, 15, IF(F78&lt;=250, 20, IF(F78&lt;=500, 30, IF(F78&lt;=1000, 35, F78*0.035)))),
0)))</f>
        <v>0</v>
      </c>
      <c r="H78" s="163">
        <f>IF(I78="مخالفات",50,Basic345678[[#This Row],[قيمة الرسوم / العموله]]+Basic345678[[#This Row],[قيمة الشحنه]])</f>
        <v>0</v>
      </c>
      <c r="I78" s="90"/>
      <c r="J78" s="142" t="str">
        <f t="shared" si="1"/>
        <v>25.5.2026</v>
      </c>
      <c r="L78" s="153">
        <v>67</v>
      </c>
      <c r="M78" s="92"/>
    </row>
    <row r="79" spans="1:13" ht="21.6" x14ac:dyDescent="0.65">
      <c r="A79" s="195"/>
      <c r="B79" s="140">
        <v>76</v>
      </c>
      <c r="C79" s="2"/>
      <c r="D79" s="1"/>
      <c r="E79" s="3"/>
      <c r="F79" s="1"/>
      <c r="G79" s="141">
        <f>IF(Basic345678[[#This Row],[نوع الخدمة]]="مخالفات", 50,
IF(Basic345678[[#This Row],[نوع الخدمة]]="كاش ان",
    IF(F79&lt;=100, 18, IF(F79&lt;=250, 23, IF(F79&lt;=500, 35, IF(F79&lt;=1000, 40, F79*0.04)))),
IF(Basic345678[[#This Row],[نوع الخدمة]]="كاش اوت",
    IF(F79&lt;=100, 15, IF(F79&lt;=250, 20, IF(F79&lt;=500, 30, IF(F79&lt;=1000, 35, F79*0.035)))),
0)))</f>
        <v>0</v>
      </c>
      <c r="H79" s="163">
        <f>IF(I79="مخالفات",50,Basic345678[[#This Row],[قيمة الرسوم / العموله]]+Basic345678[[#This Row],[قيمة الشحنه]])</f>
        <v>0</v>
      </c>
      <c r="I79" s="90"/>
      <c r="J79" s="142" t="str">
        <f t="shared" si="1"/>
        <v>25.5.2026</v>
      </c>
      <c r="L79" s="153">
        <v>68</v>
      </c>
      <c r="M79" s="92"/>
    </row>
    <row r="80" spans="1:13" ht="21.6" x14ac:dyDescent="0.65">
      <c r="A80" s="195"/>
      <c r="B80" s="140">
        <v>77</v>
      </c>
      <c r="C80" s="2"/>
      <c r="D80" s="1"/>
      <c r="E80" s="3"/>
      <c r="F80" s="1"/>
      <c r="G80" s="141">
        <f>IF(Basic345678[[#This Row],[نوع الخدمة]]="مخالفات", 50,
IF(Basic345678[[#This Row],[نوع الخدمة]]="كاش ان",
    IF(F80&lt;=100, 18, IF(F80&lt;=250, 23, IF(F80&lt;=500, 35, IF(F80&lt;=1000, 40, F80*0.04)))),
IF(Basic345678[[#This Row],[نوع الخدمة]]="كاش اوت",
    IF(F80&lt;=100, 15, IF(F80&lt;=250, 20, IF(F80&lt;=500, 30, IF(F80&lt;=1000, 35, F80*0.035)))),
0)))</f>
        <v>0</v>
      </c>
      <c r="H80" s="163">
        <f>IF(I80="مخالفات",50,Basic345678[[#This Row],[قيمة الرسوم / العموله]]+Basic345678[[#This Row],[قيمة الشحنه]])</f>
        <v>0</v>
      </c>
      <c r="I80" s="90"/>
      <c r="J80" s="142" t="str">
        <f t="shared" si="1"/>
        <v>25.5.2026</v>
      </c>
      <c r="L80" s="153">
        <v>69</v>
      </c>
      <c r="M80" s="92"/>
    </row>
    <row r="81" spans="1:13" ht="21.6" x14ac:dyDescent="0.65">
      <c r="A81" s="195"/>
      <c r="B81" s="144">
        <v>78</v>
      </c>
      <c r="C81" s="2"/>
      <c r="D81" s="1"/>
      <c r="E81" s="3"/>
      <c r="F81" s="1"/>
      <c r="G81" s="141">
        <f>IF(Basic345678[[#This Row],[نوع الخدمة]]="مخالفات", 50,
IF(Basic345678[[#This Row],[نوع الخدمة]]="كاش ان",
    IF(F81&lt;=100, 18, IF(F81&lt;=250, 23, IF(F81&lt;=500, 35, IF(F81&lt;=1000, 40, F81*0.04)))),
IF(Basic345678[[#This Row],[نوع الخدمة]]="كاش اوت",
    IF(F81&lt;=100, 15, IF(F81&lt;=250, 20, IF(F81&lt;=500, 30, IF(F81&lt;=1000, 35, F81*0.035)))),
0)))</f>
        <v>0</v>
      </c>
      <c r="H81" s="163">
        <f>IF(I81="مخالفات",50,Basic345678[[#This Row],[قيمة الرسوم / العموله]]+Basic345678[[#This Row],[قيمة الشحنه]])</f>
        <v>0</v>
      </c>
      <c r="I81" s="90"/>
      <c r="J81" s="142" t="str">
        <f t="shared" si="1"/>
        <v>25.5.2026</v>
      </c>
      <c r="L81" s="153">
        <v>70</v>
      </c>
      <c r="M81" s="92"/>
    </row>
    <row r="82" spans="1:13" ht="21.6" x14ac:dyDescent="0.65">
      <c r="A82" s="195"/>
      <c r="B82" s="140">
        <v>79</v>
      </c>
      <c r="C82" s="2"/>
      <c r="D82" s="1"/>
      <c r="E82" s="3"/>
      <c r="F82" s="1"/>
      <c r="G82" s="141">
        <f>IF(Basic345678[[#This Row],[نوع الخدمة]]="مخالفات", 50,
IF(Basic345678[[#This Row],[نوع الخدمة]]="كاش ان",
    IF(F82&lt;=100, 18, IF(F82&lt;=250, 23, IF(F82&lt;=500, 35, IF(F82&lt;=1000, 40, F82*0.04)))),
IF(Basic345678[[#This Row],[نوع الخدمة]]="كاش اوت",
    IF(F82&lt;=100, 15, IF(F82&lt;=250, 20, IF(F82&lt;=500, 30, IF(F82&lt;=1000, 35, F82*0.035)))),
0)))</f>
        <v>0</v>
      </c>
      <c r="H82" s="163">
        <f>IF(I82="مخالفات",50,Basic345678[[#This Row],[قيمة الرسوم / العموله]]+Basic345678[[#This Row],[قيمة الشحنه]])</f>
        <v>0</v>
      </c>
      <c r="I82" s="90"/>
      <c r="J82" s="142" t="str">
        <f t="shared" si="1"/>
        <v>25.5.2026</v>
      </c>
      <c r="L82" s="153">
        <v>71</v>
      </c>
      <c r="M82" s="92"/>
    </row>
    <row r="83" spans="1:13" ht="21.6" x14ac:dyDescent="0.65">
      <c r="A83" s="195"/>
      <c r="B83" s="140">
        <v>80</v>
      </c>
      <c r="C83" s="2"/>
      <c r="D83" s="1"/>
      <c r="E83" s="3"/>
      <c r="F83" s="1"/>
      <c r="G83" s="141">
        <f>IF(Basic345678[[#This Row],[نوع الخدمة]]="مخالفات", 50,
IF(Basic345678[[#This Row],[نوع الخدمة]]="كاش ان",
    IF(F83&lt;=100, 18, IF(F83&lt;=250, 23, IF(F83&lt;=500, 35, IF(F83&lt;=1000, 40, F83*0.04)))),
IF(Basic345678[[#This Row],[نوع الخدمة]]="كاش اوت",
    IF(F83&lt;=100, 15, IF(F83&lt;=250, 20, IF(F83&lt;=500, 30, IF(F83&lt;=1000, 35, F83*0.035)))),
0)))</f>
        <v>0</v>
      </c>
      <c r="H83" s="163">
        <f>IF(I83="مخالفات",50,Basic345678[[#This Row],[قيمة الرسوم / العموله]]+Basic345678[[#This Row],[قيمة الشحنه]])</f>
        <v>0</v>
      </c>
      <c r="I83" s="90"/>
      <c r="J83" s="142" t="str">
        <f t="shared" si="1"/>
        <v>25.5.2026</v>
      </c>
      <c r="L83" s="153">
        <v>72</v>
      </c>
      <c r="M83" s="92"/>
    </row>
    <row r="84" spans="1:13" ht="21.6" x14ac:dyDescent="0.65">
      <c r="A84" s="195"/>
      <c r="B84" s="140">
        <v>81</v>
      </c>
      <c r="C84" s="2"/>
      <c r="D84" s="1"/>
      <c r="E84" s="3"/>
      <c r="F84" s="1"/>
      <c r="G84" s="141">
        <f>IF(Basic345678[[#This Row],[نوع الخدمة]]="مخالفات", 50,
IF(Basic345678[[#This Row],[نوع الخدمة]]="كاش ان",
    IF(F84&lt;=100, 18, IF(F84&lt;=250, 23, IF(F84&lt;=500, 35, IF(F84&lt;=1000, 40, F84*0.04)))),
IF(Basic345678[[#This Row],[نوع الخدمة]]="كاش اوت",
    IF(F84&lt;=100, 15, IF(F84&lt;=250, 20, IF(F84&lt;=500, 30, IF(F84&lt;=1000, 35, F84*0.035)))),
0)))</f>
        <v>0</v>
      </c>
      <c r="H84" s="163">
        <f>IF(I84="مخالفات",50,Basic345678[[#This Row],[قيمة الرسوم / العموله]]+Basic345678[[#This Row],[قيمة الشحنه]])</f>
        <v>0</v>
      </c>
      <c r="I84" s="90"/>
      <c r="J84" s="142" t="str">
        <f t="shared" si="1"/>
        <v>25.5.2026</v>
      </c>
      <c r="L84" s="153">
        <v>73</v>
      </c>
      <c r="M84" s="92"/>
    </row>
    <row r="85" spans="1:13" ht="21.6" x14ac:dyDescent="0.65">
      <c r="A85" s="195"/>
      <c r="B85" s="144">
        <v>82</v>
      </c>
      <c r="C85" s="2"/>
      <c r="D85" s="1"/>
      <c r="E85" s="3"/>
      <c r="F85" s="1"/>
      <c r="G85" s="141">
        <f>IF(Basic345678[[#This Row],[نوع الخدمة]]="مخالفات", 50,
IF(Basic345678[[#This Row],[نوع الخدمة]]="كاش ان",
    IF(F85&lt;=100, 18, IF(F85&lt;=250, 23, IF(F85&lt;=500, 35, IF(F85&lt;=1000, 40, F85*0.04)))),
IF(Basic345678[[#This Row],[نوع الخدمة]]="كاش اوت",
    IF(F85&lt;=100, 15, IF(F85&lt;=250, 20, IF(F85&lt;=500, 30, IF(F85&lt;=1000, 35, F85*0.035)))),
0)))</f>
        <v>0</v>
      </c>
      <c r="H85" s="163">
        <f>IF(I85="مخالفات",50,Basic345678[[#This Row],[قيمة الرسوم / العموله]]+Basic345678[[#This Row],[قيمة الشحنه]])</f>
        <v>0</v>
      </c>
      <c r="I85" s="90"/>
      <c r="J85" s="142" t="str">
        <f t="shared" si="1"/>
        <v>25.5.2026</v>
      </c>
      <c r="L85" s="153">
        <v>74</v>
      </c>
      <c r="M85" s="92"/>
    </row>
    <row r="86" spans="1:13" ht="21.6" x14ac:dyDescent="0.65">
      <c r="A86" s="195"/>
      <c r="B86" s="140">
        <v>83</v>
      </c>
      <c r="C86" s="2"/>
      <c r="D86" s="1"/>
      <c r="E86" s="3"/>
      <c r="F86" s="1"/>
      <c r="G86" s="141">
        <f>IF(Basic345678[[#This Row],[نوع الخدمة]]="مخالفات", 50,
IF(Basic345678[[#This Row],[نوع الخدمة]]="كاش ان",
    IF(F86&lt;=100, 18, IF(F86&lt;=250, 23, IF(F86&lt;=500, 35, IF(F86&lt;=1000, 40, F86*0.04)))),
IF(Basic345678[[#This Row],[نوع الخدمة]]="كاش اوت",
    IF(F86&lt;=100, 15, IF(F86&lt;=250, 20, IF(F86&lt;=500, 30, IF(F86&lt;=1000, 35, F86*0.035)))),
0)))</f>
        <v>0</v>
      </c>
      <c r="H86" s="163">
        <f>IF(I86="مخالفات",50,Basic345678[[#This Row],[قيمة الرسوم / العموله]]+Basic345678[[#This Row],[قيمة الشحنه]])</f>
        <v>0</v>
      </c>
      <c r="I86" s="90"/>
      <c r="J86" s="142" t="str">
        <f t="shared" si="1"/>
        <v>25.5.2026</v>
      </c>
      <c r="L86" s="153">
        <v>75</v>
      </c>
      <c r="M86" s="92"/>
    </row>
    <row r="87" spans="1:13" ht="21.6" x14ac:dyDescent="0.65">
      <c r="A87" s="195"/>
      <c r="B87" s="140">
        <v>84</v>
      </c>
      <c r="C87" s="2"/>
      <c r="D87" s="1"/>
      <c r="E87" s="3"/>
      <c r="F87" s="1"/>
      <c r="G87" s="141">
        <f>IF(Basic345678[[#This Row],[نوع الخدمة]]="مخالفات", 50,
IF(Basic345678[[#This Row],[نوع الخدمة]]="كاش ان",
    IF(F87&lt;=100, 18, IF(F87&lt;=250, 23, IF(F87&lt;=500, 35, IF(F87&lt;=1000, 40, F87*0.04)))),
IF(Basic345678[[#This Row],[نوع الخدمة]]="كاش اوت",
    IF(F87&lt;=100, 15, IF(F87&lt;=250, 20, IF(F87&lt;=500, 30, IF(F87&lt;=1000, 35, F87*0.035)))),
0)))</f>
        <v>0</v>
      </c>
      <c r="H87" s="163">
        <f>IF(I87="مخالفات",50,Basic345678[[#This Row],[قيمة الرسوم / العموله]]+Basic345678[[#This Row],[قيمة الشحنه]])</f>
        <v>0</v>
      </c>
      <c r="I87" s="90"/>
      <c r="J87" s="142" t="str">
        <f t="shared" si="1"/>
        <v>25.5.2026</v>
      </c>
      <c r="L87" s="153">
        <v>76</v>
      </c>
      <c r="M87" s="92"/>
    </row>
    <row r="88" spans="1:13" ht="21.6" x14ac:dyDescent="0.65">
      <c r="A88" s="195"/>
      <c r="B88" s="140">
        <v>85</v>
      </c>
      <c r="C88" s="2"/>
      <c r="D88" s="1"/>
      <c r="E88" s="3"/>
      <c r="F88" s="1"/>
      <c r="G88" s="141">
        <f>IF(Basic345678[[#This Row],[نوع الخدمة]]="مخالفات", 50,
IF(Basic345678[[#This Row],[نوع الخدمة]]="كاش ان",
    IF(F88&lt;=100, 18, IF(F88&lt;=250, 23, IF(F88&lt;=500, 35, IF(F88&lt;=1000, 40, F88*0.04)))),
IF(Basic345678[[#This Row],[نوع الخدمة]]="كاش اوت",
    IF(F88&lt;=100, 15, IF(F88&lt;=250, 20, IF(F88&lt;=500, 30, IF(F88&lt;=1000, 35, F88*0.035)))),
0)))</f>
        <v>0</v>
      </c>
      <c r="H88" s="163">
        <f>IF(I88="مخالفات",50,Basic345678[[#This Row],[قيمة الرسوم / العموله]]+Basic345678[[#This Row],[قيمة الشحنه]])</f>
        <v>0</v>
      </c>
      <c r="I88" s="90"/>
      <c r="J88" s="142" t="str">
        <f t="shared" si="1"/>
        <v>25.5.2026</v>
      </c>
      <c r="L88" s="153">
        <v>77</v>
      </c>
      <c r="M88" s="92"/>
    </row>
    <row r="89" spans="1:13" ht="21.6" x14ac:dyDescent="0.65">
      <c r="A89" s="195"/>
      <c r="B89" s="144">
        <v>86</v>
      </c>
      <c r="C89" s="2"/>
      <c r="D89" s="1"/>
      <c r="E89" s="3"/>
      <c r="F89" s="1"/>
      <c r="G89" s="141">
        <f>IF(Basic345678[[#This Row],[نوع الخدمة]]="مخالفات", 50,
IF(Basic345678[[#This Row],[نوع الخدمة]]="كاش ان",
    IF(F89&lt;=100, 18, IF(F89&lt;=250, 23, IF(F89&lt;=500, 35, IF(F89&lt;=1000, 40, F89*0.04)))),
IF(Basic345678[[#This Row],[نوع الخدمة]]="كاش اوت",
    IF(F89&lt;=100, 15, IF(F89&lt;=250, 20, IF(F89&lt;=500, 30, IF(F89&lt;=1000, 35, F89*0.035)))),
0)))</f>
        <v>0</v>
      </c>
      <c r="H89" s="163">
        <f>IF(I89="مخالفات",50,Basic345678[[#This Row],[قيمة الرسوم / العموله]]+Basic345678[[#This Row],[قيمة الشحنه]])</f>
        <v>0</v>
      </c>
      <c r="I89" s="90"/>
      <c r="J89" s="142" t="str">
        <f t="shared" si="1"/>
        <v>25.5.2026</v>
      </c>
      <c r="L89" s="153">
        <v>78</v>
      </c>
      <c r="M89" s="92"/>
    </row>
    <row r="90" spans="1:13" ht="21.6" x14ac:dyDescent="0.65">
      <c r="A90" s="195"/>
      <c r="B90" s="140">
        <v>87</v>
      </c>
      <c r="C90" s="2"/>
      <c r="D90" s="1"/>
      <c r="E90" s="3"/>
      <c r="F90" s="1"/>
      <c r="G90" s="141">
        <f>IF(Basic345678[[#This Row],[نوع الخدمة]]="مخالفات", 50,
IF(Basic345678[[#This Row],[نوع الخدمة]]="كاش ان",
    IF(F90&lt;=100, 18, IF(F90&lt;=250, 23, IF(F90&lt;=500, 35, IF(F90&lt;=1000, 40, F90*0.04)))),
IF(Basic345678[[#This Row],[نوع الخدمة]]="كاش اوت",
    IF(F90&lt;=100, 15, IF(F90&lt;=250, 20, IF(F90&lt;=500, 30, IF(F90&lt;=1000, 35, F90*0.035)))),
0)))</f>
        <v>0</v>
      </c>
      <c r="H90" s="163">
        <f>IF(I90="مخالفات",50,Basic345678[[#This Row],[قيمة الرسوم / العموله]]+Basic345678[[#This Row],[قيمة الشحنه]])</f>
        <v>0</v>
      </c>
      <c r="I90" s="90"/>
      <c r="J90" s="142" t="str">
        <f t="shared" si="1"/>
        <v>25.5.2026</v>
      </c>
      <c r="L90" s="153">
        <v>79</v>
      </c>
      <c r="M90" s="92"/>
    </row>
    <row r="91" spans="1:13" ht="21.6" x14ac:dyDescent="0.65">
      <c r="A91" s="195"/>
      <c r="B91" s="140">
        <v>88</v>
      </c>
      <c r="C91" s="2"/>
      <c r="D91" s="1"/>
      <c r="E91" s="3"/>
      <c r="F91" s="1"/>
      <c r="G91" s="141">
        <f>IF(Basic345678[[#This Row],[نوع الخدمة]]="مخالفات", 50,
IF(Basic345678[[#This Row],[نوع الخدمة]]="كاش ان",
    IF(F91&lt;=100, 18, IF(F91&lt;=250, 23, IF(F91&lt;=500, 35, IF(F91&lt;=1000, 40, F91*0.04)))),
IF(Basic345678[[#This Row],[نوع الخدمة]]="كاش اوت",
    IF(F91&lt;=100, 15, IF(F91&lt;=250, 20, IF(F91&lt;=500, 30, IF(F91&lt;=1000, 35, F91*0.035)))),
0)))</f>
        <v>0</v>
      </c>
      <c r="H91" s="163">
        <f>IF(I91="مخالفات",50,Basic345678[[#This Row],[قيمة الرسوم / العموله]]+Basic345678[[#This Row],[قيمة الشحنه]])</f>
        <v>0</v>
      </c>
      <c r="I91" s="90"/>
      <c r="J91" s="142" t="str">
        <f t="shared" si="1"/>
        <v>25.5.2026</v>
      </c>
      <c r="L91" s="153">
        <v>80</v>
      </c>
      <c r="M91" s="92"/>
    </row>
    <row r="92" spans="1:13" ht="21.6" x14ac:dyDescent="0.65">
      <c r="A92" s="195"/>
      <c r="B92" s="140">
        <v>89</v>
      </c>
      <c r="C92" s="2"/>
      <c r="D92" s="1"/>
      <c r="E92" s="3"/>
      <c r="F92" s="1"/>
      <c r="G92" s="141">
        <f>IF(Basic345678[[#This Row],[نوع الخدمة]]="مخالفات", 50,
IF(Basic345678[[#This Row],[نوع الخدمة]]="كاش ان",
    IF(F92&lt;=100, 18, IF(F92&lt;=250, 23, IF(F92&lt;=500, 35, IF(F92&lt;=1000, 40, F92*0.04)))),
IF(Basic345678[[#This Row],[نوع الخدمة]]="كاش اوت",
    IF(F92&lt;=100, 15, IF(F92&lt;=250, 20, IF(F92&lt;=500, 30, IF(F92&lt;=1000, 35, F92*0.035)))),
0)))</f>
        <v>0</v>
      </c>
      <c r="H92" s="163">
        <f>IF(I92="مخالفات",50,Basic345678[[#This Row],[قيمة الرسوم / العموله]]+Basic345678[[#This Row],[قيمة الشحنه]])</f>
        <v>0</v>
      </c>
      <c r="I92" s="90"/>
      <c r="J92" s="142" t="str">
        <f t="shared" si="1"/>
        <v>25.5.2026</v>
      </c>
      <c r="L92" s="153">
        <v>81</v>
      </c>
      <c r="M92" s="92"/>
    </row>
    <row r="93" spans="1:13" ht="21.6" x14ac:dyDescent="0.65">
      <c r="A93" s="195"/>
      <c r="B93" s="144">
        <v>90</v>
      </c>
      <c r="C93" s="2"/>
      <c r="D93" s="1"/>
      <c r="E93" s="3"/>
      <c r="F93" s="1"/>
      <c r="G93" s="141">
        <f>IF(Basic345678[[#This Row],[نوع الخدمة]]="مخالفات", 50,
IF(Basic345678[[#This Row],[نوع الخدمة]]="كاش ان",
    IF(F93&lt;=100, 18, IF(F93&lt;=250, 23, IF(F93&lt;=500, 35, IF(F93&lt;=1000, 40, F93*0.04)))),
IF(Basic345678[[#This Row],[نوع الخدمة]]="كاش اوت",
    IF(F93&lt;=100, 15, IF(F93&lt;=250, 20, IF(F93&lt;=500, 30, IF(F93&lt;=1000, 35, F93*0.035)))),
0)))</f>
        <v>0</v>
      </c>
      <c r="H93" s="163">
        <f>IF(I93="مخالفات",50,Basic345678[[#This Row],[قيمة الرسوم / العموله]]+Basic345678[[#This Row],[قيمة الشحنه]])</f>
        <v>0</v>
      </c>
      <c r="I93" s="90"/>
      <c r="J93" s="142" t="str">
        <f t="shared" si="1"/>
        <v>25.5.2026</v>
      </c>
      <c r="L93" s="153">
        <v>82</v>
      </c>
      <c r="M93" s="92"/>
    </row>
    <row r="94" spans="1:13" ht="21.6" x14ac:dyDescent="0.65">
      <c r="A94" s="195"/>
      <c r="B94" s="140">
        <v>91</v>
      </c>
      <c r="C94" s="2"/>
      <c r="D94" s="1"/>
      <c r="E94" s="3"/>
      <c r="F94" s="1"/>
      <c r="G94" s="141">
        <f>IF(Basic345678[[#This Row],[نوع الخدمة]]="مخالفات", 50,
IF(Basic345678[[#This Row],[نوع الخدمة]]="كاش ان",
    IF(F94&lt;=100, 18, IF(F94&lt;=250, 23, IF(F94&lt;=500, 35, IF(F94&lt;=1000, 40, F94*0.04)))),
IF(Basic345678[[#This Row],[نوع الخدمة]]="كاش اوت",
    IF(F94&lt;=100, 15, IF(F94&lt;=250, 20, IF(F94&lt;=500, 30, IF(F94&lt;=1000, 35, F94*0.035)))),
0)))</f>
        <v>0</v>
      </c>
      <c r="H94" s="163">
        <f>IF(I94="مخالفات",50,Basic345678[[#This Row],[قيمة الرسوم / العموله]]+Basic345678[[#This Row],[قيمة الشحنه]])</f>
        <v>0</v>
      </c>
      <c r="I94" s="90"/>
      <c r="J94" s="142" t="str">
        <f t="shared" si="1"/>
        <v>25.5.2026</v>
      </c>
      <c r="L94" s="153">
        <v>83</v>
      </c>
      <c r="M94" s="92"/>
    </row>
    <row r="95" spans="1:13" ht="21.6" x14ac:dyDescent="0.65">
      <c r="A95" s="195"/>
      <c r="B95" s="140">
        <v>92</v>
      </c>
      <c r="C95" s="2"/>
      <c r="D95" s="1"/>
      <c r="E95" s="3"/>
      <c r="F95" s="1"/>
      <c r="G95" s="141">
        <f>IF(Basic345678[[#This Row],[نوع الخدمة]]="مخالفات", 50,
IF(Basic345678[[#This Row],[نوع الخدمة]]="كاش ان",
    IF(F95&lt;=100, 18, IF(F95&lt;=250, 23, IF(F95&lt;=500, 35, IF(F95&lt;=1000, 40, F95*0.04)))),
IF(Basic345678[[#This Row],[نوع الخدمة]]="كاش اوت",
    IF(F95&lt;=100, 15, IF(F95&lt;=250, 20, IF(F95&lt;=500, 30, IF(F95&lt;=1000, 35, F95*0.035)))),
0)))</f>
        <v>0</v>
      </c>
      <c r="H95" s="163">
        <f>IF(I95="مخالفات",50,Basic345678[[#This Row],[قيمة الرسوم / العموله]]+Basic345678[[#This Row],[قيمة الشحنه]])</f>
        <v>0</v>
      </c>
      <c r="I95" s="90"/>
      <c r="J95" s="142" t="str">
        <f t="shared" si="1"/>
        <v>25.5.2026</v>
      </c>
      <c r="L95" s="153">
        <v>84</v>
      </c>
      <c r="M95" s="92"/>
    </row>
    <row r="96" spans="1:13" ht="21.6" x14ac:dyDescent="0.65">
      <c r="A96" s="195"/>
      <c r="B96" s="140">
        <v>93</v>
      </c>
      <c r="C96" s="2"/>
      <c r="D96" s="1"/>
      <c r="E96" s="3"/>
      <c r="F96" s="1"/>
      <c r="G96" s="141">
        <f>IF(Basic345678[[#This Row],[نوع الخدمة]]="مخالفات", 50,
IF(Basic345678[[#This Row],[نوع الخدمة]]="كاش ان",
    IF(F96&lt;=100, 18, IF(F96&lt;=250, 23, IF(F96&lt;=500, 35, IF(F96&lt;=1000, 40, F96*0.04)))),
IF(Basic345678[[#This Row],[نوع الخدمة]]="كاش اوت",
    IF(F96&lt;=100, 15, IF(F96&lt;=250, 20, IF(F96&lt;=500, 30, IF(F96&lt;=1000, 35, F96*0.035)))),
0)))</f>
        <v>0</v>
      </c>
      <c r="H96" s="163">
        <f>IF(I96="مخالفات",50,Basic345678[[#This Row],[قيمة الرسوم / العموله]]+Basic345678[[#This Row],[قيمة الشحنه]])</f>
        <v>0</v>
      </c>
      <c r="I96" s="90"/>
      <c r="J96" s="142" t="str">
        <f t="shared" si="1"/>
        <v>25.5.2026</v>
      </c>
      <c r="L96" s="153">
        <v>85</v>
      </c>
      <c r="M96" s="92"/>
    </row>
    <row r="97" spans="1:13" ht="21.6" x14ac:dyDescent="0.65">
      <c r="A97" s="195"/>
      <c r="B97" s="144">
        <v>94</v>
      </c>
      <c r="C97" s="2"/>
      <c r="D97" s="1"/>
      <c r="E97" s="3"/>
      <c r="F97" s="1"/>
      <c r="G97" s="141">
        <f>IF(Basic345678[[#This Row],[نوع الخدمة]]="مخالفات", 50,
IF(Basic345678[[#This Row],[نوع الخدمة]]="كاش ان",
    IF(F97&lt;=100, 18, IF(F97&lt;=250, 23, IF(F97&lt;=500, 35, IF(F97&lt;=1000, 40, F97*0.04)))),
IF(Basic345678[[#This Row],[نوع الخدمة]]="كاش اوت",
    IF(F97&lt;=100, 15, IF(F97&lt;=250, 20, IF(F97&lt;=500, 30, IF(F97&lt;=1000, 35, F97*0.035)))),
0)))</f>
        <v>0</v>
      </c>
      <c r="H97" s="163">
        <f>IF(I97="مخالفات",50,Basic345678[[#This Row],[قيمة الرسوم / العموله]]+Basic345678[[#This Row],[قيمة الشحنه]])</f>
        <v>0</v>
      </c>
      <c r="I97" s="90"/>
      <c r="J97" s="142" t="str">
        <f t="shared" si="1"/>
        <v>25.5.2026</v>
      </c>
      <c r="L97" s="153">
        <v>86</v>
      </c>
      <c r="M97" s="92"/>
    </row>
    <row r="98" spans="1:13" ht="21.6" x14ac:dyDescent="0.65">
      <c r="A98" s="195"/>
      <c r="B98" s="140">
        <v>95</v>
      </c>
      <c r="C98" s="2"/>
      <c r="D98" s="1"/>
      <c r="E98" s="3"/>
      <c r="F98" s="1"/>
      <c r="G98" s="141">
        <f>IF(Basic345678[[#This Row],[نوع الخدمة]]="مخالفات", 50,
IF(Basic345678[[#This Row],[نوع الخدمة]]="كاش ان",
    IF(F98&lt;=100, 18, IF(F98&lt;=250, 23, IF(F98&lt;=500, 35, IF(F98&lt;=1000, 40, F98*0.04)))),
IF(Basic345678[[#This Row],[نوع الخدمة]]="كاش اوت",
    IF(F98&lt;=100, 15, IF(F98&lt;=250, 20, IF(F98&lt;=500, 30, IF(F98&lt;=1000, 35, F98*0.035)))),
0)))</f>
        <v>0</v>
      </c>
      <c r="H98" s="163">
        <f>IF(I98="مخالفات",50,Basic345678[[#This Row],[قيمة الرسوم / العموله]]+Basic345678[[#This Row],[قيمة الشحنه]])</f>
        <v>0</v>
      </c>
      <c r="I98" s="90"/>
      <c r="J98" s="142" t="str">
        <f t="shared" si="1"/>
        <v>25.5.2026</v>
      </c>
      <c r="L98" s="153">
        <v>87</v>
      </c>
      <c r="M98" s="92"/>
    </row>
    <row r="99" spans="1:13" ht="21.6" x14ac:dyDescent="0.65">
      <c r="A99" s="195"/>
      <c r="B99" s="140">
        <v>96</v>
      </c>
      <c r="C99" s="2"/>
      <c r="D99" s="1"/>
      <c r="E99" s="3"/>
      <c r="F99" s="1"/>
      <c r="G99" s="141">
        <f>IF(Basic345678[[#This Row],[نوع الخدمة]]="مخالفات", 50,
IF(Basic345678[[#This Row],[نوع الخدمة]]="كاش ان",
    IF(F99&lt;=100, 18, IF(F99&lt;=250, 23, IF(F99&lt;=500, 35, IF(F99&lt;=1000, 40, F99*0.04)))),
IF(Basic345678[[#This Row],[نوع الخدمة]]="كاش اوت",
    IF(F99&lt;=100, 15, IF(F99&lt;=250, 20, IF(F99&lt;=500, 30, IF(F99&lt;=1000, 35, F99*0.035)))),
0)))</f>
        <v>0</v>
      </c>
      <c r="H99" s="163">
        <f>IF(I99="مخالفات",50,Basic345678[[#This Row],[قيمة الرسوم / العموله]]+Basic345678[[#This Row],[قيمة الشحنه]])</f>
        <v>0</v>
      </c>
      <c r="I99" s="90"/>
      <c r="J99" s="142" t="str">
        <f t="shared" si="1"/>
        <v>25.5.2026</v>
      </c>
      <c r="L99" s="153">
        <v>88</v>
      </c>
      <c r="M99" s="92"/>
    </row>
    <row r="100" spans="1:13" ht="21.6" x14ac:dyDescent="0.65">
      <c r="A100" s="195"/>
      <c r="B100" s="140">
        <v>97</v>
      </c>
      <c r="C100" s="2"/>
      <c r="D100" s="1"/>
      <c r="E100" s="3"/>
      <c r="F100" s="1"/>
      <c r="G100" s="141">
        <f>IF(Basic345678[[#This Row],[نوع الخدمة]]="مخالفات", 50,
IF(Basic345678[[#This Row],[نوع الخدمة]]="كاش ان",
    IF(F100&lt;=100, 18, IF(F100&lt;=250, 23, IF(F100&lt;=500, 35, IF(F100&lt;=1000, 40, F100*0.04)))),
IF(Basic345678[[#This Row],[نوع الخدمة]]="كاش اوت",
    IF(F100&lt;=100, 15, IF(F100&lt;=250, 20, IF(F100&lt;=500, 30, IF(F100&lt;=1000, 35, F100*0.035)))),
0)))</f>
        <v>0</v>
      </c>
      <c r="H100" s="163">
        <f>IF(I100="مخالفات",50,Basic345678[[#This Row],[قيمة الرسوم / العموله]]+Basic345678[[#This Row],[قيمة الشحنه]])</f>
        <v>0</v>
      </c>
      <c r="I100" s="90"/>
      <c r="J100" s="142" t="str">
        <f t="shared" si="1"/>
        <v>25.5.2026</v>
      </c>
      <c r="L100" s="153">
        <v>89</v>
      </c>
      <c r="M100" s="92"/>
    </row>
    <row r="101" spans="1:13" ht="21.6" x14ac:dyDescent="0.65">
      <c r="A101" s="195"/>
      <c r="B101" s="144">
        <v>98</v>
      </c>
      <c r="C101" s="2"/>
      <c r="D101" s="1"/>
      <c r="E101" s="3"/>
      <c r="F101" s="1"/>
      <c r="G101" s="141">
        <f>IF(Basic345678[[#This Row],[نوع الخدمة]]="مخالفات", 50,
IF(Basic345678[[#This Row],[نوع الخدمة]]="كاش ان",
    IF(F101&lt;=100, 18, IF(F101&lt;=250, 23, IF(F101&lt;=500, 35, IF(F101&lt;=1000, 40, F101*0.04)))),
IF(Basic345678[[#This Row],[نوع الخدمة]]="كاش اوت",
    IF(F101&lt;=100, 15, IF(F101&lt;=250, 20, IF(F101&lt;=500, 30, IF(F101&lt;=1000, 35, F101*0.035)))),
0)))</f>
        <v>0</v>
      </c>
      <c r="H101" s="163">
        <f>IF(I101="مخالفات",50,Basic345678[[#This Row],[قيمة الرسوم / العموله]]+Basic345678[[#This Row],[قيمة الشحنه]])</f>
        <v>0</v>
      </c>
      <c r="I101" s="90"/>
      <c r="J101" s="142" t="str">
        <f t="shared" si="1"/>
        <v>25.5.2026</v>
      </c>
      <c r="L101" s="153">
        <v>90</v>
      </c>
      <c r="M101" s="92"/>
    </row>
    <row r="102" spans="1:13" ht="21.6" x14ac:dyDescent="0.65">
      <c r="A102" s="195"/>
      <c r="B102" s="140">
        <v>99</v>
      </c>
      <c r="C102" s="2"/>
      <c r="D102" s="1"/>
      <c r="E102" s="3"/>
      <c r="F102" s="1"/>
      <c r="G102" s="141">
        <f>IF(Basic345678[[#This Row],[نوع الخدمة]]="مخالفات", 50,
IF(Basic345678[[#This Row],[نوع الخدمة]]="كاش ان",
    IF(F102&lt;=100, 18, IF(F102&lt;=250, 23, IF(F102&lt;=500, 35, IF(F102&lt;=1000, 40, F102*0.04)))),
IF(Basic345678[[#This Row],[نوع الخدمة]]="كاش اوت",
    IF(F102&lt;=100, 15, IF(F102&lt;=250, 20, IF(F102&lt;=500, 30, IF(F102&lt;=1000, 35, F102*0.035)))),
0)))</f>
        <v>0</v>
      </c>
      <c r="H102" s="163">
        <f>IF(I102="مخالفات",50,Basic345678[[#This Row],[قيمة الرسوم / العموله]]+Basic345678[[#This Row],[قيمة الشحنه]])</f>
        <v>0</v>
      </c>
      <c r="I102" s="90"/>
      <c r="J102" s="142" t="str">
        <f t="shared" si="1"/>
        <v>25.5.2026</v>
      </c>
      <c r="L102" s="153">
        <v>91</v>
      </c>
      <c r="M102" s="92"/>
    </row>
    <row r="103" spans="1:13" ht="21.6" x14ac:dyDescent="0.65">
      <c r="A103" s="195"/>
      <c r="B103" s="140">
        <v>100</v>
      </c>
      <c r="C103" s="2"/>
      <c r="D103" s="1"/>
      <c r="E103" s="3"/>
      <c r="F103" s="1"/>
      <c r="G103" s="141">
        <f>IF(Basic345678[[#This Row],[نوع الخدمة]]="مخالفات", 50,
IF(Basic345678[[#This Row],[نوع الخدمة]]="كاش ان",
    IF(F103&lt;=100, 18, IF(F103&lt;=250, 23, IF(F103&lt;=500, 35, IF(F103&lt;=1000, 40, F103*0.04)))),
IF(Basic345678[[#This Row],[نوع الخدمة]]="كاش اوت",
    IF(F103&lt;=100, 15, IF(F103&lt;=250, 20, IF(F103&lt;=500, 30, IF(F103&lt;=1000, 35, F103*0.035)))),
0)))</f>
        <v>0</v>
      </c>
      <c r="H103" s="163">
        <f>IF(I103="مخالفات",50,Basic345678[[#This Row],[قيمة الرسوم / العموله]]+Basic345678[[#This Row],[قيمة الشحنه]])</f>
        <v>0</v>
      </c>
      <c r="I103" s="90"/>
      <c r="J103" s="142" t="str">
        <f t="shared" si="1"/>
        <v>25.5.2026</v>
      </c>
      <c r="L103" s="153">
        <v>92</v>
      </c>
      <c r="M103" s="92"/>
    </row>
    <row r="104" spans="1:13" ht="21.6" x14ac:dyDescent="0.65">
      <c r="A104" s="195"/>
      <c r="B104" s="140">
        <v>101</v>
      </c>
      <c r="C104" s="2"/>
      <c r="D104" s="1"/>
      <c r="E104" s="3"/>
      <c r="F104" s="1"/>
      <c r="G104" s="141">
        <f>IF(Basic345678[[#This Row],[نوع الخدمة]]="مخالفات", 50,
IF(Basic345678[[#This Row],[نوع الخدمة]]="كاش ان",
    IF(F104&lt;=100, 18, IF(F104&lt;=250, 23, IF(F104&lt;=500, 35, IF(F104&lt;=1000, 40, F104*0.04)))),
IF(Basic345678[[#This Row],[نوع الخدمة]]="كاش اوت",
    IF(F104&lt;=100, 15, IF(F104&lt;=250, 20, IF(F104&lt;=500, 30, IF(F104&lt;=1000, 35, F104*0.035)))),
0)))</f>
        <v>0</v>
      </c>
      <c r="H104" s="163">
        <f>IF(I104="مخالفات",50,Basic345678[[#This Row],[قيمة الرسوم / العموله]]+Basic345678[[#This Row],[قيمة الشحنه]])</f>
        <v>0</v>
      </c>
      <c r="I104" s="90"/>
      <c r="J104" s="142" t="str">
        <f t="shared" si="1"/>
        <v>25.5.2026</v>
      </c>
      <c r="L104" s="153">
        <v>93</v>
      </c>
      <c r="M104" s="92"/>
    </row>
    <row r="105" spans="1:13" ht="21.6" x14ac:dyDescent="0.65">
      <c r="A105" s="195"/>
      <c r="B105" s="144">
        <v>102</v>
      </c>
      <c r="C105" s="2"/>
      <c r="D105" s="1"/>
      <c r="E105" s="3"/>
      <c r="F105" s="1"/>
      <c r="G105" s="141">
        <f>IF(Basic345678[[#This Row],[نوع الخدمة]]="مخالفات", 50,
IF(Basic345678[[#This Row],[نوع الخدمة]]="كاش ان",
    IF(F105&lt;=100, 18, IF(F105&lt;=250, 23, IF(F105&lt;=500, 35, IF(F105&lt;=1000, 40, F105*0.04)))),
IF(Basic345678[[#This Row],[نوع الخدمة]]="كاش اوت",
    IF(F105&lt;=100, 15, IF(F105&lt;=250, 20, IF(F105&lt;=500, 30, IF(F105&lt;=1000, 35, F105*0.035)))),
0)))</f>
        <v>0</v>
      </c>
      <c r="H105" s="163">
        <f>IF(I105="مخالفات",50,Basic345678[[#This Row],[قيمة الرسوم / العموله]]+Basic345678[[#This Row],[قيمة الشحنه]])</f>
        <v>0</v>
      </c>
      <c r="I105" s="90"/>
      <c r="J105" s="142" t="str">
        <f t="shared" si="1"/>
        <v>25.5.2026</v>
      </c>
      <c r="L105" s="153">
        <v>94</v>
      </c>
      <c r="M105" s="92"/>
    </row>
    <row r="106" spans="1:13" ht="21.6" x14ac:dyDescent="0.65">
      <c r="A106" s="195"/>
      <c r="B106" s="140">
        <v>103</v>
      </c>
      <c r="C106" s="2"/>
      <c r="D106" s="1"/>
      <c r="E106" s="3"/>
      <c r="F106" s="1"/>
      <c r="G106" s="141">
        <f>IF(Basic345678[[#This Row],[نوع الخدمة]]="مخالفات", 50,
IF(Basic345678[[#This Row],[نوع الخدمة]]="كاش ان",
    IF(F106&lt;=100, 18, IF(F106&lt;=250, 23, IF(F106&lt;=500, 35, IF(F106&lt;=1000, 40, F106*0.04)))),
IF(Basic345678[[#This Row],[نوع الخدمة]]="كاش اوت",
    IF(F106&lt;=100, 15, IF(F106&lt;=250, 20, IF(F106&lt;=500, 30, IF(F106&lt;=1000, 35, F106*0.035)))),
0)))</f>
        <v>0</v>
      </c>
      <c r="H106" s="163">
        <f>IF(I106="مخالفات",50,Basic345678[[#This Row],[قيمة الرسوم / العموله]]+Basic345678[[#This Row],[قيمة الشحنه]])</f>
        <v>0</v>
      </c>
      <c r="I106" s="90"/>
      <c r="J106" s="142" t="str">
        <f t="shared" si="1"/>
        <v>25.5.2026</v>
      </c>
      <c r="L106" s="153">
        <v>95</v>
      </c>
      <c r="M106" s="92"/>
    </row>
    <row r="107" spans="1:13" ht="21.6" x14ac:dyDescent="0.65">
      <c r="A107" s="195"/>
      <c r="B107" s="140">
        <v>104</v>
      </c>
      <c r="C107" s="2"/>
      <c r="D107" s="1"/>
      <c r="E107" s="3"/>
      <c r="F107" s="1"/>
      <c r="G107" s="141">
        <f>IF(Basic345678[[#This Row],[نوع الخدمة]]="مخالفات", 50,
IF(Basic345678[[#This Row],[نوع الخدمة]]="كاش ان",
    IF(F107&lt;=100, 18, IF(F107&lt;=250, 23, IF(F107&lt;=500, 35, IF(F107&lt;=1000, 40, F107*0.04)))),
IF(Basic345678[[#This Row],[نوع الخدمة]]="كاش اوت",
    IF(F107&lt;=100, 15, IF(F107&lt;=250, 20, IF(F107&lt;=500, 30, IF(F107&lt;=1000, 35, F107*0.035)))),
0)))</f>
        <v>0</v>
      </c>
      <c r="H107" s="163">
        <f>IF(I107="مخالفات",50,Basic345678[[#This Row],[قيمة الرسوم / العموله]]+Basic345678[[#This Row],[قيمة الشحنه]])</f>
        <v>0</v>
      </c>
      <c r="I107" s="90"/>
      <c r="J107" s="142" t="str">
        <f t="shared" si="1"/>
        <v>25.5.2026</v>
      </c>
      <c r="L107" s="153">
        <v>96</v>
      </c>
      <c r="M107" s="92"/>
    </row>
    <row r="108" spans="1:13" ht="21.6" x14ac:dyDescent="0.65">
      <c r="A108" s="195"/>
      <c r="B108" s="140">
        <v>105</v>
      </c>
      <c r="C108" s="2"/>
      <c r="D108" s="1"/>
      <c r="E108" s="3"/>
      <c r="F108" s="1"/>
      <c r="G108" s="141">
        <f>IF(Basic345678[[#This Row],[نوع الخدمة]]="مخالفات", 50,
IF(Basic345678[[#This Row],[نوع الخدمة]]="كاش ان",
    IF(F108&lt;=100, 18, IF(F108&lt;=250, 23, IF(F108&lt;=500, 35, IF(F108&lt;=1000, 40, F108*0.04)))),
IF(Basic345678[[#This Row],[نوع الخدمة]]="كاش اوت",
    IF(F108&lt;=100, 15, IF(F108&lt;=250, 20, IF(F108&lt;=500, 30, IF(F108&lt;=1000, 35, F108*0.035)))),
0)))</f>
        <v>0</v>
      </c>
      <c r="H108" s="163">
        <f>IF(I108="مخالفات",50,Basic345678[[#This Row],[قيمة الرسوم / العموله]]+Basic345678[[#This Row],[قيمة الشحنه]])</f>
        <v>0</v>
      </c>
      <c r="I108" s="90"/>
      <c r="J108" s="142" t="str">
        <f t="shared" si="1"/>
        <v>25.5.2026</v>
      </c>
      <c r="L108" s="153">
        <v>97</v>
      </c>
      <c r="M108" s="92"/>
    </row>
    <row r="109" spans="1:13" ht="21.6" x14ac:dyDescent="0.65">
      <c r="A109" s="195"/>
      <c r="B109" s="144">
        <v>106</v>
      </c>
      <c r="C109" s="2"/>
      <c r="D109" s="1"/>
      <c r="E109" s="3"/>
      <c r="F109" s="1"/>
      <c r="G109" s="141">
        <f>IF(Basic345678[[#This Row],[نوع الخدمة]]="مخالفات", 50,
IF(Basic345678[[#This Row],[نوع الخدمة]]="كاش ان",
    IF(F109&lt;=100, 18, IF(F109&lt;=250, 23, IF(F109&lt;=500, 35, IF(F109&lt;=1000, 40, F109*0.04)))),
IF(Basic345678[[#This Row],[نوع الخدمة]]="كاش اوت",
    IF(F109&lt;=100, 15, IF(F109&lt;=250, 20, IF(F109&lt;=500, 30, IF(F109&lt;=1000, 35, F109*0.035)))),
0)))</f>
        <v>0</v>
      </c>
      <c r="H109" s="163">
        <f>IF(I109="مخالفات",50,Basic345678[[#This Row],[قيمة الرسوم / العموله]]+Basic345678[[#This Row],[قيمة الشحنه]])</f>
        <v>0</v>
      </c>
      <c r="I109" s="90"/>
      <c r="J109" s="142" t="str">
        <f t="shared" si="1"/>
        <v>25.5.2026</v>
      </c>
      <c r="L109" s="153">
        <v>98</v>
      </c>
      <c r="M109" s="92"/>
    </row>
    <row r="110" spans="1:13" ht="21.6" x14ac:dyDescent="0.65">
      <c r="A110" s="195"/>
      <c r="B110" s="140">
        <v>107</v>
      </c>
      <c r="C110" s="2"/>
      <c r="D110" s="1"/>
      <c r="E110" s="3"/>
      <c r="F110" s="1"/>
      <c r="G110" s="141">
        <f>IF(Basic345678[[#This Row],[نوع الخدمة]]="مخالفات", 50,
IF(Basic345678[[#This Row],[نوع الخدمة]]="كاش ان",
    IF(F110&lt;=100, 18, IF(F110&lt;=250, 23, IF(F110&lt;=500, 35, IF(F110&lt;=1000, 40, F110*0.04)))),
IF(Basic345678[[#This Row],[نوع الخدمة]]="كاش اوت",
    IF(F110&lt;=100, 15, IF(F110&lt;=250, 20, IF(F110&lt;=500, 30, IF(F110&lt;=1000, 35, F110*0.035)))),
0)))</f>
        <v>0</v>
      </c>
      <c r="H110" s="163">
        <f>IF(I110="مخالفات",50,Basic345678[[#This Row],[قيمة الرسوم / العموله]]+Basic345678[[#This Row],[قيمة الشحنه]])</f>
        <v>0</v>
      </c>
      <c r="I110" s="90"/>
      <c r="J110" s="142" t="str">
        <f t="shared" si="1"/>
        <v>25.5.2026</v>
      </c>
      <c r="L110" s="153">
        <v>99</v>
      </c>
      <c r="M110" s="92"/>
    </row>
    <row r="111" spans="1:13" ht="21.6" x14ac:dyDescent="0.65">
      <c r="A111" s="195"/>
      <c r="B111" s="140">
        <v>108</v>
      </c>
      <c r="C111" s="2"/>
      <c r="D111" s="1"/>
      <c r="E111" s="3"/>
      <c r="F111" s="1"/>
      <c r="G111" s="141">
        <f>IF(Basic345678[[#This Row],[نوع الخدمة]]="مخالفات", 50,
IF(Basic345678[[#This Row],[نوع الخدمة]]="كاش ان",
    IF(F111&lt;=100, 18, IF(F111&lt;=250, 23, IF(F111&lt;=500, 35, IF(F111&lt;=1000, 40, F111*0.04)))),
IF(Basic345678[[#This Row],[نوع الخدمة]]="كاش اوت",
    IF(F111&lt;=100, 15, IF(F111&lt;=250, 20, IF(F111&lt;=500, 30, IF(F111&lt;=1000, 35, F111*0.035)))),
0)))</f>
        <v>0</v>
      </c>
      <c r="H111" s="163">
        <f>IF(I111="مخالفات",50,Basic345678[[#This Row],[قيمة الرسوم / العموله]]+Basic345678[[#This Row],[قيمة الشحنه]])</f>
        <v>0</v>
      </c>
      <c r="I111" s="90"/>
      <c r="J111" s="142" t="str">
        <f t="shared" si="1"/>
        <v>25.5.2026</v>
      </c>
      <c r="L111" s="153">
        <v>100</v>
      </c>
      <c r="M111" s="92"/>
    </row>
    <row r="112" spans="1:13" ht="21.6" x14ac:dyDescent="0.65">
      <c r="A112" s="195"/>
      <c r="B112" s="140">
        <v>109</v>
      </c>
      <c r="C112" s="2"/>
      <c r="D112" s="1"/>
      <c r="E112" s="3"/>
      <c r="F112" s="1"/>
      <c r="G112" s="141">
        <f>IF(Basic345678[[#This Row],[نوع الخدمة]]="مخالفات", 50,
IF(Basic345678[[#This Row],[نوع الخدمة]]="كاش ان",
    IF(F112&lt;=100, 18, IF(F112&lt;=250, 23, IF(F112&lt;=500, 35, IF(F112&lt;=1000, 40, F112*0.04)))),
IF(Basic345678[[#This Row],[نوع الخدمة]]="كاش اوت",
    IF(F112&lt;=100, 15, IF(F112&lt;=250, 20, IF(F112&lt;=500, 30, IF(F112&lt;=1000, 35, F112*0.035)))),
0)))</f>
        <v>0</v>
      </c>
      <c r="H112" s="163">
        <f>IF(I112="مخالفات",50,Basic345678[[#This Row],[قيمة الرسوم / العموله]]+Basic345678[[#This Row],[قيمة الشحنه]])</f>
        <v>0</v>
      </c>
      <c r="I112" s="90"/>
      <c r="J112" s="142" t="str">
        <f t="shared" si="1"/>
        <v>25.5.2026</v>
      </c>
      <c r="L112" s="153">
        <v>101</v>
      </c>
      <c r="M112" s="92"/>
    </row>
    <row r="113" spans="1:13" ht="21.6" x14ac:dyDescent="0.65">
      <c r="A113" s="195"/>
      <c r="B113" s="144">
        <v>110</v>
      </c>
      <c r="C113" s="2"/>
      <c r="D113" s="1"/>
      <c r="E113" s="3"/>
      <c r="F113" s="1"/>
      <c r="G113" s="141">
        <f>IF(Basic345678[[#This Row],[نوع الخدمة]]="مخالفات", 50,
IF(Basic345678[[#This Row],[نوع الخدمة]]="كاش ان",
    IF(F113&lt;=100, 18, IF(F113&lt;=250, 23, IF(F113&lt;=500, 35, IF(F113&lt;=1000, 40, F113*0.04)))),
IF(Basic345678[[#This Row],[نوع الخدمة]]="كاش اوت",
    IF(F113&lt;=100, 15, IF(F113&lt;=250, 20, IF(F113&lt;=500, 30, IF(F113&lt;=1000, 35, F113*0.035)))),
0)))</f>
        <v>0</v>
      </c>
      <c r="H113" s="163">
        <f>IF(I113="مخالفات",50,Basic345678[[#This Row],[قيمة الرسوم / العموله]]+Basic345678[[#This Row],[قيمة الشحنه]])</f>
        <v>0</v>
      </c>
      <c r="I113" s="90"/>
      <c r="J113" s="142" t="str">
        <f t="shared" si="1"/>
        <v>25.5.2026</v>
      </c>
      <c r="L113" s="153">
        <v>102</v>
      </c>
      <c r="M113" s="92"/>
    </row>
    <row r="114" spans="1:13" ht="21.6" x14ac:dyDescent="0.65">
      <c r="A114" s="195"/>
      <c r="B114" s="140">
        <v>111</v>
      </c>
      <c r="C114" s="2"/>
      <c r="D114" s="1"/>
      <c r="E114" s="3"/>
      <c r="F114" s="1"/>
      <c r="G114" s="141">
        <f>IF(Basic345678[[#This Row],[نوع الخدمة]]="مخالفات", 50,
IF(Basic345678[[#This Row],[نوع الخدمة]]="كاش ان",
    IF(F114&lt;=100, 18, IF(F114&lt;=250, 23, IF(F114&lt;=500, 35, IF(F114&lt;=1000, 40, F114*0.04)))),
IF(Basic345678[[#This Row],[نوع الخدمة]]="كاش اوت",
    IF(F114&lt;=100, 15, IF(F114&lt;=250, 20, IF(F114&lt;=500, 30, IF(F114&lt;=1000, 35, F114*0.035)))),
0)))</f>
        <v>0</v>
      </c>
      <c r="H114" s="163">
        <f>IF(I114="مخالفات",50,Basic345678[[#This Row],[قيمة الرسوم / العموله]]+Basic345678[[#This Row],[قيمة الشحنه]])</f>
        <v>0</v>
      </c>
      <c r="I114" s="90"/>
      <c r="J114" s="142" t="str">
        <f t="shared" si="1"/>
        <v>25.5.2026</v>
      </c>
      <c r="L114" s="153">
        <v>103</v>
      </c>
      <c r="M114" s="92"/>
    </row>
    <row r="115" spans="1:13" ht="21.6" x14ac:dyDescent="0.65">
      <c r="A115" s="195"/>
      <c r="B115" s="140">
        <v>112</v>
      </c>
      <c r="C115" s="2"/>
      <c r="D115" s="1"/>
      <c r="E115" s="3"/>
      <c r="F115" s="1"/>
      <c r="G115" s="141">
        <f>IF(Basic345678[[#This Row],[نوع الخدمة]]="مخالفات", 50,
IF(Basic345678[[#This Row],[نوع الخدمة]]="كاش ان",
    IF(F115&lt;=100, 18, IF(F115&lt;=250, 23, IF(F115&lt;=500, 35, IF(F115&lt;=1000, 40, F115*0.04)))),
IF(Basic345678[[#This Row],[نوع الخدمة]]="كاش اوت",
    IF(F115&lt;=100, 15, IF(F115&lt;=250, 20, IF(F115&lt;=500, 30, IF(F115&lt;=1000, 35, F115*0.035)))),
0)))</f>
        <v>0</v>
      </c>
      <c r="H115" s="163">
        <f>IF(I115="مخالفات",50,Basic345678[[#This Row],[قيمة الرسوم / العموله]]+Basic345678[[#This Row],[قيمة الشحنه]])</f>
        <v>0</v>
      </c>
      <c r="I115" s="90"/>
      <c r="J115" s="142" t="str">
        <f t="shared" si="1"/>
        <v>25.5.2026</v>
      </c>
      <c r="L115" s="153">
        <v>104</v>
      </c>
      <c r="M115" s="92"/>
    </row>
    <row r="116" spans="1:13" ht="21.6" x14ac:dyDescent="0.65">
      <c r="A116" s="195"/>
      <c r="B116" s="140">
        <v>113</v>
      </c>
      <c r="C116" s="2"/>
      <c r="D116" s="1"/>
      <c r="E116" s="3"/>
      <c r="F116" s="1"/>
      <c r="G116" s="141">
        <f>IF(Basic345678[[#This Row],[نوع الخدمة]]="مخالفات", 50,
IF(Basic345678[[#This Row],[نوع الخدمة]]="كاش ان",
    IF(F116&lt;=100, 18, IF(F116&lt;=250, 23, IF(F116&lt;=500, 35, IF(F116&lt;=1000, 40, F116*0.04)))),
IF(Basic345678[[#This Row],[نوع الخدمة]]="كاش اوت",
    IF(F116&lt;=100, 15, IF(F116&lt;=250, 20, IF(F116&lt;=500, 30, IF(F116&lt;=1000, 35, F116*0.035)))),
0)))</f>
        <v>0</v>
      </c>
      <c r="H116" s="163">
        <f>IF(I116="مخالفات",50,Basic345678[[#This Row],[قيمة الرسوم / العموله]]+Basic345678[[#This Row],[قيمة الشحنه]])</f>
        <v>0</v>
      </c>
      <c r="I116" s="90"/>
      <c r="J116" s="142" t="str">
        <f t="shared" si="1"/>
        <v>25.5.2026</v>
      </c>
      <c r="L116" s="153">
        <v>105</v>
      </c>
      <c r="M116" s="92"/>
    </row>
    <row r="117" spans="1:13" ht="21.6" x14ac:dyDescent="0.65">
      <c r="A117" s="195"/>
      <c r="B117" s="144">
        <v>114</v>
      </c>
      <c r="C117" s="2"/>
      <c r="D117" s="1"/>
      <c r="E117" s="3"/>
      <c r="F117" s="1"/>
      <c r="G117" s="141">
        <f>IF(Basic345678[[#This Row],[نوع الخدمة]]="مخالفات", 50,
IF(Basic345678[[#This Row],[نوع الخدمة]]="كاش ان",
    IF(F117&lt;=100, 18, IF(F117&lt;=250, 23, IF(F117&lt;=500, 35, IF(F117&lt;=1000, 40, F117*0.04)))),
IF(Basic345678[[#This Row],[نوع الخدمة]]="كاش اوت",
    IF(F117&lt;=100, 15, IF(F117&lt;=250, 20, IF(F117&lt;=500, 30, IF(F117&lt;=1000, 35, F117*0.035)))),
0)))</f>
        <v>0</v>
      </c>
      <c r="H117" s="163">
        <f>IF(I117="مخالفات",50,Basic345678[[#This Row],[قيمة الرسوم / العموله]]+Basic345678[[#This Row],[قيمة الشحنه]])</f>
        <v>0</v>
      </c>
      <c r="I117" s="90"/>
      <c r="J117" s="142" t="str">
        <f t="shared" si="1"/>
        <v>25.5.2026</v>
      </c>
      <c r="L117" s="153">
        <v>106</v>
      </c>
      <c r="M117" s="92"/>
    </row>
    <row r="118" spans="1:13" ht="21.6" x14ac:dyDescent="0.65">
      <c r="A118" s="195"/>
      <c r="B118" s="140">
        <v>115</v>
      </c>
      <c r="C118" s="2"/>
      <c r="D118" s="1"/>
      <c r="E118" s="3"/>
      <c r="F118" s="1"/>
      <c r="G118" s="141">
        <f>IF(Basic345678[[#This Row],[نوع الخدمة]]="مخالفات", 50,
IF(Basic345678[[#This Row],[نوع الخدمة]]="كاش ان",
    IF(F118&lt;=100, 18, IF(F118&lt;=250, 23, IF(F118&lt;=500, 35, IF(F118&lt;=1000, 40, F118*0.04)))),
IF(Basic345678[[#This Row],[نوع الخدمة]]="كاش اوت",
    IF(F118&lt;=100, 15, IF(F118&lt;=250, 20, IF(F118&lt;=500, 30, IF(F118&lt;=1000, 35, F118*0.035)))),
0)))</f>
        <v>0</v>
      </c>
      <c r="H118" s="163">
        <f>IF(I118="مخالفات",50,Basic345678[[#This Row],[قيمة الرسوم / العموله]]+Basic345678[[#This Row],[قيمة الشحنه]])</f>
        <v>0</v>
      </c>
      <c r="I118" s="90"/>
      <c r="J118" s="142" t="str">
        <f t="shared" si="1"/>
        <v>25.5.2026</v>
      </c>
      <c r="L118" s="153">
        <v>107</v>
      </c>
      <c r="M118" s="92"/>
    </row>
    <row r="119" spans="1:13" ht="21.6" x14ac:dyDescent="0.65">
      <c r="A119" s="195"/>
      <c r="B119" s="140">
        <v>116</v>
      </c>
      <c r="C119" s="2"/>
      <c r="D119" s="1"/>
      <c r="E119" s="3"/>
      <c r="F119" s="1"/>
      <c r="G119" s="141">
        <f>IF(Basic345678[[#This Row],[نوع الخدمة]]="مخالفات", 50,
IF(Basic345678[[#This Row],[نوع الخدمة]]="كاش ان",
    IF(F119&lt;=100, 18, IF(F119&lt;=250, 23, IF(F119&lt;=500, 35, IF(F119&lt;=1000, 40, F119*0.04)))),
IF(Basic345678[[#This Row],[نوع الخدمة]]="كاش اوت",
    IF(F119&lt;=100, 15, IF(F119&lt;=250, 20, IF(F119&lt;=500, 30, IF(F119&lt;=1000, 35, F119*0.035)))),
0)))</f>
        <v>0</v>
      </c>
      <c r="H119" s="163">
        <f>IF(I119="مخالفات",50,Basic345678[[#This Row],[قيمة الرسوم / العموله]]+Basic345678[[#This Row],[قيمة الشحنه]])</f>
        <v>0</v>
      </c>
      <c r="I119" s="90"/>
      <c r="J119" s="142" t="str">
        <f t="shared" si="1"/>
        <v>25.5.2026</v>
      </c>
      <c r="L119" s="153">
        <v>108</v>
      </c>
      <c r="M119" s="92"/>
    </row>
    <row r="120" spans="1:13" ht="21.6" x14ac:dyDescent="0.65">
      <c r="A120" s="195"/>
      <c r="B120" s="140">
        <v>117</v>
      </c>
      <c r="C120" s="2"/>
      <c r="D120" s="1"/>
      <c r="E120" s="3"/>
      <c r="F120" s="1"/>
      <c r="G120" s="141">
        <f>IF(Basic345678[[#This Row],[نوع الخدمة]]="مخالفات", 50,
IF(Basic345678[[#This Row],[نوع الخدمة]]="كاش ان",
    IF(F120&lt;=100, 18, IF(F120&lt;=250, 23, IF(F120&lt;=500, 35, IF(F120&lt;=1000, 40, F120*0.04)))),
IF(Basic345678[[#This Row],[نوع الخدمة]]="كاش اوت",
    IF(F120&lt;=100, 15, IF(F120&lt;=250, 20, IF(F120&lt;=500, 30, IF(F120&lt;=1000, 35, F120*0.035)))),
0)))</f>
        <v>0</v>
      </c>
      <c r="H120" s="163">
        <f>IF(I120="مخالفات",50,Basic345678[[#This Row],[قيمة الرسوم / العموله]]+Basic345678[[#This Row],[قيمة الشحنه]])</f>
        <v>0</v>
      </c>
      <c r="I120" s="90"/>
      <c r="J120" s="142" t="str">
        <f t="shared" si="1"/>
        <v>25.5.2026</v>
      </c>
      <c r="L120" s="153">
        <v>109</v>
      </c>
      <c r="M120" s="92"/>
    </row>
    <row r="121" spans="1:13" ht="21.6" x14ac:dyDescent="0.65">
      <c r="A121" s="195"/>
      <c r="B121" s="144">
        <v>118</v>
      </c>
      <c r="C121" s="2"/>
      <c r="D121" s="1"/>
      <c r="E121" s="3"/>
      <c r="F121" s="1"/>
      <c r="G121" s="141">
        <f>IF(Basic345678[[#This Row],[نوع الخدمة]]="مخالفات", 50,
IF(Basic345678[[#This Row],[نوع الخدمة]]="كاش ان",
    IF(F121&lt;=100, 18, IF(F121&lt;=250, 23, IF(F121&lt;=500, 35, IF(F121&lt;=1000, 40, F121*0.04)))),
IF(Basic345678[[#This Row],[نوع الخدمة]]="كاش اوت",
    IF(F121&lt;=100, 15, IF(F121&lt;=250, 20, IF(F121&lt;=500, 30, IF(F121&lt;=1000, 35, F121*0.035)))),
0)))</f>
        <v>0</v>
      </c>
      <c r="H121" s="163">
        <f>IF(I121="مخالفات",50,Basic345678[[#This Row],[قيمة الرسوم / العموله]]+Basic345678[[#This Row],[قيمة الشحنه]])</f>
        <v>0</v>
      </c>
      <c r="I121" s="90"/>
      <c r="J121" s="142" t="str">
        <f t="shared" si="1"/>
        <v>25.5.2026</v>
      </c>
      <c r="L121" s="153">
        <v>110</v>
      </c>
      <c r="M121" s="92"/>
    </row>
    <row r="122" spans="1:13" ht="21.6" x14ac:dyDescent="0.65">
      <c r="A122" s="195"/>
      <c r="B122" s="140">
        <v>119</v>
      </c>
      <c r="C122" s="2"/>
      <c r="D122" s="1"/>
      <c r="E122" s="3"/>
      <c r="F122" s="1"/>
      <c r="G122" s="141">
        <f>IF(Basic345678[[#This Row],[نوع الخدمة]]="مخالفات", 50,
IF(Basic345678[[#This Row],[نوع الخدمة]]="كاش ان",
    IF(F122&lt;=100, 18, IF(F122&lt;=250, 23, IF(F122&lt;=500, 35, IF(F122&lt;=1000, 40, F122*0.04)))),
IF(Basic345678[[#This Row],[نوع الخدمة]]="كاش اوت",
    IF(F122&lt;=100, 15, IF(F122&lt;=250, 20, IF(F122&lt;=500, 30, IF(F122&lt;=1000, 35, F122*0.035)))),
0)))</f>
        <v>0</v>
      </c>
      <c r="H122" s="163">
        <f>IF(I122="مخالفات",50,Basic345678[[#This Row],[قيمة الرسوم / العموله]]+Basic345678[[#This Row],[قيمة الشحنه]])</f>
        <v>0</v>
      </c>
      <c r="I122" s="90"/>
      <c r="J122" s="142" t="str">
        <f t="shared" si="1"/>
        <v>25.5.2026</v>
      </c>
      <c r="L122" s="153">
        <v>111</v>
      </c>
      <c r="M122" s="92"/>
    </row>
    <row r="123" spans="1:13" ht="21.6" x14ac:dyDescent="0.65">
      <c r="A123" s="195"/>
      <c r="B123" s="140">
        <v>120</v>
      </c>
      <c r="C123" s="2"/>
      <c r="D123" s="1"/>
      <c r="E123" s="3"/>
      <c r="F123" s="1"/>
      <c r="G123" s="141">
        <f>IF(Basic345678[[#This Row],[نوع الخدمة]]="مخالفات", 50,
IF(Basic345678[[#This Row],[نوع الخدمة]]="كاش ان",
    IF(F123&lt;=100, 18, IF(F123&lt;=250, 23, IF(F123&lt;=500, 35, IF(F123&lt;=1000, 40, F123*0.04)))),
IF(Basic345678[[#This Row],[نوع الخدمة]]="كاش اوت",
    IF(F123&lt;=100, 15, IF(F123&lt;=250, 20, IF(F123&lt;=500, 30, IF(F123&lt;=1000, 35, F123*0.035)))),
0)))</f>
        <v>0</v>
      </c>
      <c r="H123" s="163">
        <f>IF(I123="مخالفات",50,Basic345678[[#This Row],[قيمة الرسوم / العموله]]+Basic345678[[#This Row],[قيمة الشحنه]])</f>
        <v>0</v>
      </c>
      <c r="I123" s="90"/>
      <c r="J123" s="142" t="str">
        <f t="shared" si="1"/>
        <v>25.5.2026</v>
      </c>
      <c r="L123" s="153">
        <v>112</v>
      </c>
      <c r="M123" s="92"/>
    </row>
    <row r="124" spans="1:13" ht="21.6" x14ac:dyDescent="0.65">
      <c r="A124" s="195"/>
      <c r="B124" s="140">
        <v>121</v>
      </c>
      <c r="C124" s="2"/>
      <c r="D124" s="1"/>
      <c r="E124" s="3"/>
      <c r="F124" s="1"/>
      <c r="G124" s="141">
        <f>IF(Basic345678[[#This Row],[نوع الخدمة]]="مخالفات", 50,
IF(Basic345678[[#This Row],[نوع الخدمة]]="كاش ان",
    IF(F124&lt;=100, 18, IF(F124&lt;=250, 23, IF(F124&lt;=500, 35, IF(F124&lt;=1000, 40, F124*0.04)))),
IF(Basic345678[[#This Row],[نوع الخدمة]]="كاش اوت",
    IF(F124&lt;=100, 15, IF(F124&lt;=250, 20, IF(F124&lt;=500, 30, IF(F124&lt;=1000, 35, F124*0.035)))),
0)))</f>
        <v>0</v>
      </c>
      <c r="H124" s="163">
        <f>IF(I124="مخالفات",50,Basic345678[[#This Row],[قيمة الرسوم / العموله]]+Basic345678[[#This Row],[قيمة الشحنه]])</f>
        <v>0</v>
      </c>
      <c r="I124" s="90"/>
      <c r="J124" s="142" t="str">
        <f t="shared" si="1"/>
        <v>25.5.2026</v>
      </c>
      <c r="L124" s="153">
        <v>113</v>
      </c>
      <c r="M124" s="92"/>
    </row>
    <row r="125" spans="1:13" ht="21.6" x14ac:dyDescent="0.65">
      <c r="A125" s="195"/>
      <c r="B125" s="144">
        <v>122</v>
      </c>
      <c r="C125" s="2"/>
      <c r="D125" s="1"/>
      <c r="E125" s="3"/>
      <c r="F125" s="1"/>
      <c r="G125" s="141">
        <f>IF(Basic345678[[#This Row],[نوع الخدمة]]="مخالفات", 50,
IF(Basic345678[[#This Row],[نوع الخدمة]]="كاش ان",
    IF(F125&lt;=100, 18, IF(F125&lt;=250, 23, IF(F125&lt;=500, 35, IF(F125&lt;=1000, 40, F125*0.04)))),
IF(Basic345678[[#This Row],[نوع الخدمة]]="كاش اوت",
    IF(F125&lt;=100, 15, IF(F125&lt;=250, 20, IF(F125&lt;=500, 30, IF(F125&lt;=1000, 35, F125*0.035)))),
0)))</f>
        <v>0</v>
      </c>
      <c r="H125" s="163">
        <f>IF(I125="مخالفات",50,Basic345678[[#This Row],[قيمة الرسوم / العموله]]+Basic345678[[#This Row],[قيمة الشحنه]])</f>
        <v>0</v>
      </c>
      <c r="I125" s="90"/>
      <c r="J125" s="142" t="str">
        <f t="shared" si="1"/>
        <v>25.5.2026</v>
      </c>
      <c r="L125" s="153">
        <v>114</v>
      </c>
      <c r="M125" s="92"/>
    </row>
    <row r="126" spans="1:13" ht="21.6" x14ac:dyDescent="0.65">
      <c r="A126" s="195"/>
      <c r="B126" s="140">
        <v>123</v>
      </c>
      <c r="C126" s="2"/>
      <c r="D126" s="1"/>
      <c r="E126" s="3"/>
      <c r="F126" s="1"/>
      <c r="G126" s="141">
        <f>IF(Basic345678[[#This Row],[نوع الخدمة]]="مخالفات", 50,
IF(Basic345678[[#This Row],[نوع الخدمة]]="كاش ان",
    IF(F126&lt;=100, 18, IF(F126&lt;=250, 23, IF(F126&lt;=500, 35, IF(F126&lt;=1000, 40, F126*0.04)))),
IF(Basic345678[[#This Row],[نوع الخدمة]]="كاش اوت",
    IF(F126&lt;=100, 15, IF(F126&lt;=250, 20, IF(F126&lt;=500, 30, IF(F126&lt;=1000, 35, F126*0.035)))),
0)))</f>
        <v>0</v>
      </c>
      <c r="H126" s="163">
        <f>IF(I126="مخالفات",50,Basic345678[[#This Row],[قيمة الرسوم / العموله]]+Basic345678[[#This Row],[قيمة الشحنه]])</f>
        <v>0</v>
      </c>
      <c r="I126" s="90"/>
      <c r="J126" s="142" t="str">
        <f t="shared" si="1"/>
        <v>25.5.2026</v>
      </c>
      <c r="L126" s="153">
        <v>115</v>
      </c>
      <c r="M126" s="92"/>
    </row>
    <row r="127" spans="1:13" ht="21.6" x14ac:dyDescent="0.65">
      <c r="A127" s="195"/>
      <c r="B127" s="140">
        <v>124</v>
      </c>
      <c r="C127" s="2"/>
      <c r="D127" s="1"/>
      <c r="E127" s="3"/>
      <c r="F127" s="1"/>
      <c r="G127" s="141">
        <f>IF(Basic345678[[#This Row],[نوع الخدمة]]="مخالفات", 50,
IF(Basic345678[[#This Row],[نوع الخدمة]]="كاش ان",
    IF(F127&lt;=100, 18, IF(F127&lt;=250, 23, IF(F127&lt;=500, 35, IF(F127&lt;=1000, 40, F127*0.04)))),
IF(Basic345678[[#This Row],[نوع الخدمة]]="كاش اوت",
    IF(F127&lt;=100, 15, IF(F127&lt;=250, 20, IF(F127&lt;=500, 30, IF(F127&lt;=1000, 35, F127*0.035)))),
0)))</f>
        <v>0</v>
      </c>
      <c r="H127" s="163">
        <f>IF(I127="مخالفات",50,Basic345678[[#This Row],[قيمة الرسوم / العموله]]+Basic345678[[#This Row],[قيمة الشحنه]])</f>
        <v>0</v>
      </c>
      <c r="I127" s="90"/>
      <c r="J127" s="142" t="str">
        <f t="shared" si="1"/>
        <v>25.5.2026</v>
      </c>
      <c r="L127" s="153">
        <v>116</v>
      </c>
      <c r="M127" s="92"/>
    </row>
    <row r="128" spans="1:13" ht="21.6" x14ac:dyDescent="0.65">
      <c r="A128" s="195"/>
      <c r="B128" s="140">
        <v>125</v>
      </c>
      <c r="C128" s="2"/>
      <c r="D128" s="1"/>
      <c r="E128" s="3"/>
      <c r="F128" s="1"/>
      <c r="G128" s="141">
        <f>IF(Basic345678[[#This Row],[نوع الخدمة]]="مخالفات", 50,
IF(Basic345678[[#This Row],[نوع الخدمة]]="كاش ان",
    IF(F128&lt;=100, 18, IF(F128&lt;=250, 23, IF(F128&lt;=500, 35, IF(F128&lt;=1000, 40, F128*0.04)))),
IF(Basic345678[[#This Row],[نوع الخدمة]]="كاش اوت",
    IF(F128&lt;=100, 15, IF(F128&lt;=250, 20, IF(F128&lt;=500, 30, IF(F128&lt;=1000, 35, F128*0.035)))),
0)))</f>
        <v>0</v>
      </c>
      <c r="H128" s="163">
        <f>IF(I128="مخالفات",50,Basic345678[[#This Row],[قيمة الرسوم / العموله]]+Basic345678[[#This Row],[قيمة الشحنه]])</f>
        <v>0</v>
      </c>
      <c r="I128" s="90"/>
      <c r="J128" s="142" t="str">
        <f t="shared" si="1"/>
        <v>25.5.2026</v>
      </c>
      <c r="L128" s="153">
        <v>117</v>
      </c>
      <c r="M128" s="92"/>
    </row>
    <row r="129" spans="1:13" ht="21.6" x14ac:dyDescent="0.65">
      <c r="A129" s="195"/>
      <c r="B129" s="144">
        <v>126</v>
      </c>
      <c r="C129" s="2"/>
      <c r="D129" s="1"/>
      <c r="E129" s="3"/>
      <c r="F129" s="1"/>
      <c r="G129" s="141">
        <f>IF(Basic345678[[#This Row],[نوع الخدمة]]="مخالفات", 50,
IF(Basic345678[[#This Row],[نوع الخدمة]]="كاش ان",
    IF(F129&lt;=100, 18, IF(F129&lt;=250, 23, IF(F129&lt;=500, 35, IF(F129&lt;=1000, 40, F129*0.04)))),
IF(Basic345678[[#This Row],[نوع الخدمة]]="كاش اوت",
    IF(F129&lt;=100, 15, IF(F129&lt;=250, 20, IF(F129&lt;=500, 30, IF(F129&lt;=1000, 35, F129*0.035)))),
0)))</f>
        <v>0</v>
      </c>
      <c r="H129" s="163">
        <f>IF(I129="مخالفات",50,Basic345678[[#This Row],[قيمة الرسوم / العموله]]+Basic345678[[#This Row],[قيمة الشحنه]])</f>
        <v>0</v>
      </c>
      <c r="I129" s="90"/>
      <c r="J129" s="142" t="str">
        <f t="shared" si="1"/>
        <v>25.5.2026</v>
      </c>
      <c r="L129" s="153">
        <v>118</v>
      </c>
      <c r="M129" s="92"/>
    </row>
    <row r="130" spans="1:13" ht="21.6" x14ac:dyDescent="0.65">
      <c r="A130" s="195"/>
      <c r="B130" s="140">
        <v>127</v>
      </c>
      <c r="C130" s="2"/>
      <c r="D130" s="1"/>
      <c r="E130" s="3"/>
      <c r="F130" s="1"/>
      <c r="G130" s="141">
        <f>IF(Basic345678[[#This Row],[نوع الخدمة]]="مخالفات", 50,
IF(Basic345678[[#This Row],[نوع الخدمة]]="كاش ان",
    IF(F130&lt;=100, 18, IF(F130&lt;=250, 23, IF(F130&lt;=500, 35, IF(F130&lt;=1000, 40, F130*0.04)))),
IF(Basic345678[[#This Row],[نوع الخدمة]]="كاش اوت",
    IF(F130&lt;=100, 15, IF(F130&lt;=250, 20, IF(F130&lt;=500, 30, IF(F130&lt;=1000, 35, F130*0.035)))),
0)))</f>
        <v>0</v>
      </c>
      <c r="H130" s="163">
        <f>IF(I130="مخالفات",50,Basic345678[[#This Row],[قيمة الرسوم / العموله]]+Basic345678[[#This Row],[قيمة الشحنه]])</f>
        <v>0</v>
      </c>
      <c r="I130" s="90"/>
      <c r="J130" s="142" t="str">
        <f t="shared" si="1"/>
        <v>25.5.2026</v>
      </c>
      <c r="L130" s="153">
        <v>119</v>
      </c>
      <c r="M130" s="92"/>
    </row>
    <row r="131" spans="1:13" ht="21.6" x14ac:dyDescent="0.65">
      <c r="A131" s="195"/>
      <c r="B131" s="140">
        <v>128</v>
      </c>
      <c r="C131" s="2"/>
      <c r="D131" s="1"/>
      <c r="E131" s="3"/>
      <c r="F131" s="1"/>
      <c r="G131" s="141">
        <f>IF(Basic345678[[#This Row],[نوع الخدمة]]="مخالفات", 50,
IF(Basic345678[[#This Row],[نوع الخدمة]]="كاش ان",
    IF(F131&lt;=100, 18, IF(F131&lt;=250, 23, IF(F131&lt;=500, 35, IF(F131&lt;=1000, 40, F131*0.04)))),
IF(Basic345678[[#This Row],[نوع الخدمة]]="كاش اوت",
    IF(F131&lt;=100, 15, IF(F131&lt;=250, 20, IF(F131&lt;=500, 30, IF(F131&lt;=1000, 35, F131*0.035)))),
0)))</f>
        <v>0</v>
      </c>
      <c r="H131" s="163">
        <f>IF(I131="مخالفات",50,Basic345678[[#This Row],[قيمة الرسوم / العموله]]+Basic345678[[#This Row],[قيمة الشحنه]])</f>
        <v>0</v>
      </c>
      <c r="I131" s="90"/>
      <c r="J131" s="142" t="str">
        <f t="shared" si="1"/>
        <v>25.5.2026</v>
      </c>
      <c r="L131" s="153">
        <v>120</v>
      </c>
      <c r="M131" s="92"/>
    </row>
    <row r="132" spans="1:13" ht="21.6" x14ac:dyDescent="0.65">
      <c r="A132" s="195"/>
      <c r="B132" s="140">
        <v>129</v>
      </c>
      <c r="C132" s="2"/>
      <c r="D132" s="1"/>
      <c r="E132" s="3"/>
      <c r="F132" s="1"/>
      <c r="G132" s="141">
        <f>IF(Basic345678[[#This Row],[نوع الخدمة]]="مخالفات", 50,
IF(Basic345678[[#This Row],[نوع الخدمة]]="كاش ان",
    IF(F132&lt;=100, 18, IF(F132&lt;=250, 23, IF(F132&lt;=500, 35, IF(F132&lt;=1000, 40, F132*0.04)))),
IF(Basic345678[[#This Row],[نوع الخدمة]]="كاش اوت",
    IF(F132&lt;=100, 15, IF(F132&lt;=250, 20, IF(F132&lt;=500, 30, IF(F132&lt;=1000, 35, F132*0.035)))),
0)))</f>
        <v>0</v>
      </c>
      <c r="H132" s="163">
        <f>IF(I132="مخالفات",50,Basic345678[[#This Row],[قيمة الرسوم / العموله]]+Basic345678[[#This Row],[قيمة الشحنه]])</f>
        <v>0</v>
      </c>
      <c r="I132" s="90"/>
      <c r="J132" s="142" t="str">
        <f t="shared" ref="J132:J195" si="2">M$3</f>
        <v>25.5.2026</v>
      </c>
      <c r="L132" s="153">
        <v>121</v>
      </c>
      <c r="M132" s="92"/>
    </row>
    <row r="133" spans="1:13" ht="21.6" x14ac:dyDescent="0.65">
      <c r="A133" s="195"/>
      <c r="B133" s="144">
        <v>130</v>
      </c>
      <c r="C133" s="2"/>
      <c r="D133" s="1"/>
      <c r="E133" s="3"/>
      <c r="F133" s="1"/>
      <c r="G133" s="141">
        <f>IF(Basic345678[[#This Row],[نوع الخدمة]]="مخالفات", 50,
IF(Basic345678[[#This Row],[نوع الخدمة]]="كاش ان",
    IF(F133&lt;=100, 18, IF(F133&lt;=250, 23, IF(F133&lt;=500, 35, IF(F133&lt;=1000, 40, F133*0.04)))),
IF(Basic345678[[#This Row],[نوع الخدمة]]="كاش اوت",
    IF(F133&lt;=100, 15, IF(F133&lt;=250, 20, IF(F133&lt;=500, 30, IF(F133&lt;=1000, 35, F133*0.035)))),
0)))</f>
        <v>0</v>
      </c>
      <c r="H133" s="163">
        <f>IF(I133="مخالفات",50,Basic345678[[#This Row],[قيمة الرسوم / العموله]]+Basic345678[[#This Row],[قيمة الشحنه]])</f>
        <v>0</v>
      </c>
      <c r="I133" s="90"/>
      <c r="J133" s="142" t="str">
        <f t="shared" si="2"/>
        <v>25.5.2026</v>
      </c>
      <c r="L133" s="153">
        <v>122</v>
      </c>
      <c r="M133" s="92"/>
    </row>
    <row r="134" spans="1:13" ht="21.6" x14ac:dyDescent="0.65">
      <c r="A134" s="195"/>
      <c r="B134" s="140">
        <v>131</v>
      </c>
      <c r="C134" s="2"/>
      <c r="D134" s="1"/>
      <c r="E134" s="3"/>
      <c r="F134" s="1"/>
      <c r="G134" s="141">
        <f>IF(Basic345678[[#This Row],[نوع الخدمة]]="مخالفات", 50,
IF(Basic345678[[#This Row],[نوع الخدمة]]="كاش ان",
    IF(F134&lt;=100, 18, IF(F134&lt;=250, 23, IF(F134&lt;=500, 35, IF(F134&lt;=1000, 40, F134*0.04)))),
IF(Basic345678[[#This Row],[نوع الخدمة]]="كاش اوت",
    IF(F134&lt;=100, 15, IF(F134&lt;=250, 20, IF(F134&lt;=500, 30, IF(F134&lt;=1000, 35, F134*0.035)))),
0)))</f>
        <v>0</v>
      </c>
      <c r="H134" s="163">
        <f>IF(I134="مخالفات",50,Basic345678[[#This Row],[قيمة الرسوم / العموله]]+Basic345678[[#This Row],[قيمة الشحنه]])</f>
        <v>0</v>
      </c>
      <c r="I134" s="90"/>
      <c r="J134" s="142" t="str">
        <f t="shared" si="2"/>
        <v>25.5.2026</v>
      </c>
      <c r="L134" s="153">
        <v>123</v>
      </c>
      <c r="M134" s="92"/>
    </row>
    <row r="135" spans="1:13" ht="21.6" x14ac:dyDescent="0.65">
      <c r="A135" s="195"/>
      <c r="B135" s="140">
        <v>132</v>
      </c>
      <c r="C135" s="2"/>
      <c r="D135" s="1"/>
      <c r="E135" s="3"/>
      <c r="F135" s="1"/>
      <c r="G135" s="141">
        <f>IF(Basic345678[[#This Row],[نوع الخدمة]]="مخالفات", 50,
IF(Basic345678[[#This Row],[نوع الخدمة]]="كاش ان",
    IF(F135&lt;=100, 18, IF(F135&lt;=250, 23, IF(F135&lt;=500, 35, IF(F135&lt;=1000, 40, F135*0.04)))),
IF(Basic345678[[#This Row],[نوع الخدمة]]="كاش اوت",
    IF(F135&lt;=100, 15, IF(F135&lt;=250, 20, IF(F135&lt;=500, 30, IF(F135&lt;=1000, 35, F135*0.035)))),
0)))</f>
        <v>0</v>
      </c>
      <c r="H135" s="163">
        <f>IF(I135="مخالفات",50,Basic345678[[#This Row],[قيمة الرسوم / العموله]]+Basic345678[[#This Row],[قيمة الشحنه]])</f>
        <v>0</v>
      </c>
      <c r="I135" s="90"/>
      <c r="J135" s="142" t="str">
        <f t="shared" si="2"/>
        <v>25.5.2026</v>
      </c>
      <c r="L135" s="153">
        <v>124</v>
      </c>
      <c r="M135" s="92"/>
    </row>
    <row r="136" spans="1:13" ht="21.6" x14ac:dyDescent="0.65">
      <c r="A136" s="195"/>
      <c r="B136" s="140">
        <v>133</v>
      </c>
      <c r="C136" s="2"/>
      <c r="D136" s="1"/>
      <c r="E136" s="3"/>
      <c r="F136" s="1"/>
      <c r="G136" s="141">
        <f>IF(Basic345678[[#This Row],[نوع الخدمة]]="مخالفات", 50,
IF(Basic345678[[#This Row],[نوع الخدمة]]="كاش ان",
    IF(F136&lt;=100, 18, IF(F136&lt;=250, 23, IF(F136&lt;=500, 35, IF(F136&lt;=1000, 40, F136*0.04)))),
IF(Basic345678[[#This Row],[نوع الخدمة]]="كاش اوت",
    IF(F136&lt;=100, 15, IF(F136&lt;=250, 20, IF(F136&lt;=500, 30, IF(F136&lt;=1000, 35, F136*0.035)))),
0)))</f>
        <v>0</v>
      </c>
      <c r="H136" s="163">
        <f>IF(I136="مخالفات",50,Basic345678[[#This Row],[قيمة الرسوم / العموله]]+Basic345678[[#This Row],[قيمة الشحنه]])</f>
        <v>0</v>
      </c>
      <c r="I136" s="90"/>
      <c r="J136" s="142" t="str">
        <f t="shared" si="2"/>
        <v>25.5.2026</v>
      </c>
      <c r="L136" s="153">
        <v>125</v>
      </c>
      <c r="M136" s="92"/>
    </row>
    <row r="137" spans="1:13" ht="21.6" x14ac:dyDescent="0.65">
      <c r="A137" s="195"/>
      <c r="B137" s="144">
        <v>134</v>
      </c>
      <c r="C137" s="2"/>
      <c r="D137" s="1"/>
      <c r="E137" s="3"/>
      <c r="F137" s="1"/>
      <c r="G137" s="141">
        <f>IF(Basic345678[[#This Row],[نوع الخدمة]]="مخالفات", 50,
IF(Basic345678[[#This Row],[نوع الخدمة]]="كاش ان",
    IF(F137&lt;=100, 18, IF(F137&lt;=250, 23, IF(F137&lt;=500, 35, IF(F137&lt;=1000, 40, F137*0.04)))),
IF(Basic345678[[#This Row],[نوع الخدمة]]="كاش اوت",
    IF(F137&lt;=100, 15, IF(F137&lt;=250, 20, IF(F137&lt;=500, 30, IF(F137&lt;=1000, 35, F137*0.035)))),
0)))</f>
        <v>0</v>
      </c>
      <c r="H137" s="163">
        <f>IF(I137="مخالفات",50,Basic345678[[#This Row],[قيمة الرسوم / العموله]]+Basic345678[[#This Row],[قيمة الشحنه]])</f>
        <v>0</v>
      </c>
      <c r="I137" s="90"/>
      <c r="J137" s="142" t="str">
        <f t="shared" si="2"/>
        <v>25.5.2026</v>
      </c>
      <c r="L137" s="153">
        <v>126</v>
      </c>
      <c r="M137" s="92"/>
    </row>
    <row r="138" spans="1:13" ht="21.6" x14ac:dyDescent="0.65">
      <c r="A138" s="195"/>
      <c r="B138" s="140">
        <v>135</v>
      </c>
      <c r="C138" s="2"/>
      <c r="D138" s="1"/>
      <c r="E138" s="3"/>
      <c r="F138" s="1"/>
      <c r="G138" s="141">
        <f>IF(Basic345678[[#This Row],[نوع الخدمة]]="مخالفات", 50,
IF(Basic345678[[#This Row],[نوع الخدمة]]="كاش ان",
    IF(F138&lt;=100, 18, IF(F138&lt;=250, 23, IF(F138&lt;=500, 35, IF(F138&lt;=1000, 40, F138*0.04)))),
IF(Basic345678[[#This Row],[نوع الخدمة]]="كاش اوت",
    IF(F138&lt;=100, 15, IF(F138&lt;=250, 20, IF(F138&lt;=500, 30, IF(F138&lt;=1000, 35, F138*0.035)))),
0)))</f>
        <v>0</v>
      </c>
      <c r="H138" s="163">
        <f>IF(I138="مخالفات",50,Basic345678[[#This Row],[قيمة الرسوم / العموله]]+Basic345678[[#This Row],[قيمة الشحنه]])</f>
        <v>0</v>
      </c>
      <c r="I138" s="90"/>
      <c r="J138" s="142" t="str">
        <f t="shared" si="2"/>
        <v>25.5.2026</v>
      </c>
      <c r="L138" s="153">
        <v>127</v>
      </c>
      <c r="M138" s="92"/>
    </row>
    <row r="139" spans="1:13" ht="21.6" x14ac:dyDescent="0.65">
      <c r="A139" s="195"/>
      <c r="B139" s="140">
        <v>136</v>
      </c>
      <c r="C139" s="2"/>
      <c r="D139" s="1"/>
      <c r="E139" s="3"/>
      <c r="F139" s="1"/>
      <c r="G139" s="141">
        <f>IF(Basic345678[[#This Row],[نوع الخدمة]]="مخالفات", 50,
IF(Basic345678[[#This Row],[نوع الخدمة]]="كاش ان",
    IF(F139&lt;=100, 18, IF(F139&lt;=250, 23, IF(F139&lt;=500, 35, IF(F139&lt;=1000, 40, F139*0.04)))),
IF(Basic345678[[#This Row],[نوع الخدمة]]="كاش اوت",
    IF(F139&lt;=100, 15, IF(F139&lt;=250, 20, IF(F139&lt;=500, 30, IF(F139&lt;=1000, 35, F139*0.035)))),
0)))</f>
        <v>0</v>
      </c>
      <c r="H139" s="163">
        <f>IF(I139="مخالفات",50,Basic345678[[#This Row],[قيمة الرسوم / العموله]]+Basic345678[[#This Row],[قيمة الشحنه]])</f>
        <v>0</v>
      </c>
      <c r="I139" s="90"/>
      <c r="J139" s="142" t="str">
        <f t="shared" si="2"/>
        <v>25.5.2026</v>
      </c>
      <c r="L139" s="153">
        <v>128</v>
      </c>
      <c r="M139" s="92"/>
    </row>
    <row r="140" spans="1:13" ht="21.6" x14ac:dyDescent="0.65">
      <c r="A140" s="195"/>
      <c r="B140" s="140">
        <v>137</v>
      </c>
      <c r="C140" s="2"/>
      <c r="D140" s="1"/>
      <c r="E140" s="3"/>
      <c r="F140" s="1"/>
      <c r="G140" s="141">
        <f>IF(Basic345678[[#This Row],[نوع الخدمة]]="مخالفات", 50,
IF(Basic345678[[#This Row],[نوع الخدمة]]="كاش ان",
    IF(F140&lt;=100, 18, IF(F140&lt;=250, 23, IF(F140&lt;=500, 35, IF(F140&lt;=1000, 40, F140*0.04)))),
IF(Basic345678[[#This Row],[نوع الخدمة]]="كاش اوت",
    IF(F140&lt;=100, 15, IF(F140&lt;=250, 20, IF(F140&lt;=500, 30, IF(F140&lt;=1000, 35, F140*0.035)))),
0)))</f>
        <v>0</v>
      </c>
      <c r="H140" s="163">
        <f>IF(I140="مخالفات",50,Basic345678[[#This Row],[قيمة الرسوم / العموله]]+Basic345678[[#This Row],[قيمة الشحنه]])</f>
        <v>0</v>
      </c>
      <c r="I140" s="90"/>
      <c r="J140" s="142" t="str">
        <f t="shared" si="2"/>
        <v>25.5.2026</v>
      </c>
      <c r="L140" s="153">
        <v>129</v>
      </c>
      <c r="M140" s="92"/>
    </row>
    <row r="141" spans="1:13" ht="21.6" x14ac:dyDescent="0.65">
      <c r="A141" s="195"/>
      <c r="B141" s="144">
        <v>138</v>
      </c>
      <c r="C141" s="2"/>
      <c r="D141" s="1"/>
      <c r="E141" s="3"/>
      <c r="F141" s="1"/>
      <c r="G141" s="141">
        <f>IF(Basic345678[[#This Row],[نوع الخدمة]]="مخالفات", 50,
IF(Basic345678[[#This Row],[نوع الخدمة]]="كاش ان",
    IF(F141&lt;=100, 18, IF(F141&lt;=250, 23, IF(F141&lt;=500, 35, IF(F141&lt;=1000, 40, F141*0.04)))),
IF(Basic345678[[#This Row],[نوع الخدمة]]="كاش اوت",
    IF(F141&lt;=100, 15, IF(F141&lt;=250, 20, IF(F141&lt;=500, 30, IF(F141&lt;=1000, 35, F141*0.035)))),
0)))</f>
        <v>0</v>
      </c>
      <c r="H141" s="163">
        <f>IF(I141="مخالفات",50,Basic345678[[#This Row],[قيمة الرسوم / العموله]]+Basic345678[[#This Row],[قيمة الشحنه]])</f>
        <v>0</v>
      </c>
      <c r="I141" s="90"/>
      <c r="J141" s="142" t="str">
        <f t="shared" si="2"/>
        <v>25.5.2026</v>
      </c>
      <c r="L141" s="153">
        <v>130</v>
      </c>
      <c r="M141" s="92"/>
    </row>
    <row r="142" spans="1:13" ht="21.6" x14ac:dyDescent="0.65">
      <c r="A142" s="195"/>
      <c r="B142" s="140">
        <v>139</v>
      </c>
      <c r="C142" s="2"/>
      <c r="D142" s="1"/>
      <c r="E142" s="3"/>
      <c r="F142" s="1"/>
      <c r="G142" s="141">
        <f>IF(Basic345678[[#This Row],[نوع الخدمة]]="مخالفات", 50,
IF(Basic345678[[#This Row],[نوع الخدمة]]="كاش ان",
    IF(F142&lt;=100, 18, IF(F142&lt;=250, 23, IF(F142&lt;=500, 35, IF(F142&lt;=1000, 40, F142*0.04)))),
IF(Basic345678[[#This Row],[نوع الخدمة]]="كاش اوت",
    IF(F142&lt;=100, 15, IF(F142&lt;=250, 20, IF(F142&lt;=500, 30, IF(F142&lt;=1000, 35, F142*0.035)))),
0)))</f>
        <v>0</v>
      </c>
      <c r="H142" s="163">
        <f>IF(I142="مخالفات",50,Basic345678[[#This Row],[قيمة الرسوم / العموله]]+Basic345678[[#This Row],[قيمة الشحنه]])</f>
        <v>0</v>
      </c>
      <c r="I142" s="90"/>
      <c r="J142" s="142" t="str">
        <f t="shared" si="2"/>
        <v>25.5.2026</v>
      </c>
      <c r="L142" s="153">
        <v>131</v>
      </c>
      <c r="M142" s="92"/>
    </row>
    <row r="143" spans="1:13" ht="21.6" x14ac:dyDescent="0.65">
      <c r="A143" s="195"/>
      <c r="B143" s="140">
        <v>140</v>
      </c>
      <c r="C143" s="2"/>
      <c r="D143" s="1"/>
      <c r="E143" s="3"/>
      <c r="F143" s="1"/>
      <c r="G143" s="141">
        <f>IF(Basic345678[[#This Row],[نوع الخدمة]]="مخالفات", 50,
IF(Basic345678[[#This Row],[نوع الخدمة]]="كاش ان",
    IF(F143&lt;=100, 18, IF(F143&lt;=250, 23, IF(F143&lt;=500, 35, IF(F143&lt;=1000, 40, F143*0.04)))),
IF(Basic345678[[#This Row],[نوع الخدمة]]="كاش اوت",
    IF(F143&lt;=100, 15, IF(F143&lt;=250, 20, IF(F143&lt;=500, 30, IF(F143&lt;=1000, 35, F143*0.035)))),
0)))</f>
        <v>0</v>
      </c>
      <c r="H143" s="163">
        <f>IF(I143="مخالفات",50,Basic345678[[#This Row],[قيمة الرسوم / العموله]]+Basic345678[[#This Row],[قيمة الشحنه]])</f>
        <v>0</v>
      </c>
      <c r="I143" s="90"/>
      <c r="J143" s="142" t="str">
        <f t="shared" si="2"/>
        <v>25.5.2026</v>
      </c>
      <c r="L143" s="153">
        <v>132</v>
      </c>
      <c r="M143" s="92"/>
    </row>
    <row r="144" spans="1:13" ht="21.6" x14ac:dyDescent="0.65">
      <c r="A144" s="195"/>
      <c r="B144" s="140">
        <v>141</v>
      </c>
      <c r="C144" s="2"/>
      <c r="D144" s="1"/>
      <c r="E144" s="3"/>
      <c r="F144" s="1"/>
      <c r="G144" s="141">
        <f>IF(Basic345678[[#This Row],[نوع الخدمة]]="مخالفات", 50,
IF(Basic345678[[#This Row],[نوع الخدمة]]="كاش ان",
    IF(F144&lt;=100, 18, IF(F144&lt;=250, 23, IF(F144&lt;=500, 35, IF(F144&lt;=1000, 40, F144*0.04)))),
IF(Basic345678[[#This Row],[نوع الخدمة]]="كاش اوت",
    IF(F144&lt;=100, 15, IF(F144&lt;=250, 20, IF(F144&lt;=500, 30, IF(F144&lt;=1000, 35, F144*0.035)))),
0)))</f>
        <v>0</v>
      </c>
      <c r="H144" s="163">
        <f>IF(I144="مخالفات",50,Basic345678[[#This Row],[قيمة الرسوم / العموله]]+Basic345678[[#This Row],[قيمة الشحنه]])</f>
        <v>0</v>
      </c>
      <c r="I144" s="90"/>
      <c r="J144" s="142" t="str">
        <f t="shared" si="2"/>
        <v>25.5.2026</v>
      </c>
      <c r="L144" s="153">
        <v>133</v>
      </c>
      <c r="M144" s="92"/>
    </row>
    <row r="145" spans="1:13" ht="21.6" x14ac:dyDescent="0.65">
      <c r="A145" s="195"/>
      <c r="B145" s="144">
        <v>142</v>
      </c>
      <c r="C145" s="2"/>
      <c r="D145" s="1"/>
      <c r="E145" s="3"/>
      <c r="F145" s="1"/>
      <c r="G145" s="141">
        <f>IF(Basic345678[[#This Row],[نوع الخدمة]]="مخالفات", 50,
IF(Basic345678[[#This Row],[نوع الخدمة]]="كاش ان",
    IF(F145&lt;=100, 18, IF(F145&lt;=250, 23, IF(F145&lt;=500, 35, IF(F145&lt;=1000, 40, F145*0.04)))),
IF(Basic345678[[#This Row],[نوع الخدمة]]="كاش اوت",
    IF(F145&lt;=100, 15, IF(F145&lt;=250, 20, IF(F145&lt;=500, 30, IF(F145&lt;=1000, 35, F145*0.035)))),
0)))</f>
        <v>0</v>
      </c>
      <c r="H145" s="163">
        <f>IF(I145="مخالفات",50,Basic345678[[#This Row],[قيمة الرسوم / العموله]]+Basic345678[[#This Row],[قيمة الشحنه]])</f>
        <v>0</v>
      </c>
      <c r="I145" s="90"/>
      <c r="J145" s="142" t="str">
        <f t="shared" si="2"/>
        <v>25.5.2026</v>
      </c>
      <c r="L145" s="153">
        <v>134</v>
      </c>
      <c r="M145" s="92"/>
    </row>
    <row r="146" spans="1:13" ht="21.6" x14ac:dyDescent="0.65">
      <c r="A146" s="195"/>
      <c r="B146" s="140">
        <v>143</v>
      </c>
      <c r="C146" s="2"/>
      <c r="D146" s="1"/>
      <c r="E146" s="3"/>
      <c r="F146" s="1"/>
      <c r="G146" s="141">
        <f>IF(Basic345678[[#This Row],[نوع الخدمة]]="مخالفات", 50,
IF(Basic345678[[#This Row],[نوع الخدمة]]="كاش ان",
    IF(F146&lt;=100, 18, IF(F146&lt;=250, 23, IF(F146&lt;=500, 35, IF(F146&lt;=1000, 40, F146*0.04)))),
IF(Basic345678[[#This Row],[نوع الخدمة]]="كاش اوت",
    IF(F146&lt;=100, 15, IF(F146&lt;=250, 20, IF(F146&lt;=500, 30, IF(F146&lt;=1000, 35, F146*0.035)))),
0)))</f>
        <v>0</v>
      </c>
      <c r="H146" s="163">
        <f>IF(I146="مخالفات",50,Basic345678[[#This Row],[قيمة الرسوم / العموله]]+Basic345678[[#This Row],[قيمة الشحنه]])</f>
        <v>0</v>
      </c>
      <c r="I146" s="90"/>
      <c r="J146" s="142" t="str">
        <f t="shared" si="2"/>
        <v>25.5.2026</v>
      </c>
      <c r="L146" s="153">
        <v>135</v>
      </c>
      <c r="M146" s="92"/>
    </row>
    <row r="147" spans="1:13" ht="21.6" x14ac:dyDescent="0.65">
      <c r="A147" s="195"/>
      <c r="B147" s="140">
        <v>144</v>
      </c>
      <c r="C147" s="2"/>
      <c r="D147" s="1"/>
      <c r="E147" s="3"/>
      <c r="F147" s="1"/>
      <c r="G147" s="141">
        <f>IF(Basic345678[[#This Row],[نوع الخدمة]]="مخالفات", 50,
IF(Basic345678[[#This Row],[نوع الخدمة]]="كاش ان",
    IF(F147&lt;=100, 18, IF(F147&lt;=250, 23, IF(F147&lt;=500, 35, IF(F147&lt;=1000, 40, F147*0.04)))),
IF(Basic345678[[#This Row],[نوع الخدمة]]="كاش اوت",
    IF(F147&lt;=100, 15, IF(F147&lt;=250, 20, IF(F147&lt;=500, 30, IF(F147&lt;=1000, 35, F147*0.035)))),
0)))</f>
        <v>0</v>
      </c>
      <c r="H147" s="163">
        <f>IF(I147="مخالفات",50,Basic345678[[#This Row],[قيمة الرسوم / العموله]]+Basic345678[[#This Row],[قيمة الشحنه]])</f>
        <v>0</v>
      </c>
      <c r="I147" s="90"/>
      <c r="J147" s="142" t="str">
        <f t="shared" si="2"/>
        <v>25.5.2026</v>
      </c>
      <c r="L147" s="153">
        <v>136</v>
      </c>
      <c r="M147" s="92"/>
    </row>
    <row r="148" spans="1:13" ht="21.6" x14ac:dyDescent="0.65">
      <c r="A148" s="195"/>
      <c r="B148" s="140">
        <v>145</v>
      </c>
      <c r="C148" s="2"/>
      <c r="D148" s="1"/>
      <c r="E148" s="3"/>
      <c r="F148" s="1"/>
      <c r="G148" s="141">
        <f>IF(Basic345678[[#This Row],[نوع الخدمة]]="مخالفات", 50,
IF(Basic345678[[#This Row],[نوع الخدمة]]="كاش ان",
    IF(F148&lt;=100, 18, IF(F148&lt;=250, 23, IF(F148&lt;=500, 35, IF(F148&lt;=1000, 40, F148*0.04)))),
IF(Basic345678[[#This Row],[نوع الخدمة]]="كاش اوت",
    IF(F148&lt;=100, 15, IF(F148&lt;=250, 20, IF(F148&lt;=500, 30, IF(F148&lt;=1000, 35, F148*0.035)))),
0)))</f>
        <v>0</v>
      </c>
      <c r="H148" s="163">
        <f>IF(I148="مخالفات",50,Basic345678[[#This Row],[قيمة الرسوم / العموله]]+Basic345678[[#This Row],[قيمة الشحنه]])</f>
        <v>0</v>
      </c>
      <c r="I148" s="90"/>
      <c r="J148" s="142" t="str">
        <f t="shared" si="2"/>
        <v>25.5.2026</v>
      </c>
      <c r="L148" s="153">
        <v>137</v>
      </c>
      <c r="M148" s="92"/>
    </row>
    <row r="149" spans="1:13" ht="21.6" x14ac:dyDescent="0.65">
      <c r="A149" s="195"/>
      <c r="B149" s="144">
        <v>146</v>
      </c>
      <c r="C149" s="2"/>
      <c r="D149" s="1"/>
      <c r="E149" s="3"/>
      <c r="F149" s="1"/>
      <c r="G149" s="141">
        <f>IF(Basic345678[[#This Row],[نوع الخدمة]]="مخالفات", 50,
IF(Basic345678[[#This Row],[نوع الخدمة]]="كاش ان",
    IF(F149&lt;=100, 18, IF(F149&lt;=250, 23, IF(F149&lt;=500, 35, IF(F149&lt;=1000, 40, F149*0.04)))),
IF(Basic345678[[#This Row],[نوع الخدمة]]="كاش اوت",
    IF(F149&lt;=100, 15, IF(F149&lt;=250, 20, IF(F149&lt;=500, 30, IF(F149&lt;=1000, 35, F149*0.035)))),
0)))</f>
        <v>0</v>
      </c>
      <c r="H149" s="163">
        <f>IF(I149="مخالفات",50,Basic345678[[#This Row],[قيمة الرسوم / العموله]]+Basic345678[[#This Row],[قيمة الشحنه]])</f>
        <v>0</v>
      </c>
      <c r="I149" s="90"/>
      <c r="J149" s="142" t="str">
        <f t="shared" si="2"/>
        <v>25.5.2026</v>
      </c>
      <c r="L149" s="153">
        <v>138</v>
      </c>
      <c r="M149" s="92"/>
    </row>
    <row r="150" spans="1:13" ht="21.6" x14ac:dyDescent="0.65">
      <c r="A150" s="195"/>
      <c r="B150" s="140">
        <v>147</v>
      </c>
      <c r="C150" s="2"/>
      <c r="D150" s="1"/>
      <c r="E150" s="3"/>
      <c r="F150" s="1"/>
      <c r="G150" s="141">
        <f>IF(Basic345678[[#This Row],[نوع الخدمة]]="مخالفات", 50,
IF(Basic345678[[#This Row],[نوع الخدمة]]="كاش ان",
    IF(F150&lt;=100, 18, IF(F150&lt;=250, 23, IF(F150&lt;=500, 35, IF(F150&lt;=1000, 40, F150*0.04)))),
IF(Basic345678[[#This Row],[نوع الخدمة]]="كاش اوت",
    IF(F150&lt;=100, 15, IF(F150&lt;=250, 20, IF(F150&lt;=500, 30, IF(F150&lt;=1000, 35, F150*0.035)))),
0)))</f>
        <v>0</v>
      </c>
      <c r="H150" s="163">
        <f>IF(I150="مخالفات",50,Basic345678[[#This Row],[قيمة الرسوم / العموله]]+Basic345678[[#This Row],[قيمة الشحنه]])</f>
        <v>0</v>
      </c>
      <c r="I150" s="90"/>
      <c r="J150" s="142" t="str">
        <f t="shared" si="2"/>
        <v>25.5.2026</v>
      </c>
      <c r="L150" s="153">
        <v>139</v>
      </c>
      <c r="M150" s="92"/>
    </row>
    <row r="151" spans="1:13" ht="21.6" x14ac:dyDescent="0.65">
      <c r="A151" s="195"/>
      <c r="B151" s="140">
        <v>148</v>
      </c>
      <c r="C151" s="2"/>
      <c r="D151" s="1"/>
      <c r="E151" s="3"/>
      <c r="F151" s="1"/>
      <c r="G151" s="141">
        <f>IF(Basic345678[[#This Row],[نوع الخدمة]]="مخالفات", 50,
IF(Basic345678[[#This Row],[نوع الخدمة]]="كاش ان",
    IF(F151&lt;=100, 18, IF(F151&lt;=250, 23, IF(F151&lt;=500, 35, IF(F151&lt;=1000, 40, F151*0.04)))),
IF(Basic345678[[#This Row],[نوع الخدمة]]="كاش اوت",
    IF(F151&lt;=100, 15, IF(F151&lt;=250, 20, IF(F151&lt;=500, 30, IF(F151&lt;=1000, 35, F151*0.035)))),
0)))</f>
        <v>0</v>
      </c>
      <c r="H151" s="163">
        <f>IF(I151="مخالفات",50,Basic345678[[#This Row],[قيمة الرسوم / العموله]]+Basic345678[[#This Row],[قيمة الشحنه]])</f>
        <v>0</v>
      </c>
      <c r="I151" s="90"/>
      <c r="J151" s="142" t="str">
        <f t="shared" si="2"/>
        <v>25.5.2026</v>
      </c>
      <c r="L151" s="153">
        <v>140</v>
      </c>
      <c r="M151" s="92"/>
    </row>
    <row r="152" spans="1:13" ht="21.6" x14ac:dyDescent="0.65">
      <c r="A152" s="195"/>
      <c r="B152" s="140">
        <v>149</v>
      </c>
      <c r="C152" s="2"/>
      <c r="D152" s="1"/>
      <c r="E152" s="3"/>
      <c r="F152" s="1"/>
      <c r="G152" s="141">
        <f>IF(Basic345678[[#This Row],[نوع الخدمة]]="مخالفات", 50,
IF(Basic345678[[#This Row],[نوع الخدمة]]="كاش ان",
    IF(F152&lt;=100, 18, IF(F152&lt;=250, 23, IF(F152&lt;=500, 35, IF(F152&lt;=1000, 40, F152*0.04)))),
IF(Basic345678[[#This Row],[نوع الخدمة]]="كاش اوت",
    IF(F152&lt;=100, 15, IF(F152&lt;=250, 20, IF(F152&lt;=500, 30, IF(F152&lt;=1000, 35, F152*0.035)))),
0)))</f>
        <v>0</v>
      </c>
      <c r="H152" s="163">
        <f>IF(I152="مخالفات",50,Basic345678[[#This Row],[قيمة الرسوم / العموله]]+Basic345678[[#This Row],[قيمة الشحنه]])</f>
        <v>0</v>
      </c>
      <c r="I152" s="90"/>
      <c r="J152" s="142" t="str">
        <f t="shared" si="2"/>
        <v>25.5.2026</v>
      </c>
      <c r="L152" s="153">
        <v>141</v>
      </c>
      <c r="M152" s="92"/>
    </row>
    <row r="153" spans="1:13" ht="21.6" x14ac:dyDescent="0.65">
      <c r="A153" s="195"/>
      <c r="B153" s="144">
        <v>150</v>
      </c>
      <c r="C153" s="2"/>
      <c r="D153" s="1"/>
      <c r="E153" s="3"/>
      <c r="F153" s="1"/>
      <c r="G153" s="141">
        <f>IF(Basic345678[[#This Row],[نوع الخدمة]]="مخالفات", 50,
IF(Basic345678[[#This Row],[نوع الخدمة]]="كاش ان",
    IF(F153&lt;=100, 18, IF(F153&lt;=250, 23, IF(F153&lt;=500, 35, IF(F153&lt;=1000, 40, F153*0.04)))),
IF(Basic345678[[#This Row],[نوع الخدمة]]="كاش اوت",
    IF(F153&lt;=100, 15, IF(F153&lt;=250, 20, IF(F153&lt;=500, 30, IF(F153&lt;=1000, 35, F153*0.035)))),
0)))</f>
        <v>0</v>
      </c>
      <c r="H153" s="163">
        <f>IF(I153="مخالفات",50,Basic345678[[#This Row],[قيمة الرسوم / العموله]]+Basic345678[[#This Row],[قيمة الشحنه]])</f>
        <v>0</v>
      </c>
      <c r="I153" s="90"/>
      <c r="J153" s="142" t="str">
        <f t="shared" si="2"/>
        <v>25.5.2026</v>
      </c>
      <c r="L153" s="153">
        <v>142</v>
      </c>
      <c r="M153" s="92"/>
    </row>
    <row r="154" spans="1:13" ht="21.6" x14ac:dyDescent="0.65">
      <c r="A154" s="195"/>
      <c r="B154" s="140">
        <v>151</v>
      </c>
      <c r="C154" s="2"/>
      <c r="D154" s="1"/>
      <c r="E154" s="3"/>
      <c r="F154" s="1"/>
      <c r="G154" s="141">
        <f>IF(Basic345678[[#This Row],[نوع الخدمة]]="مخالفات", 50,
IF(Basic345678[[#This Row],[نوع الخدمة]]="كاش ان",
    IF(F154&lt;=100, 18, IF(F154&lt;=250, 23, IF(F154&lt;=500, 35, IF(F154&lt;=1000, 40, F154*0.04)))),
IF(Basic345678[[#This Row],[نوع الخدمة]]="كاش اوت",
    IF(F154&lt;=100, 15, IF(F154&lt;=250, 20, IF(F154&lt;=500, 30, IF(F154&lt;=1000, 35, F154*0.035)))),
0)))</f>
        <v>0</v>
      </c>
      <c r="H154" s="163">
        <f>IF(I154="مخالفات",50,Basic345678[[#This Row],[قيمة الرسوم / العموله]]+Basic345678[[#This Row],[قيمة الشحنه]])</f>
        <v>0</v>
      </c>
      <c r="I154" s="90"/>
      <c r="J154" s="142" t="str">
        <f t="shared" si="2"/>
        <v>25.5.2026</v>
      </c>
      <c r="L154" s="153">
        <v>143</v>
      </c>
      <c r="M154" s="92"/>
    </row>
    <row r="155" spans="1:13" ht="21.6" x14ac:dyDescent="0.65">
      <c r="A155" s="195"/>
      <c r="B155" s="140">
        <v>152</v>
      </c>
      <c r="C155" s="2"/>
      <c r="D155" s="1"/>
      <c r="E155" s="3"/>
      <c r="F155" s="1"/>
      <c r="G155" s="141">
        <f>IF(Basic345678[[#This Row],[نوع الخدمة]]="مخالفات", 50,
IF(Basic345678[[#This Row],[نوع الخدمة]]="كاش ان",
    IF(F155&lt;=100, 18, IF(F155&lt;=250, 23, IF(F155&lt;=500, 35, IF(F155&lt;=1000, 40, F155*0.04)))),
IF(Basic345678[[#This Row],[نوع الخدمة]]="كاش اوت",
    IF(F155&lt;=100, 15, IF(F155&lt;=250, 20, IF(F155&lt;=500, 30, IF(F155&lt;=1000, 35, F155*0.035)))),
0)))</f>
        <v>0</v>
      </c>
      <c r="H155" s="163">
        <f>IF(I155="مخالفات",50,Basic345678[[#This Row],[قيمة الرسوم / العموله]]+Basic345678[[#This Row],[قيمة الشحنه]])</f>
        <v>0</v>
      </c>
      <c r="I155" s="90"/>
      <c r="J155" s="142" t="str">
        <f t="shared" si="2"/>
        <v>25.5.2026</v>
      </c>
      <c r="L155" s="153">
        <v>144</v>
      </c>
      <c r="M155" s="92"/>
    </row>
    <row r="156" spans="1:13" ht="21.6" x14ac:dyDescent="0.65">
      <c r="A156" s="195"/>
      <c r="B156" s="140">
        <v>153</v>
      </c>
      <c r="C156" s="2"/>
      <c r="D156" s="1"/>
      <c r="E156" s="3"/>
      <c r="F156" s="1"/>
      <c r="G156" s="141">
        <f>IF(Basic345678[[#This Row],[نوع الخدمة]]="مخالفات", 50,
IF(Basic345678[[#This Row],[نوع الخدمة]]="كاش ان",
    IF(F156&lt;=100, 18, IF(F156&lt;=250, 23, IF(F156&lt;=500, 35, IF(F156&lt;=1000, 40, F156*0.04)))),
IF(Basic345678[[#This Row],[نوع الخدمة]]="كاش اوت",
    IF(F156&lt;=100, 15, IF(F156&lt;=250, 20, IF(F156&lt;=500, 30, IF(F156&lt;=1000, 35, F156*0.035)))),
0)))</f>
        <v>0</v>
      </c>
      <c r="H156" s="163">
        <f>IF(I156="مخالفات",50,Basic345678[[#This Row],[قيمة الرسوم / العموله]]+Basic345678[[#This Row],[قيمة الشحنه]])</f>
        <v>0</v>
      </c>
      <c r="I156" s="90"/>
      <c r="J156" s="142" t="str">
        <f t="shared" si="2"/>
        <v>25.5.2026</v>
      </c>
      <c r="L156" s="153">
        <v>145</v>
      </c>
      <c r="M156" s="92"/>
    </row>
    <row r="157" spans="1:13" ht="21.6" x14ac:dyDescent="0.65">
      <c r="A157" s="195"/>
      <c r="B157" s="144">
        <v>154</v>
      </c>
      <c r="C157" s="2"/>
      <c r="D157" s="1"/>
      <c r="E157" s="3"/>
      <c r="F157" s="1"/>
      <c r="G157" s="141">
        <f>IF(Basic345678[[#This Row],[نوع الخدمة]]="مخالفات", 50,
IF(Basic345678[[#This Row],[نوع الخدمة]]="كاش ان",
    IF(F157&lt;=100, 18, IF(F157&lt;=250, 23, IF(F157&lt;=500, 35, IF(F157&lt;=1000, 40, F157*0.04)))),
IF(Basic345678[[#This Row],[نوع الخدمة]]="كاش اوت",
    IF(F157&lt;=100, 15, IF(F157&lt;=250, 20, IF(F157&lt;=500, 30, IF(F157&lt;=1000, 35, F157*0.035)))),
0)))</f>
        <v>0</v>
      </c>
      <c r="H157" s="163">
        <f>IF(I157="مخالفات",50,Basic345678[[#This Row],[قيمة الرسوم / العموله]]+Basic345678[[#This Row],[قيمة الشحنه]])</f>
        <v>0</v>
      </c>
      <c r="I157" s="90"/>
      <c r="J157" s="142" t="str">
        <f t="shared" si="2"/>
        <v>25.5.2026</v>
      </c>
      <c r="L157" s="153">
        <v>146</v>
      </c>
      <c r="M157" s="92"/>
    </row>
    <row r="158" spans="1:13" ht="21.6" x14ac:dyDescent="0.65">
      <c r="A158" s="195"/>
      <c r="B158" s="140">
        <v>155</v>
      </c>
      <c r="C158" s="2"/>
      <c r="D158" s="1"/>
      <c r="E158" s="3"/>
      <c r="F158" s="1"/>
      <c r="G158" s="141">
        <f>IF(Basic345678[[#This Row],[نوع الخدمة]]="مخالفات", 50,
IF(Basic345678[[#This Row],[نوع الخدمة]]="كاش ان",
    IF(F158&lt;=100, 18, IF(F158&lt;=250, 23, IF(F158&lt;=500, 35, IF(F158&lt;=1000, 40, F158*0.04)))),
IF(Basic345678[[#This Row],[نوع الخدمة]]="كاش اوت",
    IF(F158&lt;=100, 15, IF(F158&lt;=250, 20, IF(F158&lt;=500, 30, IF(F158&lt;=1000, 35, F158*0.035)))),
0)))</f>
        <v>0</v>
      </c>
      <c r="H158" s="163">
        <f>IF(I158="مخالفات",50,Basic345678[[#This Row],[قيمة الرسوم / العموله]]+Basic345678[[#This Row],[قيمة الشحنه]])</f>
        <v>0</v>
      </c>
      <c r="I158" s="90"/>
      <c r="J158" s="142" t="str">
        <f t="shared" si="2"/>
        <v>25.5.2026</v>
      </c>
      <c r="L158" s="153">
        <v>147</v>
      </c>
      <c r="M158" s="92"/>
    </row>
    <row r="159" spans="1:13" ht="21.6" x14ac:dyDescent="0.65">
      <c r="A159" s="195"/>
      <c r="B159" s="140">
        <v>156</v>
      </c>
      <c r="C159" s="2"/>
      <c r="D159" s="1"/>
      <c r="E159" s="3"/>
      <c r="F159" s="1"/>
      <c r="G159" s="141">
        <f>IF(Basic345678[[#This Row],[نوع الخدمة]]="مخالفات", 50,
IF(Basic345678[[#This Row],[نوع الخدمة]]="كاش ان",
    IF(F159&lt;=100, 18, IF(F159&lt;=250, 23, IF(F159&lt;=500, 35, IF(F159&lt;=1000, 40, F159*0.04)))),
IF(Basic345678[[#This Row],[نوع الخدمة]]="كاش اوت",
    IF(F159&lt;=100, 15, IF(F159&lt;=250, 20, IF(F159&lt;=500, 30, IF(F159&lt;=1000, 35, F159*0.035)))),
0)))</f>
        <v>0</v>
      </c>
      <c r="H159" s="163">
        <f>IF(I159="مخالفات",50,Basic345678[[#This Row],[قيمة الرسوم / العموله]]+Basic345678[[#This Row],[قيمة الشحنه]])</f>
        <v>0</v>
      </c>
      <c r="I159" s="90"/>
      <c r="J159" s="142" t="str">
        <f t="shared" si="2"/>
        <v>25.5.2026</v>
      </c>
      <c r="L159" s="153">
        <v>148</v>
      </c>
      <c r="M159" s="92"/>
    </row>
    <row r="160" spans="1:13" ht="21.6" x14ac:dyDescent="0.65">
      <c r="A160" s="195"/>
      <c r="B160" s="140">
        <v>157</v>
      </c>
      <c r="C160" s="2"/>
      <c r="D160" s="1"/>
      <c r="E160" s="3"/>
      <c r="F160" s="1"/>
      <c r="G160" s="141">
        <f>IF(Basic345678[[#This Row],[نوع الخدمة]]="مخالفات", 50,
IF(Basic345678[[#This Row],[نوع الخدمة]]="كاش ان",
    IF(F160&lt;=100, 18, IF(F160&lt;=250, 23, IF(F160&lt;=500, 35, IF(F160&lt;=1000, 40, F160*0.04)))),
IF(Basic345678[[#This Row],[نوع الخدمة]]="كاش اوت",
    IF(F160&lt;=100, 15, IF(F160&lt;=250, 20, IF(F160&lt;=500, 30, IF(F160&lt;=1000, 35, F160*0.035)))),
0)))</f>
        <v>0</v>
      </c>
      <c r="H160" s="163">
        <f>IF(I160="مخالفات",50,Basic345678[[#This Row],[قيمة الرسوم / العموله]]+Basic345678[[#This Row],[قيمة الشحنه]])</f>
        <v>0</v>
      </c>
      <c r="I160" s="90"/>
      <c r="J160" s="142" t="str">
        <f t="shared" si="2"/>
        <v>25.5.2026</v>
      </c>
      <c r="L160" s="153">
        <v>149</v>
      </c>
      <c r="M160" s="92"/>
    </row>
    <row r="161" spans="1:13" ht="21.6" x14ac:dyDescent="0.65">
      <c r="A161" s="195"/>
      <c r="B161" s="144">
        <v>158</v>
      </c>
      <c r="C161" s="2"/>
      <c r="D161" s="1"/>
      <c r="E161" s="3"/>
      <c r="F161" s="1"/>
      <c r="G161" s="141">
        <f>IF(Basic345678[[#This Row],[نوع الخدمة]]="مخالفات", 50,
IF(Basic345678[[#This Row],[نوع الخدمة]]="كاش ان",
    IF(F161&lt;=100, 18, IF(F161&lt;=250, 23, IF(F161&lt;=500, 35, IF(F161&lt;=1000, 40, F161*0.04)))),
IF(Basic345678[[#This Row],[نوع الخدمة]]="كاش اوت",
    IF(F161&lt;=100, 15, IF(F161&lt;=250, 20, IF(F161&lt;=500, 30, IF(F161&lt;=1000, 35, F161*0.035)))),
0)))</f>
        <v>0</v>
      </c>
      <c r="H161" s="163">
        <f>IF(I161="مخالفات",50,Basic345678[[#This Row],[قيمة الرسوم / العموله]]+Basic345678[[#This Row],[قيمة الشحنه]])</f>
        <v>0</v>
      </c>
      <c r="I161" s="90"/>
      <c r="J161" s="142" t="str">
        <f t="shared" si="2"/>
        <v>25.5.2026</v>
      </c>
      <c r="L161" s="153">
        <v>150</v>
      </c>
      <c r="M161" s="92"/>
    </row>
    <row r="162" spans="1:13" ht="21.6" x14ac:dyDescent="0.65">
      <c r="A162" s="195"/>
      <c r="B162" s="140">
        <v>159</v>
      </c>
      <c r="C162" s="2"/>
      <c r="D162" s="1"/>
      <c r="E162" s="3"/>
      <c r="F162" s="1"/>
      <c r="G162" s="141">
        <f>IF(Basic345678[[#This Row],[نوع الخدمة]]="مخالفات", 50,
IF(Basic345678[[#This Row],[نوع الخدمة]]="كاش ان",
    IF(F162&lt;=100, 18, IF(F162&lt;=250, 23, IF(F162&lt;=500, 35, IF(F162&lt;=1000, 40, F162*0.04)))),
IF(Basic345678[[#This Row],[نوع الخدمة]]="كاش اوت",
    IF(F162&lt;=100, 15, IF(F162&lt;=250, 20, IF(F162&lt;=500, 30, IF(F162&lt;=1000, 35, F162*0.035)))),
0)))</f>
        <v>0</v>
      </c>
      <c r="H162" s="163">
        <f>IF(I162="مخالفات",50,Basic345678[[#This Row],[قيمة الرسوم / العموله]]+Basic345678[[#This Row],[قيمة الشحنه]])</f>
        <v>0</v>
      </c>
      <c r="I162" s="90"/>
      <c r="J162" s="142" t="str">
        <f t="shared" si="2"/>
        <v>25.5.2026</v>
      </c>
      <c r="L162" s="153">
        <v>151</v>
      </c>
      <c r="M162" s="92"/>
    </row>
    <row r="163" spans="1:13" ht="21.6" x14ac:dyDescent="0.65">
      <c r="A163" s="195"/>
      <c r="B163" s="140">
        <v>160</v>
      </c>
      <c r="C163" s="2"/>
      <c r="D163" s="1"/>
      <c r="E163" s="3"/>
      <c r="F163" s="1"/>
      <c r="G163" s="141">
        <f>IF(Basic345678[[#This Row],[نوع الخدمة]]="مخالفات", 50,
IF(Basic345678[[#This Row],[نوع الخدمة]]="كاش ان",
    IF(F163&lt;=100, 18, IF(F163&lt;=250, 23, IF(F163&lt;=500, 35, IF(F163&lt;=1000, 40, F163*0.04)))),
IF(Basic345678[[#This Row],[نوع الخدمة]]="كاش اوت",
    IF(F163&lt;=100, 15, IF(F163&lt;=250, 20, IF(F163&lt;=500, 30, IF(F163&lt;=1000, 35, F163*0.035)))),
0)))</f>
        <v>0</v>
      </c>
      <c r="H163" s="163">
        <f>IF(I163="مخالفات",50,Basic345678[[#This Row],[قيمة الرسوم / العموله]]+Basic345678[[#This Row],[قيمة الشحنه]])</f>
        <v>0</v>
      </c>
      <c r="I163" s="90"/>
      <c r="J163" s="142" t="str">
        <f t="shared" si="2"/>
        <v>25.5.2026</v>
      </c>
      <c r="L163" s="153">
        <v>152</v>
      </c>
      <c r="M163" s="92"/>
    </row>
    <row r="164" spans="1:13" ht="21.6" x14ac:dyDescent="0.65">
      <c r="A164" s="195"/>
      <c r="B164" s="140">
        <v>161</v>
      </c>
      <c r="C164" s="2"/>
      <c r="D164" s="1"/>
      <c r="E164" s="3"/>
      <c r="F164" s="1"/>
      <c r="G164" s="141">
        <f>IF(Basic345678[[#This Row],[نوع الخدمة]]="مخالفات", 50,
IF(Basic345678[[#This Row],[نوع الخدمة]]="كاش ان",
    IF(F164&lt;=100, 18, IF(F164&lt;=250, 23, IF(F164&lt;=500, 35, IF(F164&lt;=1000, 40, F164*0.04)))),
IF(Basic345678[[#This Row],[نوع الخدمة]]="كاش اوت",
    IF(F164&lt;=100, 15, IF(F164&lt;=250, 20, IF(F164&lt;=500, 30, IF(F164&lt;=1000, 35, F164*0.035)))),
0)))</f>
        <v>0</v>
      </c>
      <c r="H164" s="163">
        <f>IF(I164="مخالفات",50,Basic345678[[#This Row],[قيمة الرسوم / العموله]]+Basic345678[[#This Row],[قيمة الشحنه]])</f>
        <v>0</v>
      </c>
      <c r="I164" s="90"/>
      <c r="J164" s="142" t="str">
        <f t="shared" si="2"/>
        <v>25.5.2026</v>
      </c>
      <c r="L164" s="153">
        <v>153</v>
      </c>
      <c r="M164" s="92"/>
    </row>
    <row r="165" spans="1:13" ht="21.6" x14ac:dyDescent="0.65">
      <c r="A165" s="195"/>
      <c r="B165" s="144">
        <v>162</v>
      </c>
      <c r="C165" s="2"/>
      <c r="D165" s="1"/>
      <c r="E165" s="3"/>
      <c r="F165" s="1"/>
      <c r="G165" s="141">
        <f>IF(Basic345678[[#This Row],[نوع الخدمة]]="مخالفات", 50,
IF(Basic345678[[#This Row],[نوع الخدمة]]="كاش ان",
    IF(F165&lt;=100, 18, IF(F165&lt;=250, 23, IF(F165&lt;=500, 35, IF(F165&lt;=1000, 40, F165*0.04)))),
IF(Basic345678[[#This Row],[نوع الخدمة]]="كاش اوت",
    IF(F165&lt;=100, 15, IF(F165&lt;=250, 20, IF(F165&lt;=500, 30, IF(F165&lt;=1000, 35, F165*0.035)))),
0)))</f>
        <v>0</v>
      </c>
      <c r="H165" s="163">
        <f>IF(I165="مخالفات",50,Basic345678[[#This Row],[قيمة الرسوم / العموله]]+Basic345678[[#This Row],[قيمة الشحنه]])</f>
        <v>0</v>
      </c>
      <c r="I165" s="90"/>
      <c r="J165" s="142" t="str">
        <f t="shared" si="2"/>
        <v>25.5.2026</v>
      </c>
      <c r="L165" s="153">
        <v>154</v>
      </c>
      <c r="M165" s="92"/>
    </row>
    <row r="166" spans="1:13" ht="21.6" x14ac:dyDescent="0.65">
      <c r="A166" s="195"/>
      <c r="B166" s="140">
        <v>163</v>
      </c>
      <c r="C166" s="2"/>
      <c r="D166" s="1"/>
      <c r="E166" s="3"/>
      <c r="F166" s="1"/>
      <c r="G166" s="141">
        <f>IF(Basic345678[[#This Row],[نوع الخدمة]]="مخالفات", 50,
IF(Basic345678[[#This Row],[نوع الخدمة]]="كاش ان",
    IF(F166&lt;=100, 18, IF(F166&lt;=250, 23, IF(F166&lt;=500, 35, IF(F166&lt;=1000, 40, F166*0.04)))),
IF(Basic345678[[#This Row],[نوع الخدمة]]="كاش اوت",
    IF(F166&lt;=100, 15, IF(F166&lt;=250, 20, IF(F166&lt;=500, 30, IF(F166&lt;=1000, 35, F166*0.035)))),
0)))</f>
        <v>0</v>
      </c>
      <c r="H166" s="163">
        <f>IF(I166="مخالفات",50,Basic345678[[#This Row],[قيمة الرسوم / العموله]]+Basic345678[[#This Row],[قيمة الشحنه]])</f>
        <v>0</v>
      </c>
      <c r="I166" s="90"/>
      <c r="J166" s="142" t="str">
        <f t="shared" si="2"/>
        <v>25.5.2026</v>
      </c>
      <c r="L166" s="153">
        <v>155</v>
      </c>
      <c r="M166" s="92"/>
    </row>
    <row r="167" spans="1:13" ht="21.6" x14ac:dyDescent="0.65">
      <c r="A167" s="195"/>
      <c r="B167" s="140">
        <v>164</v>
      </c>
      <c r="C167" s="2"/>
      <c r="D167" s="1"/>
      <c r="E167" s="3"/>
      <c r="F167" s="1"/>
      <c r="G167" s="141">
        <f>IF(Basic345678[[#This Row],[نوع الخدمة]]="مخالفات", 50,
IF(Basic345678[[#This Row],[نوع الخدمة]]="كاش ان",
    IF(F167&lt;=100, 18, IF(F167&lt;=250, 23, IF(F167&lt;=500, 35, IF(F167&lt;=1000, 40, F167*0.04)))),
IF(Basic345678[[#This Row],[نوع الخدمة]]="كاش اوت",
    IF(F167&lt;=100, 15, IF(F167&lt;=250, 20, IF(F167&lt;=500, 30, IF(F167&lt;=1000, 35, F167*0.035)))),
0)))</f>
        <v>0</v>
      </c>
      <c r="H167" s="163">
        <f>IF(I167="مخالفات",50,Basic345678[[#This Row],[قيمة الرسوم / العموله]]+Basic345678[[#This Row],[قيمة الشحنه]])</f>
        <v>0</v>
      </c>
      <c r="I167" s="90"/>
      <c r="J167" s="142" t="str">
        <f t="shared" si="2"/>
        <v>25.5.2026</v>
      </c>
      <c r="L167" s="153">
        <v>156</v>
      </c>
      <c r="M167" s="92"/>
    </row>
    <row r="168" spans="1:13" ht="21.6" x14ac:dyDescent="0.65">
      <c r="A168" s="195"/>
      <c r="B168" s="140">
        <v>165</v>
      </c>
      <c r="C168" s="2"/>
      <c r="D168" s="1"/>
      <c r="E168" s="3"/>
      <c r="F168" s="1"/>
      <c r="G168" s="141">
        <f>IF(Basic345678[[#This Row],[نوع الخدمة]]="مخالفات", 50,
IF(Basic345678[[#This Row],[نوع الخدمة]]="كاش ان",
    IF(F168&lt;=100, 18, IF(F168&lt;=250, 23, IF(F168&lt;=500, 35, IF(F168&lt;=1000, 40, F168*0.04)))),
IF(Basic345678[[#This Row],[نوع الخدمة]]="كاش اوت",
    IF(F168&lt;=100, 15, IF(F168&lt;=250, 20, IF(F168&lt;=500, 30, IF(F168&lt;=1000, 35, F168*0.035)))),
0)))</f>
        <v>0</v>
      </c>
      <c r="H168" s="163">
        <f>IF(I168="مخالفات",50,Basic345678[[#This Row],[قيمة الرسوم / العموله]]+Basic345678[[#This Row],[قيمة الشحنه]])</f>
        <v>0</v>
      </c>
      <c r="I168" s="90"/>
      <c r="J168" s="142" t="str">
        <f t="shared" si="2"/>
        <v>25.5.2026</v>
      </c>
      <c r="L168" s="153">
        <v>157</v>
      </c>
      <c r="M168" s="92"/>
    </row>
    <row r="169" spans="1:13" ht="21.6" x14ac:dyDescent="0.65">
      <c r="A169" s="195"/>
      <c r="B169" s="144">
        <v>166</v>
      </c>
      <c r="C169" s="2"/>
      <c r="D169" s="1"/>
      <c r="E169" s="3"/>
      <c r="F169" s="1"/>
      <c r="G169" s="141">
        <f>IF(Basic345678[[#This Row],[نوع الخدمة]]="مخالفات", 50,
IF(Basic345678[[#This Row],[نوع الخدمة]]="كاش ان",
    IF(F169&lt;=100, 18, IF(F169&lt;=250, 23, IF(F169&lt;=500, 35, IF(F169&lt;=1000, 40, F169*0.04)))),
IF(Basic345678[[#This Row],[نوع الخدمة]]="كاش اوت",
    IF(F169&lt;=100, 15, IF(F169&lt;=250, 20, IF(F169&lt;=500, 30, IF(F169&lt;=1000, 35, F169*0.035)))),
0)))</f>
        <v>0</v>
      </c>
      <c r="H169" s="163">
        <f>IF(I169="مخالفات",50,Basic345678[[#This Row],[قيمة الرسوم / العموله]]+Basic345678[[#This Row],[قيمة الشحنه]])</f>
        <v>0</v>
      </c>
      <c r="I169" s="90"/>
      <c r="J169" s="142" t="str">
        <f t="shared" si="2"/>
        <v>25.5.2026</v>
      </c>
      <c r="L169" s="153">
        <v>158</v>
      </c>
      <c r="M169" s="92"/>
    </row>
    <row r="170" spans="1:13" ht="21.6" x14ac:dyDescent="0.65">
      <c r="A170" s="195"/>
      <c r="B170" s="140">
        <v>167</v>
      </c>
      <c r="C170" s="2"/>
      <c r="D170" s="1"/>
      <c r="E170" s="3"/>
      <c r="F170" s="1"/>
      <c r="G170" s="141">
        <f>IF(Basic345678[[#This Row],[نوع الخدمة]]="مخالفات", 50,
IF(Basic345678[[#This Row],[نوع الخدمة]]="كاش ان",
    IF(F170&lt;=100, 18, IF(F170&lt;=250, 23, IF(F170&lt;=500, 35, IF(F170&lt;=1000, 40, F170*0.04)))),
IF(Basic345678[[#This Row],[نوع الخدمة]]="كاش اوت",
    IF(F170&lt;=100, 15, IF(F170&lt;=250, 20, IF(F170&lt;=500, 30, IF(F170&lt;=1000, 35, F170*0.035)))),
0)))</f>
        <v>0</v>
      </c>
      <c r="H170" s="163">
        <f>IF(I170="مخالفات",50,Basic345678[[#This Row],[قيمة الرسوم / العموله]]+Basic345678[[#This Row],[قيمة الشحنه]])</f>
        <v>0</v>
      </c>
      <c r="I170" s="90"/>
      <c r="J170" s="142" t="str">
        <f t="shared" si="2"/>
        <v>25.5.2026</v>
      </c>
      <c r="L170" s="153">
        <v>159</v>
      </c>
      <c r="M170" s="92"/>
    </row>
    <row r="171" spans="1:13" ht="21.6" x14ac:dyDescent="0.65">
      <c r="A171" s="195"/>
      <c r="B171" s="140">
        <v>168</v>
      </c>
      <c r="C171" s="2"/>
      <c r="D171" s="1"/>
      <c r="E171" s="3"/>
      <c r="F171" s="1"/>
      <c r="G171" s="141">
        <f>IF(Basic345678[[#This Row],[نوع الخدمة]]="مخالفات", 50,
IF(Basic345678[[#This Row],[نوع الخدمة]]="كاش ان",
    IF(F171&lt;=100, 18, IF(F171&lt;=250, 23, IF(F171&lt;=500, 35, IF(F171&lt;=1000, 40, F171*0.04)))),
IF(Basic345678[[#This Row],[نوع الخدمة]]="كاش اوت",
    IF(F171&lt;=100, 15, IF(F171&lt;=250, 20, IF(F171&lt;=500, 30, IF(F171&lt;=1000, 35, F171*0.035)))),
0)))</f>
        <v>0</v>
      </c>
      <c r="H171" s="163">
        <f>IF(I171="مخالفات",50,Basic345678[[#This Row],[قيمة الرسوم / العموله]]+Basic345678[[#This Row],[قيمة الشحنه]])</f>
        <v>0</v>
      </c>
      <c r="I171" s="90"/>
      <c r="J171" s="142" t="str">
        <f t="shared" si="2"/>
        <v>25.5.2026</v>
      </c>
      <c r="L171" s="153">
        <v>160</v>
      </c>
      <c r="M171" s="92"/>
    </row>
    <row r="172" spans="1:13" ht="21.6" x14ac:dyDescent="0.65">
      <c r="A172" s="195"/>
      <c r="B172" s="140">
        <v>169</v>
      </c>
      <c r="C172" s="2"/>
      <c r="D172" s="1"/>
      <c r="E172" s="3"/>
      <c r="F172" s="1"/>
      <c r="G172" s="141">
        <f>IF(Basic345678[[#This Row],[نوع الخدمة]]="مخالفات", 50,
IF(Basic345678[[#This Row],[نوع الخدمة]]="كاش ان",
    IF(F172&lt;=100, 18, IF(F172&lt;=250, 23, IF(F172&lt;=500, 35, IF(F172&lt;=1000, 40, F172*0.04)))),
IF(Basic345678[[#This Row],[نوع الخدمة]]="كاش اوت",
    IF(F172&lt;=100, 15, IF(F172&lt;=250, 20, IF(F172&lt;=500, 30, IF(F172&lt;=1000, 35, F172*0.035)))),
0)))</f>
        <v>0</v>
      </c>
      <c r="H172" s="163">
        <f>IF(I172="مخالفات",50,Basic345678[[#This Row],[قيمة الرسوم / العموله]]+Basic345678[[#This Row],[قيمة الشحنه]])</f>
        <v>0</v>
      </c>
      <c r="I172" s="90"/>
      <c r="J172" s="142" t="str">
        <f t="shared" si="2"/>
        <v>25.5.2026</v>
      </c>
      <c r="L172" s="153">
        <v>161</v>
      </c>
      <c r="M172" s="92"/>
    </row>
    <row r="173" spans="1:13" ht="21.6" x14ac:dyDescent="0.65">
      <c r="A173" s="195"/>
      <c r="B173" s="144">
        <v>170</v>
      </c>
      <c r="C173" s="2"/>
      <c r="D173" s="1"/>
      <c r="E173" s="3"/>
      <c r="F173" s="1"/>
      <c r="G173" s="141">
        <f>IF(Basic345678[[#This Row],[نوع الخدمة]]="مخالفات", 50,
IF(Basic345678[[#This Row],[نوع الخدمة]]="كاش ان",
    IF(F173&lt;=100, 18, IF(F173&lt;=250, 23, IF(F173&lt;=500, 35, IF(F173&lt;=1000, 40, F173*0.04)))),
IF(Basic345678[[#This Row],[نوع الخدمة]]="كاش اوت",
    IF(F173&lt;=100, 15, IF(F173&lt;=250, 20, IF(F173&lt;=500, 30, IF(F173&lt;=1000, 35, F173*0.035)))),
0)))</f>
        <v>0</v>
      </c>
      <c r="H173" s="163">
        <f>IF(I173="مخالفات",50,Basic345678[[#This Row],[قيمة الرسوم / العموله]]+Basic345678[[#This Row],[قيمة الشحنه]])</f>
        <v>0</v>
      </c>
      <c r="I173" s="90"/>
      <c r="J173" s="142" t="str">
        <f t="shared" si="2"/>
        <v>25.5.2026</v>
      </c>
      <c r="L173" s="153">
        <v>162</v>
      </c>
      <c r="M173" s="92"/>
    </row>
    <row r="174" spans="1:13" ht="21.6" x14ac:dyDescent="0.65">
      <c r="A174" s="195"/>
      <c r="B174" s="140">
        <v>171</v>
      </c>
      <c r="C174" s="2"/>
      <c r="D174" s="1"/>
      <c r="E174" s="3"/>
      <c r="F174" s="1"/>
      <c r="G174" s="141">
        <f>IF(Basic345678[[#This Row],[نوع الخدمة]]="مخالفات", 50,
IF(Basic345678[[#This Row],[نوع الخدمة]]="كاش ان",
    IF(F174&lt;=100, 18, IF(F174&lt;=250, 23, IF(F174&lt;=500, 35, IF(F174&lt;=1000, 40, F174*0.04)))),
IF(Basic345678[[#This Row],[نوع الخدمة]]="كاش اوت",
    IF(F174&lt;=100, 15, IF(F174&lt;=250, 20, IF(F174&lt;=500, 30, IF(F174&lt;=1000, 35, F174*0.035)))),
0)))</f>
        <v>0</v>
      </c>
      <c r="H174" s="163">
        <f>IF(I174="مخالفات",50,Basic345678[[#This Row],[قيمة الرسوم / العموله]]+Basic345678[[#This Row],[قيمة الشحنه]])</f>
        <v>0</v>
      </c>
      <c r="I174" s="90"/>
      <c r="J174" s="142" t="str">
        <f t="shared" si="2"/>
        <v>25.5.2026</v>
      </c>
      <c r="L174" s="153">
        <v>163</v>
      </c>
      <c r="M174" s="92"/>
    </row>
    <row r="175" spans="1:13" ht="21.6" x14ac:dyDescent="0.65">
      <c r="A175" s="195"/>
      <c r="B175" s="140">
        <v>172</v>
      </c>
      <c r="C175" s="2"/>
      <c r="D175" s="1"/>
      <c r="E175" s="3"/>
      <c r="F175" s="1"/>
      <c r="G175" s="141">
        <f>IF(Basic345678[[#This Row],[نوع الخدمة]]="مخالفات", 50,
IF(Basic345678[[#This Row],[نوع الخدمة]]="كاش ان",
    IF(F175&lt;=100, 18, IF(F175&lt;=250, 23, IF(F175&lt;=500, 35, IF(F175&lt;=1000, 40, F175*0.04)))),
IF(Basic345678[[#This Row],[نوع الخدمة]]="كاش اوت",
    IF(F175&lt;=100, 15, IF(F175&lt;=250, 20, IF(F175&lt;=500, 30, IF(F175&lt;=1000, 35, F175*0.035)))),
0)))</f>
        <v>0</v>
      </c>
      <c r="H175" s="163">
        <f>IF(I175="مخالفات",50,Basic345678[[#This Row],[قيمة الرسوم / العموله]]+Basic345678[[#This Row],[قيمة الشحنه]])</f>
        <v>0</v>
      </c>
      <c r="I175" s="90"/>
      <c r="J175" s="142" t="str">
        <f t="shared" si="2"/>
        <v>25.5.2026</v>
      </c>
      <c r="L175" s="153">
        <v>164</v>
      </c>
      <c r="M175" s="92"/>
    </row>
    <row r="176" spans="1:13" ht="21.6" x14ac:dyDescent="0.65">
      <c r="A176" s="195"/>
      <c r="B176" s="140">
        <v>173</v>
      </c>
      <c r="C176" s="2"/>
      <c r="D176" s="1"/>
      <c r="E176" s="3"/>
      <c r="F176" s="1"/>
      <c r="G176" s="141">
        <f>IF(Basic345678[[#This Row],[نوع الخدمة]]="مخالفات", 50,
IF(Basic345678[[#This Row],[نوع الخدمة]]="كاش ان",
    IF(F176&lt;=100, 18, IF(F176&lt;=250, 23, IF(F176&lt;=500, 35, IF(F176&lt;=1000, 40, F176*0.04)))),
IF(Basic345678[[#This Row],[نوع الخدمة]]="كاش اوت",
    IF(F176&lt;=100, 15, IF(F176&lt;=250, 20, IF(F176&lt;=500, 30, IF(F176&lt;=1000, 35, F176*0.035)))),
0)))</f>
        <v>0</v>
      </c>
      <c r="H176" s="163">
        <f>IF(I176="مخالفات",50,Basic345678[[#This Row],[قيمة الرسوم / العموله]]+Basic345678[[#This Row],[قيمة الشحنه]])</f>
        <v>0</v>
      </c>
      <c r="I176" s="90"/>
      <c r="J176" s="142" t="str">
        <f t="shared" si="2"/>
        <v>25.5.2026</v>
      </c>
      <c r="L176" s="153">
        <v>165</v>
      </c>
      <c r="M176" s="92"/>
    </row>
    <row r="177" spans="1:13" ht="21.6" x14ac:dyDescent="0.65">
      <c r="A177" s="195"/>
      <c r="B177" s="144">
        <v>174</v>
      </c>
      <c r="C177" s="2"/>
      <c r="D177" s="1"/>
      <c r="E177" s="3"/>
      <c r="F177" s="1"/>
      <c r="G177" s="141">
        <f>IF(Basic345678[[#This Row],[نوع الخدمة]]="مخالفات", 50,
IF(Basic345678[[#This Row],[نوع الخدمة]]="كاش ان",
    IF(F177&lt;=100, 18, IF(F177&lt;=250, 23, IF(F177&lt;=500, 35, IF(F177&lt;=1000, 40, F177*0.04)))),
IF(Basic345678[[#This Row],[نوع الخدمة]]="كاش اوت",
    IF(F177&lt;=100, 15, IF(F177&lt;=250, 20, IF(F177&lt;=500, 30, IF(F177&lt;=1000, 35, F177*0.035)))),
0)))</f>
        <v>0</v>
      </c>
      <c r="H177" s="163">
        <f>IF(I177="مخالفات",50,Basic345678[[#This Row],[قيمة الرسوم / العموله]]+Basic345678[[#This Row],[قيمة الشحنه]])</f>
        <v>0</v>
      </c>
      <c r="I177" s="90"/>
      <c r="J177" s="142" t="str">
        <f t="shared" si="2"/>
        <v>25.5.2026</v>
      </c>
      <c r="L177" s="153">
        <v>166</v>
      </c>
      <c r="M177" s="92"/>
    </row>
    <row r="178" spans="1:13" ht="21.6" x14ac:dyDescent="0.65">
      <c r="A178" s="195"/>
      <c r="B178" s="140">
        <v>175</v>
      </c>
      <c r="C178" s="2"/>
      <c r="D178" s="1"/>
      <c r="E178" s="3"/>
      <c r="F178" s="1"/>
      <c r="G178" s="141">
        <f>IF(Basic345678[[#This Row],[نوع الخدمة]]="مخالفات", 50,
IF(Basic345678[[#This Row],[نوع الخدمة]]="كاش ان",
    IF(F178&lt;=100, 18, IF(F178&lt;=250, 23, IF(F178&lt;=500, 35, IF(F178&lt;=1000, 40, F178*0.04)))),
IF(Basic345678[[#This Row],[نوع الخدمة]]="كاش اوت",
    IF(F178&lt;=100, 15, IF(F178&lt;=250, 20, IF(F178&lt;=500, 30, IF(F178&lt;=1000, 35, F178*0.035)))),
0)))</f>
        <v>0</v>
      </c>
      <c r="H178" s="163">
        <f>IF(I178="مخالفات",50,Basic345678[[#This Row],[قيمة الرسوم / العموله]]+Basic345678[[#This Row],[قيمة الشحنه]])</f>
        <v>0</v>
      </c>
      <c r="I178" s="90"/>
      <c r="J178" s="142" t="str">
        <f t="shared" si="2"/>
        <v>25.5.2026</v>
      </c>
      <c r="L178" s="153">
        <v>167</v>
      </c>
      <c r="M178" s="92"/>
    </row>
    <row r="179" spans="1:13" ht="21.6" x14ac:dyDescent="0.65">
      <c r="A179" s="195"/>
      <c r="B179" s="140">
        <v>176</v>
      </c>
      <c r="C179" s="2"/>
      <c r="D179" s="1"/>
      <c r="E179" s="3"/>
      <c r="F179" s="1"/>
      <c r="G179" s="141">
        <f>IF(Basic345678[[#This Row],[نوع الخدمة]]="مخالفات", 50,
IF(Basic345678[[#This Row],[نوع الخدمة]]="كاش ان",
    IF(F179&lt;=100, 18, IF(F179&lt;=250, 23, IF(F179&lt;=500, 35, IF(F179&lt;=1000, 40, F179*0.04)))),
IF(Basic345678[[#This Row],[نوع الخدمة]]="كاش اوت",
    IF(F179&lt;=100, 15, IF(F179&lt;=250, 20, IF(F179&lt;=500, 30, IF(F179&lt;=1000, 35, F179*0.035)))),
0)))</f>
        <v>0</v>
      </c>
      <c r="H179" s="163">
        <f>IF(I179="مخالفات",50,Basic345678[[#This Row],[قيمة الرسوم / العموله]]+Basic345678[[#This Row],[قيمة الشحنه]])</f>
        <v>0</v>
      </c>
      <c r="I179" s="90"/>
      <c r="J179" s="142" t="str">
        <f t="shared" si="2"/>
        <v>25.5.2026</v>
      </c>
      <c r="L179" s="153">
        <v>168</v>
      </c>
      <c r="M179" s="92"/>
    </row>
    <row r="180" spans="1:13" ht="21.6" x14ac:dyDescent="0.65">
      <c r="A180" s="195"/>
      <c r="B180" s="140">
        <v>177</v>
      </c>
      <c r="C180" s="2"/>
      <c r="D180" s="1"/>
      <c r="E180" s="3"/>
      <c r="F180" s="1"/>
      <c r="G180" s="141">
        <f>IF(Basic345678[[#This Row],[نوع الخدمة]]="مخالفات", 50,
IF(Basic345678[[#This Row],[نوع الخدمة]]="كاش ان",
    IF(F180&lt;=100, 18, IF(F180&lt;=250, 23, IF(F180&lt;=500, 35, IF(F180&lt;=1000, 40, F180*0.04)))),
IF(Basic345678[[#This Row],[نوع الخدمة]]="كاش اوت",
    IF(F180&lt;=100, 15, IF(F180&lt;=250, 20, IF(F180&lt;=500, 30, IF(F180&lt;=1000, 35, F180*0.035)))),
0)))</f>
        <v>0</v>
      </c>
      <c r="H180" s="163">
        <f>IF(I180="مخالفات",50,Basic345678[[#This Row],[قيمة الرسوم / العموله]]+Basic345678[[#This Row],[قيمة الشحنه]])</f>
        <v>0</v>
      </c>
      <c r="I180" s="90"/>
      <c r="J180" s="142" t="str">
        <f t="shared" si="2"/>
        <v>25.5.2026</v>
      </c>
      <c r="L180" s="153">
        <v>169</v>
      </c>
      <c r="M180" s="92"/>
    </row>
    <row r="181" spans="1:13" ht="21.6" x14ac:dyDescent="0.65">
      <c r="A181" s="195"/>
      <c r="B181" s="144">
        <v>178</v>
      </c>
      <c r="C181" s="2"/>
      <c r="D181" s="1"/>
      <c r="E181" s="3"/>
      <c r="F181" s="1"/>
      <c r="G181" s="141">
        <f>IF(Basic345678[[#This Row],[نوع الخدمة]]="مخالفات", 50,
IF(Basic345678[[#This Row],[نوع الخدمة]]="كاش ان",
    IF(F181&lt;=100, 18, IF(F181&lt;=250, 23, IF(F181&lt;=500, 35, IF(F181&lt;=1000, 40, F181*0.04)))),
IF(Basic345678[[#This Row],[نوع الخدمة]]="كاش اوت",
    IF(F181&lt;=100, 15, IF(F181&lt;=250, 20, IF(F181&lt;=500, 30, IF(F181&lt;=1000, 35, F181*0.035)))),
0)))</f>
        <v>0</v>
      </c>
      <c r="H181" s="163">
        <f>IF(I181="مخالفات",50,Basic345678[[#This Row],[قيمة الرسوم / العموله]]+Basic345678[[#This Row],[قيمة الشحنه]])</f>
        <v>0</v>
      </c>
      <c r="I181" s="90"/>
      <c r="J181" s="142" t="str">
        <f t="shared" si="2"/>
        <v>25.5.2026</v>
      </c>
      <c r="L181" s="153">
        <v>170</v>
      </c>
      <c r="M181" s="92"/>
    </row>
    <row r="182" spans="1:13" ht="21.6" x14ac:dyDescent="0.65">
      <c r="A182" s="195"/>
      <c r="B182" s="140">
        <v>179</v>
      </c>
      <c r="C182" s="2"/>
      <c r="D182" s="1"/>
      <c r="E182" s="3"/>
      <c r="F182" s="1"/>
      <c r="G182" s="141">
        <f>IF(Basic345678[[#This Row],[نوع الخدمة]]="مخالفات", 50,
IF(Basic345678[[#This Row],[نوع الخدمة]]="كاش ان",
    IF(F182&lt;=100, 18, IF(F182&lt;=250, 23, IF(F182&lt;=500, 35, IF(F182&lt;=1000, 40, F182*0.04)))),
IF(Basic345678[[#This Row],[نوع الخدمة]]="كاش اوت",
    IF(F182&lt;=100, 15, IF(F182&lt;=250, 20, IF(F182&lt;=500, 30, IF(F182&lt;=1000, 35, F182*0.035)))),
0)))</f>
        <v>0</v>
      </c>
      <c r="H182" s="163">
        <f>IF(I182="مخالفات",50,Basic345678[[#This Row],[قيمة الرسوم / العموله]]+Basic345678[[#This Row],[قيمة الشحنه]])</f>
        <v>0</v>
      </c>
      <c r="I182" s="90"/>
      <c r="J182" s="142" t="str">
        <f t="shared" si="2"/>
        <v>25.5.2026</v>
      </c>
      <c r="L182" s="153">
        <v>171</v>
      </c>
      <c r="M182" s="92"/>
    </row>
    <row r="183" spans="1:13" ht="21.6" x14ac:dyDescent="0.65">
      <c r="A183" s="195"/>
      <c r="B183" s="140">
        <v>180</v>
      </c>
      <c r="C183" s="2"/>
      <c r="D183" s="1"/>
      <c r="E183" s="3"/>
      <c r="F183" s="1"/>
      <c r="G183" s="141">
        <f>IF(Basic345678[[#This Row],[نوع الخدمة]]="مخالفات", 50,
IF(Basic345678[[#This Row],[نوع الخدمة]]="كاش ان",
    IF(F183&lt;=100, 18, IF(F183&lt;=250, 23, IF(F183&lt;=500, 35, IF(F183&lt;=1000, 40, F183*0.04)))),
IF(Basic345678[[#This Row],[نوع الخدمة]]="كاش اوت",
    IF(F183&lt;=100, 15, IF(F183&lt;=250, 20, IF(F183&lt;=500, 30, IF(F183&lt;=1000, 35, F183*0.035)))),
0)))</f>
        <v>0</v>
      </c>
      <c r="H183" s="163">
        <f>IF(I183="مخالفات",50,Basic345678[[#This Row],[قيمة الرسوم / العموله]]+Basic345678[[#This Row],[قيمة الشحنه]])</f>
        <v>0</v>
      </c>
      <c r="I183" s="90"/>
      <c r="J183" s="142" t="str">
        <f t="shared" si="2"/>
        <v>25.5.2026</v>
      </c>
      <c r="L183" s="153">
        <v>172</v>
      </c>
      <c r="M183" s="92"/>
    </row>
    <row r="184" spans="1:13" ht="21.6" x14ac:dyDescent="0.65">
      <c r="A184" s="195"/>
      <c r="B184" s="140">
        <v>181</v>
      </c>
      <c r="C184" s="2"/>
      <c r="D184" s="1"/>
      <c r="E184" s="3"/>
      <c r="F184" s="1"/>
      <c r="G184" s="141">
        <f>IF(Basic345678[[#This Row],[نوع الخدمة]]="مخالفات", 50,
IF(Basic345678[[#This Row],[نوع الخدمة]]="كاش ان",
    IF(F184&lt;=100, 18, IF(F184&lt;=250, 23, IF(F184&lt;=500, 35, IF(F184&lt;=1000, 40, F184*0.04)))),
IF(Basic345678[[#This Row],[نوع الخدمة]]="كاش اوت",
    IF(F184&lt;=100, 15, IF(F184&lt;=250, 20, IF(F184&lt;=500, 30, IF(F184&lt;=1000, 35, F184*0.035)))),
0)))</f>
        <v>0</v>
      </c>
      <c r="H184" s="163">
        <f>IF(I184="مخالفات",50,Basic345678[[#This Row],[قيمة الرسوم / العموله]]+Basic345678[[#This Row],[قيمة الشحنه]])</f>
        <v>0</v>
      </c>
      <c r="I184" s="90"/>
      <c r="J184" s="142" t="str">
        <f t="shared" si="2"/>
        <v>25.5.2026</v>
      </c>
      <c r="L184" s="153">
        <v>173</v>
      </c>
      <c r="M184" s="92"/>
    </row>
    <row r="185" spans="1:13" ht="21.6" x14ac:dyDescent="0.65">
      <c r="A185" s="195"/>
      <c r="B185" s="144">
        <v>182</v>
      </c>
      <c r="C185" s="2"/>
      <c r="D185" s="1"/>
      <c r="E185" s="3"/>
      <c r="F185" s="1"/>
      <c r="G185" s="141">
        <f>IF(Basic345678[[#This Row],[نوع الخدمة]]="مخالفات", 50,
IF(Basic345678[[#This Row],[نوع الخدمة]]="كاش ان",
    IF(F185&lt;=100, 18, IF(F185&lt;=250, 23, IF(F185&lt;=500, 35, IF(F185&lt;=1000, 40, F185*0.04)))),
IF(Basic345678[[#This Row],[نوع الخدمة]]="كاش اوت",
    IF(F185&lt;=100, 15, IF(F185&lt;=250, 20, IF(F185&lt;=500, 30, IF(F185&lt;=1000, 35, F185*0.035)))),
0)))</f>
        <v>0</v>
      </c>
      <c r="H185" s="163">
        <f>IF(I185="مخالفات",50,Basic345678[[#This Row],[قيمة الرسوم / العموله]]+Basic345678[[#This Row],[قيمة الشحنه]])</f>
        <v>0</v>
      </c>
      <c r="I185" s="90"/>
      <c r="J185" s="142" t="str">
        <f t="shared" si="2"/>
        <v>25.5.2026</v>
      </c>
      <c r="L185" s="153">
        <v>174</v>
      </c>
      <c r="M185" s="92"/>
    </row>
    <row r="186" spans="1:13" ht="21.6" x14ac:dyDescent="0.65">
      <c r="A186" s="195"/>
      <c r="B186" s="140">
        <v>183</v>
      </c>
      <c r="C186" s="2"/>
      <c r="D186" s="1"/>
      <c r="E186" s="3"/>
      <c r="F186" s="1"/>
      <c r="G186" s="141">
        <f>IF(Basic345678[[#This Row],[نوع الخدمة]]="مخالفات", 50,
IF(Basic345678[[#This Row],[نوع الخدمة]]="كاش ان",
    IF(F186&lt;=100, 18, IF(F186&lt;=250, 23, IF(F186&lt;=500, 35, IF(F186&lt;=1000, 40, F186*0.04)))),
IF(Basic345678[[#This Row],[نوع الخدمة]]="كاش اوت",
    IF(F186&lt;=100, 15, IF(F186&lt;=250, 20, IF(F186&lt;=500, 30, IF(F186&lt;=1000, 35, F186*0.035)))),
0)))</f>
        <v>0</v>
      </c>
      <c r="H186" s="163">
        <f>IF(I186="مخالفات",50,Basic345678[[#This Row],[قيمة الرسوم / العموله]]+Basic345678[[#This Row],[قيمة الشحنه]])</f>
        <v>0</v>
      </c>
      <c r="I186" s="90"/>
      <c r="J186" s="142" t="str">
        <f t="shared" si="2"/>
        <v>25.5.2026</v>
      </c>
      <c r="L186" s="153">
        <v>175</v>
      </c>
      <c r="M186" s="92"/>
    </row>
    <row r="187" spans="1:13" ht="21.6" x14ac:dyDescent="0.65">
      <c r="A187" s="195"/>
      <c r="B187" s="140">
        <v>184</v>
      </c>
      <c r="C187" s="2"/>
      <c r="D187" s="1"/>
      <c r="E187" s="3"/>
      <c r="F187" s="1"/>
      <c r="G187" s="141">
        <f>IF(Basic345678[[#This Row],[نوع الخدمة]]="مخالفات", 50,
IF(Basic345678[[#This Row],[نوع الخدمة]]="كاش ان",
    IF(F187&lt;=100, 18, IF(F187&lt;=250, 23, IF(F187&lt;=500, 35, IF(F187&lt;=1000, 40, F187*0.04)))),
IF(Basic345678[[#This Row],[نوع الخدمة]]="كاش اوت",
    IF(F187&lt;=100, 15, IF(F187&lt;=250, 20, IF(F187&lt;=500, 30, IF(F187&lt;=1000, 35, F187*0.035)))),
0)))</f>
        <v>0</v>
      </c>
      <c r="H187" s="163">
        <f>IF(I187="مخالفات",50,Basic345678[[#This Row],[قيمة الرسوم / العموله]]+Basic345678[[#This Row],[قيمة الشحنه]])</f>
        <v>0</v>
      </c>
      <c r="I187" s="90"/>
      <c r="J187" s="142" t="str">
        <f t="shared" si="2"/>
        <v>25.5.2026</v>
      </c>
      <c r="L187" s="153">
        <v>176</v>
      </c>
      <c r="M187" s="92"/>
    </row>
    <row r="188" spans="1:13" ht="21.6" x14ac:dyDescent="0.65">
      <c r="A188" s="195"/>
      <c r="B188" s="140">
        <v>185</v>
      </c>
      <c r="C188" s="2"/>
      <c r="D188" s="1"/>
      <c r="E188" s="3"/>
      <c r="F188" s="1"/>
      <c r="G188" s="141">
        <f>IF(Basic345678[[#This Row],[نوع الخدمة]]="مخالفات", 50,
IF(Basic345678[[#This Row],[نوع الخدمة]]="كاش ان",
    IF(F188&lt;=100, 18, IF(F188&lt;=250, 23, IF(F188&lt;=500, 35, IF(F188&lt;=1000, 40, F188*0.04)))),
IF(Basic345678[[#This Row],[نوع الخدمة]]="كاش اوت",
    IF(F188&lt;=100, 15, IF(F188&lt;=250, 20, IF(F188&lt;=500, 30, IF(F188&lt;=1000, 35, F188*0.035)))),
0)))</f>
        <v>0</v>
      </c>
      <c r="H188" s="163">
        <f>IF(I188="مخالفات",50,Basic345678[[#This Row],[قيمة الرسوم / العموله]]+Basic345678[[#This Row],[قيمة الشحنه]])</f>
        <v>0</v>
      </c>
      <c r="I188" s="90"/>
      <c r="J188" s="142" t="str">
        <f t="shared" si="2"/>
        <v>25.5.2026</v>
      </c>
      <c r="L188" s="153">
        <v>177</v>
      </c>
      <c r="M188" s="92"/>
    </row>
    <row r="189" spans="1:13" ht="21.6" x14ac:dyDescent="0.65">
      <c r="A189" s="195"/>
      <c r="B189" s="144">
        <v>186</v>
      </c>
      <c r="C189" s="2"/>
      <c r="D189" s="1"/>
      <c r="E189" s="3"/>
      <c r="F189" s="1"/>
      <c r="G189" s="141">
        <f>IF(Basic345678[[#This Row],[نوع الخدمة]]="مخالفات", 50,
IF(Basic345678[[#This Row],[نوع الخدمة]]="كاش ان",
    IF(F189&lt;=100, 18, IF(F189&lt;=250, 23, IF(F189&lt;=500, 35, IF(F189&lt;=1000, 40, F189*0.04)))),
IF(Basic345678[[#This Row],[نوع الخدمة]]="كاش اوت",
    IF(F189&lt;=100, 15, IF(F189&lt;=250, 20, IF(F189&lt;=500, 30, IF(F189&lt;=1000, 35, F189*0.035)))),
0)))</f>
        <v>0</v>
      </c>
      <c r="H189" s="163">
        <f>IF(I189="مخالفات",50,Basic345678[[#This Row],[قيمة الرسوم / العموله]]+Basic345678[[#This Row],[قيمة الشحنه]])</f>
        <v>0</v>
      </c>
      <c r="I189" s="90"/>
      <c r="J189" s="142" t="str">
        <f t="shared" si="2"/>
        <v>25.5.2026</v>
      </c>
      <c r="L189" s="153">
        <v>178</v>
      </c>
      <c r="M189" s="92"/>
    </row>
    <row r="190" spans="1:13" ht="21.6" x14ac:dyDescent="0.65">
      <c r="A190" s="195"/>
      <c r="B190" s="140">
        <v>187</v>
      </c>
      <c r="C190" s="2"/>
      <c r="D190" s="1"/>
      <c r="E190" s="3"/>
      <c r="F190" s="1"/>
      <c r="G190" s="141">
        <f>IF(Basic345678[[#This Row],[نوع الخدمة]]="مخالفات", 50,
IF(Basic345678[[#This Row],[نوع الخدمة]]="كاش ان",
    IF(F190&lt;=100, 18, IF(F190&lt;=250, 23, IF(F190&lt;=500, 35, IF(F190&lt;=1000, 40, F190*0.04)))),
IF(Basic345678[[#This Row],[نوع الخدمة]]="كاش اوت",
    IF(F190&lt;=100, 15, IF(F190&lt;=250, 20, IF(F190&lt;=500, 30, IF(F190&lt;=1000, 35, F190*0.035)))),
0)))</f>
        <v>0</v>
      </c>
      <c r="H190" s="163">
        <f>IF(I190="مخالفات",50,Basic345678[[#This Row],[قيمة الرسوم / العموله]]+Basic345678[[#This Row],[قيمة الشحنه]])</f>
        <v>0</v>
      </c>
      <c r="I190" s="90"/>
      <c r="J190" s="142" t="str">
        <f t="shared" si="2"/>
        <v>25.5.2026</v>
      </c>
      <c r="L190" s="153">
        <v>179</v>
      </c>
      <c r="M190" s="92"/>
    </row>
    <row r="191" spans="1:13" ht="21.6" x14ac:dyDescent="0.65">
      <c r="A191" s="195"/>
      <c r="B191" s="140">
        <v>188</v>
      </c>
      <c r="C191" s="2"/>
      <c r="D191" s="1"/>
      <c r="E191" s="3"/>
      <c r="F191" s="1"/>
      <c r="G191" s="141">
        <f>IF(Basic345678[[#This Row],[نوع الخدمة]]="مخالفات", 50,
IF(Basic345678[[#This Row],[نوع الخدمة]]="كاش ان",
    IF(F191&lt;=100, 18, IF(F191&lt;=250, 23, IF(F191&lt;=500, 35, IF(F191&lt;=1000, 40, F191*0.04)))),
IF(Basic345678[[#This Row],[نوع الخدمة]]="كاش اوت",
    IF(F191&lt;=100, 15, IF(F191&lt;=250, 20, IF(F191&lt;=500, 30, IF(F191&lt;=1000, 35, F191*0.035)))),
0)))</f>
        <v>0</v>
      </c>
      <c r="H191" s="163">
        <f>IF(I191="مخالفات",50,Basic345678[[#This Row],[قيمة الرسوم / العموله]]+Basic345678[[#This Row],[قيمة الشحنه]])</f>
        <v>0</v>
      </c>
      <c r="I191" s="90"/>
      <c r="J191" s="142" t="str">
        <f t="shared" si="2"/>
        <v>25.5.2026</v>
      </c>
      <c r="L191" s="153">
        <v>180</v>
      </c>
      <c r="M191" s="92"/>
    </row>
    <row r="192" spans="1:13" ht="21.6" x14ac:dyDescent="0.65">
      <c r="A192" s="195"/>
      <c r="B192" s="140">
        <v>189</v>
      </c>
      <c r="C192" s="2"/>
      <c r="D192" s="1"/>
      <c r="E192" s="3"/>
      <c r="F192" s="1"/>
      <c r="G192" s="141">
        <f>IF(Basic345678[[#This Row],[نوع الخدمة]]="مخالفات", 50,
IF(Basic345678[[#This Row],[نوع الخدمة]]="كاش ان",
    IF(F192&lt;=100, 18, IF(F192&lt;=250, 23, IF(F192&lt;=500, 35, IF(F192&lt;=1000, 40, F192*0.04)))),
IF(Basic345678[[#This Row],[نوع الخدمة]]="كاش اوت",
    IF(F192&lt;=100, 15, IF(F192&lt;=250, 20, IF(F192&lt;=500, 30, IF(F192&lt;=1000, 35, F192*0.035)))),
0)))</f>
        <v>0</v>
      </c>
      <c r="H192" s="163">
        <f>IF(I192="مخالفات",50,Basic345678[[#This Row],[قيمة الرسوم / العموله]]+Basic345678[[#This Row],[قيمة الشحنه]])</f>
        <v>0</v>
      </c>
      <c r="I192" s="90"/>
      <c r="J192" s="142" t="str">
        <f t="shared" si="2"/>
        <v>25.5.2026</v>
      </c>
      <c r="L192" s="153">
        <v>181</v>
      </c>
      <c r="M192" s="92"/>
    </row>
    <row r="193" spans="1:13" ht="21.6" x14ac:dyDescent="0.65">
      <c r="A193" s="195"/>
      <c r="B193" s="144">
        <v>190</v>
      </c>
      <c r="C193" s="2"/>
      <c r="D193" s="1"/>
      <c r="E193" s="3"/>
      <c r="F193" s="1"/>
      <c r="G193" s="141">
        <f>IF(Basic345678[[#This Row],[نوع الخدمة]]="مخالفات", 50,
IF(Basic345678[[#This Row],[نوع الخدمة]]="كاش ان",
    IF(F193&lt;=100, 18, IF(F193&lt;=250, 23, IF(F193&lt;=500, 35, IF(F193&lt;=1000, 40, F193*0.04)))),
IF(Basic345678[[#This Row],[نوع الخدمة]]="كاش اوت",
    IF(F193&lt;=100, 15, IF(F193&lt;=250, 20, IF(F193&lt;=500, 30, IF(F193&lt;=1000, 35, F193*0.035)))),
0)))</f>
        <v>0</v>
      </c>
      <c r="H193" s="163">
        <f>IF(I193="مخالفات",50,Basic345678[[#This Row],[قيمة الرسوم / العموله]]+Basic345678[[#This Row],[قيمة الشحنه]])</f>
        <v>0</v>
      </c>
      <c r="I193" s="90"/>
      <c r="J193" s="142" t="str">
        <f t="shared" si="2"/>
        <v>25.5.2026</v>
      </c>
      <c r="L193" s="153">
        <v>182</v>
      </c>
      <c r="M193" s="92"/>
    </row>
    <row r="194" spans="1:13" ht="21.6" x14ac:dyDescent="0.65">
      <c r="A194" s="195"/>
      <c r="B194" s="140">
        <v>191</v>
      </c>
      <c r="C194" s="2"/>
      <c r="D194" s="1"/>
      <c r="E194" s="3"/>
      <c r="F194" s="1"/>
      <c r="G194" s="141">
        <f>IF(Basic345678[[#This Row],[نوع الخدمة]]="مخالفات", 50,
IF(Basic345678[[#This Row],[نوع الخدمة]]="كاش ان",
    IF(F194&lt;=100, 18, IF(F194&lt;=250, 23, IF(F194&lt;=500, 35, IF(F194&lt;=1000, 40, F194*0.04)))),
IF(Basic345678[[#This Row],[نوع الخدمة]]="كاش اوت",
    IF(F194&lt;=100, 15, IF(F194&lt;=250, 20, IF(F194&lt;=500, 30, IF(F194&lt;=1000, 35, F194*0.035)))),
0)))</f>
        <v>0</v>
      </c>
      <c r="H194" s="163">
        <f>IF(I194="مخالفات",50,Basic345678[[#This Row],[قيمة الرسوم / العموله]]+Basic345678[[#This Row],[قيمة الشحنه]])</f>
        <v>0</v>
      </c>
      <c r="I194" s="90"/>
      <c r="J194" s="142" t="str">
        <f t="shared" si="2"/>
        <v>25.5.2026</v>
      </c>
      <c r="L194" s="153">
        <v>183</v>
      </c>
      <c r="M194" s="92"/>
    </row>
    <row r="195" spans="1:13" ht="21.6" x14ac:dyDescent="0.65">
      <c r="A195" s="195"/>
      <c r="B195" s="140">
        <v>192</v>
      </c>
      <c r="C195" s="2"/>
      <c r="D195" s="1"/>
      <c r="E195" s="3"/>
      <c r="F195" s="1"/>
      <c r="G195" s="141">
        <f>IF(Basic345678[[#This Row],[نوع الخدمة]]="مخالفات", 50,
IF(Basic345678[[#This Row],[نوع الخدمة]]="كاش ان",
    IF(F195&lt;=100, 18, IF(F195&lt;=250, 23, IF(F195&lt;=500, 35, IF(F195&lt;=1000, 40, F195*0.04)))),
IF(Basic345678[[#This Row],[نوع الخدمة]]="كاش اوت",
    IF(F195&lt;=100, 15, IF(F195&lt;=250, 20, IF(F195&lt;=500, 30, IF(F195&lt;=1000, 35, F195*0.035)))),
0)))</f>
        <v>0</v>
      </c>
      <c r="H195" s="163">
        <f>IF(I195="مخالفات",50,Basic345678[[#This Row],[قيمة الرسوم / العموله]]+Basic345678[[#This Row],[قيمة الشحنه]])</f>
        <v>0</v>
      </c>
      <c r="I195" s="90"/>
      <c r="J195" s="142" t="str">
        <f t="shared" si="2"/>
        <v>25.5.2026</v>
      </c>
      <c r="L195" s="153">
        <v>184</v>
      </c>
      <c r="M195" s="92"/>
    </row>
    <row r="196" spans="1:13" ht="21.6" x14ac:dyDescent="0.65">
      <c r="A196" s="195"/>
      <c r="B196" s="140">
        <v>193</v>
      </c>
      <c r="C196" s="2"/>
      <c r="D196" s="1"/>
      <c r="E196" s="3"/>
      <c r="F196" s="1"/>
      <c r="G196" s="141">
        <f>IF(Basic345678[[#This Row],[نوع الخدمة]]="مخالفات", 50,
IF(Basic345678[[#This Row],[نوع الخدمة]]="كاش ان",
    IF(F196&lt;=100, 18, IF(F196&lt;=250, 23, IF(F196&lt;=500, 35, IF(F196&lt;=1000, 40, F196*0.04)))),
IF(Basic345678[[#This Row],[نوع الخدمة]]="كاش اوت",
    IF(F196&lt;=100, 15, IF(F196&lt;=250, 20, IF(F196&lt;=500, 30, IF(F196&lt;=1000, 35, F196*0.035)))),
0)))</f>
        <v>0</v>
      </c>
      <c r="H196" s="163">
        <f>IF(I196="مخالفات",50,Basic345678[[#This Row],[قيمة الرسوم / العموله]]+Basic345678[[#This Row],[قيمة الشحنه]])</f>
        <v>0</v>
      </c>
      <c r="I196" s="90"/>
      <c r="J196" s="142" t="str">
        <f t="shared" ref="J196:J226" si="3">M$3</f>
        <v>25.5.2026</v>
      </c>
      <c r="L196" s="153">
        <v>185</v>
      </c>
      <c r="M196" s="92"/>
    </row>
    <row r="197" spans="1:13" ht="21.6" x14ac:dyDescent="0.65">
      <c r="A197" s="195"/>
      <c r="B197" s="144">
        <v>194</v>
      </c>
      <c r="C197" s="2"/>
      <c r="D197" s="1"/>
      <c r="E197" s="3"/>
      <c r="F197" s="1"/>
      <c r="G197" s="141">
        <f>IF(Basic345678[[#This Row],[نوع الخدمة]]="مخالفات", 50,
IF(Basic345678[[#This Row],[نوع الخدمة]]="كاش ان",
    IF(F197&lt;=100, 18, IF(F197&lt;=250, 23, IF(F197&lt;=500, 35, IF(F197&lt;=1000, 40, F197*0.04)))),
IF(Basic345678[[#This Row],[نوع الخدمة]]="كاش اوت",
    IF(F197&lt;=100, 15, IF(F197&lt;=250, 20, IF(F197&lt;=500, 30, IF(F197&lt;=1000, 35, F197*0.035)))),
0)))</f>
        <v>0</v>
      </c>
      <c r="H197" s="163">
        <f>IF(I197="مخالفات",50,Basic345678[[#This Row],[قيمة الرسوم / العموله]]+Basic345678[[#This Row],[قيمة الشحنه]])</f>
        <v>0</v>
      </c>
      <c r="I197" s="90"/>
      <c r="J197" s="142" t="str">
        <f t="shared" si="3"/>
        <v>25.5.2026</v>
      </c>
      <c r="L197" s="153">
        <v>186</v>
      </c>
      <c r="M197" s="92"/>
    </row>
    <row r="198" spans="1:13" ht="21.6" x14ac:dyDescent="0.65">
      <c r="A198" s="195"/>
      <c r="B198" s="140">
        <v>195</v>
      </c>
      <c r="C198" s="2"/>
      <c r="D198" s="1"/>
      <c r="E198" s="3"/>
      <c r="F198" s="1"/>
      <c r="G198" s="141">
        <f>IF(Basic345678[[#This Row],[نوع الخدمة]]="مخالفات", 50,
IF(Basic345678[[#This Row],[نوع الخدمة]]="كاش ان",
    IF(F198&lt;=100, 18, IF(F198&lt;=250, 23, IF(F198&lt;=500, 35, IF(F198&lt;=1000, 40, F198*0.04)))),
IF(Basic345678[[#This Row],[نوع الخدمة]]="كاش اوت",
    IF(F198&lt;=100, 15, IF(F198&lt;=250, 20, IF(F198&lt;=500, 30, IF(F198&lt;=1000, 35, F198*0.035)))),
0)))</f>
        <v>0</v>
      </c>
      <c r="H198" s="163">
        <f>IF(I198="مخالفات",50,Basic345678[[#This Row],[قيمة الرسوم / العموله]]+Basic345678[[#This Row],[قيمة الشحنه]])</f>
        <v>0</v>
      </c>
      <c r="I198" s="90"/>
      <c r="J198" s="142" t="str">
        <f t="shared" si="3"/>
        <v>25.5.2026</v>
      </c>
      <c r="L198" s="153">
        <v>187</v>
      </c>
      <c r="M198" s="92"/>
    </row>
    <row r="199" spans="1:13" ht="21.6" x14ac:dyDescent="0.65">
      <c r="A199" s="195"/>
      <c r="B199" s="140">
        <v>196</v>
      </c>
      <c r="C199" s="2"/>
      <c r="D199" s="1"/>
      <c r="E199" s="3"/>
      <c r="F199" s="1"/>
      <c r="G199" s="141">
        <f>IF(Basic345678[[#This Row],[نوع الخدمة]]="مخالفات", 50,
IF(Basic345678[[#This Row],[نوع الخدمة]]="كاش ان",
    IF(F199&lt;=100, 18, IF(F199&lt;=250, 23, IF(F199&lt;=500, 35, IF(F199&lt;=1000, 40, F199*0.04)))),
IF(Basic345678[[#This Row],[نوع الخدمة]]="كاش اوت",
    IF(F199&lt;=100, 15, IF(F199&lt;=250, 20, IF(F199&lt;=500, 30, IF(F199&lt;=1000, 35, F199*0.035)))),
0)))</f>
        <v>0</v>
      </c>
      <c r="H199" s="163">
        <f>IF(I199="مخالفات",50,Basic345678[[#This Row],[قيمة الرسوم / العموله]]+Basic345678[[#This Row],[قيمة الشحنه]])</f>
        <v>0</v>
      </c>
      <c r="I199" s="90"/>
      <c r="J199" s="142" t="str">
        <f t="shared" si="3"/>
        <v>25.5.2026</v>
      </c>
      <c r="L199" s="153">
        <v>188</v>
      </c>
      <c r="M199" s="92"/>
    </row>
    <row r="200" spans="1:13" ht="21.6" x14ac:dyDescent="0.65">
      <c r="A200" s="195"/>
      <c r="B200" s="140">
        <v>197</v>
      </c>
      <c r="C200" s="2"/>
      <c r="D200" s="1"/>
      <c r="E200" s="3"/>
      <c r="F200" s="1"/>
      <c r="G200" s="141">
        <f>IF(Basic345678[[#This Row],[نوع الخدمة]]="مخالفات", 50,
IF(Basic345678[[#This Row],[نوع الخدمة]]="كاش ان",
    IF(F200&lt;=100, 18, IF(F200&lt;=250, 23, IF(F200&lt;=500, 35, IF(F200&lt;=1000, 40, F200*0.04)))),
IF(Basic345678[[#This Row],[نوع الخدمة]]="كاش اوت",
    IF(F200&lt;=100, 15, IF(F200&lt;=250, 20, IF(F200&lt;=500, 30, IF(F200&lt;=1000, 35, F200*0.035)))),
0)))</f>
        <v>0</v>
      </c>
      <c r="H200" s="163">
        <f>IF(I200="مخالفات",50,Basic345678[[#This Row],[قيمة الرسوم / العموله]]+Basic345678[[#This Row],[قيمة الشحنه]])</f>
        <v>0</v>
      </c>
      <c r="I200" s="90"/>
      <c r="J200" s="142" t="str">
        <f t="shared" si="3"/>
        <v>25.5.2026</v>
      </c>
      <c r="L200" s="153">
        <v>189</v>
      </c>
      <c r="M200" s="92"/>
    </row>
    <row r="201" spans="1:13" ht="21.6" x14ac:dyDescent="0.65">
      <c r="A201" s="195"/>
      <c r="B201" s="144">
        <v>198</v>
      </c>
      <c r="C201" s="2"/>
      <c r="D201" s="1"/>
      <c r="E201" s="3"/>
      <c r="F201" s="1"/>
      <c r="G201" s="141">
        <f>IF(Basic345678[[#This Row],[نوع الخدمة]]="مخالفات", 50,
IF(Basic345678[[#This Row],[نوع الخدمة]]="كاش ان",
    IF(F201&lt;=100, 18, IF(F201&lt;=250, 23, IF(F201&lt;=500, 35, IF(F201&lt;=1000, 40, F201*0.04)))),
IF(Basic345678[[#This Row],[نوع الخدمة]]="كاش اوت",
    IF(F201&lt;=100, 15, IF(F201&lt;=250, 20, IF(F201&lt;=500, 30, IF(F201&lt;=1000, 35, F201*0.035)))),
0)))</f>
        <v>0</v>
      </c>
      <c r="H201" s="163">
        <f>IF(I201="مخالفات",50,Basic345678[[#This Row],[قيمة الرسوم / العموله]]+Basic345678[[#This Row],[قيمة الشحنه]])</f>
        <v>0</v>
      </c>
      <c r="I201" s="90"/>
      <c r="J201" s="142" t="str">
        <f t="shared" si="3"/>
        <v>25.5.2026</v>
      </c>
      <c r="L201" s="153">
        <v>190</v>
      </c>
      <c r="M201" s="92"/>
    </row>
    <row r="202" spans="1:13" ht="21.6" x14ac:dyDescent="0.65">
      <c r="A202" s="195"/>
      <c r="B202" s="140">
        <v>199</v>
      </c>
      <c r="C202" s="2"/>
      <c r="D202" s="1"/>
      <c r="E202" s="3"/>
      <c r="F202" s="1"/>
      <c r="G202" s="141">
        <f>IF(Basic345678[[#This Row],[نوع الخدمة]]="مخالفات", 50,
IF(Basic345678[[#This Row],[نوع الخدمة]]="كاش ان",
    IF(F202&lt;=100, 18, IF(F202&lt;=250, 23, IF(F202&lt;=500, 35, IF(F202&lt;=1000, 40, F202*0.04)))),
IF(Basic345678[[#This Row],[نوع الخدمة]]="كاش اوت",
    IF(F202&lt;=100, 15, IF(F202&lt;=250, 20, IF(F202&lt;=500, 30, IF(F202&lt;=1000, 35, F202*0.035)))),
0)))</f>
        <v>0</v>
      </c>
      <c r="H202" s="163">
        <f>IF(I202="مخالفات",50,Basic345678[[#This Row],[قيمة الرسوم / العموله]]+Basic345678[[#This Row],[قيمة الشحنه]])</f>
        <v>0</v>
      </c>
      <c r="I202" s="90"/>
      <c r="J202" s="142" t="str">
        <f t="shared" si="3"/>
        <v>25.5.2026</v>
      </c>
      <c r="L202" s="153">
        <v>191</v>
      </c>
      <c r="M202" s="92"/>
    </row>
    <row r="203" spans="1:13" ht="21.6" x14ac:dyDescent="0.65">
      <c r="A203" s="195"/>
      <c r="B203" s="140">
        <v>200</v>
      </c>
      <c r="C203" s="2"/>
      <c r="D203" s="1"/>
      <c r="E203" s="3"/>
      <c r="F203" s="1"/>
      <c r="G203" s="141">
        <f>IF(Basic345678[[#This Row],[نوع الخدمة]]="مخالفات", 50,
IF(Basic345678[[#This Row],[نوع الخدمة]]="كاش ان",
    IF(F203&lt;=100, 18, IF(F203&lt;=250, 23, IF(F203&lt;=500, 35, IF(F203&lt;=1000, 40, F203*0.04)))),
IF(Basic345678[[#This Row],[نوع الخدمة]]="كاش اوت",
    IF(F203&lt;=100, 15, IF(F203&lt;=250, 20, IF(F203&lt;=500, 30, IF(F203&lt;=1000, 35, F203*0.035)))),
0)))</f>
        <v>0</v>
      </c>
      <c r="H203" s="163">
        <f>IF(I203="مخالفات",50,Basic345678[[#This Row],[قيمة الرسوم / العموله]]+Basic345678[[#This Row],[قيمة الشحنه]])</f>
        <v>0</v>
      </c>
      <c r="I203" s="90"/>
      <c r="J203" s="142" t="str">
        <f t="shared" si="3"/>
        <v>25.5.2026</v>
      </c>
      <c r="L203" s="153">
        <v>192</v>
      </c>
      <c r="M203" s="92"/>
    </row>
    <row r="204" spans="1:13" ht="21.6" x14ac:dyDescent="0.65">
      <c r="A204" s="195"/>
      <c r="B204" s="140">
        <v>201</v>
      </c>
      <c r="C204" s="2"/>
      <c r="D204" s="1"/>
      <c r="E204" s="3"/>
      <c r="F204" s="1"/>
      <c r="G204" s="141">
        <f>IF(Basic345678[[#This Row],[نوع الخدمة]]="مخالفات", 50,
IF(Basic345678[[#This Row],[نوع الخدمة]]="كاش ان",
    IF(F204&lt;=100, 18, IF(F204&lt;=250, 23, IF(F204&lt;=500, 35, IF(F204&lt;=1000, 40, F204*0.04)))),
IF(Basic345678[[#This Row],[نوع الخدمة]]="كاش اوت",
    IF(F204&lt;=100, 15, IF(F204&lt;=250, 20, IF(F204&lt;=500, 30, IF(F204&lt;=1000, 35, F204*0.035)))),
0)))</f>
        <v>0</v>
      </c>
      <c r="H204" s="163">
        <f>IF(I204="مخالفات",50,Basic345678[[#This Row],[قيمة الرسوم / العموله]]+Basic345678[[#This Row],[قيمة الشحنه]])</f>
        <v>0</v>
      </c>
      <c r="I204" s="90"/>
      <c r="J204" s="142" t="str">
        <f t="shared" si="3"/>
        <v>25.5.2026</v>
      </c>
      <c r="L204" s="153">
        <v>193</v>
      </c>
      <c r="M204" s="92"/>
    </row>
    <row r="205" spans="1:13" ht="21.6" x14ac:dyDescent="0.65">
      <c r="A205" s="195"/>
      <c r="B205" s="144">
        <v>202</v>
      </c>
      <c r="C205" s="2"/>
      <c r="D205" s="1"/>
      <c r="E205" s="3"/>
      <c r="F205" s="1"/>
      <c r="G205" s="141">
        <f>IF(Basic345678[[#This Row],[نوع الخدمة]]="مخالفات", 50,
IF(Basic345678[[#This Row],[نوع الخدمة]]="كاش ان",
    IF(F205&lt;=100, 18, IF(F205&lt;=250, 23, IF(F205&lt;=500, 35, IF(F205&lt;=1000, 40, F205*0.04)))),
IF(Basic345678[[#This Row],[نوع الخدمة]]="كاش اوت",
    IF(F205&lt;=100, 15, IF(F205&lt;=250, 20, IF(F205&lt;=500, 30, IF(F205&lt;=1000, 35, F205*0.035)))),
0)))</f>
        <v>0</v>
      </c>
      <c r="H205" s="163">
        <f>IF(I205="مخالفات",50,Basic345678[[#This Row],[قيمة الرسوم / العموله]]+Basic345678[[#This Row],[قيمة الشحنه]])</f>
        <v>0</v>
      </c>
      <c r="I205" s="90"/>
      <c r="J205" s="142" t="str">
        <f t="shared" si="3"/>
        <v>25.5.2026</v>
      </c>
      <c r="L205" s="153">
        <v>194</v>
      </c>
      <c r="M205" s="92"/>
    </row>
    <row r="206" spans="1:13" ht="21.6" x14ac:dyDescent="0.65">
      <c r="A206" s="195"/>
      <c r="B206" s="140">
        <v>203</v>
      </c>
      <c r="C206" s="2"/>
      <c r="D206" s="1"/>
      <c r="E206" s="3"/>
      <c r="F206" s="1"/>
      <c r="G206" s="141">
        <f>IF(Basic345678[[#This Row],[نوع الخدمة]]="مخالفات", 50,
IF(Basic345678[[#This Row],[نوع الخدمة]]="كاش ان",
    IF(F206&lt;=100, 18, IF(F206&lt;=250, 23, IF(F206&lt;=500, 35, IF(F206&lt;=1000, 40, F206*0.04)))),
IF(Basic345678[[#This Row],[نوع الخدمة]]="كاش اوت",
    IF(F206&lt;=100, 15, IF(F206&lt;=250, 20, IF(F206&lt;=500, 30, IF(F206&lt;=1000, 35, F206*0.035)))),
0)))</f>
        <v>0</v>
      </c>
      <c r="H206" s="163">
        <f>IF(I206="مخالفات",50,Basic345678[[#This Row],[قيمة الرسوم / العموله]]+Basic345678[[#This Row],[قيمة الشحنه]])</f>
        <v>0</v>
      </c>
      <c r="I206" s="90"/>
      <c r="J206" s="142" t="str">
        <f t="shared" si="3"/>
        <v>25.5.2026</v>
      </c>
      <c r="L206" s="153">
        <v>195</v>
      </c>
      <c r="M206" s="92"/>
    </row>
    <row r="207" spans="1:13" ht="21.6" x14ac:dyDescent="0.65">
      <c r="A207" s="195"/>
      <c r="B207" s="140">
        <v>204</v>
      </c>
      <c r="C207" s="2"/>
      <c r="D207" s="1"/>
      <c r="E207" s="3"/>
      <c r="F207" s="1"/>
      <c r="G207" s="141">
        <f>IF(Basic345678[[#This Row],[نوع الخدمة]]="مخالفات", 50,
IF(Basic345678[[#This Row],[نوع الخدمة]]="كاش ان",
    IF(F207&lt;=100, 18, IF(F207&lt;=250, 23, IF(F207&lt;=500, 35, IF(F207&lt;=1000, 40, F207*0.04)))),
IF(Basic345678[[#This Row],[نوع الخدمة]]="كاش اوت",
    IF(F207&lt;=100, 15, IF(F207&lt;=250, 20, IF(F207&lt;=500, 30, IF(F207&lt;=1000, 35, F207*0.035)))),
0)))</f>
        <v>0</v>
      </c>
      <c r="H207" s="163">
        <f>IF(I207="مخالفات",50,Basic345678[[#This Row],[قيمة الرسوم / العموله]]+Basic345678[[#This Row],[قيمة الشحنه]])</f>
        <v>0</v>
      </c>
      <c r="I207" s="90"/>
      <c r="J207" s="142" t="str">
        <f t="shared" si="3"/>
        <v>25.5.2026</v>
      </c>
      <c r="L207" s="153">
        <v>196</v>
      </c>
      <c r="M207" s="92"/>
    </row>
    <row r="208" spans="1:13" ht="21.6" x14ac:dyDescent="0.65">
      <c r="A208" s="195"/>
      <c r="B208" s="140">
        <v>205</v>
      </c>
      <c r="C208" s="2"/>
      <c r="D208" s="1"/>
      <c r="E208" s="3"/>
      <c r="F208" s="1"/>
      <c r="G208" s="141">
        <f>IF(Basic345678[[#This Row],[نوع الخدمة]]="مخالفات", 50,
IF(Basic345678[[#This Row],[نوع الخدمة]]="كاش ان",
    IF(F208&lt;=100, 18, IF(F208&lt;=250, 23, IF(F208&lt;=500, 35, IF(F208&lt;=1000, 40, F208*0.04)))),
IF(Basic345678[[#This Row],[نوع الخدمة]]="كاش اوت",
    IF(F208&lt;=100, 15, IF(F208&lt;=250, 20, IF(F208&lt;=500, 30, IF(F208&lt;=1000, 35, F208*0.035)))),
0)))</f>
        <v>0</v>
      </c>
      <c r="H208" s="163">
        <f>IF(I208="مخالفات",50,Basic345678[[#This Row],[قيمة الرسوم / العموله]]+Basic345678[[#This Row],[قيمة الشحنه]])</f>
        <v>0</v>
      </c>
      <c r="I208" s="90"/>
      <c r="J208" s="142" t="str">
        <f t="shared" si="3"/>
        <v>25.5.2026</v>
      </c>
      <c r="L208" s="153">
        <v>197</v>
      </c>
      <c r="M208" s="92"/>
    </row>
    <row r="209" spans="1:13" ht="21.6" x14ac:dyDescent="0.65">
      <c r="A209" s="195"/>
      <c r="B209" s="144">
        <v>206</v>
      </c>
      <c r="C209" s="2"/>
      <c r="D209" s="1"/>
      <c r="E209" s="3"/>
      <c r="F209" s="1"/>
      <c r="G209" s="141">
        <f>IF(Basic345678[[#This Row],[نوع الخدمة]]="مخالفات", 50,
IF(Basic345678[[#This Row],[نوع الخدمة]]="كاش ان",
    IF(F209&lt;=100, 18, IF(F209&lt;=250, 23, IF(F209&lt;=500, 35, IF(F209&lt;=1000, 40, F209*0.04)))),
IF(Basic345678[[#This Row],[نوع الخدمة]]="كاش اوت",
    IF(F209&lt;=100, 15, IF(F209&lt;=250, 20, IF(F209&lt;=500, 30, IF(F209&lt;=1000, 35, F209*0.035)))),
0)))</f>
        <v>0</v>
      </c>
      <c r="H209" s="163">
        <f>IF(I209="مخالفات",50,Basic345678[[#This Row],[قيمة الرسوم / العموله]]+Basic345678[[#This Row],[قيمة الشحنه]])</f>
        <v>0</v>
      </c>
      <c r="I209" s="90"/>
      <c r="J209" s="142" t="str">
        <f t="shared" si="3"/>
        <v>25.5.2026</v>
      </c>
      <c r="L209" s="153">
        <v>198</v>
      </c>
      <c r="M209" s="92"/>
    </row>
    <row r="210" spans="1:13" ht="21.6" x14ac:dyDescent="0.65">
      <c r="A210" s="195"/>
      <c r="B210" s="140">
        <v>207</v>
      </c>
      <c r="C210" s="2"/>
      <c r="D210" s="1"/>
      <c r="E210" s="3"/>
      <c r="F210" s="1"/>
      <c r="G210" s="141">
        <f>IF(Basic345678[[#This Row],[نوع الخدمة]]="مخالفات", 50,
IF(Basic345678[[#This Row],[نوع الخدمة]]="كاش ان",
    IF(F210&lt;=100, 18, IF(F210&lt;=250, 23, IF(F210&lt;=500, 35, IF(F210&lt;=1000, 40, F210*0.04)))),
IF(Basic345678[[#This Row],[نوع الخدمة]]="كاش اوت",
    IF(F210&lt;=100, 15, IF(F210&lt;=250, 20, IF(F210&lt;=500, 30, IF(F210&lt;=1000, 35, F210*0.035)))),
0)))</f>
        <v>0</v>
      </c>
      <c r="H210" s="163">
        <f>IF(I210="مخالفات",50,Basic345678[[#This Row],[قيمة الرسوم / العموله]]+Basic345678[[#This Row],[قيمة الشحنه]])</f>
        <v>0</v>
      </c>
      <c r="I210" s="90"/>
      <c r="J210" s="142" t="str">
        <f t="shared" si="3"/>
        <v>25.5.2026</v>
      </c>
      <c r="L210" s="153">
        <v>199</v>
      </c>
      <c r="M210" s="92"/>
    </row>
    <row r="211" spans="1:13" ht="21.6" x14ac:dyDescent="0.65">
      <c r="A211" s="195"/>
      <c r="B211" s="140">
        <v>208</v>
      </c>
      <c r="C211" s="2"/>
      <c r="D211" s="1"/>
      <c r="E211" s="3"/>
      <c r="F211" s="1"/>
      <c r="G211" s="141">
        <f>IF(Basic345678[[#This Row],[نوع الخدمة]]="مخالفات", 50,
IF(Basic345678[[#This Row],[نوع الخدمة]]="كاش ان",
    IF(F211&lt;=100, 18, IF(F211&lt;=250, 23, IF(F211&lt;=500, 35, IF(F211&lt;=1000, 40, F211*0.04)))),
IF(Basic345678[[#This Row],[نوع الخدمة]]="كاش اوت",
    IF(F211&lt;=100, 15, IF(F211&lt;=250, 20, IF(F211&lt;=500, 30, IF(F211&lt;=1000, 35, F211*0.035)))),
0)))</f>
        <v>0</v>
      </c>
      <c r="H211" s="163">
        <f>IF(I211="مخالفات",50,Basic345678[[#This Row],[قيمة الرسوم / العموله]]+Basic345678[[#This Row],[قيمة الشحنه]])</f>
        <v>0</v>
      </c>
      <c r="I211" s="90"/>
      <c r="J211" s="142" t="str">
        <f t="shared" si="3"/>
        <v>25.5.2026</v>
      </c>
      <c r="L211" s="153">
        <v>200</v>
      </c>
      <c r="M211" s="92"/>
    </row>
    <row r="212" spans="1:13" ht="21.6" x14ac:dyDescent="0.65">
      <c r="A212" s="195"/>
      <c r="B212" s="140">
        <v>209</v>
      </c>
      <c r="C212" s="2"/>
      <c r="D212" s="1"/>
      <c r="E212" s="3"/>
      <c r="F212" s="1"/>
      <c r="G212" s="141">
        <f>IF(Basic345678[[#This Row],[نوع الخدمة]]="مخالفات", 50,
IF(Basic345678[[#This Row],[نوع الخدمة]]="كاش ان",
    IF(F212&lt;=100, 18, IF(F212&lt;=250, 23, IF(F212&lt;=500, 35, IF(F212&lt;=1000, 40, F212*0.04)))),
IF(Basic345678[[#This Row],[نوع الخدمة]]="كاش اوت",
    IF(F212&lt;=100, 15, IF(F212&lt;=250, 20, IF(F212&lt;=500, 30, IF(F212&lt;=1000, 35, F212*0.035)))),
0)))</f>
        <v>0</v>
      </c>
      <c r="H212" s="163">
        <f>IF(I212="مخالفات",50,Basic345678[[#This Row],[قيمة الرسوم / العموله]]+Basic345678[[#This Row],[قيمة الشحنه]])</f>
        <v>0</v>
      </c>
      <c r="I212" s="90"/>
      <c r="J212" s="142" t="str">
        <f t="shared" si="3"/>
        <v>25.5.2026</v>
      </c>
      <c r="L212" s="153">
        <v>201</v>
      </c>
      <c r="M212" s="92"/>
    </row>
    <row r="213" spans="1:13" ht="21.6" x14ac:dyDescent="0.65">
      <c r="A213" s="195"/>
      <c r="B213" s="144">
        <v>210</v>
      </c>
      <c r="C213" s="2"/>
      <c r="D213" s="1"/>
      <c r="E213" s="3"/>
      <c r="F213" s="1"/>
      <c r="G213" s="141">
        <f>IF(Basic345678[[#This Row],[نوع الخدمة]]="مخالفات", 50,
IF(Basic345678[[#This Row],[نوع الخدمة]]="كاش ان",
    IF(F213&lt;=100, 18, IF(F213&lt;=250, 23, IF(F213&lt;=500, 35, IF(F213&lt;=1000, 40, F213*0.04)))),
IF(Basic345678[[#This Row],[نوع الخدمة]]="كاش اوت",
    IF(F213&lt;=100, 15, IF(F213&lt;=250, 20, IF(F213&lt;=500, 30, IF(F213&lt;=1000, 35, F213*0.035)))),
0)))</f>
        <v>0</v>
      </c>
      <c r="H213" s="163">
        <f>IF(I213="مخالفات",50,Basic345678[[#This Row],[قيمة الرسوم / العموله]]+Basic345678[[#This Row],[قيمة الشحنه]])</f>
        <v>0</v>
      </c>
      <c r="I213" s="90"/>
      <c r="J213" s="142" t="str">
        <f t="shared" si="3"/>
        <v>25.5.2026</v>
      </c>
      <c r="L213" s="153">
        <v>202</v>
      </c>
      <c r="M213" s="92"/>
    </row>
    <row r="214" spans="1:13" ht="21.6" x14ac:dyDescent="0.65">
      <c r="A214" s="195"/>
      <c r="B214" s="140">
        <v>211</v>
      </c>
      <c r="C214" s="2"/>
      <c r="D214" s="1"/>
      <c r="E214" s="3"/>
      <c r="F214" s="1"/>
      <c r="G214" s="141">
        <f>IF(Basic345678[[#This Row],[نوع الخدمة]]="مخالفات", 50,
IF(Basic345678[[#This Row],[نوع الخدمة]]="كاش ان",
    IF(F214&lt;=100, 18, IF(F214&lt;=250, 23, IF(F214&lt;=500, 35, IF(F214&lt;=1000, 40, F214*0.04)))),
IF(Basic345678[[#This Row],[نوع الخدمة]]="كاش اوت",
    IF(F214&lt;=100, 15, IF(F214&lt;=250, 20, IF(F214&lt;=500, 30, IF(F214&lt;=1000, 35, F214*0.035)))),
0)))</f>
        <v>0</v>
      </c>
      <c r="H214" s="163">
        <f>IF(I214="مخالفات",50,Basic345678[[#This Row],[قيمة الرسوم / العموله]]+Basic345678[[#This Row],[قيمة الشحنه]])</f>
        <v>0</v>
      </c>
      <c r="I214" s="90"/>
      <c r="J214" s="142" t="str">
        <f t="shared" si="3"/>
        <v>25.5.2026</v>
      </c>
      <c r="L214" s="153">
        <v>203</v>
      </c>
      <c r="M214" s="92"/>
    </row>
    <row r="215" spans="1:13" ht="21.6" x14ac:dyDescent="0.65">
      <c r="A215" s="195"/>
      <c r="B215" s="140">
        <v>212</v>
      </c>
      <c r="C215" s="2"/>
      <c r="D215" s="1"/>
      <c r="E215" s="3"/>
      <c r="F215" s="1"/>
      <c r="G215" s="141">
        <f>IF(Basic345678[[#This Row],[نوع الخدمة]]="مخالفات", 50,
IF(Basic345678[[#This Row],[نوع الخدمة]]="كاش ان",
    IF(F215&lt;=100, 18, IF(F215&lt;=250, 23, IF(F215&lt;=500, 35, IF(F215&lt;=1000, 40, F215*0.04)))),
IF(Basic345678[[#This Row],[نوع الخدمة]]="كاش اوت",
    IF(F215&lt;=100, 15, IF(F215&lt;=250, 20, IF(F215&lt;=500, 30, IF(F215&lt;=1000, 35, F215*0.035)))),
0)))</f>
        <v>0</v>
      </c>
      <c r="H215" s="163">
        <f>IF(I215="مخالفات",50,Basic345678[[#This Row],[قيمة الرسوم / العموله]]+Basic345678[[#This Row],[قيمة الشحنه]])</f>
        <v>0</v>
      </c>
      <c r="I215" s="90"/>
      <c r="J215" s="142" t="str">
        <f t="shared" si="3"/>
        <v>25.5.2026</v>
      </c>
      <c r="L215" s="153">
        <v>204</v>
      </c>
      <c r="M215" s="92"/>
    </row>
    <row r="216" spans="1:13" ht="21.6" x14ac:dyDescent="0.65">
      <c r="A216" s="195"/>
      <c r="B216" s="140">
        <v>213</v>
      </c>
      <c r="C216" s="2"/>
      <c r="D216" s="1"/>
      <c r="E216" s="3"/>
      <c r="F216" s="1"/>
      <c r="G216" s="141">
        <f>IF(Basic345678[[#This Row],[نوع الخدمة]]="مخالفات", 50,
IF(Basic345678[[#This Row],[نوع الخدمة]]="كاش ان",
    IF(F216&lt;=100, 18, IF(F216&lt;=250, 23, IF(F216&lt;=500, 35, IF(F216&lt;=1000, 40, F216*0.04)))),
IF(Basic345678[[#This Row],[نوع الخدمة]]="كاش اوت",
    IF(F216&lt;=100, 15, IF(F216&lt;=250, 20, IF(F216&lt;=500, 30, IF(F216&lt;=1000, 35, F216*0.035)))),
0)))</f>
        <v>0</v>
      </c>
      <c r="H216" s="163">
        <f>IF(I216="مخالفات",50,Basic345678[[#This Row],[قيمة الرسوم / العموله]]+Basic345678[[#This Row],[قيمة الشحنه]])</f>
        <v>0</v>
      </c>
      <c r="I216" s="90"/>
      <c r="J216" s="142" t="str">
        <f t="shared" si="3"/>
        <v>25.5.2026</v>
      </c>
      <c r="L216" s="153">
        <v>205</v>
      </c>
      <c r="M216" s="92"/>
    </row>
    <row r="217" spans="1:13" ht="21.6" x14ac:dyDescent="0.65">
      <c r="A217" s="195"/>
      <c r="B217" s="144">
        <v>214</v>
      </c>
      <c r="C217" s="2"/>
      <c r="D217" s="1"/>
      <c r="E217" s="3"/>
      <c r="F217" s="1"/>
      <c r="G217" s="141">
        <f>IF(Basic345678[[#This Row],[نوع الخدمة]]="مخالفات", 50,
IF(Basic345678[[#This Row],[نوع الخدمة]]="كاش ان",
    IF(F217&lt;=100, 18, IF(F217&lt;=250, 23, IF(F217&lt;=500, 35, IF(F217&lt;=1000, 40, F217*0.04)))),
IF(Basic345678[[#This Row],[نوع الخدمة]]="كاش اوت",
    IF(F217&lt;=100, 15, IF(F217&lt;=250, 20, IF(F217&lt;=500, 30, IF(F217&lt;=1000, 35, F217*0.035)))),
0)))</f>
        <v>0</v>
      </c>
      <c r="H217" s="163">
        <f>IF(I217="مخالفات",50,Basic345678[[#This Row],[قيمة الرسوم / العموله]]+Basic345678[[#This Row],[قيمة الشحنه]])</f>
        <v>0</v>
      </c>
      <c r="I217" s="90"/>
      <c r="J217" s="142" t="str">
        <f t="shared" si="3"/>
        <v>25.5.2026</v>
      </c>
      <c r="L217" s="153">
        <v>206</v>
      </c>
      <c r="M217" s="92"/>
    </row>
    <row r="218" spans="1:13" ht="21.6" x14ac:dyDescent="0.65">
      <c r="A218" s="195"/>
      <c r="B218" s="140">
        <v>215</v>
      </c>
      <c r="C218" s="2"/>
      <c r="D218" s="1"/>
      <c r="E218" s="3"/>
      <c r="F218" s="1"/>
      <c r="G218" s="141">
        <f>IF(Basic345678[[#This Row],[نوع الخدمة]]="مخالفات", 50,
IF(Basic345678[[#This Row],[نوع الخدمة]]="كاش ان",
    IF(F218&lt;=100, 18, IF(F218&lt;=250, 23, IF(F218&lt;=500, 35, IF(F218&lt;=1000, 40, F218*0.04)))),
IF(Basic345678[[#This Row],[نوع الخدمة]]="كاش اوت",
    IF(F218&lt;=100, 15, IF(F218&lt;=250, 20, IF(F218&lt;=500, 30, IF(F218&lt;=1000, 35, F218*0.035)))),
0)))</f>
        <v>0</v>
      </c>
      <c r="H218" s="163">
        <f>IF(I218="مخالفات",50,Basic345678[[#This Row],[قيمة الرسوم / العموله]]+Basic345678[[#This Row],[قيمة الشحنه]])</f>
        <v>0</v>
      </c>
      <c r="I218" s="90"/>
      <c r="J218" s="142" t="str">
        <f t="shared" si="3"/>
        <v>25.5.2026</v>
      </c>
      <c r="L218" s="153">
        <v>207</v>
      </c>
      <c r="M218" s="92"/>
    </row>
    <row r="219" spans="1:13" ht="21.6" x14ac:dyDescent="0.65">
      <c r="A219" s="195"/>
      <c r="B219" s="140">
        <v>216</v>
      </c>
      <c r="C219" s="2"/>
      <c r="D219" s="1"/>
      <c r="E219" s="3"/>
      <c r="F219" s="1"/>
      <c r="G219" s="141">
        <f>IF(Basic345678[[#This Row],[نوع الخدمة]]="مخالفات", 50,
IF(Basic345678[[#This Row],[نوع الخدمة]]="كاش ان",
    IF(F219&lt;=100, 18, IF(F219&lt;=250, 23, IF(F219&lt;=500, 35, IF(F219&lt;=1000, 40, F219*0.04)))),
IF(Basic345678[[#This Row],[نوع الخدمة]]="كاش اوت",
    IF(F219&lt;=100, 15, IF(F219&lt;=250, 20, IF(F219&lt;=500, 30, IF(F219&lt;=1000, 35, F219*0.035)))),
0)))</f>
        <v>0</v>
      </c>
      <c r="H219" s="163">
        <f>IF(I219="مخالفات",50,Basic345678[[#This Row],[قيمة الرسوم / العموله]]+Basic345678[[#This Row],[قيمة الشحنه]])</f>
        <v>0</v>
      </c>
      <c r="I219" s="90"/>
      <c r="J219" s="142" t="str">
        <f t="shared" si="3"/>
        <v>25.5.2026</v>
      </c>
      <c r="L219" s="153">
        <v>208</v>
      </c>
      <c r="M219" s="92"/>
    </row>
    <row r="220" spans="1:13" ht="21.6" x14ac:dyDescent="0.65">
      <c r="A220" s="195"/>
      <c r="B220" s="140">
        <v>217</v>
      </c>
      <c r="C220" s="2"/>
      <c r="D220" s="1"/>
      <c r="E220" s="3"/>
      <c r="F220" s="1"/>
      <c r="G220" s="141">
        <f>IF(Basic345678[[#This Row],[نوع الخدمة]]="مخالفات", 50,
IF(Basic345678[[#This Row],[نوع الخدمة]]="كاش ان",
    IF(F220&lt;=100, 18, IF(F220&lt;=250, 23, IF(F220&lt;=500, 35, IF(F220&lt;=1000, 40, F220*0.04)))),
IF(Basic345678[[#This Row],[نوع الخدمة]]="كاش اوت",
    IF(F220&lt;=100, 15, IF(F220&lt;=250, 20, IF(F220&lt;=500, 30, IF(F220&lt;=1000, 35, F220*0.035)))),
0)))</f>
        <v>0</v>
      </c>
      <c r="H220" s="163">
        <f>IF(I220="مخالفات",50,Basic345678[[#This Row],[قيمة الرسوم / العموله]]+Basic345678[[#This Row],[قيمة الشحنه]])</f>
        <v>0</v>
      </c>
      <c r="I220" s="90"/>
      <c r="J220" s="142" t="str">
        <f t="shared" si="3"/>
        <v>25.5.2026</v>
      </c>
      <c r="L220" s="153">
        <v>209</v>
      </c>
      <c r="M220" s="92"/>
    </row>
    <row r="221" spans="1:13" ht="21.6" x14ac:dyDescent="0.65">
      <c r="A221" s="195"/>
      <c r="B221" s="144">
        <v>218</v>
      </c>
      <c r="C221" s="2"/>
      <c r="D221" s="1"/>
      <c r="E221" s="3"/>
      <c r="F221" s="1"/>
      <c r="G221" s="141">
        <f>IF(Basic345678[[#This Row],[نوع الخدمة]]="مخالفات", 50,
IF(Basic345678[[#This Row],[نوع الخدمة]]="كاش ان",
    IF(F221&lt;=100, 18, IF(F221&lt;=250, 23, IF(F221&lt;=500, 35, IF(F221&lt;=1000, 40, F221*0.04)))),
IF(Basic345678[[#This Row],[نوع الخدمة]]="كاش اوت",
    IF(F221&lt;=100, 15, IF(F221&lt;=250, 20, IF(F221&lt;=500, 30, IF(F221&lt;=1000, 35, F221*0.035)))),
0)))</f>
        <v>0</v>
      </c>
      <c r="H221" s="163">
        <f>IF(I221="مخالفات",50,Basic345678[[#This Row],[قيمة الرسوم / العموله]]+Basic345678[[#This Row],[قيمة الشحنه]])</f>
        <v>0</v>
      </c>
      <c r="I221" s="90"/>
      <c r="J221" s="142" t="str">
        <f t="shared" si="3"/>
        <v>25.5.2026</v>
      </c>
      <c r="L221" s="153">
        <v>210</v>
      </c>
      <c r="M221" s="92"/>
    </row>
    <row r="222" spans="1:13" ht="21.6" x14ac:dyDescent="0.65">
      <c r="A222" s="195"/>
      <c r="B222" s="140">
        <v>219</v>
      </c>
      <c r="C222" s="2"/>
      <c r="D222" s="1"/>
      <c r="E222" s="3"/>
      <c r="F222" s="1"/>
      <c r="G222" s="141">
        <f>IF(Basic345678[[#This Row],[نوع الخدمة]]="مخالفات", 50,
IF(Basic345678[[#This Row],[نوع الخدمة]]="كاش ان",
    IF(F222&lt;=100, 18, IF(F222&lt;=250, 23, IF(F222&lt;=500, 35, IF(F222&lt;=1000, 40, F222*0.04)))),
IF(Basic345678[[#This Row],[نوع الخدمة]]="كاش اوت",
    IF(F222&lt;=100, 15, IF(F222&lt;=250, 20, IF(F222&lt;=500, 30, IF(F222&lt;=1000, 35, F222*0.035)))),
0)))</f>
        <v>0</v>
      </c>
      <c r="H222" s="163">
        <f>IF(I222="مخالفات",50,Basic345678[[#This Row],[قيمة الرسوم / العموله]]+Basic345678[[#This Row],[قيمة الشحنه]])</f>
        <v>0</v>
      </c>
      <c r="I222" s="90"/>
      <c r="J222" s="142" t="str">
        <f t="shared" si="3"/>
        <v>25.5.2026</v>
      </c>
      <c r="L222" s="153">
        <v>211</v>
      </c>
      <c r="M222" s="92"/>
    </row>
    <row r="223" spans="1:13" ht="21.6" x14ac:dyDescent="0.65">
      <c r="A223" s="195"/>
      <c r="B223" s="140">
        <v>220</v>
      </c>
      <c r="C223" s="2"/>
      <c r="D223" s="1"/>
      <c r="E223" s="3"/>
      <c r="F223" s="1"/>
      <c r="G223" s="141">
        <f>IF(Basic345678[[#This Row],[نوع الخدمة]]="مخالفات", 50,
IF(Basic345678[[#This Row],[نوع الخدمة]]="كاش ان",
    IF(F223&lt;=100, 18, IF(F223&lt;=250, 23, IF(F223&lt;=500, 35, IF(F223&lt;=1000, 40, F223*0.04)))),
IF(Basic345678[[#This Row],[نوع الخدمة]]="كاش اوت",
    IF(F223&lt;=100, 15, IF(F223&lt;=250, 20, IF(F223&lt;=500, 30, IF(F223&lt;=1000, 35, F223*0.035)))),
0)))</f>
        <v>0</v>
      </c>
      <c r="H223" s="163">
        <f>IF(I223="مخالفات",50,Basic345678[[#This Row],[قيمة الرسوم / العموله]]+Basic345678[[#This Row],[قيمة الشحنه]])</f>
        <v>0</v>
      </c>
      <c r="I223" s="90"/>
      <c r="J223" s="142" t="str">
        <f t="shared" si="3"/>
        <v>25.5.2026</v>
      </c>
      <c r="L223" s="153">
        <v>212</v>
      </c>
      <c r="M223" s="92"/>
    </row>
    <row r="224" spans="1:13" ht="21.6" x14ac:dyDescent="0.65">
      <c r="A224" s="195"/>
      <c r="B224" s="140">
        <v>221</v>
      </c>
      <c r="C224" s="2"/>
      <c r="D224" s="1"/>
      <c r="E224" s="3"/>
      <c r="F224" s="1"/>
      <c r="G224" s="141">
        <f>IF(Basic345678[[#This Row],[نوع الخدمة]]="مخالفات", 50,
IF(Basic345678[[#This Row],[نوع الخدمة]]="كاش ان",
    IF(F224&lt;=100, 18, IF(F224&lt;=250, 23, IF(F224&lt;=500, 35, IF(F224&lt;=1000, 40, F224*0.04)))),
IF(Basic345678[[#This Row],[نوع الخدمة]]="كاش اوت",
    IF(F224&lt;=100, 15, IF(F224&lt;=250, 20, IF(F224&lt;=500, 30, IF(F224&lt;=1000, 35, F224*0.035)))),
0)))</f>
        <v>0</v>
      </c>
      <c r="H224" s="163">
        <f>IF(I224="مخالفات",50,Basic345678[[#This Row],[قيمة الرسوم / العموله]]+Basic345678[[#This Row],[قيمة الشحنه]])</f>
        <v>0</v>
      </c>
      <c r="I224" s="90"/>
      <c r="J224" s="142" t="str">
        <f t="shared" si="3"/>
        <v>25.5.2026</v>
      </c>
      <c r="L224" s="153">
        <v>213</v>
      </c>
      <c r="M224" s="92"/>
    </row>
    <row r="225" spans="1:13" ht="21.6" x14ac:dyDescent="0.65">
      <c r="A225" s="195"/>
      <c r="B225" s="144">
        <v>222</v>
      </c>
      <c r="C225" s="2"/>
      <c r="D225" s="1"/>
      <c r="E225" s="3"/>
      <c r="F225" s="1"/>
      <c r="G225" s="141">
        <f>IF(Basic345678[[#This Row],[نوع الخدمة]]="مخالفات", 50,
IF(Basic345678[[#This Row],[نوع الخدمة]]="كاش ان",
    IF(F225&lt;=100, 18, IF(F225&lt;=250, 23, IF(F225&lt;=500, 35, IF(F225&lt;=1000, 40, F225*0.04)))),
IF(Basic345678[[#This Row],[نوع الخدمة]]="كاش اوت",
    IF(F225&lt;=100, 15, IF(F225&lt;=250, 20, IF(F225&lt;=500, 30, IF(F225&lt;=1000, 35, F225*0.035)))),
0)))</f>
        <v>0</v>
      </c>
      <c r="H225" s="163">
        <f>IF(I225="مخالفات",50,Basic345678[[#This Row],[قيمة الرسوم / العموله]]+Basic345678[[#This Row],[قيمة الشحنه]])</f>
        <v>0</v>
      </c>
      <c r="I225" s="90"/>
      <c r="J225" s="142" t="str">
        <f t="shared" si="3"/>
        <v>25.5.2026</v>
      </c>
      <c r="L225" s="153">
        <v>214</v>
      </c>
      <c r="M225" s="92"/>
    </row>
    <row r="226" spans="1:13" ht="21.6" x14ac:dyDescent="0.65">
      <c r="A226" s="195"/>
      <c r="B226" s="140">
        <v>223</v>
      </c>
      <c r="C226" s="4"/>
      <c r="D226" s="5"/>
      <c r="E226" s="6"/>
      <c r="F226" s="5"/>
      <c r="G226" s="141">
        <f>IF(Basic345678[[#This Row],[نوع الخدمة]]="مخالفات", 50,
IF(Basic345678[[#This Row],[نوع الخدمة]]="كاش ان",
    IF(F226&lt;=100, 18, IF(F226&lt;=250, 23, IF(F226&lt;=500, 35, IF(F226&lt;=1000, 40, F226*0.04)))),
IF(Basic345678[[#This Row],[نوع الخدمة]]="كاش اوت",
    IF(F226&lt;=100, 15, IF(F226&lt;=250, 20, IF(F226&lt;=500, 30, IF(F226&lt;=1000, 35, F226*0.035)))),
0)))</f>
        <v>0</v>
      </c>
      <c r="H226" s="164">
        <f>IF(I226="مخالفات",50,Basic345678[[#This Row],[قيمة الرسوم / العموله]]+Basic345678[[#This Row],[قيمة الشحنه]])</f>
        <v>0</v>
      </c>
      <c r="I226" s="90"/>
      <c r="J226" s="142" t="str">
        <f t="shared" si="3"/>
        <v>25.5.2026</v>
      </c>
      <c r="L226" s="156">
        <v>215</v>
      </c>
      <c r="M226" s="93"/>
    </row>
  </sheetData>
  <sheetProtection algorithmName="SHA-512" hashValue="HgECF1ERh22j5BqmHVWIz8pWva44mgTEYteEXHSiP2DItE6znxhEtQR5yG/y8NOvLdqQeBNXPDf2Tl0778fJ1w==" saltValue="bYijN2UqNefJs5CVtuRuXQ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27" priority="12" operator="equal">
      <formula>$BH$10</formula>
    </cfRule>
    <cfRule type="cellIs" dxfId="26" priority="13" operator="equal">
      <formula>$BH$9</formula>
    </cfRule>
    <cfRule type="cellIs" dxfId="25" priority="14" operator="equal">
      <formula>$BH$8</formula>
    </cfRule>
  </conditionalFormatting>
  <conditionalFormatting sqref="P11">
    <cfRule type="cellIs" dxfId="24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{7B66E227-4537-4977-A0FE-16B4ACFCAEF8}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{068ADB61-640E-48AF-BAA4-8AB9361FC819}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{BDBBAEE6-C603-4930-B885-38FC275AA036}</x14:id>
        </ext>
      </extLst>
    </cfRule>
  </conditionalFormatting>
  <dataValidations count="2">
    <dataValidation type="list" allowBlank="1" showInputMessage="1" showErrorMessage="1" sqref="I4:I226" xr:uid="{00000000-0002-0000-1800-000000000000}">
      <formula1>$BH$8:$BH$10</formula1>
    </dataValidation>
    <dataValidation type="textLength" operator="equal" allowBlank="1" showInputMessage="1" showErrorMessage="1" errorTitle="يجب إخال رقم IPN صحيح 13 رقم" sqref="C1:C1048576" xr:uid="{00000000-0002-0000-1800-000001000000}">
      <formula1>13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B66E227-4537-4977-A0FE-16B4ACFCAEF8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068ADB61-640E-48AF-BAA4-8AB9361FC819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BDBBAEE6-C603-4930-B885-38FC275AA036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H226"/>
  <sheetViews>
    <sheetView showGridLines="0" showRowColHeaders="0" rightToLeft="1" topLeftCell="D1" zoomScale="80" zoomScaleNormal="80" workbookViewId="0">
      <selection activeCell="P12" sqref="P12"/>
    </sheetView>
  </sheetViews>
  <sheetFormatPr defaultColWidth="9.109375" defaultRowHeight="14.4" x14ac:dyDescent="0.3"/>
  <cols>
    <col min="1" max="1" width="2.33203125" style="124" customWidth="1"/>
    <col min="2" max="2" width="6.5546875" style="125" bestFit="1" customWidth="1"/>
    <col min="3" max="3" width="26.44140625" style="126" customWidth="1"/>
    <col min="4" max="4" width="15.6640625" style="124" customWidth="1"/>
    <col min="5" max="5" width="17.5546875" style="157" customWidth="1"/>
    <col min="6" max="6" width="12.88671875" style="124" bestFit="1" customWidth="1"/>
    <col min="7" max="7" width="19" style="124" bestFit="1" customWidth="1"/>
    <col min="8" max="8" width="14.6640625" style="124" customWidth="1"/>
    <col min="9" max="9" width="12.44140625" style="128" bestFit="1" customWidth="1"/>
    <col min="10" max="10" width="17.5546875" style="129" customWidth="1"/>
    <col min="11" max="11" width="3.5546875" style="124" customWidth="1"/>
    <col min="12" max="12" width="8.5546875" style="124" bestFit="1" customWidth="1"/>
    <col min="13" max="13" width="25" style="124" customWidth="1"/>
    <col min="14" max="14" width="8.33203125" style="124" bestFit="1" customWidth="1"/>
    <col min="15" max="15" width="26.5546875" style="124" bestFit="1" customWidth="1"/>
    <col min="16" max="16" width="13.33203125" style="124" customWidth="1"/>
    <col min="17" max="17" width="3.5546875" style="124" customWidth="1"/>
    <col min="18" max="18" width="16" style="128" customWidth="1"/>
    <col min="19" max="19" width="14.6640625" style="128" customWidth="1"/>
    <col min="20" max="20" width="11.5546875" style="128" bestFit="1" customWidth="1"/>
    <col min="21" max="21" width="11.6640625" style="128" customWidth="1"/>
    <col min="22" max="22" width="11.5546875" style="128" customWidth="1"/>
    <col min="23" max="23" width="7.33203125" style="128" customWidth="1"/>
    <col min="24" max="24" width="12.6640625" style="124" customWidth="1"/>
    <col min="25" max="16384" width="9.109375" style="124"/>
  </cols>
  <sheetData>
    <row r="1" spans="1:60" x14ac:dyDescent="0.3">
      <c r="E1" s="127">
        <f>Total!F5</f>
        <v>69</v>
      </c>
      <c r="F1" s="192" t="str">
        <f>Total!G5</f>
        <v>العبور</v>
      </c>
      <c r="G1" s="192"/>
      <c r="H1" s="192"/>
    </row>
    <row r="3" spans="1:60" ht="15.6" x14ac:dyDescent="0.3">
      <c r="B3" s="130" t="s">
        <v>0</v>
      </c>
      <c r="C3" s="131" t="s">
        <v>1</v>
      </c>
      <c r="D3" s="132" t="s">
        <v>2</v>
      </c>
      <c r="E3" s="133" t="s">
        <v>3</v>
      </c>
      <c r="F3" s="132" t="s">
        <v>4</v>
      </c>
      <c r="G3" s="132" t="s">
        <v>5</v>
      </c>
      <c r="H3" s="132" t="s">
        <v>76</v>
      </c>
      <c r="I3" s="132" t="s">
        <v>6</v>
      </c>
      <c r="J3" s="134" t="s">
        <v>7</v>
      </c>
      <c r="L3" s="135" t="s">
        <v>7</v>
      </c>
      <c r="M3" s="7" t="s">
        <v>109</v>
      </c>
      <c r="O3" s="137" t="s">
        <v>17</v>
      </c>
      <c r="P3" s="138">
        <f>M5+M6</f>
        <v>0</v>
      </c>
      <c r="T3" s="173"/>
      <c r="U3" s="173"/>
      <c r="V3" s="173"/>
      <c r="W3" s="173"/>
    </row>
    <row r="4" spans="1:60" ht="21.6" x14ac:dyDescent="0.65">
      <c r="A4" s="195"/>
      <c r="B4" s="140">
        <v>1</v>
      </c>
      <c r="C4" s="8"/>
      <c r="D4" s="9"/>
      <c r="E4" s="10"/>
      <c r="F4" s="9"/>
      <c r="G4" s="141">
        <f>IF(Basic34567[[#This Row],[نوع الخدمة]]="مخالفات", 50,
IF(Basic34567[[#This Row],[نوع الخدمة]]="كاش ان",
    IF(F4&lt;=100, 18, IF(F4&lt;=250, 23, IF(F4&lt;=500, 35, IF(F4&lt;=1000, 40, F4*0.04)))),
IF(Basic34567[[#This Row],[نوع الخدمة]]="كاش اوت",
    IF(F4&lt;=100, 15, IF(F4&lt;=250, 20, IF(F4&lt;=500, 30, IF(F4&lt;=1000, 35, F4*0.035)))),
0)))</f>
        <v>0</v>
      </c>
      <c r="H4" s="162">
        <f>IF(I4="مخالفات",50,Basic34567[[#This Row],[قيمة الرسوم / العموله]]+Basic34567[[#This Row],[قيمة الشحنه]])</f>
        <v>0</v>
      </c>
      <c r="I4" s="90"/>
      <c r="J4" s="142" t="str">
        <f t="shared" ref="J4:J67" si="0">M$3</f>
        <v>26.5.2026</v>
      </c>
      <c r="L4" s="135" t="s">
        <v>26</v>
      </c>
      <c r="M4" s="90">
        <v>0</v>
      </c>
      <c r="O4" s="137" t="s">
        <v>18</v>
      </c>
      <c r="P4" s="138">
        <f>M4</f>
        <v>0</v>
      </c>
      <c r="S4" s="143" t="s">
        <v>22</v>
      </c>
      <c r="T4" s="143" t="s">
        <v>23</v>
      </c>
      <c r="U4" s="173"/>
      <c r="V4" s="173"/>
      <c r="W4" s="173"/>
    </row>
    <row r="5" spans="1:60" ht="21.6" x14ac:dyDescent="0.65">
      <c r="A5" s="195"/>
      <c r="B5" s="144">
        <v>2</v>
      </c>
      <c r="C5" s="8"/>
      <c r="D5" s="9"/>
      <c r="E5" s="10"/>
      <c r="F5" s="9"/>
      <c r="G5" s="141">
        <f>IF(Basic34567[[#This Row],[نوع الخدمة]]="مخالفات", 50,
IF(Basic34567[[#This Row],[نوع الخدمة]]="كاش ان",
    IF(F5&lt;=100, 18, IF(F5&lt;=250, 23, IF(F5&lt;=500, 35, IF(F5&lt;=1000, 40, F5*0.04)))),
IF(Basic34567[[#This Row],[نوع الخدمة]]="كاش اوت",
    IF(F5&lt;=100, 15, IF(F5&lt;=250, 20, IF(F5&lt;=500, 30, IF(F5&lt;=1000, 35, F5*0.035)))),
0)))</f>
        <v>0</v>
      </c>
      <c r="H5" s="141">
        <f>IF(I5="مخالفات",50,Basic34567[[#This Row],[قيمة الرسوم / العموله]]+Basic34567[[#This Row],[قيمة الشحنه]])</f>
        <v>0</v>
      </c>
      <c r="I5" s="90"/>
      <c r="J5" s="142" t="str">
        <f t="shared" si="0"/>
        <v>26.5.2026</v>
      </c>
      <c r="L5" s="135" t="s">
        <v>27</v>
      </c>
      <c r="M5" s="90"/>
      <c r="O5" s="137" t="s">
        <v>19</v>
      </c>
      <c r="P5" s="138">
        <f>SUMIF(Basic34567[نوع الخدمة],"كاش ان",Basic34567[قيمة الشحنه])</f>
        <v>0</v>
      </c>
      <c r="S5" s="145">
        <f>P5+P9+P12+P7</f>
        <v>0</v>
      </c>
      <c r="T5" s="145">
        <f>P3</f>
        <v>0</v>
      </c>
    </row>
    <row r="6" spans="1:60" ht="21.6" x14ac:dyDescent="0.65">
      <c r="A6" s="195"/>
      <c r="B6" s="140">
        <v>3</v>
      </c>
      <c r="C6" s="8"/>
      <c r="D6" s="9"/>
      <c r="E6" s="10"/>
      <c r="F6" s="9"/>
      <c r="G6" s="141">
        <f>IF(Basic34567[[#This Row],[نوع الخدمة]]="مخالفات", 50,
IF(Basic34567[[#This Row],[نوع الخدمة]]="كاش ان",
    IF(F6&lt;=100, 18, IF(F6&lt;=250, 23, IF(F6&lt;=500, 35, IF(F6&lt;=1000, 40, F6*0.04)))),
IF(Basic34567[[#This Row],[نوع الخدمة]]="كاش اوت",
    IF(F6&lt;=100, 15, IF(F6&lt;=250, 20, IF(F6&lt;=500, 30, IF(F6&lt;=1000, 35, F6*0.035)))),
0)))</f>
        <v>0</v>
      </c>
      <c r="H6" s="141">
        <f>IF(I6="مخالفات",50,Basic34567[[#This Row],[قيمة الرسوم / العموله]]+Basic34567[[#This Row],[قيمة الشحنه]])</f>
        <v>0</v>
      </c>
      <c r="I6" s="90"/>
      <c r="J6" s="142" t="str">
        <f t="shared" si="0"/>
        <v>26.5.2026</v>
      </c>
      <c r="L6" s="135" t="s">
        <v>28</v>
      </c>
      <c r="M6" s="90"/>
      <c r="O6" s="146" t="s">
        <v>12</v>
      </c>
      <c r="P6" s="138">
        <f>P3*150</f>
        <v>0</v>
      </c>
    </row>
    <row r="7" spans="1:60" ht="21.6" x14ac:dyDescent="0.65">
      <c r="A7" s="195"/>
      <c r="B7" s="140">
        <v>4</v>
      </c>
      <c r="C7" s="8"/>
      <c r="D7" s="9"/>
      <c r="E7" s="10"/>
      <c r="F7" s="9"/>
      <c r="G7" s="141">
        <f>IF(Basic34567[[#This Row],[نوع الخدمة]]="مخالفات", 50,
IF(Basic34567[[#This Row],[نوع الخدمة]]="كاش ان",
    IF(F7&lt;=100, 18, IF(F7&lt;=250, 23, IF(F7&lt;=500, 35, IF(F7&lt;=1000, 40, F7*0.04)))),
IF(Basic34567[[#This Row],[نوع الخدمة]]="كاش اوت",
    IF(F7&lt;=100, 15, IF(F7&lt;=250, 20, IF(F7&lt;=500, 30, IF(F7&lt;=1000, 35, F7*0.035)))),
0)))</f>
        <v>0</v>
      </c>
      <c r="H7" s="141">
        <f>IF(I7="مخالفات",50,Basic34567[[#This Row],[قيمة الرسوم / العموله]]+Basic34567[[#This Row],[قيمة الشحنه]])</f>
        <v>0</v>
      </c>
      <c r="I7" s="90"/>
      <c r="J7" s="142" t="str">
        <f t="shared" si="0"/>
        <v>26.5.2026</v>
      </c>
      <c r="L7" s="137" t="s">
        <v>11</v>
      </c>
      <c r="M7" s="165"/>
      <c r="O7" s="146" t="s">
        <v>75</v>
      </c>
      <c r="P7" s="138">
        <f>SUMIF(Basic34567[نوع الخدمة],"مخالفات",Basic34567[الاجمــــــــــالي])</f>
        <v>0</v>
      </c>
      <c r="R7" s="173"/>
      <c r="S7" s="173"/>
    </row>
    <row r="8" spans="1:60" ht="21.6" x14ac:dyDescent="0.65">
      <c r="A8" s="195"/>
      <c r="B8" s="140">
        <v>5</v>
      </c>
      <c r="C8" s="8"/>
      <c r="D8" s="9"/>
      <c r="E8" s="10"/>
      <c r="F8" s="9"/>
      <c r="G8" s="141">
        <f>IF(Basic34567[[#This Row],[نوع الخدمة]]="مخالفات", 50,
IF(Basic34567[[#This Row],[نوع الخدمة]]="كاش ان",
    IF(F8&lt;=100, 18, IF(F8&lt;=250, 23, IF(F8&lt;=500, 35, IF(F8&lt;=1000, 40, F8*0.04)))),
IF(Basic34567[[#This Row],[نوع الخدمة]]="كاش اوت",
    IF(F8&lt;=100, 15, IF(F8&lt;=250, 20, IF(F8&lt;=500, 30, IF(F8&lt;=1000, 35, F8*0.035)))),
0)))</f>
        <v>0</v>
      </c>
      <c r="H8" s="141">
        <f>IF(I8="مخالفات",50,Basic34567[[#This Row],[قيمة الرسوم / العموله]]+Basic34567[[#This Row],[قيمة الشحنه]])</f>
        <v>0</v>
      </c>
      <c r="I8" s="90"/>
      <c r="J8" s="142" t="str">
        <f t="shared" si="0"/>
        <v>26.5.2026</v>
      </c>
      <c r="L8" s="166" t="s">
        <v>79</v>
      </c>
      <c r="M8" s="167">
        <v>0</v>
      </c>
      <c r="O8" s="137" t="s">
        <v>11</v>
      </c>
      <c r="P8" s="138">
        <f>M7</f>
        <v>0</v>
      </c>
      <c r="R8" s="143" t="s">
        <v>72</v>
      </c>
      <c r="S8" s="143" t="s">
        <v>25</v>
      </c>
      <c r="T8" s="143" t="s">
        <v>24</v>
      </c>
      <c r="U8" s="143" t="s">
        <v>73</v>
      </c>
      <c r="V8" s="143" t="s">
        <v>25</v>
      </c>
      <c r="W8" s="143" t="s">
        <v>24</v>
      </c>
      <c r="BH8" s="148" t="s">
        <v>8</v>
      </c>
    </row>
    <row r="9" spans="1:60" ht="18" customHeight="1" x14ac:dyDescent="0.65">
      <c r="A9" s="195"/>
      <c r="B9" s="144">
        <v>6</v>
      </c>
      <c r="C9" s="8"/>
      <c r="D9" s="9"/>
      <c r="E9" s="10"/>
      <c r="F9" s="9"/>
      <c r="G9" s="141">
        <f>IF(Basic34567[[#This Row],[نوع الخدمة]]="مخالفات", 50,
IF(Basic34567[[#This Row],[نوع الخدمة]]="كاش ان",
    IF(F9&lt;=100, 18, IF(F9&lt;=250, 23, IF(F9&lt;=500, 35, IF(F9&lt;=1000, 40, F9*0.04)))),
IF(Basic34567[[#This Row],[نوع الخدمة]]="كاش اوت",
    IF(F9&lt;=100, 15, IF(F9&lt;=250, 20, IF(F9&lt;=500, 30, IF(F9&lt;=1000, 35, F9*0.035)))),
0)))</f>
        <v>0</v>
      </c>
      <c r="H9" s="141">
        <f>IF(I9="مخالفات",50,Basic34567[[#This Row],[قيمة الرسوم / العموله]]+Basic34567[[#This Row],[قيمة الشحنه]])</f>
        <v>0</v>
      </c>
      <c r="I9" s="90"/>
      <c r="J9" s="142" t="str">
        <f t="shared" si="0"/>
        <v>26.5.2026</v>
      </c>
      <c r="L9" s="166" t="s">
        <v>80</v>
      </c>
      <c r="M9" s="167">
        <v>0</v>
      </c>
      <c r="O9" s="137" t="s">
        <v>20</v>
      </c>
      <c r="P9" s="138">
        <f>SUMIF(Basic34567[نوع الخدمة],"كاش ان",Basic34567[قيمة الرسوم / العموله])</f>
        <v>0</v>
      </c>
      <c r="R9" s="149">
        <f>Total!H5/24</f>
        <v>29166.666666666668</v>
      </c>
      <c r="S9" s="149">
        <f>S5</f>
        <v>0</v>
      </c>
      <c r="T9" s="150">
        <f>S9/R9</f>
        <v>0</v>
      </c>
      <c r="U9" s="149">
        <f>Total!K5/24</f>
        <v>2.9166666666666665</v>
      </c>
      <c r="V9" s="149">
        <f>T5</f>
        <v>0</v>
      </c>
      <c r="W9" s="150">
        <f>V9/U9</f>
        <v>0</v>
      </c>
      <c r="BH9" s="148" t="s">
        <v>9</v>
      </c>
    </row>
    <row r="10" spans="1:60" ht="21.6" x14ac:dyDescent="0.65">
      <c r="A10" s="195"/>
      <c r="B10" s="140">
        <v>7</v>
      </c>
      <c r="C10" s="8"/>
      <c r="D10" s="9"/>
      <c r="E10" s="10"/>
      <c r="F10" s="9"/>
      <c r="G10" s="141">
        <f>IF(Basic34567[[#This Row],[نوع الخدمة]]="مخالفات", 50,
IF(Basic34567[[#This Row],[نوع الخدمة]]="كاش ان",
    IF(F10&lt;=100, 18, IF(F10&lt;=250, 23, IF(F10&lt;=500, 35, IF(F10&lt;=1000, 40, F10*0.04)))),
IF(Basic34567[[#This Row],[نوع الخدمة]]="كاش اوت",
    IF(F10&lt;=100, 15, IF(F10&lt;=250, 20, IF(F10&lt;=500, 30, IF(F10&lt;=1000, 35, F10*0.035)))),
0)))</f>
        <v>0</v>
      </c>
      <c r="H10" s="141">
        <f>IF(I10="مخالفات",50,Basic34567[[#This Row],[قيمة الرسوم / العموله]]+Basic34567[[#This Row],[قيمة الشحنه]])</f>
        <v>0</v>
      </c>
      <c r="I10" s="90"/>
      <c r="J10" s="142" t="str">
        <f t="shared" si="0"/>
        <v>26.5.2026</v>
      </c>
      <c r="O10" s="137" t="s">
        <v>16</v>
      </c>
      <c r="P10" s="138">
        <f>SUMIF(Basic34567[نوع الخدمة],"كاش اوت",Basic34567[قيمة الشحنه])</f>
        <v>0</v>
      </c>
      <c r="R10" s="191">
        <f>(W9+T9)/2</f>
        <v>0</v>
      </c>
      <c r="S10" s="191"/>
      <c r="T10" s="191"/>
      <c r="U10" s="191"/>
      <c r="V10" s="191"/>
      <c r="W10" s="191"/>
      <c r="BH10" s="148" t="s">
        <v>10</v>
      </c>
    </row>
    <row r="11" spans="1:60" ht="21.6" x14ac:dyDescent="0.65">
      <c r="A11" s="195"/>
      <c r="B11" s="140">
        <v>8</v>
      </c>
      <c r="C11" s="8"/>
      <c r="D11" s="9"/>
      <c r="E11" s="10"/>
      <c r="F11" s="9"/>
      <c r="G11" s="141">
        <f>IF(Basic34567[[#This Row],[نوع الخدمة]]="مخالفات", 50,
IF(Basic34567[[#This Row],[نوع الخدمة]]="كاش ان",
    IF(F11&lt;=100, 18, IF(F11&lt;=250, 23, IF(F11&lt;=500, 35, IF(F11&lt;=1000, 40, F11*0.04)))),
IF(Basic34567[[#This Row],[نوع الخدمة]]="كاش اوت",
    IF(F11&lt;=100, 15, IF(F11&lt;=250, 20, IF(F11&lt;=500, 30, IF(F11&lt;=1000, 35, F11*0.035)))),
0)))</f>
        <v>0</v>
      </c>
      <c r="H11" s="141">
        <f>IF(I11="مخالفات",50,Basic34567[[#This Row],[قيمة الرسوم / العموله]]+Basic34567[[#This Row],[قيمة الشحنه]])</f>
        <v>0</v>
      </c>
      <c r="I11" s="90"/>
      <c r="J11" s="142" t="str">
        <f t="shared" si="0"/>
        <v>26.5.2026</v>
      </c>
      <c r="L11" s="169" t="s">
        <v>77</v>
      </c>
      <c r="M11" s="168" t="s">
        <v>78</v>
      </c>
      <c r="O11" s="151" t="s">
        <v>21</v>
      </c>
      <c r="P11" s="152">
        <f>(P5+P6+P9+P7+P4)-P10-P8</f>
        <v>0</v>
      </c>
      <c r="T11" s="173"/>
    </row>
    <row r="12" spans="1:60" ht="21.6" x14ac:dyDescent="0.65">
      <c r="A12" s="195"/>
      <c r="B12" s="140">
        <v>9</v>
      </c>
      <c r="C12" s="8"/>
      <c r="D12" s="9"/>
      <c r="E12" s="10"/>
      <c r="F12" s="9"/>
      <c r="G12" s="141">
        <f>IF(Basic34567[[#This Row],[نوع الخدمة]]="مخالفات", 50,
IF(Basic34567[[#This Row],[نوع الخدمة]]="كاش ان",
    IF(F12&lt;=100, 18, IF(F12&lt;=250, 23, IF(F12&lt;=500, 35, IF(F12&lt;=1000, 40, F12*0.04)))),
IF(Basic34567[[#This Row],[نوع الخدمة]]="كاش اوت",
    IF(F12&lt;=100, 15, IF(F12&lt;=250, 20, IF(F12&lt;=500, 30, IF(F12&lt;=1000, 35, F12*0.035)))),
0)))</f>
        <v>0</v>
      </c>
      <c r="H12" s="141">
        <f>IF(I12="مخالفات",50,Basic34567[[#This Row],[قيمة الرسوم / العموله]]+Basic34567[[#This Row],[قيمة الشحنه]])</f>
        <v>0</v>
      </c>
      <c r="I12" s="90"/>
      <c r="J12" s="142" t="str">
        <f t="shared" si="0"/>
        <v>26.5.2026</v>
      </c>
      <c r="L12" s="153">
        <v>1</v>
      </c>
      <c r="M12" s="91"/>
      <c r="O12" s="137" t="s">
        <v>29</v>
      </c>
      <c r="P12" s="138">
        <f>SUMIF(Basic34567[نوع الخدمة],"كاش اوت",Basic34567[الاجمــــــــــالي])</f>
        <v>0</v>
      </c>
    </row>
    <row r="13" spans="1:60" ht="21.6" x14ac:dyDescent="0.65">
      <c r="A13" s="195"/>
      <c r="B13" s="144">
        <v>10</v>
      </c>
      <c r="C13" s="8"/>
      <c r="D13" s="9"/>
      <c r="E13" s="10"/>
      <c r="F13" s="9"/>
      <c r="G13" s="141">
        <f>IF(Basic34567[[#This Row],[نوع الخدمة]]="مخالفات", 50,
IF(Basic34567[[#This Row],[نوع الخدمة]]="كاش ان",
    IF(F13&lt;=100, 18, IF(F13&lt;=250, 23, IF(F13&lt;=500, 35, IF(F13&lt;=1000, 40, F13*0.04)))),
IF(Basic34567[[#This Row],[نوع الخدمة]]="كاش اوت",
    IF(F13&lt;=100, 15, IF(F13&lt;=250, 20, IF(F13&lt;=500, 30, IF(F13&lt;=1000, 35, F13*0.035)))),
0)))</f>
        <v>0</v>
      </c>
      <c r="H13" s="141">
        <f>IF(I13="مخالفات",50,Basic34567[[#This Row],[قيمة الرسوم / العموله]]+Basic34567[[#This Row],[قيمة الشحنه]])</f>
        <v>0</v>
      </c>
      <c r="I13" s="90"/>
      <c r="J13" s="142" t="str">
        <f t="shared" si="0"/>
        <v>26.5.2026</v>
      </c>
      <c r="L13" s="153">
        <v>2</v>
      </c>
      <c r="M13" s="92"/>
    </row>
    <row r="14" spans="1:60" ht="21.6" x14ac:dyDescent="0.65">
      <c r="A14" s="195"/>
      <c r="B14" s="140">
        <v>11</v>
      </c>
      <c r="C14" s="2"/>
      <c r="D14" s="1"/>
      <c r="E14" s="3"/>
      <c r="F14" s="1"/>
      <c r="G14" s="141">
        <f>IF(Basic34567[[#This Row],[نوع الخدمة]]="مخالفات", 50,
IF(Basic34567[[#This Row],[نوع الخدمة]]="كاش ان",
    IF(F14&lt;=100, 18, IF(F14&lt;=250, 23, IF(F14&lt;=500, 35, IF(F14&lt;=1000, 40, F14*0.04)))),
IF(Basic34567[[#This Row],[نوع الخدمة]]="كاش اوت",
    IF(F14&lt;=100, 15, IF(F14&lt;=250, 20, IF(F14&lt;=500, 30, IF(F14&lt;=1000, 35, F14*0.035)))),
0)))</f>
        <v>0</v>
      </c>
      <c r="H14" s="159">
        <f>IF(I14="مخالفات",50,Basic34567[[#This Row],[قيمة الرسوم / العموله]]+Basic34567[[#This Row],[قيمة الشحنه]])</f>
        <v>0</v>
      </c>
      <c r="I14" s="90"/>
      <c r="J14" s="142" t="str">
        <f t="shared" si="0"/>
        <v>26.5.2026</v>
      </c>
      <c r="L14" s="153">
        <v>3</v>
      </c>
      <c r="M14" s="92"/>
    </row>
    <row r="15" spans="1:60" ht="21.6" x14ac:dyDescent="0.65">
      <c r="A15" s="195"/>
      <c r="B15" s="140">
        <v>12</v>
      </c>
      <c r="C15" s="2"/>
      <c r="D15" s="1"/>
      <c r="E15" s="3"/>
      <c r="F15" s="1"/>
      <c r="G15" s="141">
        <f>IF(Basic34567[[#This Row],[نوع الخدمة]]="مخالفات", 50,
IF(Basic34567[[#This Row],[نوع الخدمة]]="كاش ان",
    IF(F15&lt;=100, 18, IF(F15&lt;=250, 23, IF(F15&lt;=500, 35, IF(F15&lt;=1000, 40, F15*0.04)))),
IF(Basic34567[[#This Row],[نوع الخدمة]]="كاش اوت",
    IF(F15&lt;=100, 15, IF(F15&lt;=250, 20, IF(F15&lt;=500, 30, IF(F15&lt;=1000, 35, F15*0.035)))),
0)))</f>
        <v>0</v>
      </c>
      <c r="H15" s="159">
        <f>IF(I15="مخالفات",50,Basic34567[[#This Row],[قيمة الرسوم / العموله]]+Basic34567[[#This Row],[قيمة الشحنه]])</f>
        <v>0</v>
      </c>
      <c r="I15" s="90"/>
      <c r="J15" s="142" t="str">
        <f t="shared" si="0"/>
        <v>26.5.2026</v>
      </c>
      <c r="L15" s="153">
        <v>4</v>
      </c>
      <c r="M15" s="92"/>
      <c r="O15" s="154" t="s">
        <v>10</v>
      </c>
      <c r="P15" s="155">
        <f>COUNTIF(Basic34567[نوع الخدمة],"مخالفات")</f>
        <v>0</v>
      </c>
    </row>
    <row r="16" spans="1:60" ht="21.6" x14ac:dyDescent="0.65">
      <c r="A16" s="195"/>
      <c r="B16" s="140">
        <v>13</v>
      </c>
      <c r="C16" s="2"/>
      <c r="D16" s="1"/>
      <c r="E16" s="3"/>
      <c r="F16" s="1"/>
      <c r="G16" s="141">
        <f>IF(Basic34567[[#This Row],[نوع الخدمة]]="مخالفات", 50,
IF(Basic34567[[#This Row],[نوع الخدمة]]="كاش ان",
    IF(F16&lt;=100, 18, IF(F16&lt;=250, 23, IF(F16&lt;=500, 35, IF(F16&lt;=1000, 40, F16*0.04)))),
IF(Basic34567[[#This Row],[نوع الخدمة]]="كاش اوت",
    IF(F16&lt;=100, 15, IF(F16&lt;=250, 20, IF(F16&lt;=500, 30, IF(F16&lt;=1000, 35, F16*0.035)))),
0)))</f>
        <v>0</v>
      </c>
      <c r="H16" s="159">
        <f>IF(I16="مخالفات",50,Basic34567[[#This Row],[قيمة الرسوم / العموله]]+Basic34567[[#This Row],[قيمة الشحنه]])</f>
        <v>0</v>
      </c>
      <c r="I16" s="90"/>
      <c r="J16" s="142" t="str">
        <f t="shared" si="0"/>
        <v>26.5.2026</v>
      </c>
      <c r="L16" s="153">
        <v>5</v>
      </c>
      <c r="M16" s="92"/>
      <c r="O16" s="154" t="s">
        <v>13</v>
      </c>
      <c r="P16" s="155">
        <f>COUNTIF(Basic34567[نوع الخدمة],"كاش ان")</f>
        <v>0</v>
      </c>
    </row>
    <row r="17" spans="1:21" ht="21.6" x14ac:dyDescent="0.65">
      <c r="A17" s="195"/>
      <c r="B17" s="144">
        <v>14</v>
      </c>
      <c r="C17" s="2"/>
      <c r="D17" s="1"/>
      <c r="E17" s="3"/>
      <c r="F17" s="1"/>
      <c r="G17" s="141">
        <f>IF(Basic34567[[#This Row],[نوع الخدمة]]="مخالفات", 50,
IF(Basic34567[[#This Row],[نوع الخدمة]]="كاش ان",
    IF(F17&lt;=100, 18, IF(F17&lt;=250, 23, IF(F17&lt;=500, 35, IF(F17&lt;=1000, 40, F17*0.04)))),
IF(Basic34567[[#This Row],[نوع الخدمة]]="كاش اوت",
    IF(F17&lt;=100, 15, IF(F17&lt;=250, 20, IF(F17&lt;=500, 30, IF(F17&lt;=1000, 35, F17*0.035)))),
0)))</f>
        <v>0</v>
      </c>
      <c r="H17" s="159">
        <f>IF(I17="مخالفات",50,Basic34567[[#This Row],[قيمة الرسوم / العموله]]+Basic34567[[#This Row],[قيمة الشحنه]])</f>
        <v>0</v>
      </c>
      <c r="I17" s="90"/>
      <c r="J17" s="142" t="str">
        <f t="shared" si="0"/>
        <v>26.5.2026</v>
      </c>
      <c r="L17" s="153">
        <v>6</v>
      </c>
      <c r="M17" s="92"/>
      <c r="O17" s="154" t="s">
        <v>14</v>
      </c>
      <c r="P17" s="155">
        <f>COUNTIF(Basic34567[نوع الخدمة],"كاش اوت")</f>
        <v>0</v>
      </c>
    </row>
    <row r="18" spans="1:21" ht="21.6" x14ac:dyDescent="0.65">
      <c r="A18" s="195"/>
      <c r="B18" s="140">
        <v>15</v>
      </c>
      <c r="C18" s="2"/>
      <c r="D18" s="1"/>
      <c r="E18" s="3"/>
      <c r="F18" s="1"/>
      <c r="G18" s="141">
        <f>IF(Basic34567[[#This Row],[نوع الخدمة]]="مخالفات", 50,
IF(Basic34567[[#This Row],[نوع الخدمة]]="كاش ان",
    IF(F18&lt;=100, 18, IF(F18&lt;=250, 23, IF(F18&lt;=500, 35, IF(F18&lt;=1000, 40, F18*0.04)))),
IF(Basic34567[[#This Row],[نوع الخدمة]]="كاش اوت",
    IF(F18&lt;=100, 15, IF(F18&lt;=250, 20, IF(F18&lt;=500, 30, IF(F18&lt;=1000, 35, F18*0.035)))),
0)))</f>
        <v>0</v>
      </c>
      <c r="H18" s="159">
        <f>IF(I18="مخالفات",50,Basic34567[[#This Row],[قيمة الرسوم / العموله]]+Basic34567[[#This Row],[قيمة الشحنه]])</f>
        <v>0</v>
      </c>
      <c r="I18" s="90"/>
      <c r="J18" s="142" t="str">
        <f t="shared" si="0"/>
        <v>26.5.2026</v>
      </c>
      <c r="L18" s="153">
        <v>7</v>
      </c>
      <c r="M18" s="92"/>
      <c r="O18" s="154" t="s">
        <v>15</v>
      </c>
      <c r="P18" s="155">
        <f>P16+P17</f>
        <v>0</v>
      </c>
    </row>
    <row r="19" spans="1:21" ht="21.6" x14ac:dyDescent="0.65">
      <c r="A19" s="195"/>
      <c r="B19" s="140">
        <v>16</v>
      </c>
      <c r="C19" s="2"/>
      <c r="D19" s="1"/>
      <c r="E19" s="3"/>
      <c r="F19" s="1"/>
      <c r="G19" s="141">
        <f>IF(Basic34567[[#This Row],[نوع الخدمة]]="مخالفات", 50,
IF(Basic34567[[#This Row],[نوع الخدمة]]="كاش ان",
    IF(F19&lt;=100, 18, IF(F19&lt;=250, 23, IF(F19&lt;=500, 35, IF(F19&lt;=1000, 40, F19*0.04)))),
IF(Basic34567[[#This Row],[نوع الخدمة]]="كاش اوت",
    IF(F19&lt;=100, 15, IF(F19&lt;=250, 20, IF(F19&lt;=500, 30, IF(F19&lt;=1000, 35, F19*0.035)))),
0)))</f>
        <v>0</v>
      </c>
      <c r="H19" s="159">
        <f>IF(I19="مخالفات",50,Basic34567[[#This Row],[قيمة الرسوم / العموله]]+Basic34567[[#This Row],[قيمة الشحنه]])</f>
        <v>0</v>
      </c>
      <c r="I19" s="90"/>
      <c r="J19" s="142" t="str">
        <f t="shared" si="0"/>
        <v>26.5.2026</v>
      </c>
      <c r="L19" s="153">
        <v>8</v>
      </c>
      <c r="M19" s="92"/>
    </row>
    <row r="20" spans="1:21" ht="21.6" x14ac:dyDescent="0.65">
      <c r="A20" s="195"/>
      <c r="B20" s="140">
        <v>17</v>
      </c>
      <c r="C20" s="2"/>
      <c r="D20" s="1"/>
      <c r="E20" s="3"/>
      <c r="F20" s="1"/>
      <c r="G20" s="141">
        <f>IF(Basic34567[[#This Row],[نوع الخدمة]]="مخالفات", 50,
IF(Basic34567[[#This Row],[نوع الخدمة]]="كاش ان",
    IF(F20&lt;=100, 18, IF(F20&lt;=250, 23, IF(F20&lt;=500, 35, IF(F20&lt;=1000, 40, F20*0.04)))),
IF(Basic34567[[#This Row],[نوع الخدمة]]="كاش اوت",
    IF(F20&lt;=100, 15, IF(F20&lt;=250, 20, IF(F20&lt;=500, 30, IF(F20&lt;=1000, 35, F20*0.035)))),
0)))</f>
        <v>0</v>
      </c>
      <c r="H20" s="159">
        <f>IF(I20="مخالفات",50,Basic34567[[#This Row],[قيمة الرسوم / العموله]]+Basic34567[[#This Row],[قيمة الشحنه]])</f>
        <v>0</v>
      </c>
      <c r="I20" s="90"/>
      <c r="J20" s="142" t="str">
        <f t="shared" si="0"/>
        <v>26.5.2026</v>
      </c>
      <c r="L20" s="153">
        <v>9</v>
      </c>
      <c r="M20" s="92"/>
      <c r="O20" s="193" t="s">
        <v>30</v>
      </c>
      <c r="P20" s="194"/>
    </row>
    <row r="21" spans="1:21" ht="21.6" x14ac:dyDescent="0.65">
      <c r="A21" s="195"/>
      <c r="B21" s="144">
        <v>18</v>
      </c>
      <c r="C21" s="2"/>
      <c r="D21" s="1"/>
      <c r="E21" s="3"/>
      <c r="F21" s="1"/>
      <c r="G21" s="141">
        <f>IF(Basic34567[[#This Row],[نوع الخدمة]]="مخالفات", 50,
IF(Basic34567[[#This Row],[نوع الخدمة]]="كاش ان",
    IF(F21&lt;=100, 18, IF(F21&lt;=250, 23, IF(F21&lt;=500, 35, IF(F21&lt;=1000, 40, F21*0.04)))),
IF(Basic34567[[#This Row],[نوع الخدمة]]="كاش اوت",
    IF(F21&lt;=100, 15, IF(F21&lt;=250, 20, IF(F21&lt;=500, 30, IF(F21&lt;=1000, 35, F21*0.035)))),
0)))</f>
        <v>0</v>
      </c>
      <c r="H21" s="159">
        <f>IF(I21="مخالفات",50,Basic34567[[#This Row],[قيمة الرسوم / العموله]]+Basic34567[[#This Row],[قيمة الشحنه]])</f>
        <v>0</v>
      </c>
      <c r="I21" s="90"/>
      <c r="J21" s="142" t="str">
        <f t="shared" si="0"/>
        <v>26.5.2026</v>
      </c>
      <c r="L21" s="153">
        <v>10</v>
      </c>
      <c r="M21" s="92"/>
      <c r="O21" s="196" t="s">
        <v>31</v>
      </c>
      <c r="P21" s="197"/>
    </row>
    <row r="22" spans="1:21" ht="21.6" x14ac:dyDescent="0.65">
      <c r="A22" s="195"/>
      <c r="B22" s="140">
        <v>19</v>
      </c>
      <c r="C22" s="2"/>
      <c r="D22" s="1"/>
      <c r="E22" s="3"/>
      <c r="F22" s="1"/>
      <c r="G22" s="141">
        <f>IF(Basic34567[[#This Row],[نوع الخدمة]]="مخالفات", 50,
IF(Basic34567[[#This Row],[نوع الخدمة]]="كاش ان",
    IF(F22&lt;=100, 18, IF(F22&lt;=250, 23, IF(F22&lt;=500, 35, IF(F22&lt;=1000, 40, F22*0.04)))),
IF(Basic34567[[#This Row],[نوع الخدمة]]="كاش اوت",
    IF(F22&lt;=100, 15, IF(F22&lt;=250, 20, IF(F22&lt;=500, 30, IF(F22&lt;=1000, 35, F22*0.035)))),
0)))</f>
        <v>0</v>
      </c>
      <c r="H22" s="159">
        <f>IF(I22="مخالفات",50,Basic34567[[#This Row],[قيمة الرسوم / العموله]]+Basic34567[[#This Row],[قيمة الشحنه]])</f>
        <v>0</v>
      </c>
      <c r="I22" s="90"/>
      <c r="J22" s="142" t="str">
        <f t="shared" si="0"/>
        <v>26.5.2026</v>
      </c>
      <c r="L22" s="153">
        <v>11</v>
      </c>
      <c r="M22" s="92"/>
      <c r="O22" s="147" t="s">
        <v>27</v>
      </c>
      <c r="P22" s="135">
        <f>M8+'25'!P28</f>
        <v>-4</v>
      </c>
    </row>
    <row r="23" spans="1:21" ht="21.6" x14ac:dyDescent="0.65">
      <c r="A23" s="195"/>
      <c r="B23" s="140">
        <v>20</v>
      </c>
      <c r="C23" s="2"/>
      <c r="D23" s="1"/>
      <c r="E23" s="3"/>
      <c r="F23" s="1"/>
      <c r="G23" s="141">
        <f>IF(Basic34567[[#This Row],[نوع الخدمة]]="مخالفات", 50,
IF(Basic34567[[#This Row],[نوع الخدمة]]="كاش ان",
    IF(F23&lt;=100, 18, IF(F23&lt;=250, 23, IF(F23&lt;=500, 35, IF(F23&lt;=1000, 40, F23*0.04)))),
IF(Basic34567[[#This Row],[نوع الخدمة]]="كاش اوت",
    IF(F23&lt;=100, 15, IF(F23&lt;=250, 20, IF(F23&lt;=500, 30, IF(F23&lt;=1000, 35, F23*0.035)))),
0)))</f>
        <v>0</v>
      </c>
      <c r="H23" s="159">
        <f>IF(I23="مخالفات",50,Basic34567[[#This Row],[قيمة الرسوم / العموله]]+Basic34567[[#This Row],[قيمة الشحنه]])</f>
        <v>0</v>
      </c>
      <c r="I23" s="90"/>
      <c r="J23" s="142" t="str">
        <f t="shared" si="0"/>
        <v>26.5.2026</v>
      </c>
      <c r="L23" s="153">
        <v>12</v>
      </c>
      <c r="M23" s="92"/>
      <c r="O23" s="147" t="s">
        <v>28</v>
      </c>
      <c r="P23" s="135">
        <f>M9+'25'!P29</f>
        <v>0</v>
      </c>
      <c r="T23" s="173"/>
      <c r="U23" s="173"/>
    </row>
    <row r="24" spans="1:21" ht="21.6" x14ac:dyDescent="0.65">
      <c r="A24" s="195"/>
      <c r="B24" s="140">
        <v>21</v>
      </c>
      <c r="C24" s="2"/>
      <c r="D24" s="1"/>
      <c r="E24" s="3"/>
      <c r="F24" s="1"/>
      <c r="G24" s="141">
        <f>IF(Basic34567[[#This Row],[نوع الخدمة]]="مخالفات", 50,
IF(Basic34567[[#This Row],[نوع الخدمة]]="كاش ان",
    IF(F24&lt;=100, 18, IF(F24&lt;=250, 23, IF(F24&lt;=500, 35, IF(F24&lt;=1000, 40, F24*0.04)))),
IF(Basic34567[[#This Row],[نوع الخدمة]]="كاش اوت",
    IF(F24&lt;=100, 15, IF(F24&lt;=250, 20, IF(F24&lt;=500, 30, IF(F24&lt;=1000, 35, F24*0.035)))),
0)))</f>
        <v>0</v>
      </c>
      <c r="H24" s="159">
        <f>IF(I24="مخالفات",50,Basic34567[[#This Row],[قيمة الرسوم / العموله]]+Basic34567[[#This Row],[قيمة الشحنه]])</f>
        <v>0</v>
      </c>
      <c r="I24" s="90"/>
      <c r="J24" s="142" t="str">
        <f t="shared" si="0"/>
        <v>26.5.2026</v>
      </c>
      <c r="L24" s="153">
        <v>13</v>
      </c>
      <c r="M24" s="92"/>
      <c r="O24" s="196" t="s">
        <v>32</v>
      </c>
      <c r="P24" s="197"/>
    </row>
    <row r="25" spans="1:21" ht="21.6" x14ac:dyDescent="0.65">
      <c r="A25" s="195"/>
      <c r="B25" s="144">
        <v>22</v>
      </c>
      <c r="C25" s="2"/>
      <c r="D25" s="1"/>
      <c r="E25" s="3"/>
      <c r="F25" s="1"/>
      <c r="G25" s="141">
        <f>IF(Basic34567[[#This Row],[نوع الخدمة]]="مخالفات", 50,
IF(Basic34567[[#This Row],[نوع الخدمة]]="كاش ان",
    IF(F25&lt;=100, 18, IF(F25&lt;=250, 23, IF(F25&lt;=500, 35, IF(F25&lt;=1000, 40, F25*0.04)))),
IF(Basic34567[[#This Row],[نوع الخدمة]]="كاش اوت",
    IF(F25&lt;=100, 15, IF(F25&lt;=250, 20, IF(F25&lt;=500, 30, IF(F25&lt;=1000, 35, F25*0.035)))),
0)))</f>
        <v>0</v>
      </c>
      <c r="H25" s="159">
        <f>IF(I25="مخالفات",50,Basic34567[[#This Row],[قيمة الرسوم / العموله]]+Basic34567[[#This Row],[قيمة الشحنه]])</f>
        <v>0</v>
      </c>
      <c r="I25" s="90"/>
      <c r="J25" s="142" t="str">
        <f t="shared" si="0"/>
        <v>26.5.2026</v>
      </c>
      <c r="L25" s="153">
        <v>14</v>
      </c>
      <c r="M25" s="92"/>
      <c r="O25" s="147" t="s">
        <v>27</v>
      </c>
      <c r="P25" s="135">
        <f>M5</f>
        <v>0</v>
      </c>
    </row>
    <row r="26" spans="1:21" ht="21.6" x14ac:dyDescent="0.65">
      <c r="A26" s="195"/>
      <c r="B26" s="140">
        <v>23</v>
      </c>
      <c r="C26" s="2"/>
      <c r="D26" s="1"/>
      <c r="E26" s="3"/>
      <c r="F26" s="1"/>
      <c r="G26" s="141">
        <f>IF(Basic34567[[#This Row],[نوع الخدمة]]="مخالفات", 50,
IF(Basic34567[[#This Row],[نوع الخدمة]]="كاش ان",
    IF(F26&lt;=100, 18, IF(F26&lt;=250, 23, IF(F26&lt;=500, 35, IF(F26&lt;=1000, 40, F26*0.04)))),
IF(Basic34567[[#This Row],[نوع الخدمة]]="كاش اوت",
    IF(F26&lt;=100, 15, IF(F26&lt;=250, 20, IF(F26&lt;=500, 30, IF(F26&lt;=1000, 35, F26*0.035)))),
0)))</f>
        <v>0</v>
      </c>
      <c r="H26" s="159">
        <f>IF(I26="مخالفات",50,Basic34567[[#This Row],[قيمة الرسوم / العموله]]+Basic34567[[#This Row],[قيمة الشحنه]])</f>
        <v>0</v>
      </c>
      <c r="I26" s="90"/>
      <c r="J26" s="142" t="str">
        <f t="shared" si="0"/>
        <v>26.5.2026</v>
      </c>
      <c r="L26" s="153">
        <v>15</v>
      </c>
      <c r="M26" s="92"/>
      <c r="O26" s="147" t="s">
        <v>28</v>
      </c>
      <c r="P26" s="135">
        <f>M6</f>
        <v>0</v>
      </c>
    </row>
    <row r="27" spans="1:21" ht="21.6" x14ac:dyDescent="0.65">
      <c r="A27" s="195"/>
      <c r="B27" s="140">
        <v>24</v>
      </c>
      <c r="C27" s="2"/>
      <c r="D27" s="1"/>
      <c r="E27" s="3"/>
      <c r="F27" s="1"/>
      <c r="G27" s="141">
        <f>IF(Basic34567[[#This Row],[نوع الخدمة]]="مخالفات", 50,
IF(Basic34567[[#This Row],[نوع الخدمة]]="كاش ان",
    IF(F27&lt;=100, 18, IF(F27&lt;=250, 23, IF(F27&lt;=500, 35, IF(F27&lt;=1000, 40, F27*0.04)))),
IF(Basic34567[[#This Row],[نوع الخدمة]]="كاش اوت",
    IF(F27&lt;=100, 15, IF(F27&lt;=250, 20, IF(F27&lt;=500, 30, IF(F27&lt;=1000, 35, F27*0.035)))),
0)))</f>
        <v>0</v>
      </c>
      <c r="H27" s="159">
        <f>IF(I27="مخالفات",50,Basic34567[[#This Row],[قيمة الرسوم / العموله]]+Basic34567[[#This Row],[قيمة الشحنه]])</f>
        <v>0</v>
      </c>
      <c r="I27" s="90"/>
      <c r="J27" s="142" t="str">
        <f t="shared" si="0"/>
        <v>26.5.2026</v>
      </c>
      <c r="L27" s="153">
        <v>16</v>
      </c>
      <c r="M27" s="92"/>
      <c r="O27" s="196" t="s">
        <v>33</v>
      </c>
      <c r="P27" s="197"/>
    </row>
    <row r="28" spans="1:21" ht="21.6" x14ac:dyDescent="0.65">
      <c r="A28" s="195"/>
      <c r="B28" s="140">
        <v>25</v>
      </c>
      <c r="C28" s="2"/>
      <c r="D28" s="1"/>
      <c r="E28" s="3"/>
      <c r="F28" s="1"/>
      <c r="G28" s="141">
        <f>IF(Basic34567[[#This Row],[نوع الخدمة]]="مخالفات", 50,
IF(Basic34567[[#This Row],[نوع الخدمة]]="كاش ان",
    IF(F28&lt;=100, 18, IF(F28&lt;=250, 23, IF(F28&lt;=500, 35, IF(F28&lt;=1000, 40, F28*0.04)))),
IF(Basic34567[[#This Row],[نوع الخدمة]]="كاش اوت",
    IF(F28&lt;=100, 15, IF(F28&lt;=250, 20, IF(F28&lt;=500, 30, IF(F28&lt;=1000, 35, F28*0.035)))),
0)))</f>
        <v>0</v>
      </c>
      <c r="H28" s="159">
        <f>IF(I28="مخالفات",50,Basic34567[[#This Row],[قيمة الرسوم / العموله]]+Basic34567[[#This Row],[قيمة الشحنه]])</f>
        <v>0</v>
      </c>
      <c r="I28" s="90"/>
      <c r="J28" s="142" t="str">
        <f t="shared" si="0"/>
        <v>26.5.2026</v>
      </c>
      <c r="L28" s="153">
        <v>17</v>
      </c>
      <c r="M28" s="92"/>
      <c r="O28" s="147" t="s">
        <v>27</v>
      </c>
      <c r="P28" s="135">
        <f>P22-P25</f>
        <v>-4</v>
      </c>
    </row>
    <row r="29" spans="1:21" ht="21.6" x14ac:dyDescent="0.65">
      <c r="A29" s="195"/>
      <c r="B29" s="144">
        <v>26</v>
      </c>
      <c r="C29" s="2"/>
      <c r="D29" s="1"/>
      <c r="E29" s="3"/>
      <c r="F29" s="1"/>
      <c r="G29" s="141">
        <f>IF(Basic34567[[#This Row],[نوع الخدمة]]="مخالفات", 50,
IF(Basic34567[[#This Row],[نوع الخدمة]]="كاش ان",
    IF(F29&lt;=100, 18, IF(F29&lt;=250, 23, IF(F29&lt;=500, 35, IF(F29&lt;=1000, 40, F29*0.04)))),
IF(Basic34567[[#This Row],[نوع الخدمة]]="كاش اوت",
    IF(F29&lt;=100, 15, IF(F29&lt;=250, 20, IF(F29&lt;=500, 30, IF(F29&lt;=1000, 35, F29*0.035)))),
0)))</f>
        <v>0</v>
      </c>
      <c r="H29" s="159">
        <f>IF(I29="مخالفات",50,Basic34567[[#This Row],[قيمة الرسوم / العموله]]+Basic34567[[#This Row],[قيمة الشحنه]])</f>
        <v>0</v>
      </c>
      <c r="I29" s="90"/>
      <c r="J29" s="142" t="str">
        <f t="shared" si="0"/>
        <v>26.5.2026</v>
      </c>
      <c r="L29" s="153">
        <v>18</v>
      </c>
      <c r="M29" s="92"/>
      <c r="O29" s="147" t="s">
        <v>28</v>
      </c>
      <c r="P29" s="135">
        <f>P23-P26</f>
        <v>0</v>
      </c>
    </row>
    <row r="30" spans="1:21" ht="21.6" x14ac:dyDescent="0.65">
      <c r="A30" s="195"/>
      <c r="B30" s="140">
        <v>27</v>
      </c>
      <c r="C30" s="2"/>
      <c r="D30" s="1"/>
      <c r="E30" s="3"/>
      <c r="F30" s="1"/>
      <c r="G30" s="141">
        <f>IF(Basic34567[[#This Row],[نوع الخدمة]]="مخالفات", 50,
IF(Basic34567[[#This Row],[نوع الخدمة]]="كاش ان",
    IF(F30&lt;=100, 18, IF(F30&lt;=250, 23, IF(F30&lt;=500, 35, IF(F30&lt;=1000, 40, F30*0.04)))),
IF(Basic34567[[#This Row],[نوع الخدمة]]="كاش اوت",
    IF(F30&lt;=100, 15, IF(F30&lt;=250, 20, IF(F30&lt;=500, 30, IF(F30&lt;=1000, 35, F30*0.035)))),
0)))</f>
        <v>0</v>
      </c>
      <c r="H30" s="159">
        <f>IF(I30="مخالفات",50,Basic34567[[#This Row],[قيمة الرسوم / العموله]]+Basic34567[[#This Row],[قيمة الشحنه]])</f>
        <v>0</v>
      </c>
      <c r="I30" s="90"/>
      <c r="J30" s="142" t="str">
        <f t="shared" si="0"/>
        <v>26.5.2026</v>
      </c>
      <c r="L30" s="153">
        <v>19</v>
      </c>
      <c r="M30" s="92"/>
    </row>
    <row r="31" spans="1:21" ht="21.6" x14ac:dyDescent="0.65">
      <c r="A31" s="195"/>
      <c r="B31" s="140">
        <v>28</v>
      </c>
      <c r="C31" s="2"/>
      <c r="D31" s="1"/>
      <c r="E31" s="3"/>
      <c r="F31" s="1"/>
      <c r="G31" s="141">
        <f>IF(Basic34567[[#This Row],[نوع الخدمة]]="مخالفات", 50,
IF(Basic34567[[#This Row],[نوع الخدمة]]="كاش ان",
    IF(F31&lt;=100, 18, IF(F31&lt;=250, 23, IF(F31&lt;=500, 35, IF(F31&lt;=1000, 40, F31*0.04)))),
IF(Basic34567[[#This Row],[نوع الخدمة]]="كاش اوت",
    IF(F31&lt;=100, 15, IF(F31&lt;=250, 20, IF(F31&lt;=500, 30, IF(F31&lt;=1000, 35, F31*0.035)))),
0)))</f>
        <v>0</v>
      </c>
      <c r="H31" s="159">
        <f>IF(I31="مخالفات",50,Basic34567[[#This Row],[قيمة الرسوم / العموله]]+Basic34567[[#This Row],[قيمة الشحنه]])</f>
        <v>0</v>
      </c>
      <c r="I31" s="90"/>
      <c r="J31" s="142" t="str">
        <f t="shared" si="0"/>
        <v>26.5.2026</v>
      </c>
      <c r="L31" s="153">
        <v>20</v>
      </c>
      <c r="M31" s="92"/>
    </row>
    <row r="32" spans="1:21" ht="21.6" x14ac:dyDescent="0.65">
      <c r="A32" s="195"/>
      <c r="B32" s="140">
        <v>29</v>
      </c>
      <c r="C32" s="2"/>
      <c r="D32" s="1"/>
      <c r="E32" s="3"/>
      <c r="F32" s="1"/>
      <c r="G32" s="141">
        <f>IF(Basic34567[[#This Row],[نوع الخدمة]]="مخالفات", 50,
IF(Basic34567[[#This Row],[نوع الخدمة]]="كاش ان",
    IF(F32&lt;=100, 18, IF(F32&lt;=250, 23, IF(F32&lt;=500, 35, IF(F32&lt;=1000, 40, F32*0.04)))),
IF(Basic34567[[#This Row],[نوع الخدمة]]="كاش اوت",
    IF(F32&lt;=100, 15, IF(F32&lt;=250, 20, IF(F32&lt;=500, 30, IF(F32&lt;=1000, 35, F32*0.035)))),
0)))</f>
        <v>0</v>
      </c>
      <c r="H32" s="159">
        <f>IF(I32="مخالفات",50,Basic34567[[#This Row],[قيمة الرسوم / العموله]]+Basic34567[[#This Row],[قيمة الشحنه]])</f>
        <v>0</v>
      </c>
      <c r="I32" s="90"/>
      <c r="J32" s="142" t="str">
        <f t="shared" si="0"/>
        <v>26.5.2026</v>
      </c>
      <c r="L32" s="153">
        <v>21</v>
      </c>
      <c r="M32" s="92"/>
    </row>
    <row r="33" spans="1:13" ht="21.6" x14ac:dyDescent="0.65">
      <c r="A33" s="195"/>
      <c r="B33" s="144">
        <v>30</v>
      </c>
      <c r="C33" s="2"/>
      <c r="D33" s="1"/>
      <c r="E33" s="3"/>
      <c r="F33" s="1"/>
      <c r="G33" s="141">
        <f>IF(Basic34567[[#This Row],[نوع الخدمة]]="مخالفات", 50,
IF(Basic34567[[#This Row],[نوع الخدمة]]="كاش ان",
    IF(F33&lt;=100, 18, IF(F33&lt;=250, 23, IF(F33&lt;=500, 35, IF(F33&lt;=1000, 40, F33*0.04)))),
IF(Basic34567[[#This Row],[نوع الخدمة]]="كاش اوت",
    IF(F33&lt;=100, 15, IF(F33&lt;=250, 20, IF(F33&lt;=500, 30, IF(F33&lt;=1000, 35, F33*0.035)))),
0)))</f>
        <v>0</v>
      </c>
      <c r="H33" s="159">
        <f>IF(I33="مخالفات",50,Basic34567[[#This Row],[قيمة الرسوم / العموله]]+Basic34567[[#This Row],[قيمة الشحنه]])</f>
        <v>0</v>
      </c>
      <c r="I33" s="90"/>
      <c r="J33" s="142" t="str">
        <f t="shared" si="0"/>
        <v>26.5.2026</v>
      </c>
      <c r="L33" s="153">
        <v>22</v>
      </c>
      <c r="M33" s="92"/>
    </row>
    <row r="34" spans="1:13" ht="21.6" x14ac:dyDescent="0.65">
      <c r="A34" s="195"/>
      <c r="B34" s="140">
        <v>31</v>
      </c>
      <c r="C34" s="2"/>
      <c r="D34" s="1"/>
      <c r="E34" s="3"/>
      <c r="F34" s="1"/>
      <c r="G34" s="141">
        <f>IF(Basic34567[[#This Row],[نوع الخدمة]]="مخالفات", 50,
IF(Basic34567[[#This Row],[نوع الخدمة]]="كاش ان",
    IF(F34&lt;=100, 18, IF(F34&lt;=250, 23, IF(F34&lt;=500, 35, IF(F34&lt;=1000, 40, F34*0.04)))),
IF(Basic34567[[#This Row],[نوع الخدمة]]="كاش اوت",
    IF(F34&lt;=100, 15, IF(F34&lt;=250, 20, IF(F34&lt;=500, 30, IF(F34&lt;=1000, 35, F34*0.035)))),
0)))</f>
        <v>0</v>
      </c>
      <c r="H34" s="159">
        <f>IF(I34="مخالفات",50,Basic34567[[#This Row],[قيمة الرسوم / العموله]]+Basic34567[[#This Row],[قيمة الشحنه]])</f>
        <v>0</v>
      </c>
      <c r="I34" s="90"/>
      <c r="J34" s="142" t="str">
        <f t="shared" si="0"/>
        <v>26.5.2026</v>
      </c>
      <c r="L34" s="153">
        <v>23</v>
      </c>
      <c r="M34" s="92"/>
    </row>
    <row r="35" spans="1:13" ht="21.6" x14ac:dyDescent="0.65">
      <c r="A35" s="195"/>
      <c r="B35" s="140">
        <v>32</v>
      </c>
      <c r="C35" s="2"/>
      <c r="D35" s="1"/>
      <c r="E35" s="3"/>
      <c r="F35" s="1"/>
      <c r="G35" s="141">
        <f>IF(Basic34567[[#This Row],[نوع الخدمة]]="مخالفات", 50,
IF(Basic34567[[#This Row],[نوع الخدمة]]="كاش ان",
    IF(F35&lt;=100, 18, IF(F35&lt;=250, 23, IF(F35&lt;=500, 35, IF(F35&lt;=1000, 40, F35*0.04)))),
IF(Basic34567[[#This Row],[نوع الخدمة]]="كاش اوت",
    IF(F35&lt;=100, 15, IF(F35&lt;=250, 20, IF(F35&lt;=500, 30, IF(F35&lt;=1000, 35, F35*0.035)))),
0)))</f>
        <v>0</v>
      </c>
      <c r="H35" s="159">
        <f>IF(I35="مخالفات",50,Basic34567[[#This Row],[قيمة الرسوم / العموله]]+Basic34567[[#This Row],[قيمة الشحنه]])</f>
        <v>0</v>
      </c>
      <c r="I35" s="90"/>
      <c r="J35" s="142" t="str">
        <f t="shared" si="0"/>
        <v>26.5.2026</v>
      </c>
      <c r="L35" s="153">
        <v>24</v>
      </c>
      <c r="M35" s="92"/>
    </row>
    <row r="36" spans="1:13" ht="21.6" x14ac:dyDescent="0.65">
      <c r="A36" s="195"/>
      <c r="B36" s="140">
        <v>33</v>
      </c>
      <c r="C36" s="2"/>
      <c r="D36" s="1"/>
      <c r="E36" s="3"/>
      <c r="F36" s="1"/>
      <c r="G36" s="141">
        <f>IF(Basic34567[[#This Row],[نوع الخدمة]]="مخالفات", 50,
IF(Basic34567[[#This Row],[نوع الخدمة]]="كاش ان",
    IF(F36&lt;=100, 18, IF(F36&lt;=250, 23, IF(F36&lt;=500, 35, IF(F36&lt;=1000, 40, F36*0.04)))),
IF(Basic34567[[#This Row],[نوع الخدمة]]="كاش اوت",
    IF(F36&lt;=100, 15, IF(F36&lt;=250, 20, IF(F36&lt;=500, 30, IF(F36&lt;=1000, 35, F36*0.035)))),
0)))</f>
        <v>0</v>
      </c>
      <c r="H36" s="159">
        <f>IF(I36="مخالفات",50,Basic34567[[#This Row],[قيمة الرسوم / العموله]]+Basic34567[[#This Row],[قيمة الشحنه]])</f>
        <v>0</v>
      </c>
      <c r="I36" s="90"/>
      <c r="J36" s="142" t="str">
        <f t="shared" si="0"/>
        <v>26.5.2026</v>
      </c>
      <c r="L36" s="153">
        <v>25</v>
      </c>
      <c r="M36" s="92"/>
    </row>
    <row r="37" spans="1:13" ht="21.6" x14ac:dyDescent="0.65">
      <c r="A37" s="195"/>
      <c r="B37" s="144">
        <v>34</v>
      </c>
      <c r="C37" s="2"/>
      <c r="D37" s="1"/>
      <c r="E37" s="3"/>
      <c r="F37" s="1"/>
      <c r="G37" s="141">
        <f>IF(Basic34567[[#This Row],[نوع الخدمة]]="مخالفات", 50,
IF(Basic34567[[#This Row],[نوع الخدمة]]="كاش ان",
    IF(F37&lt;=100, 18, IF(F37&lt;=250, 23, IF(F37&lt;=500, 35, IF(F37&lt;=1000, 40, F37*0.04)))),
IF(Basic34567[[#This Row],[نوع الخدمة]]="كاش اوت",
    IF(F37&lt;=100, 15, IF(F37&lt;=250, 20, IF(F37&lt;=500, 30, IF(F37&lt;=1000, 35, F37*0.035)))),
0)))</f>
        <v>0</v>
      </c>
      <c r="H37" s="159">
        <f>IF(I37="مخالفات",50,Basic34567[[#This Row],[قيمة الرسوم / العموله]]+Basic34567[[#This Row],[قيمة الشحنه]])</f>
        <v>0</v>
      </c>
      <c r="I37" s="90"/>
      <c r="J37" s="142" t="str">
        <f t="shared" si="0"/>
        <v>26.5.2026</v>
      </c>
      <c r="L37" s="153">
        <v>26</v>
      </c>
      <c r="M37" s="92"/>
    </row>
    <row r="38" spans="1:13" ht="21.6" x14ac:dyDescent="0.65">
      <c r="A38" s="195"/>
      <c r="B38" s="140">
        <v>35</v>
      </c>
      <c r="C38" s="2"/>
      <c r="D38" s="1"/>
      <c r="E38" s="3"/>
      <c r="F38" s="1"/>
      <c r="G38" s="141">
        <f>IF(Basic34567[[#This Row],[نوع الخدمة]]="مخالفات", 50,
IF(Basic34567[[#This Row],[نوع الخدمة]]="كاش ان",
    IF(F38&lt;=100, 18, IF(F38&lt;=250, 23, IF(F38&lt;=500, 35, IF(F38&lt;=1000, 40, F38*0.04)))),
IF(Basic34567[[#This Row],[نوع الخدمة]]="كاش اوت",
    IF(F38&lt;=100, 15, IF(F38&lt;=250, 20, IF(F38&lt;=500, 30, IF(F38&lt;=1000, 35, F38*0.035)))),
0)))</f>
        <v>0</v>
      </c>
      <c r="H38" s="159">
        <f>IF(I38="مخالفات",50,Basic34567[[#This Row],[قيمة الرسوم / العموله]]+Basic34567[[#This Row],[قيمة الشحنه]])</f>
        <v>0</v>
      </c>
      <c r="I38" s="90"/>
      <c r="J38" s="142" t="str">
        <f t="shared" si="0"/>
        <v>26.5.2026</v>
      </c>
      <c r="L38" s="153">
        <v>27</v>
      </c>
      <c r="M38" s="92"/>
    </row>
    <row r="39" spans="1:13" ht="21.6" x14ac:dyDescent="0.65">
      <c r="A39" s="195"/>
      <c r="B39" s="140">
        <v>36</v>
      </c>
      <c r="C39" s="2"/>
      <c r="D39" s="1"/>
      <c r="E39" s="3"/>
      <c r="F39" s="1"/>
      <c r="G39" s="141">
        <f>IF(Basic34567[[#This Row],[نوع الخدمة]]="مخالفات", 50,
IF(Basic34567[[#This Row],[نوع الخدمة]]="كاش ان",
    IF(F39&lt;=100, 18, IF(F39&lt;=250, 23, IF(F39&lt;=500, 35, IF(F39&lt;=1000, 40, F39*0.04)))),
IF(Basic34567[[#This Row],[نوع الخدمة]]="كاش اوت",
    IF(F39&lt;=100, 15, IF(F39&lt;=250, 20, IF(F39&lt;=500, 30, IF(F39&lt;=1000, 35, F39*0.035)))),
0)))</f>
        <v>0</v>
      </c>
      <c r="H39" s="159">
        <f>IF(I39="مخالفات",50,Basic34567[[#This Row],[قيمة الرسوم / العموله]]+Basic34567[[#This Row],[قيمة الشحنه]])</f>
        <v>0</v>
      </c>
      <c r="I39" s="90"/>
      <c r="J39" s="142" t="str">
        <f t="shared" si="0"/>
        <v>26.5.2026</v>
      </c>
      <c r="L39" s="153">
        <v>28</v>
      </c>
      <c r="M39" s="92"/>
    </row>
    <row r="40" spans="1:13" ht="21.6" x14ac:dyDescent="0.65">
      <c r="A40" s="195"/>
      <c r="B40" s="140">
        <v>37</v>
      </c>
      <c r="C40" s="2"/>
      <c r="D40" s="1"/>
      <c r="E40" s="3"/>
      <c r="F40" s="1"/>
      <c r="G40" s="141">
        <f>IF(Basic34567[[#This Row],[نوع الخدمة]]="مخالفات", 50,
IF(Basic34567[[#This Row],[نوع الخدمة]]="كاش ان",
    IF(F40&lt;=100, 18, IF(F40&lt;=250, 23, IF(F40&lt;=500, 35, IF(F40&lt;=1000, 40, F40*0.04)))),
IF(Basic34567[[#This Row],[نوع الخدمة]]="كاش اوت",
    IF(F40&lt;=100, 15, IF(F40&lt;=250, 20, IF(F40&lt;=500, 30, IF(F40&lt;=1000, 35, F40*0.035)))),
0)))</f>
        <v>0</v>
      </c>
      <c r="H40" s="159">
        <f>IF(I40="مخالفات",50,Basic34567[[#This Row],[قيمة الرسوم / العموله]]+Basic34567[[#This Row],[قيمة الشحنه]])</f>
        <v>0</v>
      </c>
      <c r="I40" s="90"/>
      <c r="J40" s="142" t="str">
        <f t="shared" si="0"/>
        <v>26.5.2026</v>
      </c>
      <c r="L40" s="153">
        <v>29</v>
      </c>
      <c r="M40" s="92"/>
    </row>
    <row r="41" spans="1:13" ht="21.6" x14ac:dyDescent="0.65">
      <c r="A41" s="195"/>
      <c r="B41" s="144">
        <v>38</v>
      </c>
      <c r="C41" s="2"/>
      <c r="D41" s="1"/>
      <c r="E41" s="3"/>
      <c r="F41" s="1"/>
      <c r="G41" s="141">
        <f>IF(Basic34567[[#This Row],[نوع الخدمة]]="مخالفات", 50,
IF(Basic34567[[#This Row],[نوع الخدمة]]="كاش ان",
    IF(F41&lt;=100, 18, IF(F41&lt;=250, 23, IF(F41&lt;=500, 35, IF(F41&lt;=1000, 40, F41*0.04)))),
IF(Basic34567[[#This Row],[نوع الخدمة]]="كاش اوت",
    IF(F41&lt;=100, 15, IF(F41&lt;=250, 20, IF(F41&lt;=500, 30, IF(F41&lt;=1000, 35, F41*0.035)))),
0)))</f>
        <v>0</v>
      </c>
      <c r="H41" s="159">
        <f>IF(I41="مخالفات",50,Basic34567[[#This Row],[قيمة الرسوم / العموله]]+Basic34567[[#This Row],[قيمة الشحنه]])</f>
        <v>0</v>
      </c>
      <c r="I41" s="90"/>
      <c r="J41" s="142" t="str">
        <f t="shared" si="0"/>
        <v>26.5.2026</v>
      </c>
      <c r="L41" s="153">
        <v>30</v>
      </c>
      <c r="M41" s="92"/>
    </row>
    <row r="42" spans="1:13" ht="21.6" x14ac:dyDescent="0.65">
      <c r="A42" s="195"/>
      <c r="B42" s="140">
        <v>39</v>
      </c>
      <c r="C42" s="2"/>
      <c r="D42" s="1"/>
      <c r="E42" s="3"/>
      <c r="F42" s="1"/>
      <c r="G42" s="141">
        <f>IF(Basic34567[[#This Row],[نوع الخدمة]]="مخالفات", 50,
IF(Basic34567[[#This Row],[نوع الخدمة]]="كاش ان",
    IF(F42&lt;=100, 18, IF(F42&lt;=250, 23, IF(F42&lt;=500, 35, IF(F42&lt;=1000, 40, F42*0.04)))),
IF(Basic34567[[#This Row],[نوع الخدمة]]="كاش اوت",
    IF(F42&lt;=100, 15, IF(F42&lt;=250, 20, IF(F42&lt;=500, 30, IF(F42&lt;=1000, 35, F42*0.035)))),
0)))</f>
        <v>0</v>
      </c>
      <c r="H42" s="159">
        <f>IF(I42="مخالفات",50,Basic34567[[#This Row],[قيمة الرسوم / العموله]]+Basic34567[[#This Row],[قيمة الشحنه]])</f>
        <v>0</v>
      </c>
      <c r="I42" s="90"/>
      <c r="J42" s="142" t="str">
        <f t="shared" si="0"/>
        <v>26.5.2026</v>
      </c>
      <c r="L42" s="153">
        <v>31</v>
      </c>
      <c r="M42" s="92"/>
    </row>
    <row r="43" spans="1:13" ht="21.6" x14ac:dyDescent="0.65">
      <c r="A43" s="195"/>
      <c r="B43" s="140">
        <v>40</v>
      </c>
      <c r="C43" s="2"/>
      <c r="D43" s="1"/>
      <c r="E43" s="3"/>
      <c r="F43" s="1"/>
      <c r="G43" s="141">
        <f>IF(Basic34567[[#This Row],[نوع الخدمة]]="مخالفات", 50,
IF(Basic34567[[#This Row],[نوع الخدمة]]="كاش ان",
    IF(F43&lt;=100, 18, IF(F43&lt;=250, 23, IF(F43&lt;=500, 35, IF(F43&lt;=1000, 40, F43*0.04)))),
IF(Basic34567[[#This Row],[نوع الخدمة]]="كاش اوت",
    IF(F43&lt;=100, 15, IF(F43&lt;=250, 20, IF(F43&lt;=500, 30, IF(F43&lt;=1000, 35, F43*0.035)))),
0)))</f>
        <v>0</v>
      </c>
      <c r="H43" s="159">
        <f>IF(I43="مخالفات",50,Basic34567[[#This Row],[قيمة الرسوم / العموله]]+Basic34567[[#This Row],[قيمة الشحنه]])</f>
        <v>0</v>
      </c>
      <c r="I43" s="90"/>
      <c r="J43" s="142" t="str">
        <f t="shared" si="0"/>
        <v>26.5.2026</v>
      </c>
      <c r="L43" s="153">
        <v>32</v>
      </c>
      <c r="M43" s="92"/>
    </row>
    <row r="44" spans="1:13" ht="21.6" x14ac:dyDescent="0.65">
      <c r="A44" s="195"/>
      <c r="B44" s="140">
        <v>41</v>
      </c>
      <c r="C44" s="2"/>
      <c r="D44" s="1"/>
      <c r="E44" s="3"/>
      <c r="F44" s="1"/>
      <c r="G44" s="141">
        <f>IF(Basic34567[[#This Row],[نوع الخدمة]]="مخالفات", 50,
IF(Basic34567[[#This Row],[نوع الخدمة]]="كاش ان",
    IF(F44&lt;=100, 18, IF(F44&lt;=250, 23, IF(F44&lt;=500, 35, IF(F44&lt;=1000, 40, F44*0.04)))),
IF(Basic34567[[#This Row],[نوع الخدمة]]="كاش اوت",
    IF(F44&lt;=100, 15, IF(F44&lt;=250, 20, IF(F44&lt;=500, 30, IF(F44&lt;=1000, 35, F44*0.035)))),
0)))</f>
        <v>0</v>
      </c>
      <c r="H44" s="159">
        <f>IF(I44="مخالفات",50,Basic34567[[#This Row],[قيمة الرسوم / العموله]]+Basic34567[[#This Row],[قيمة الشحنه]])</f>
        <v>0</v>
      </c>
      <c r="I44" s="90"/>
      <c r="J44" s="142" t="str">
        <f t="shared" si="0"/>
        <v>26.5.2026</v>
      </c>
      <c r="L44" s="153">
        <v>33</v>
      </c>
      <c r="M44" s="92"/>
    </row>
    <row r="45" spans="1:13" ht="21.6" x14ac:dyDescent="0.65">
      <c r="A45" s="195"/>
      <c r="B45" s="144">
        <v>42</v>
      </c>
      <c r="C45" s="2"/>
      <c r="D45" s="1"/>
      <c r="E45" s="3"/>
      <c r="F45" s="1"/>
      <c r="G45" s="141">
        <f>IF(Basic34567[[#This Row],[نوع الخدمة]]="مخالفات", 50,
IF(Basic34567[[#This Row],[نوع الخدمة]]="كاش ان",
    IF(F45&lt;=100, 18, IF(F45&lt;=250, 23, IF(F45&lt;=500, 35, IF(F45&lt;=1000, 40, F45*0.04)))),
IF(Basic34567[[#This Row],[نوع الخدمة]]="كاش اوت",
    IF(F45&lt;=100, 15, IF(F45&lt;=250, 20, IF(F45&lt;=500, 30, IF(F45&lt;=1000, 35, F45*0.035)))),
0)))</f>
        <v>0</v>
      </c>
      <c r="H45" s="159">
        <f>IF(I45="مخالفات",50,Basic34567[[#This Row],[قيمة الرسوم / العموله]]+Basic34567[[#This Row],[قيمة الشحنه]])</f>
        <v>0</v>
      </c>
      <c r="I45" s="90"/>
      <c r="J45" s="142" t="str">
        <f t="shared" si="0"/>
        <v>26.5.2026</v>
      </c>
      <c r="L45" s="153">
        <v>34</v>
      </c>
      <c r="M45" s="92"/>
    </row>
    <row r="46" spans="1:13" ht="21.6" x14ac:dyDescent="0.65">
      <c r="A46" s="195"/>
      <c r="B46" s="140">
        <v>43</v>
      </c>
      <c r="C46" s="2"/>
      <c r="D46" s="1"/>
      <c r="E46" s="3"/>
      <c r="F46" s="1"/>
      <c r="G46" s="141">
        <f>IF(Basic34567[[#This Row],[نوع الخدمة]]="مخالفات", 50,
IF(Basic34567[[#This Row],[نوع الخدمة]]="كاش ان",
    IF(F46&lt;=100, 18, IF(F46&lt;=250, 23, IF(F46&lt;=500, 35, IF(F46&lt;=1000, 40, F46*0.04)))),
IF(Basic34567[[#This Row],[نوع الخدمة]]="كاش اوت",
    IF(F46&lt;=100, 15, IF(F46&lt;=250, 20, IF(F46&lt;=500, 30, IF(F46&lt;=1000, 35, F46*0.035)))),
0)))</f>
        <v>0</v>
      </c>
      <c r="H46" s="159">
        <f>IF(I46="مخالفات",50,Basic34567[[#This Row],[قيمة الرسوم / العموله]]+Basic34567[[#This Row],[قيمة الشحنه]])</f>
        <v>0</v>
      </c>
      <c r="I46" s="90"/>
      <c r="J46" s="142" t="str">
        <f t="shared" si="0"/>
        <v>26.5.2026</v>
      </c>
      <c r="L46" s="153">
        <v>35</v>
      </c>
      <c r="M46" s="92"/>
    </row>
    <row r="47" spans="1:13" ht="21.6" x14ac:dyDescent="0.65">
      <c r="A47" s="195"/>
      <c r="B47" s="140">
        <v>44</v>
      </c>
      <c r="C47" s="2"/>
      <c r="D47" s="1"/>
      <c r="E47" s="3"/>
      <c r="F47" s="1"/>
      <c r="G47" s="141">
        <f>IF(Basic34567[[#This Row],[نوع الخدمة]]="مخالفات", 50,
IF(Basic34567[[#This Row],[نوع الخدمة]]="كاش ان",
    IF(F47&lt;=100, 18, IF(F47&lt;=250, 23, IF(F47&lt;=500, 35, IF(F47&lt;=1000, 40, F47*0.04)))),
IF(Basic34567[[#This Row],[نوع الخدمة]]="كاش اوت",
    IF(F47&lt;=100, 15, IF(F47&lt;=250, 20, IF(F47&lt;=500, 30, IF(F47&lt;=1000, 35, F47*0.035)))),
0)))</f>
        <v>0</v>
      </c>
      <c r="H47" s="159">
        <f>IF(I47="مخالفات",50,Basic34567[[#This Row],[قيمة الرسوم / العموله]]+Basic34567[[#This Row],[قيمة الشحنه]])</f>
        <v>0</v>
      </c>
      <c r="I47" s="90"/>
      <c r="J47" s="142" t="str">
        <f t="shared" si="0"/>
        <v>26.5.2026</v>
      </c>
      <c r="L47" s="153">
        <v>36</v>
      </c>
      <c r="M47" s="92"/>
    </row>
    <row r="48" spans="1:13" ht="21.6" x14ac:dyDescent="0.65">
      <c r="A48" s="195"/>
      <c r="B48" s="140">
        <v>45</v>
      </c>
      <c r="C48" s="2"/>
      <c r="D48" s="1"/>
      <c r="E48" s="3"/>
      <c r="F48" s="1"/>
      <c r="G48" s="141">
        <f>IF(Basic34567[[#This Row],[نوع الخدمة]]="مخالفات", 50,
IF(Basic34567[[#This Row],[نوع الخدمة]]="كاش ان",
    IF(F48&lt;=100, 18, IF(F48&lt;=250, 23, IF(F48&lt;=500, 35, IF(F48&lt;=1000, 40, F48*0.04)))),
IF(Basic34567[[#This Row],[نوع الخدمة]]="كاش اوت",
    IF(F48&lt;=100, 15, IF(F48&lt;=250, 20, IF(F48&lt;=500, 30, IF(F48&lt;=1000, 35, F48*0.035)))),
0)))</f>
        <v>0</v>
      </c>
      <c r="H48" s="159">
        <f>IF(I48="مخالفات",50,Basic34567[[#This Row],[قيمة الرسوم / العموله]]+Basic34567[[#This Row],[قيمة الشحنه]])</f>
        <v>0</v>
      </c>
      <c r="I48" s="90"/>
      <c r="J48" s="142" t="str">
        <f t="shared" si="0"/>
        <v>26.5.2026</v>
      </c>
      <c r="L48" s="153">
        <v>37</v>
      </c>
      <c r="M48" s="92"/>
    </row>
    <row r="49" spans="1:13" ht="21.6" x14ac:dyDescent="0.65">
      <c r="A49" s="195"/>
      <c r="B49" s="144">
        <v>46</v>
      </c>
      <c r="C49" s="2"/>
      <c r="D49" s="1"/>
      <c r="E49" s="3"/>
      <c r="F49" s="1"/>
      <c r="G49" s="141">
        <f>IF(Basic34567[[#This Row],[نوع الخدمة]]="مخالفات", 50,
IF(Basic34567[[#This Row],[نوع الخدمة]]="كاش ان",
    IF(F49&lt;=100, 18, IF(F49&lt;=250, 23, IF(F49&lt;=500, 35, IF(F49&lt;=1000, 40, F49*0.04)))),
IF(Basic34567[[#This Row],[نوع الخدمة]]="كاش اوت",
    IF(F49&lt;=100, 15, IF(F49&lt;=250, 20, IF(F49&lt;=500, 30, IF(F49&lt;=1000, 35, F49*0.035)))),
0)))</f>
        <v>0</v>
      </c>
      <c r="H49" s="159">
        <f>IF(I49="مخالفات",50,Basic34567[[#This Row],[قيمة الرسوم / العموله]]+Basic34567[[#This Row],[قيمة الشحنه]])</f>
        <v>0</v>
      </c>
      <c r="I49" s="90"/>
      <c r="J49" s="142" t="str">
        <f t="shared" si="0"/>
        <v>26.5.2026</v>
      </c>
      <c r="L49" s="153">
        <v>38</v>
      </c>
      <c r="M49" s="92"/>
    </row>
    <row r="50" spans="1:13" ht="21.6" x14ac:dyDescent="0.65">
      <c r="A50" s="195"/>
      <c r="B50" s="140">
        <v>47</v>
      </c>
      <c r="C50" s="2"/>
      <c r="D50" s="1"/>
      <c r="E50" s="3"/>
      <c r="F50" s="1"/>
      <c r="G50" s="141">
        <f>IF(Basic34567[[#This Row],[نوع الخدمة]]="مخالفات", 50,
IF(Basic34567[[#This Row],[نوع الخدمة]]="كاش ان",
    IF(F50&lt;=100, 18, IF(F50&lt;=250, 23, IF(F50&lt;=500, 35, IF(F50&lt;=1000, 40, F50*0.04)))),
IF(Basic34567[[#This Row],[نوع الخدمة]]="كاش اوت",
    IF(F50&lt;=100, 15, IF(F50&lt;=250, 20, IF(F50&lt;=500, 30, IF(F50&lt;=1000, 35, F50*0.035)))),
0)))</f>
        <v>0</v>
      </c>
      <c r="H50" s="159">
        <f>IF(I50="مخالفات",50,Basic34567[[#This Row],[قيمة الرسوم / العموله]]+Basic34567[[#This Row],[قيمة الشحنه]])</f>
        <v>0</v>
      </c>
      <c r="I50" s="90"/>
      <c r="J50" s="142" t="str">
        <f t="shared" si="0"/>
        <v>26.5.2026</v>
      </c>
      <c r="L50" s="153">
        <v>39</v>
      </c>
      <c r="M50" s="92"/>
    </row>
    <row r="51" spans="1:13" ht="21.6" x14ac:dyDescent="0.65">
      <c r="A51" s="195"/>
      <c r="B51" s="140">
        <v>48</v>
      </c>
      <c r="C51" s="2"/>
      <c r="D51" s="1"/>
      <c r="E51" s="3"/>
      <c r="F51" s="1"/>
      <c r="G51" s="141">
        <f>IF(Basic34567[[#This Row],[نوع الخدمة]]="مخالفات", 50,
IF(Basic34567[[#This Row],[نوع الخدمة]]="كاش ان",
    IF(F51&lt;=100, 18, IF(F51&lt;=250, 23, IF(F51&lt;=500, 35, IF(F51&lt;=1000, 40, F51*0.04)))),
IF(Basic34567[[#This Row],[نوع الخدمة]]="كاش اوت",
    IF(F51&lt;=100, 15, IF(F51&lt;=250, 20, IF(F51&lt;=500, 30, IF(F51&lt;=1000, 35, F51*0.035)))),
0)))</f>
        <v>0</v>
      </c>
      <c r="H51" s="159">
        <f>IF(I51="مخالفات",50,Basic34567[[#This Row],[قيمة الرسوم / العموله]]+Basic34567[[#This Row],[قيمة الشحنه]])</f>
        <v>0</v>
      </c>
      <c r="I51" s="90"/>
      <c r="J51" s="142" t="str">
        <f t="shared" si="0"/>
        <v>26.5.2026</v>
      </c>
      <c r="L51" s="153">
        <v>40</v>
      </c>
      <c r="M51" s="92"/>
    </row>
    <row r="52" spans="1:13" ht="21.6" x14ac:dyDescent="0.65">
      <c r="A52" s="195"/>
      <c r="B52" s="140">
        <v>49</v>
      </c>
      <c r="C52" s="2"/>
      <c r="D52" s="1"/>
      <c r="E52" s="3"/>
      <c r="F52" s="1"/>
      <c r="G52" s="141">
        <f>IF(Basic34567[[#This Row],[نوع الخدمة]]="مخالفات", 50,
IF(Basic34567[[#This Row],[نوع الخدمة]]="كاش ان",
    IF(F52&lt;=100, 18, IF(F52&lt;=250, 23, IF(F52&lt;=500, 35, IF(F52&lt;=1000, 40, F52*0.04)))),
IF(Basic34567[[#This Row],[نوع الخدمة]]="كاش اوت",
    IF(F52&lt;=100, 15, IF(F52&lt;=250, 20, IF(F52&lt;=500, 30, IF(F52&lt;=1000, 35, F52*0.035)))),
0)))</f>
        <v>0</v>
      </c>
      <c r="H52" s="159">
        <f>IF(I52="مخالفات",50,Basic34567[[#This Row],[قيمة الرسوم / العموله]]+Basic34567[[#This Row],[قيمة الشحنه]])</f>
        <v>0</v>
      </c>
      <c r="I52" s="90"/>
      <c r="J52" s="142" t="str">
        <f t="shared" si="0"/>
        <v>26.5.2026</v>
      </c>
      <c r="L52" s="153">
        <v>41</v>
      </c>
      <c r="M52" s="92"/>
    </row>
    <row r="53" spans="1:13" ht="21.6" x14ac:dyDescent="0.65">
      <c r="A53" s="195"/>
      <c r="B53" s="144">
        <v>50</v>
      </c>
      <c r="C53" s="2"/>
      <c r="D53" s="1"/>
      <c r="E53" s="3"/>
      <c r="F53" s="1"/>
      <c r="G53" s="141">
        <f>IF(Basic34567[[#This Row],[نوع الخدمة]]="مخالفات", 50,
IF(Basic34567[[#This Row],[نوع الخدمة]]="كاش ان",
    IF(F53&lt;=100, 18, IF(F53&lt;=250, 23, IF(F53&lt;=500, 35, IF(F53&lt;=1000, 40, F53*0.04)))),
IF(Basic34567[[#This Row],[نوع الخدمة]]="كاش اوت",
    IF(F53&lt;=100, 15, IF(F53&lt;=250, 20, IF(F53&lt;=500, 30, IF(F53&lt;=1000, 35, F53*0.035)))),
0)))</f>
        <v>0</v>
      </c>
      <c r="H53" s="159">
        <f>IF(I53="مخالفات",50,Basic34567[[#This Row],[قيمة الرسوم / العموله]]+Basic34567[[#This Row],[قيمة الشحنه]])</f>
        <v>0</v>
      </c>
      <c r="I53" s="90"/>
      <c r="J53" s="142" t="str">
        <f t="shared" si="0"/>
        <v>26.5.2026</v>
      </c>
      <c r="L53" s="153">
        <v>42</v>
      </c>
      <c r="M53" s="92"/>
    </row>
    <row r="54" spans="1:13" ht="21.6" x14ac:dyDescent="0.65">
      <c r="A54" s="195"/>
      <c r="B54" s="140">
        <v>51</v>
      </c>
      <c r="C54" s="2"/>
      <c r="D54" s="1"/>
      <c r="E54" s="3"/>
      <c r="F54" s="1"/>
      <c r="G54" s="141">
        <f>IF(Basic34567[[#This Row],[نوع الخدمة]]="مخالفات", 50,
IF(Basic34567[[#This Row],[نوع الخدمة]]="كاش ان",
    IF(F54&lt;=100, 18, IF(F54&lt;=250, 23, IF(F54&lt;=500, 35, IF(F54&lt;=1000, 40, F54*0.04)))),
IF(Basic34567[[#This Row],[نوع الخدمة]]="كاش اوت",
    IF(F54&lt;=100, 15, IF(F54&lt;=250, 20, IF(F54&lt;=500, 30, IF(F54&lt;=1000, 35, F54*0.035)))),
0)))</f>
        <v>0</v>
      </c>
      <c r="H54" s="159">
        <f>IF(I54="مخالفات",50,Basic34567[[#This Row],[قيمة الرسوم / العموله]]+Basic34567[[#This Row],[قيمة الشحنه]])</f>
        <v>0</v>
      </c>
      <c r="I54" s="90"/>
      <c r="J54" s="142" t="str">
        <f t="shared" si="0"/>
        <v>26.5.2026</v>
      </c>
      <c r="L54" s="153">
        <v>43</v>
      </c>
      <c r="M54" s="92"/>
    </row>
    <row r="55" spans="1:13" ht="21.6" x14ac:dyDescent="0.65">
      <c r="A55" s="195"/>
      <c r="B55" s="140">
        <v>52</v>
      </c>
      <c r="C55" s="2"/>
      <c r="D55" s="1"/>
      <c r="E55" s="3"/>
      <c r="F55" s="1"/>
      <c r="G55" s="141">
        <f>IF(Basic34567[[#This Row],[نوع الخدمة]]="مخالفات", 50,
IF(Basic34567[[#This Row],[نوع الخدمة]]="كاش ان",
    IF(F55&lt;=100, 18, IF(F55&lt;=250, 23, IF(F55&lt;=500, 35, IF(F55&lt;=1000, 40, F55*0.04)))),
IF(Basic34567[[#This Row],[نوع الخدمة]]="كاش اوت",
    IF(F55&lt;=100, 15, IF(F55&lt;=250, 20, IF(F55&lt;=500, 30, IF(F55&lt;=1000, 35, F55*0.035)))),
0)))</f>
        <v>0</v>
      </c>
      <c r="H55" s="159">
        <f>IF(I55="مخالفات",50,Basic34567[[#This Row],[قيمة الرسوم / العموله]]+Basic34567[[#This Row],[قيمة الشحنه]])</f>
        <v>0</v>
      </c>
      <c r="I55" s="90"/>
      <c r="J55" s="142" t="str">
        <f t="shared" si="0"/>
        <v>26.5.2026</v>
      </c>
      <c r="L55" s="153">
        <v>44</v>
      </c>
      <c r="M55" s="92"/>
    </row>
    <row r="56" spans="1:13" ht="21.6" x14ac:dyDescent="0.65">
      <c r="A56" s="195"/>
      <c r="B56" s="140">
        <v>53</v>
      </c>
      <c r="C56" s="2"/>
      <c r="D56" s="1"/>
      <c r="E56" s="3"/>
      <c r="F56" s="1"/>
      <c r="G56" s="141">
        <f>IF(Basic34567[[#This Row],[نوع الخدمة]]="مخالفات", 50,
IF(Basic34567[[#This Row],[نوع الخدمة]]="كاش ان",
    IF(F56&lt;=100, 18, IF(F56&lt;=250, 23, IF(F56&lt;=500, 35, IF(F56&lt;=1000, 40, F56*0.04)))),
IF(Basic34567[[#This Row],[نوع الخدمة]]="كاش اوت",
    IF(F56&lt;=100, 15, IF(F56&lt;=250, 20, IF(F56&lt;=500, 30, IF(F56&lt;=1000, 35, F56*0.035)))),
0)))</f>
        <v>0</v>
      </c>
      <c r="H56" s="159">
        <f>IF(I56="مخالفات",50,Basic34567[[#This Row],[قيمة الرسوم / العموله]]+Basic34567[[#This Row],[قيمة الشحنه]])</f>
        <v>0</v>
      </c>
      <c r="I56" s="90"/>
      <c r="J56" s="142" t="str">
        <f t="shared" si="0"/>
        <v>26.5.2026</v>
      </c>
      <c r="L56" s="153">
        <v>45</v>
      </c>
      <c r="M56" s="92"/>
    </row>
    <row r="57" spans="1:13" ht="21.6" x14ac:dyDescent="0.65">
      <c r="A57" s="195"/>
      <c r="B57" s="144">
        <v>54</v>
      </c>
      <c r="C57" s="2"/>
      <c r="D57" s="1"/>
      <c r="E57" s="3"/>
      <c r="F57" s="1"/>
      <c r="G57" s="141">
        <f>IF(Basic34567[[#This Row],[نوع الخدمة]]="مخالفات", 50,
IF(Basic34567[[#This Row],[نوع الخدمة]]="كاش ان",
    IF(F57&lt;=100, 18, IF(F57&lt;=250, 23, IF(F57&lt;=500, 35, IF(F57&lt;=1000, 40, F57*0.04)))),
IF(Basic34567[[#This Row],[نوع الخدمة]]="كاش اوت",
    IF(F57&lt;=100, 15, IF(F57&lt;=250, 20, IF(F57&lt;=500, 30, IF(F57&lt;=1000, 35, F57*0.035)))),
0)))</f>
        <v>0</v>
      </c>
      <c r="H57" s="159">
        <f>IF(I57="مخالفات",50,Basic34567[[#This Row],[قيمة الرسوم / العموله]]+Basic34567[[#This Row],[قيمة الشحنه]])</f>
        <v>0</v>
      </c>
      <c r="I57" s="90"/>
      <c r="J57" s="142" t="str">
        <f t="shared" si="0"/>
        <v>26.5.2026</v>
      </c>
      <c r="L57" s="153">
        <v>46</v>
      </c>
      <c r="M57" s="92"/>
    </row>
    <row r="58" spans="1:13" ht="21.6" x14ac:dyDescent="0.65">
      <c r="A58" s="195"/>
      <c r="B58" s="140">
        <v>55</v>
      </c>
      <c r="C58" s="2"/>
      <c r="D58" s="1"/>
      <c r="E58" s="3"/>
      <c r="F58" s="1"/>
      <c r="G58" s="141">
        <f>IF(Basic34567[[#This Row],[نوع الخدمة]]="مخالفات", 50,
IF(Basic34567[[#This Row],[نوع الخدمة]]="كاش ان",
    IF(F58&lt;=100, 18, IF(F58&lt;=250, 23, IF(F58&lt;=500, 35, IF(F58&lt;=1000, 40, F58*0.04)))),
IF(Basic34567[[#This Row],[نوع الخدمة]]="كاش اوت",
    IF(F58&lt;=100, 15, IF(F58&lt;=250, 20, IF(F58&lt;=500, 30, IF(F58&lt;=1000, 35, F58*0.035)))),
0)))</f>
        <v>0</v>
      </c>
      <c r="H58" s="159">
        <f>IF(I58="مخالفات",50,Basic34567[[#This Row],[قيمة الرسوم / العموله]]+Basic34567[[#This Row],[قيمة الشحنه]])</f>
        <v>0</v>
      </c>
      <c r="I58" s="90"/>
      <c r="J58" s="142" t="str">
        <f t="shared" si="0"/>
        <v>26.5.2026</v>
      </c>
      <c r="L58" s="153">
        <v>47</v>
      </c>
      <c r="M58" s="92"/>
    </row>
    <row r="59" spans="1:13" ht="21.6" x14ac:dyDescent="0.65">
      <c r="A59" s="195"/>
      <c r="B59" s="140">
        <v>56</v>
      </c>
      <c r="C59" s="2"/>
      <c r="D59" s="1"/>
      <c r="E59" s="3"/>
      <c r="F59" s="1"/>
      <c r="G59" s="141">
        <f>IF(Basic34567[[#This Row],[نوع الخدمة]]="مخالفات", 50,
IF(Basic34567[[#This Row],[نوع الخدمة]]="كاش ان",
    IF(F59&lt;=100, 18, IF(F59&lt;=250, 23, IF(F59&lt;=500, 35, IF(F59&lt;=1000, 40, F59*0.04)))),
IF(Basic34567[[#This Row],[نوع الخدمة]]="كاش اوت",
    IF(F59&lt;=100, 15, IF(F59&lt;=250, 20, IF(F59&lt;=500, 30, IF(F59&lt;=1000, 35, F59*0.035)))),
0)))</f>
        <v>0</v>
      </c>
      <c r="H59" s="159">
        <f>IF(I59="مخالفات",50,Basic34567[[#This Row],[قيمة الرسوم / العموله]]+Basic34567[[#This Row],[قيمة الشحنه]])</f>
        <v>0</v>
      </c>
      <c r="I59" s="90"/>
      <c r="J59" s="142" t="str">
        <f t="shared" si="0"/>
        <v>26.5.2026</v>
      </c>
      <c r="L59" s="153">
        <v>48</v>
      </c>
      <c r="M59" s="92"/>
    </row>
    <row r="60" spans="1:13" ht="21.6" x14ac:dyDescent="0.65">
      <c r="A60" s="195"/>
      <c r="B60" s="140">
        <v>57</v>
      </c>
      <c r="C60" s="2"/>
      <c r="D60" s="1"/>
      <c r="E60" s="3"/>
      <c r="F60" s="1"/>
      <c r="G60" s="141">
        <f>IF(Basic34567[[#This Row],[نوع الخدمة]]="مخالفات", 50,
IF(Basic34567[[#This Row],[نوع الخدمة]]="كاش ان",
    IF(F60&lt;=100, 18, IF(F60&lt;=250, 23, IF(F60&lt;=500, 35, IF(F60&lt;=1000, 40, F60*0.04)))),
IF(Basic34567[[#This Row],[نوع الخدمة]]="كاش اوت",
    IF(F60&lt;=100, 15, IF(F60&lt;=250, 20, IF(F60&lt;=500, 30, IF(F60&lt;=1000, 35, F60*0.035)))),
0)))</f>
        <v>0</v>
      </c>
      <c r="H60" s="159">
        <f>IF(I60="مخالفات",50,Basic34567[[#This Row],[قيمة الرسوم / العموله]]+Basic34567[[#This Row],[قيمة الشحنه]])</f>
        <v>0</v>
      </c>
      <c r="I60" s="90"/>
      <c r="J60" s="142" t="str">
        <f t="shared" si="0"/>
        <v>26.5.2026</v>
      </c>
      <c r="L60" s="153">
        <v>49</v>
      </c>
      <c r="M60" s="92"/>
    </row>
    <row r="61" spans="1:13" ht="21.6" x14ac:dyDescent="0.65">
      <c r="A61" s="195"/>
      <c r="B61" s="144">
        <v>58</v>
      </c>
      <c r="C61" s="2"/>
      <c r="D61" s="1"/>
      <c r="E61" s="3"/>
      <c r="F61" s="1"/>
      <c r="G61" s="141">
        <f>IF(Basic34567[[#This Row],[نوع الخدمة]]="مخالفات", 50,
IF(Basic34567[[#This Row],[نوع الخدمة]]="كاش ان",
    IF(F61&lt;=100, 18, IF(F61&lt;=250, 23, IF(F61&lt;=500, 35, IF(F61&lt;=1000, 40, F61*0.04)))),
IF(Basic34567[[#This Row],[نوع الخدمة]]="كاش اوت",
    IF(F61&lt;=100, 15, IF(F61&lt;=250, 20, IF(F61&lt;=500, 30, IF(F61&lt;=1000, 35, F61*0.035)))),
0)))</f>
        <v>0</v>
      </c>
      <c r="H61" s="159">
        <f>IF(I61="مخالفات",50,Basic34567[[#This Row],[قيمة الرسوم / العموله]]+Basic34567[[#This Row],[قيمة الشحنه]])</f>
        <v>0</v>
      </c>
      <c r="I61" s="90"/>
      <c r="J61" s="142" t="str">
        <f t="shared" si="0"/>
        <v>26.5.2026</v>
      </c>
      <c r="L61" s="153">
        <v>50</v>
      </c>
      <c r="M61" s="92"/>
    </row>
    <row r="62" spans="1:13" ht="21.6" x14ac:dyDescent="0.65">
      <c r="A62" s="195"/>
      <c r="B62" s="140">
        <v>59</v>
      </c>
      <c r="C62" s="2"/>
      <c r="D62" s="1"/>
      <c r="E62" s="3"/>
      <c r="F62" s="1"/>
      <c r="G62" s="141">
        <f>IF(Basic34567[[#This Row],[نوع الخدمة]]="مخالفات", 50,
IF(Basic34567[[#This Row],[نوع الخدمة]]="كاش ان",
    IF(F62&lt;=100, 18, IF(F62&lt;=250, 23, IF(F62&lt;=500, 35, IF(F62&lt;=1000, 40, F62*0.04)))),
IF(Basic34567[[#This Row],[نوع الخدمة]]="كاش اوت",
    IF(F62&lt;=100, 15, IF(F62&lt;=250, 20, IF(F62&lt;=500, 30, IF(F62&lt;=1000, 35, F62*0.035)))),
0)))</f>
        <v>0</v>
      </c>
      <c r="H62" s="159">
        <f>IF(I62="مخالفات",50,Basic34567[[#This Row],[قيمة الرسوم / العموله]]+Basic34567[[#This Row],[قيمة الشحنه]])</f>
        <v>0</v>
      </c>
      <c r="I62" s="90"/>
      <c r="J62" s="142" t="str">
        <f t="shared" si="0"/>
        <v>26.5.2026</v>
      </c>
      <c r="L62" s="153">
        <v>51</v>
      </c>
      <c r="M62" s="92"/>
    </row>
    <row r="63" spans="1:13" ht="21.6" x14ac:dyDescent="0.65">
      <c r="A63" s="195"/>
      <c r="B63" s="140">
        <v>60</v>
      </c>
      <c r="C63" s="2"/>
      <c r="D63" s="1"/>
      <c r="E63" s="3"/>
      <c r="F63" s="1"/>
      <c r="G63" s="141">
        <f>IF(Basic34567[[#This Row],[نوع الخدمة]]="مخالفات", 50,
IF(Basic34567[[#This Row],[نوع الخدمة]]="كاش ان",
    IF(F63&lt;=100, 18, IF(F63&lt;=250, 23, IF(F63&lt;=500, 35, IF(F63&lt;=1000, 40, F63*0.04)))),
IF(Basic34567[[#This Row],[نوع الخدمة]]="كاش اوت",
    IF(F63&lt;=100, 15, IF(F63&lt;=250, 20, IF(F63&lt;=500, 30, IF(F63&lt;=1000, 35, F63*0.035)))),
0)))</f>
        <v>0</v>
      </c>
      <c r="H63" s="159">
        <f>IF(I63="مخالفات",50,Basic34567[[#This Row],[قيمة الرسوم / العموله]]+Basic34567[[#This Row],[قيمة الشحنه]])</f>
        <v>0</v>
      </c>
      <c r="I63" s="90"/>
      <c r="J63" s="142" t="str">
        <f t="shared" si="0"/>
        <v>26.5.2026</v>
      </c>
      <c r="L63" s="153">
        <v>52</v>
      </c>
      <c r="M63" s="92"/>
    </row>
    <row r="64" spans="1:13" ht="21.6" x14ac:dyDescent="0.65">
      <c r="A64" s="195"/>
      <c r="B64" s="140">
        <v>61</v>
      </c>
      <c r="C64" s="2"/>
      <c r="D64" s="1"/>
      <c r="E64" s="3"/>
      <c r="F64" s="1"/>
      <c r="G64" s="141">
        <f>IF(Basic34567[[#This Row],[نوع الخدمة]]="مخالفات", 50,
IF(Basic34567[[#This Row],[نوع الخدمة]]="كاش ان",
    IF(F64&lt;=100, 18, IF(F64&lt;=250, 23, IF(F64&lt;=500, 35, IF(F64&lt;=1000, 40, F64*0.04)))),
IF(Basic34567[[#This Row],[نوع الخدمة]]="كاش اوت",
    IF(F64&lt;=100, 15, IF(F64&lt;=250, 20, IF(F64&lt;=500, 30, IF(F64&lt;=1000, 35, F64*0.035)))),
0)))</f>
        <v>0</v>
      </c>
      <c r="H64" s="159">
        <f>IF(I64="مخالفات",50,Basic34567[[#This Row],[قيمة الرسوم / العموله]]+Basic34567[[#This Row],[قيمة الشحنه]])</f>
        <v>0</v>
      </c>
      <c r="I64" s="90"/>
      <c r="J64" s="142" t="str">
        <f t="shared" si="0"/>
        <v>26.5.2026</v>
      </c>
      <c r="L64" s="153">
        <v>53</v>
      </c>
      <c r="M64" s="92"/>
    </row>
    <row r="65" spans="1:13" ht="21.6" x14ac:dyDescent="0.65">
      <c r="A65" s="195"/>
      <c r="B65" s="144">
        <v>62</v>
      </c>
      <c r="C65" s="2"/>
      <c r="D65" s="1"/>
      <c r="E65" s="3"/>
      <c r="F65" s="1"/>
      <c r="G65" s="141">
        <f>IF(Basic34567[[#This Row],[نوع الخدمة]]="مخالفات", 50,
IF(Basic34567[[#This Row],[نوع الخدمة]]="كاش ان",
    IF(F65&lt;=100, 18, IF(F65&lt;=250, 23, IF(F65&lt;=500, 35, IF(F65&lt;=1000, 40, F65*0.04)))),
IF(Basic34567[[#This Row],[نوع الخدمة]]="كاش اوت",
    IF(F65&lt;=100, 15, IF(F65&lt;=250, 20, IF(F65&lt;=500, 30, IF(F65&lt;=1000, 35, F65*0.035)))),
0)))</f>
        <v>0</v>
      </c>
      <c r="H65" s="159">
        <f>IF(I65="مخالفات",50,Basic34567[[#This Row],[قيمة الرسوم / العموله]]+Basic34567[[#This Row],[قيمة الشحنه]])</f>
        <v>0</v>
      </c>
      <c r="I65" s="90"/>
      <c r="J65" s="142" t="str">
        <f t="shared" si="0"/>
        <v>26.5.2026</v>
      </c>
      <c r="L65" s="153">
        <v>54</v>
      </c>
      <c r="M65" s="92"/>
    </row>
    <row r="66" spans="1:13" ht="21.6" x14ac:dyDescent="0.65">
      <c r="A66" s="195"/>
      <c r="B66" s="140">
        <v>63</v>
      </c>
      <c r="C66" s="2"/>
      <c r="D66" s="1"/>
      <c r="E66" s="3"/>
      <c r="F66" s="1"/>
      <c r="G66" s="141">
        <f>IF(Basic34567[[#This Row],[نوع الخدمة]]="مخالفات", 50,
IF(Basic34567[[#This Row],[نوع الخدمة]]="كاش ان",
    IF(F66&lt;=100, 18, IF(F66&lt;=250, 23, IF(F66&lt;=500, 35, IF(F66&lt;=1000, 40, F66*0.04)))),
IF(Basic34567[[#This Row],[نوع الخدمة]]="كاش اوت",
    IF(F66&lt;=100, 15, IF(F66&lt;=250, 20, IF(F66&lt;=500, 30, IF(F66&lt;=1000, 35, F66*0.035)))),
0)))</f>
        <v>0</v>
      </c>
      <c r="H66" s="159">
        <f>IF(I66="مخالفات",50,Basic34567[[#This Row],[قيمة الرسوم / العموله]]+Basic34567[[#This Row],[قيمة الشحنه]])</f>
        <v>0</v>
      </c>
      <c r="I66" s="90"/>
      <c r="J66" s="142" t="str">
        <f t="shared" si="0"/>
        <v>26.5.2026</v>
      </c>
      <c r="L66" s="153">
        <v>55</v>
      </c>
      <c r="M66" s="92"/>
    </row>
    <row r="67" spans="1:13" ht="21.6" x14ac:dyDescent="0.65">
      <c r="A67" s="195"/>
      <c r="B67" s="140">
        <v>64</v>
      </c>
      <c r="C67" s="2"/>
      <c r="D67" s="1"/>
      <c r="E67" s="3"/>
      <c r="F67" s="1"/>
      <c r="G67" s="141">
        <f>IF(Basic34567[[#This Row],[نوع الخدمة]]="مخالفات", 50,
IF(Basic34567[[#This Row],[نوع الخدمة]]="كاش ان",
    IF(F67&lt;=100, 18, IF(F67&lt;=250, 23, IF(F67&lt;=500, 35, IF(F67&lt;=1000, 40, F67*0.04)))),
IF(Basic34567[[#This Row],[نوع الخدمة]]="كاش اوت",
    IF(F67&lt;=100, 15, IF(F67&lt;=250, 20, IF(F67&lt;=500, 30, IF(F67&lt;=1000, 35, F67*0.035)))),
0)))</f>
        <v>0</v>
      </c>
      <c r="H67" s="159">
        <f>IF(I67="مخالفات",50,Basic34567[[#This Row],[قيمة الرسوم / العموله]]+Basic34567[[#This Row],[قيمة الشحنه]])</f>
        <v>0</v>
      </c>
      <c r="I67" s="90"/>
      <c r="J67" s="142" t="str">
        <f t="shared" si="0"/>
        <v>26.5.2026</v>
      </c>
      <c r="L67" s="153">
        <v>56</v>
      </c>
      <c r="M67" s="92"/>
    </row>
    <row r="68" spans="1:13" ht="21.6" x14ac:dyDescent="0.65">
      <c r="A68" s="195"/>
      <c r="B68" s="140">
        <v>65</v>
      </c>
      <c r="C68" s="2"/>
      <c r="D68" s="1"/>
      <c r="E68" s="3"/>
      <c r="F68" s="1"/>
      <c r="G68" s="141">
        <f>IF(Basic34567[[#This Row],[نوع الخدمة]]="مخالفات", 50,
IF(Basic34567[[#This Row],[نوع الخدمة]]="كاش ان",
    IF(F68&lt;=100, 18, IF(F68&lt;=250, 23, IF(F68&lt;=500, 35, IF(F68&lt;=1000, 40, F68*0.04)))),
IF(Basic34567[[#This Row],[نوع الخدمة]]="كاش اوت",
    IF(F68&lt;=100, 15, IF(F68&lt;=250, 20, IF(F68&lt;=500, 30, IF(F68&lt;=1000, 35, F68*0.035)))),
0)))</f>
        <v>0</v>
      </c>
      <c r="H68" s="159">
        <f>IF(I68="مخالفات",50,Basic34567[[#This Row],[قيمة الرسوم / العموله]]+Basic34567[[#This Row],[قيمة الشحنه]])</f>
        <v>0</v>
      </c>
      <c r="I68" s="90"/>
      <c r="J68" s="142" t="str">
        <f t="shared" ref="J68:J131" si="1">M$3</f>
        <v>26.5.2026</v>
      </c>
      <c r="L68" s="153">
        <v>57</v>
      </c>
      <c r="M68" s="92"/>
    </row>
    <row r="69" spans="1:13" ht="21.6" x14ac:dyDescent="0.65">
      <c r="A69" s="195"/>
      <c r="B69" s="144">
        <v>66</v>
      </c>
      <c r="C69" s="2"/>
      <c r="D69" s="1"/>
      <c r="E69" s="3"/>
      <c r="F69" s="1"/>
      <c r="G69" s="141">
        <f>IF(Basic34567[[#This Row],[نوع الخدمة]]="مخالفات", 50,
IF(Basic34567[[#This Row],[نوع الخدمة]]="كاش ان",
    IF(F69&lt;=100, 18, IF(F69&lt;=250, 23, IF(F69&lt;=500, 35, IF(F69&lt;=1000, 40, F69*0.04)))),
IF(Basic34567[[#This Row],[نوع الخدمة]]="كاش اوت",
    IF(F69&lt;=100, 15, IF(F69&lt;=250, 20, IF(F69&lt;=500, 30, IF(F69&lt;=1000, 35, F69*0.035)))),
0)))</f>
        <v>0</v>
      </c>
      <c r="H69" s="159">
        <f>IF(I69="مخالفات",50,Basic34567[[#This Row],[قيمة الرسوم / العموله]]+Basic34567[[#This Row],[قيمة الشحنه]])</f>
        <v>0</v>
      </c>
      <c r="I69" s="90"/>
      <c r="J69" s="142" t="str">
        <f t="shared" si="1"/>
        <v>26.5.2026</v>
      </c>
      <c r="L69" s="153">
        <v>58</v>
      </c>
      <c r="M69" s="92"/>
    </row>
    <row r="70" spans="1:13" ht="21.6" x14ac:dyDescent="0.65">
      <c r="A70" s="195"/>
      <c r="B70" s="140">
        <v>67</v>
      </c>
      <c r="C70" s="2"/>
      <c r="D70" s="1"/>
      <c r="E70" s="3"/>
      <c r="F70" s="1"/>
      <c r="G70" s="141">
        <f>IF(Basic34567[[#This Row],[نوع الخدمة]]="مخالفات", 50,
IF(Basic34567[[#This Row],[نوع الخدمة]]="كاش ان",
    IF(F70&lt;=100, 18, IF(F70&lt;=250, 23, IF(F70&lt;=500, 35, IF(F70&lt;=1000, 40, F70*0.04)))),
IF(Basic34567[[#This Row],[نوع الخدمة]]="كاش اوت",
    IF(F70&lt;=100, 15, IF(F70&lt;=250, 20, IF(F70&lt;=500, 30, IF(F70&lt;=1000, 35, F70*0.035)))),
0)))</f>
        <v>0</v>
      </c>
      <c r="H70" s="159">
        <f>IF(I70="مخالفات",50,Basic34567[[#This Row],[قيمة الرسوم / العموله]]+Basic34567[[#This Row],[قيمة الشحنه]])</f>
        <v>0</v>
      </c>
      <c r="I70" s="90"/>
      <c r="J70" s="142" t="str">
        <f t="shared" si="1"/>
        <v>26.5.2026</v>
      </c>
      <c r="L70" s="153">
        <v>59</v>
      </c>
      <c r="M70" s="92"/>
    </row>
    <row r="71" spans="1:13" ht="21.6" x14ac:dyDescent="0.65">
      <c r="A71" s="195"/>
      <c r="B71" s="140">
        <v>68</v>
      </c>
      <c r="C71" s="2"/>
      <c r="D71" s="1"/>
      <c r="E71" s="3"/>
      <c r="F71" s="1"/>
      <c r="G71" s="141">
        <f>IF(Basic34567[[#This Row],[نوع الخدمة]]="مخالفات", 50,
IF(Basic34567[[#This Row],[نوع الخدمة]]="كاش ان",
    IF(F71&lt;=100, 18, IF(F71&lt;=250, 23, IF(F71&lt;=500, 35, IF(F71&lt;=1000, 40, F71*0.04)))),
IF(Basic34567[[#This Row],[نوع الخدمة]]="كاش اوت",
    IF(F71&lt;=100, 15, IF(F71&lt;=250, 20, IF(F71&lt;=500, 30, IF(F71&lt;=1000, 35, F71*0.035)))),
0)))</f>
        <v>0</v>
      </c>
      <c r="H71" s="159">
        <f>IF(I71="مخالفات",50,Basic34567[[#This Row],[قيمة الرسوم / العموله]]+Basic34567[[#This Row],[قيمة الشحنه]])</f>
        <v>0</v>
      </c>
      <c r="I71" s="90"/>
      <c r="J71" s="142" t="str">
        <f t="shared" si="1"/>
        <v>26.5.2026</v>
      </c>
      <c r="L71" s="153">
        <v>60</v>
      </c>
      <c r="M71" s="92"/>
    </row>
    <row r="72" spans="1:13" ht="21.6" x14ac:dyDescent="0.65">
      <c r="A72" s="195"/>
      <c r="B72" s="140">
        <v>69</v>
      </c>
      <c r="C72" s="2"/>
      <c r="D72" s="1"/>
      <c r="E72" s="3"/>
      <c r="F72" s="1"/>
      <c r="G72" s="141">
        <f>IF(Basic34567[[#This Row],[نوع الخدمة]]="مخالفات", 50,
IF(Basic34567[[#This Row],[نوع الخدمة]]="كاش ان",
    IF(F72&lt;=100, 18, IF(F72&lt;=250, 23, IF(F72&lt;=500, 35, IF(F72&lt;=1000, 40, F72*0.04)))),
IF(Basic34567[[#This Row],[نوع الخدمة]]="كاش اوت",
    IF(F72&lt;=100, 15, IF(F72&lt;=250, 20, IF(F72&lt;=500, 30, IF(F72&lt;=1000, 35, F72*0.035)))),
0)))</f>
        <v>0</v>
      </c>
      <c r="H72" s="159">
        <f>IF(I72="مخالفات",50,Basic34567[[#This Row],[قيمة الرسوم / العموله]]+Basic34567[[#This Row],[قيمة الشحنه]])</f>
        <v>0</v>
      </c>
      <c r="I72" s="90"/>
      <c r="J72" s="142" t="str">
        <f t="shared" si="1"/>
        <v>26.5.2026</v>
      </c>
      <c r="L72" s="153">
        <v>61</v>
      </c>
      <c r="M72" s="92"/>
    </row>
    <row r="73" spans="1:13" ht="21.6" x14ac:dyDescent="0.65">
      <c r="A73" s="195"/>
      <c r="B73" s="144">
        <v>70</v>
      </c>
      <c r="C73" s="2"/>
      <c r="D73" s="1"/>
      <c r="E73" s="3"/>
      <c r="F73" s="1"/>
      <c r="G73" s="141">
        <f>IF(Basic34567[[#This Row],[نوع الخدمة]]="مخالفات", 50,
IF(Basic34567[[#This Row],[نوع الخدمة]]="كاش ان",
    IF(F73&lt;=100, 18, IF(F73&lt;=250, 23, IF(F73&lt;=500, 35, IF(F73&lt;=1000, 40, F73*0.04)))),
IF(Basic34567[[#This Row],[نوع الخدمة]]="كاش اوت",
    IF(F73&lt;=100, 15, IF(F73&lt;=250, 20, IF(F73&lt;=500, 30, IF(F73&lt;=1000, 35, F73*0.035)))),
0)))</f>
        <v>0</v>
      </c>
      <c r="H73" s="159">
        <f>IF(I73="مخالفات",50,Basic34567[[#This Row],[قيمة الرسوم / العموله]]+Basic34567[[#This Row],[قيمة الشحنه]])</f>
        <v>0</v>
      </c>
      <c r="I73" s="90"/>
      <c r="J73" s="142" t="str">
        <f t="shared" si="1"/>
        <v>26.5.2026</v>
      </c>
      <c r="L73" s="153">
        <v>62</v>
      </c>
      <c r="M73" s="92"/>
    </row>
    <row r="74" spans="1:13" ht="21.6" x14ac:dyDescent="0.65">
      <c r="A74" s="195"/>
      <c r="B74" s="140">
        <v>71</v>
      </c>
      <c r="C74" s="2"/>
      <c r="D74" s="1"/>
      <c r="E74" s="3"/>
      <c r="F74" s="1"/>
      <c r="G74" s="141">
        <f>IF(Basic34567[[#This Row],[نوع الخدمة]]="مخالفات", 50,
IF(Basic34567[[#This Row],[نوع الخدمة]]="كاش ان",
    IF(F74&lt;=100, 18, IF(F74&lt;=250, 23, IF(F74&lt;=500, 35, IF(F74&lt;=1000, 40, F74*0.04)))),
IF(Basic34567[[#This Row],[نوع الخدمة]]="كاش اوت",
    IF(F74&lt;=100, 15, IF(F74&lt;=250, 20, IF(F74&lt;=500, 30, IF(F74&lt;=1000, 35, F74*0.035)))),
0)))</f>
        <v>0</v>
      </c>
      <c r="H74" s="159">
        <f>IF(I74="مخالفات",50,Basic34567[[#This Row],[قيمة الرسوم / العموله]]+Basic34567[[#This Row],[قيمة الشحنه]])</f>
        <v>0</v>
      </c>
      <c r="I74" s="90"/>
      <c r="J74" s="142" t="str">
        <f t="shared" si="1"/>
        <v>26.5.2026</v>
      </c>
      <c r="L74" s="153">
        <v>63</v>
      </c>
      <c r="M74" s="92"/>
    </row>
    <row r="75" spans="1:13" ht="21.6" x14ac:dyDescent="0.65">
      <c r="A75" s="195"/>
      <c r="B75" s="140">
        <v>72</v>
      </c>
      <c r="C75" s="2"/>
      <c r="D75" s="1"/>
      <c r="E75" s="3"/>
      <c r="F75" s="1"/>
      <c r="G75" s="141">
        <f>IF(Basic34567[[#This Row],[نوع الخدمة]]="مخالفات", 50,
IF(Basic34567[[#This Row],[نوع الخدمة]]="كاش ان",
    IF(F75&lt;=100, 18, IF(F75&lt;=250, 23, IF(F75&lt;=500, 35, IF(F75&lt;=1000, 40, F75*0.04)))),
IF(Basic34567[[#This Row],[نوع الخدمة]]="كاش اوت",
    IF(F75&lt;=100, 15, IF(F75&lt;=250, 20, IF(F75&lt;=500, 30, IF(F75&lt;=1000, 35, F75*0.035)))),
0)))</f>
        <v>0</v>
      </c>
      <c r="H75" s="159">
        <f>IF(I75="مخالفات",50,Basic34567[[#This Row],[قيمة الرسوم / العموله]]+Basic34567[[#This Row],[قيمة الشحنه]])</f>
        <v>0</v>
      </c>
      <c r="I75" s="90"/>
      <c r="J75" s="142" t="str">
        <f t="shared" si="1"/>
        <v>26.5.2026</v>
      </c>
      <c r="L75" s="153">
        <v>64</v>
      </c>
      <c r="M75" s="92"/>
    </row>
    <row r="76" spans="1:13" ht="21.6" x14ac:dyDescent="0.65">
      <c r="A76" s="195"/>
      <c r="B76" s="140">
        <v>73</v>
      </c>
      <c r="C76" s="2"/>
      <c r="D76" s="1"/>
      <c r="E76" s="3"/>
      <c r="F76" s="1"/>
      <c r="G76" s="141">
        <f>IF(Basic34567[[#This Row],[نوع الخدمة]]="مخالفات", 50,
IF(Basic34567[[#This Row],[نوع الخدمة]]="كاش ان",
    IF(F76&lt;=100, 18, IF(F76&lt;=250, 23, IF(F76&lt;=500, 35, IF(F76&lt;=1000, 40, F76*0.04)))),
IF(Basic34567[[#This Row],[نوع الخدمة]]="كاش اوت",
    IF(F76&lt;=100, 15, IF(F76&lt;=250, 20, IF(F76&lt;=500, 30, IF(F76&lt;=1000, 35, F76*0.035)))),
0)))</f>
        <v>0</v>
      </c>
      <c r="H76" s="159">
        <f>IF(I76="مخالفات",50,Basic34567[[#This Row],[قيمة الرسوم / العموله]]+Basic34567[[#This Row],[قيمة الشحنه]])</f>
        <v>0</v>
      </c>
      <c r="I76" s="90"/>
      <c r="J76" s="142" t="str">
        <f t="shared" si="1"/>
        <v>26.5.2026</v>
      </c>
      <c r="L76" s="153">
        <v>65</v>
      </c>
      <c r="M76" s="92"/>
    </row>
    <row r="77" spans="1:13" ht="21.6" x14ac:dyDescent="0.65">
      <c r="A77" s="195"/>
      <c r="B77" s="144">
        <v>74</v>
      </c>
      <c r="C77" s="2"/>
      <c r="D77" s="1"/>
      <c r="E77" s="3"/>
      <c r="F77" s="1"/>
      <c r="G77" s="141">
        <f>IF(Basic34567[[#This Row],[نوع الخدمة]]="مخالفات", 50,
IF(Basic34567[[#This Row],[نوع الخدمة]]="كاش ان",
    IF(F77&lt;=100, 18, IF(F77&lt;=250, 23, IF(F77&lt;=500, 35, IF(F77&lt;=1000, 40, F77*0.04)))),
IF(Basic34567[[#This Row],[نوع الخدمة]]="كاش اوت",
    IF(F77&lt;=100, 15, IF(F77&lt;=250, 20, IF(F77&lt;=500, 30, IF(F77&lt;=1000, 35, F77*0.035)))),
0)))</f>
        <v>0</v>
      </c>
      <c r="H77" s="159">
        <f>IF(I77="مخالفات",50,Basic34567[[#This Row],[قيمة الرسوم / العموله]]+Basic34567[[#This Row],[قيمة الشحنه]])</f>
        <v>0</v>
      </c>
      <c r="I77" s="90"/>
      <c r="J77" s="142" t="str">
        <f t="shared" si="1"/>
        <v>26.5.2026</v>
      </c>
      <c r="L77" s="153">
        <v>66</v>
      </c>
      <c r="M77" s="92"/>
    </row>
    <row r="78" spans="1:13" ht="21.6" x14ac:dyDescent="0.65">
      <c r="A78" s="195"/>
      <c r="B78" s="140">
        <v>75</v>
      </c>
      <c r="C78" s="2"/>
      <c r="D78" s="1"/>
      <c r="E78" s="3"/>
      <c r="F78" s="1"/>
      <c r="G78" s="141">
        <f>IF(Basic34567[[#This Row],[نوع الخدمة]]="مخالفات", 50,
IF(Basic34567[[#This Row],[نوع الخدمة]]="كاش ان",
    IF(F78&lt;=100, 18, IF(F78&lt;=250, 23, IF(F78&lt;=500, 35, IF(F78&lt;=1000, 40, F78*0.04)))),
IF(Basic34567[[#This Row],[نوع الخدمة]]="كاش اوت",
    IF(F78&lt;=100, 15, IF(F78&lt;=250, 20, IF(F78&lt;=500, 30, IF(F78&lt;=1000, 35, F78*0.035)))),
0)))</f>
        <v>0</v>
      </c>
      <c r="H78" s="159">
        <f>IF(I78="مخالفات",50,Basic34567[[#This Row],[قيمة الرسوم / العموله]]+Basic34567[[#This Row],[قيمة الشحنه]])</f>
        <v>0</v>
      </c>
      <c r="I78" s="90"/>
      <c r="J78" s="142" t="str">
        <f t="shared" si="1"/>
        <v>26.5.2026</v>
      </c>
      <c r="L78" s="153">
        <v>67</v>
      </c>
      <c r="M78" s="92"/>
    </row>
    <row r="79" spans="1:13" ht="21.6" x14ac:dyDescent="0.65">
      <c r="A79" s="195"/>
      <c r="B79" s="140">
        <v>76</v>
      </c>
      <c r="C79" s="2"/>
      <c r="D79" s="1"/>
      <c r="E79" s="3"/>
      <c r="F79" s="1"/>
      <c r="G79" s="141">
        <f>IF(Basic34567[[#This Row],[نوع الخدمة]]="مخالفات", 50,
IF(Basic34567[[#This Row],[نوع الخدمة]]="كاش ان",
    IF(F79&lt;=100, 18, IF(F79&lt;=250, 23, IF(F79&lt;=500, 35, IF(F79&lt;=1000, 40, F79*0.04)))),
IF(Basic34567[[#This Row],[نوع الخدمة]]="كاش اوت",
    IF(F79&lt;=100, 15, IF(F79&lt;=250, 20, IF(F79&lt;=500, 30, IF(F79&lt;=1000, 35, F79*0.035)))),
0)))</f>
        <v>0</v>
      </c>
      <c r="H79" s="159">
        <f>IF(I79="مخالفات",50,Basic34567[[#This Row],[قيمة الرسوم / العموله]]+Basic34567[[#This Row],[قيمة الشحنه]])</f>
        <v>0</v>
      </c>
      <c r="I79" s="90"/>
      <c r="J79" s="142" t="str">
        <f t="shared" si="1"/>
        <v>26.5.2026</v>
      </c>
      <c r="L79" s="153">
        <v>68</v>
      </c>
      <c r="M79" s="92"/>
    </row>
    <row r="80" spans="1:13" ht="21.6" x14ac:dyDescent="0.65">
      <c r="A80" s="195"/>
      <c r="B80" s="140">
        <v>77</v>
      </c>
      <c r="C80" s="2"/>
      <c r="D80" s="1"/>
      <c r="E80" s="3"/>
      <c r="F80" s="1"/>
      <c r="G80" s="141">
        <f>IF(Basic34567[[#This Row],[نوع الخدمة]]="مخالفات", 50,
IF(Basic34567[[#This Row],[نوع الخدمة]]="كاش ان",
    IF(F80&lt;=100, 18, IF(F80&lt;=250, 23, IF(F80&lt;=500, 35, IF(F80&lt;=1000, 40, F80*0.04)))),
IF(Basic34567[[#This Row],[نوع الخدمة]]="كاش اوت",
    IF(F80&lt;=100, 15, IF(F80&lt;=250, 20, IF(F80&lt;=500, 30, IF(F80&lt;=1000, 35, F80*0.035)))),
0)))</f>
        <v>0</v>
      </c>
      <c r="H80" s="159">
        <f>IF(I80="مخالفات",50,Basic34567[[#This Row],[قيمة الرسوم / العموله]]+Basic34567[[#This Row],[قيمة الشحنه]])</f>
        <v>0</v>
      </c>
      <c r="I80" s="90"/>
      <c r="J80" s="142" t="str">
        <f t="shared" si="1"/>
        <v>26.5.2026</v>
      </c>
      <c r="L80" s="153">
        <v>69</v>
      </c>
      <c r="M80" s="92"/>
    </row>
    <row r="81" spans="1:13" ht="21.6" x14ac:dyDescent="0.65">
      <c r="A81" s="195"/>
      <c r="B81" s="144">
        <v>78</v>
      </c>
      <c r="C81" s="2"/>
      <c r="D81" s="1"/>
      <c r="E81" s="3"/>
      <c r="F81" s="1"/>
      <c r="G81" s="141">
        <f>IF(Basic34567[[#This Row],[نوع الخدمة]]="مخالفات", 50,
IF(Basic34567[[#This Row],[نوع الخدمة]]="كاش ان",
    IF(F81&lt;=100, 18, IF(F81&lt;=250, 23, IF(F81&lt;=500, 35, IF(F81&lt;=1000, 40, F81*0.04)))),
IF(Basic34567[[#This Row],[نوع الخدمة]]="كاش اوت",
    IF(F81&lt;=100, 15, IF(F81&lt;=250, 20, IF(F81&lt;=500, 30, IF(F81&lt;=1000, 35, F81*0.035)))),
0)))</f>
        <v>0</v>
      </c>
      <c r="H81" s="159">
        <f>IF(I81="مخالفات",50,Basic34567[[#This Row],[قيمة الرسوم / العموله]]+Basic34567[[#This Row],[قيمة الشحنه]])</f>
        <v>0</v>
      </c>
      <c r="I81" s="90"/>
      <c r="J81" s="142" t="str">
        <f t="shared" si="1"/>
        <v>26.5.2026</v>
      </c>
      <c r="L81" s="153">
        <v>70</v>
      </c>
      <c r="M81" s="92"/>
    </row>
    <row r="82" spans="1:13" ht="21.6" x14ac:dyDescent="0.65">
      <c r="A82" s="195"/>
      <c r="B82" s="140">
        <v>79</v>
      </c>
      <c r="C82" s="2"/>
      <c r="D82" s="1"/>
      <c r="E82" s="3"/>
      <c r="F82" s="1"/>
      <c r="G82" s="141">
        <f>IF(Basic34567[[#This Row],[نوع الخدمة]]="مخالفات", 50,
IF(Basic34567[[#This Row],[نوع الخدمة]]="كاش ان",
    IF(F82&lt;=100, 18, IF(F82&lt;=250, 23, IF(F82&lt;=500, 35, IF(F82&lt;=1000, 40, F82*0.04)))),
IF(Basic34567[[#This Row],[نوع الخدمة]]="كاش اوت",
    IF(F82&lt;=100, 15, IF(F82&lt;=250, 20, IF(F82&lt;=500, 30, IF(F82&lt;=1000, 35, F82*0.035)))),
0)))</f>
        <v>0</v>
      </c>
      <c r="H82" s="159">
        <f>IF(I82="مخالفات",50,Basic34567[[#This Row],[قيمة الرسوم / العموله]]+Basic34567[[#This Row],[قيمة الشحنه]])</f>
        <v>0</v>
      </c>
      <c r="I82" s="90"/>
      <c r="J82" s="142" t="str">
        <f t="shared" si="1"/>
        <v>26.5.2026</v>
      </c>
      <c r="L82" s="153">
        <v>71</v>
      </c>
      <c r="M82" s="92"/>
    </row>
    <row r="83" spans="1:13" ht="21.6" x14ac:dyDescent="0.65">
      <c r="A83" s="195"/>
      <c r="B83" s="140">
        <v>80</v>
      </c>
      <c r="C83" s="2"/>
      <c r="D83" s="1"/>
      <c r="E83" s="3"/>
      <c r="F83" s="1"/>
      <c r="G83" s="141">
        <f>IF(Basic34567[[#This Row],[نوع الخدمة]]="مخالفات", 50,
IF(Basic34567[[#This Row],[نوع الخدمة]]="كاش ان",
    IF(F83&lt;=100, 18, IF(F83&lt;=250, 23, IF(F83&lt;=500, 35, IF(F83&lt;=1000, 40, F83*0.04)))),
IF(Basic34567[[#This Row],[نوع الخدمة]]="كاش اوت",
    IF(F83&lt;=100, 15, IF(F83&lt;=250, 20, IF(F83&lt;=500, 30, IF(F83&lt;=1000, 35, F83*0.035)))),
0)))</f>
        <v>0</v>
      </c>
      <c r="H83" s="159">
        <f>IF(I83="مخالفات",50,Basic34567[[#This Row],[قيمة الرسوم / العموله]]+Basic34567[[#This Row],[قيمة الشحنه]])</f>
        <v>0</v>
      </c>
      <c r="I83" s="90"/>
      <c r="J83" s="142" t="str">
        <f t="shared" si="1"/>
        <v>26.5.2026</v>
      </c>
      <c r="L83" s="153">
        <v>72</v>
      </c>
      <c r="M83" s="92"/>
    </row>
    <row r="84" spans="1:13" ht="21.6" x14ac:dyDescent="0.65">
      <c r="A84" s="195"/>
      <c r="B84" s="140">
        <v>81</v>
      </c>
      <c r="C84" s="2"/>
      <c r="D84" s="1"/>
      <c r="E84" s="3"/>
      <c r="F84" s="1"/>
      <c r="G84" s="141">
        <f>IF(Basic34567[[#This Row],[نوع الخدمة]]="مخالفات", 50,
IF(Basic34567[[#This Row],[نوع الخدمة]]="كاش ان",
    IF(F84&lt;=100, 18, IF(F84&lt;=250, 23, IF(F84&lt;=500, 35, IF(F84&lt;=1000, 40, F84*0.04)))),
IF(Basic34567[[#This Row],[نوع الخدمة]]="كاش اوت",
    IF(F84&lt;=100, 15, IF(F84&lt;=250, 20, IF(F84&lt;=500, 30, IF(F84&lt;=1000, 35, F84*0.035)))),
0)))</f>
        <v>0</v>
      </c>
      <c r="H84" s="159">
        <f>IF(I84="مخالفات",50,Basic34567[[#This Row],[قيمة الرسوم / العموله]]+Basic34567[[#This Row],[قيمة الشحنه]])</f>
        <v>0</v>
      </c>
      <c r="I84" s="90"/>
      <c r="J84" s="142" t="str">
        <f t="shared" si="1"/>
        <v>26.5.2026</v>
      </c>
      <c r="L84" s="153">
        <v>73</v>
      </c>
      <c r="M84" s="92"/>
    </row>
    <row r="85" spans="1:13" ht="21.6" x14ac:dyDescent="0.65">
      <c r="A85" s="195"/>
      <c r="B85" s="144">
        <v>82</v>
      </c>
      <c r="C85" s="2"/>
      <c r="D85" s="1"/>
      <c r="E85" s="3"/>
      <c r="F85" s="1"/>
      <c r="G85" s="141">
        <f>IF(Basic34567[[#This Row],[نوع الخدمة]]="مخالفات", 50,
IF(Basic34567[[#This Row],[نوع الخدمة]]="كاش ان",
    IF(F85&lt;=100, 18, IF(F85&lt;=250, 23, IF(F85&lt;=500, 35, IF(F85&lt;=1000, 40, F85*0.04)))),
IF(Basic34567[[#This Row],[نوع الخدمة]]="كاش اوت",
    IF(F85&lt;=100, 15, IF(F85&lt;=250, 20, IF(F85&lt;=500, 30, IF(F85&lt;=1000, 35, F85*0.035)))),
0)))</f>
        <v>0</v>
      </c>
      <c r="H85" s="159">
        <f>IF(I85="مخالفات",50,Basic34567[[#This Row],[قيمة الرسوم / العموله]]+Basic34567[[#This Row],[قيمة الشحنه]])</f>
        <v>0</v>
      </c>
      <c r="I85" s="90"/>
      <c r="J85" s="142" t="str">
        <f t="shared" si="1"/>
        <v>26.5.2026</v>
      </c>
      <c r="L85" s="153">
        <v>74</v>
      </c>
      <c r="M85" s="92"/>
    </row>
    <row r="86" spans="1:13" ht="21.6" x14ac:dyDescent="0.65">
      <c r="A86" s="195"/>
      <c r="B86" s="140">
        <v>83</v>
      </c>
      <c r="C86" s="2"/>
      <c r="D86" s="1"/>
      <c r="E86" s="3"/>
      <c r="F86" s="1"/>
      <c r="G86" s="141">
        <f>IF(Basic34567[[#This Row],[نوع الخدمة]]="مخالفات", 50,
IF(Basic34567[[#This Row],[نوع الخدمة]]="كاش ان",
    IF(F86&lt;=100, 18, IF(F86&lt;=250, 23, IF(F86&lt;=500, 35, IF(F86&lt;=1000, 40, F86*0.04)))),
IF(Basic34567[[#This Row],[نوع الخدمة]]="كاش اوت",
    IF(F86&lt;=100, 15, IF(F86&lt;=250, 20, IF(F86&lt;=500, 30, IF(F86&lt;=1000, 35, F86*0.035)))),
0)))</f>
        <v>0</v>
      </c>
      <c r="H86" s="159">
        <f>IF(I86="مخالفات",50,Basic34567[[#This Row],[قيمة الرسوم / العموله]]+Basic34567[[#This Row],[قيمة الشحنه]])</f>
        <v>0</v>
      </c>
      <c r="I86" s="90"/>
      <c r="J86" s="142" t="str">
        <f t="shared" si="1"/>
        <v>26.5.2026</v>
      </c>
      <c r="L86" s="153">
        <v>75</v>
      </c>
      <c r="M86" s="92"/>
    </row>
    <row r="87" spans="1:13" ht="21.6" x14ac:dyDescent="0.65">
      <c r="A87" s="195"/>
      <c r="B87" s="140">
        <v>84</v>
      </c>
      <c r="C87" s="2"/>
      <c r="D87" s="1"/>
      <c r="E87" s="3"/>
      <c r="F87" s="1"/>
      <c r="G87" s="141">
        <f>IF(Basic34567[[#This Row],[نوع الخدمة]]="مخالفات", 50,
IF(Basic34567[[#This Row],[نوع الخدمة]]="كاش ان",
    IF(F87&lt;=100, 18, IF(F87&lt;=250, 23, IF(F87&lt;=500, 35, IF(F87&lt;=1000, 40, F87*0.04)))),
IF(Basic34567[[#This Row],[نوع الخدمة]]="كاش اوت",
    IF(F87&lt;=100, 15, IF(F87&lt;=250, 20, IF(F87&lt;=500, 30, IF(F87&lt;=1000, 35, F87*0.035)))),
0)))</f>
        <v>0</v>
      </c>
      <c r="H87" s="159">
        <f>IF(I87="مخالفات",50,Basic34567[[#This Row],[قيمة الرسوم / العموله]]+Basic34567[[#This Row],[قيمة الشحنه]])</f>
        <v>0</v>
      </c>
      <c r="I87" s="90"/>
      <c r="J87" s="142" t="str">
        <f t="shared" si="1"/>
        <v>26.5.2026</v>
      </c>
      <c r="L87" s="153">
        <v>76</v>
      </c>
      <c r="M87" s="92"/>
    </row>
    <row r="88" spans="1:13" ht="21.6" x14ac:dyDescent="0.65">
      <c r="A88" s="195"/>
      <c r="B88" s="140">
        <v>85</v>
      </c>
      <c r="C88" s="2"/>
      <c r="D88" s="1"/>
      <c r="E88" s="3"/>
      <c r="F88" s="1"/>
      <c r="G88" s="141">
        <f>IF(Basic34567[[#This Row],[نوع الخدمة]]="مخالفات", 50,
IF(Basic34567[[#This Row],[نوع الخدمة]]="كاش ان",
    IF(F88&lt;=100, 18, IF(F88&lt;=250, 23, IF(F88&lt;=500, 35, IF(F88&lt;=1000, 40, F88*0.04)))),
IF(Basic34567[[#This Row],[نوع الخدمة]]="كاش اوت",
    IF(F88&lt;=100, 15, IF(F88&lt;=250, 20, IF(F88&lt;=500, 30, IF(F88&lt;=1000, 35, F88*0.035)))),
0)))</f>
        <v>0</v>
      </c>
      <c r="H88" s="159">
        <f>IF(I88="مخالفات",50,Basic34567[[#This Row],[قيمة الرسوم / العموله]]+Basic34567[[#This Row],[قيمة الشحنه]])</f>
        <v>0</v>
      </c>
      <c r="I88" s="90"/>
      <c r="J88" s="142" t="str">
        <f t="shared" si="1"/>
        <v>26.5.2026</v>
      </c>
      <c r="L88" s="153">
        <v>77</v>
      </c>
      <c r="M88" s="92"/>
    </row>
    <row r="89" spans="1:13" ht="21.6" x14ac:dyDescent="0.65">
      <c r="A89" s="195"/>
      <c r="B89" s="144">
        <v>86</v>
      </c>
      <c r="C89" s="2"/>
      <c r="D89" s="1"/>
      <c r="E89" s="3"/>
      <c r="F89" s="1"/>
      <c r="G89" s="141">
        <f>IF(Basic34567[[#This Row],[نوع الخدمة]]="مخالفات", 50,
IF(Basic34567[[#This Row],[نوع الخدمة]]="كاش ان",
    IF(F89&lt;=100, 18, IF(F89&lt;=250, 23, IF(F89&lt;=500, 35, IF(F89&lt;=1000, 40, F89*0.04)))),
IF(Basic34567[[#This Row],[نوع الخدمة]]="كاش اوت",
    IF(F89&lt;=100, 15, IF(F89&lt;=250, 20, IF(F89&lt;=500, 30, IF(F89&lt;=1000, 35, F89*0.035)))),
0)))</f>
        <v>0</v>
      </c>
      <c r="H89" s="159">
        <f>IF(I89="مخالفات",50,Basic34567[[#This Row],[قيمة الرسوم / العموله]]+Basic34567[[#This Row],[قيمة الشحنه]])</f>
        <v>0</v>
      </c>
      <c r="I89" s="90"/>
      <c r="J89" s="142" t="str">
        <f t="shared" si="1"/>
        <v>26.5.2026</v>
      </c>
      <c r="L89" s="153">
        <v>78</v>
      </c>
      <c r="M89" s="92"/>
    </row>
    <row r="90" spans="1:13" ht="21.6" x14ac:dyDescent="0.65">
      <c r="A90" s="195"/>
      <c r="B90" s="140">
        <v>87</v>
      </c>
      <c r="C90" s="2"/>
      <c r="D90" s="1"/>
      <c r="E90" s="3"/>
      <c r="F90" s="1"/>
      <c r="G90" s="141">
        <f>IF(Basic34567[[#This Row],[نوع الخدمة]]="مخالفات", 50,
IF(Basic34567[[#This Row],[نوع الخدمة]]="كاش ان",
    IF(F90&lt;=100, 18, IF(F90&lt;=250, 23, IF(F90&lt;=500, 35, IF(F90&lt;=1000, 40, F90*0.04)))),
IF(Basic34567[[#This Row],[نوع الخدمة]]="كاش اوت",
    IF(F90&lt;=100, 15, IF(F90&lt;=250, 20, IF(F90&lt;=500, 30, IF(F90&lt;=1000, 35, F90*0.035)))),
0)))</f>
        <v>0</v>
      </c>
      <c r="H90" s="159">
        <f>IF(I90="مخالفات",50,Basic34567[[#This Row],[قيمة الرسوم / العموله]]+Basic34567[[#This Row],[قيمة الشحنه]])</f>
        <v>0</v>
      </c>
      <c r="I90" s="90"/>
      <c r="J90" s="142" t="str">
        <f t="shared" si="1"/>
        <v>26.5.2026</v>
      </c>
      <c r="L90" s="153">
        <v>79</v>
      </c>
      <c r="M90" s="92"/>
    </row>
    <row r="91" spans="1:13" ht="21.6" x14ac:dyDescent="0.65">
      <c r="A91" s="195"/>
      <c r="B91" s="140">
        <v>88</v>
      </c>
      <c r="C91" s="2"/>
      <c r="D91" s="1"/>
      <c r="E91" s="3"/>
      <c r="F91" s="1"/>
      <c r="G91" s="141">
        <f>IF(Basic34567[[#This Row],[نوع الخدمة]]="مخالفات", 50,
IF(Basic34567[[#This Row],[نوع الخدمة]]="كاش ان",
    IF(F91&lt;=100, 18, IF(F91&lt;=250, 23, IF(F91&lt;=500, 35, IF(F91&lt;=1000, 40, F91*0.04)))),
IF(Basic34567[[#This Row],[نوع الخدمة]]="كاش اوت",
    IF(F91&lt;=100, 15, IF(F91&lt;=250, 20, IF(F91&lt;=500, 30, IF(F91&lt;=1000, 35, F91*0.035)))),
0)))</f>
        <v>0</v>
      </c>
      <c r="H91" s="159">
        <f>IF(I91="مخالفات",50,Basic34567[[#This Row],[قيمة الرسوم / العموله]]+Basic34567[[#This Row],[قيمة الشحنه]])</f>
        <v>0</v>
      </c>
      <c r="I91" s="90"/>
      <c r="J91" s="142" t="str">
        <f t="shared" si="1"/>
        <v>26.5.2026</v>
      </c>
      <c r="L91" s="153">
        <v>80</v>
      </c>
      <c r="M91" s="92"/>
    </row>
    <row r="92" spans="1:13" ht="21.6" x14ac:dyDescent="0.65">
      <c r="A92" s="195"/>
      <c r="B92" s="140">
        <v>89</v>
      </c>
      <c r="C92" s="2"/>
      <c r="D92" s="1"/>
      <c r="E92" s="3"/>
      <c r="F92" s="1"/>
      <c r="G92" s="141">
        <f>IF(Basic34567[[#This Row],[نوع الخدمة]]="مخالفات", 50,
IF(Basic34567[[#This Row],[نوع الخدمة]]="كاش ان",
    IF(F92&lt;=100, 18, IF(F92&lt;=250, 23, IF(F92&lt;=500, 35, IF(F92&lt;=1000, 40, F92*0.04)))),
IF(Basic34567[[#This Row],[نوع الخدمة]]="كاش اوت",
    IF(F92&lt;=100, 15, IF(F92&lt;=250, 20, IF(F92&lt;=500, 30, IF(F92&lt;=1000, 35, F92*0.035)))),
0)))</f>
        <v>0</v>
      </c>
      <c r="H92" s="159">
        <f>IF(I92="مخالفات",50,Basic34567[[#This Row],[قيمة الرسوم / العموله]]+Basic34567[[#This Row],[قيمة الشحنه]])</f>
        <v>0</v>
      </c>
      <c r="I92" s="90"/>
      <c r="J92" s="142" t="str">
        <f t="shared" si="1"/>
        <v>26.5.2026</v>
      </c>
      <c r="L92" s="153">
        <v>81</v>
      </c>
      <c r="M92" s="92"/>
    </row>
    <row r="93" spans="1:13" ht="21.6" x14ac:dyDescent="0.65">
      <c r="A93" s="195"/>
      <c r="B93" s="144">
        <v>90</v>
      </c>
      <c r="C93" s="2"/>
      <c r="D93" s="1"/>
      <c r="E93" s="3"/>
      <c r="F93" s="1"/>
      <c r="G93" s="141">
        <f>IF(Basic34567[[#This Row],[نوع الخدمة]]="مخالفات", 50,
IF(Basic34567[[#This Row],[نوع الخدمة]]="كاش ان",
    IF(F93&lt;=100, 18, IF(F93&lt;=250, 23, IF(F93&lt;=500, 35, IF(F93&lt;=1000, 40, F93*0.04)))),
IF(Basic34567[[#This Row],[نوع الخدمة]]="كاش اوت",
    IF(F93&lt;=100, 15, IF(F93&lt;=250, 20, IF(F93&lt;=500, 30, IF(F93&lt;=1000, 35, F93*0.035)))),
0)))</f>
        <v>0</v>
      </c>
      <c r="H93" s="159">
        <f>IF(I93="مخالفات",50,Basic34567[[#This Row],[قيمة الرسوم / العموله]]+Basic34567[[#This Row],[قيمة الشحنه]])</f>
        <v>0</v>
      </c>
      <c r="I93" s="90"/>
      <c r="J93" s="142" t="str">
        <f t="shared" si="1"/>
        <v>26.5.2026</v>
      </c>
      <c r="L93" s="153">
        <v>82</v>
      </c>
      <c r="M93" s="92"/>
    </row>
    <row r="94" spans="1:13" ht="21.6" x14ac:dyDescent="0.65">
      <c r="A94" s="195"/>
      <c r="B94" s="140">
        <v>91</v>
      </c>
      <c r="C94" s="2"/>
      <c r="D94" s="1"/>
      <c r="E94" s="3"/>
      <c r="F94" s="1"/>
      <c r="G94" s="141">
        <f>IF(Basic34567[[#This Row],[نوع الخدمة]]="مخالفات", 50,
IF(Basic34567[[#This Row],[نوع الخدمة]]="كاش ان",
    IF(F94&lt;=100, 18, IF(F94&lt;=250, 23, IF(F94&lt;=500, 35, IF(F94&lt;=1000, 40, F94*0.04)))),
IF(Basic34567[[#This Row],[نوع الخدمة]]="كاش اوت",
    IF(F94&lt;=100, 15, IF(F94&lt;=250, 20, IF(F94&lt;=500, 30, IF(F94&lt;=1000, 35, F94*0.035)))),
0)))</f>
        <v>0</v>
      </c>
      <c r="H94" s="159">
        <f>IF(I94="مخالفات",50,Basic34567[[#This Row],[قيمة الرسوم / العموله]]+Basic34567[[#This Row],[قيمة الشحنه]])</f>
        <v>0</v>
      </c>
      <c r="I94" s="90"/>
      <c r="J94" s="142" t="str">
        <f t="shared" si="1"/>
        <v>26.5.2026</v>
      </c>
      <c r="L94" s="153">
        <v>83</v>
      </c>
      <c r="M94" s="92"/>
    </row>
    <row r="95" spans="1:13" ht="21.6" x14ac:dyDescent="0.65">
      <c r="A95" s="195"/>
      <c r="B95" s="140">
        <v>92</v>
      </c>
      <c r="C95" s="2"/>
      <c r="D95" s="1"/>
      <c r="E95" s="3"/>
      <c r="F95" s="1"/>
      <c r="G95" s="141">
        <f>IF(Basic34567[[#This Row],[نوع الخدمة]]="مخالفات", 50,
IF(Basic34567[[#This Row],[نوع الخدمة]]="كاش ان",
    IF(F95&lt;=100, 18, IF(F95&lt;=250, 23, IF(F95&lt;=500, 35, IF(F95&lt;=1000, 40, F95*0.04)))),
IF(Basic34567[[#This Row],[نوع الخدمة]]="كاش اوت",
    IF(F95&lt;=100, 15, IF(F95&lt;=250, 20, IF(F95&lt;=500, 30, IF(F95&lt;=1000, 35, F95*0.035)))),
0)))</f>
        <v>0</v>
      </c>
      <c r="H95" s="159">
        <f>IF(I95="مخالفات",50,Basic34567[[#This Row],[قيمة الرسوم / العموله]]+Basic34567[[#This Row],[قيمة الشحنه]])</f>
        <v>0</v>
      </c>
      <c r="I95" s="90"/>
      <c r="J95" s="142" t="str">
        <f t="shared" si="1"/>
        <v>26.5.2026</v>
      </c>
      <c r="L95" s="153">
        <v>84</v>
      </c>
      <c r="M95" s="92"/>
    </row>
    <row r="96" spans="1:13" ht="21.6" x14ac:dyDescent="0.65">
      <c r="A96" s="195"/>
      <c r="B96" s="140">
        <v>93</v>
      </c>
      <c r="C96" s="2"/>
      <c r="D96" s="1"/>
      <c r="E96" s="3"/>
      <c r="F96" s="1"/>
      <c r="G96" s="141">
        <f>IF(Basic34567[[#This Row],[نوع الخدمة]]="مخالفات", 50,
IF(Basic34567[[#This Row],[نوع الخدمة]]="كاش ان",
    IF(F96&lt;=100, 18, IF(F96&lt;=250, 23, IF(F96&lt;=500, 35, IF(F96&lt;=1000, 40, F96*0.04)))),
IF(Basic34567[[#This Row],[نوع الخدمة]]="كاش اوت",
    IF(F96&lt;=100, 15, IF(F96&lt;=250, 20, IF(F96&lt;=500, 30, IF(F96&lt;=1000, 35, F96*0.035)))),
0)))</f>
        <v>0</v>
      </c>
      <c r="H96" s="159">
        <f>IF(I96="مخالفات",50,Basic34567[[#This Row],[قيمة الرسوم / العموله]]+Basic34567[[#This Row],[قيمة الشحنه]])</f>
        <v>0</v>
      </c>
      <c r="I96" s="90"/>
      <c r="J96" s="142" t="str">
        <f t="shared" si="1"/>
        <v>26.5.2026</v>
      </c>
      <c r="L96" s="153">
        <v>85</v>
      </c>
      <c r="M96" s="92"/>
    </row>
    <row r="97" spans="1:13" ht="21.6" x14ac:dyDescent="0.65">
      <c r="A97" s="195"/>
      <c r="B97" s="144">
        <v>94</v>
      </c>
      <c r="C97" s="2"/>
      <c r="D97" s="1"/>
      <c r="E97" s="3"/>
      <c r="F97" s="1"/>
      <c r="G97" s="141">
        <f>IF(Basic34567[[#This Row],[نوع الخدمة]]="مخالفات", 50,
IF(Basic34567[[#This Row],[نوع الخدمة]]="كاش ان",
    IF(F97&lt;=100, 18, IF(F97&lt;=250, 23, IF(F97&lt;=500, 35, IF(F97&lt;=1000, 40, F97*0.04)))),
IF(Basic34567[[#This Row],[نوع الخدمة]]="كاش اوت",
    IF(F97&lt;=100, 15, IF(F97&lt;=250, 20, IF(F97&lt;=500, 30, IF(F97&lt;=1000, 35, F97*0.035)))),
0)))</f>
        <v>0</v>
      </c>
      <c r="H97" s="159">
        <f>IF(I97="مخالفات",50,Basic34567[[#This Row],[قيمة الرسوم / العموله]]+Basic34567[[#This Row],[قيمة الشحنه]])</f>
        <v>0</v>
      </c>
      <c r="I97" s="90"/>
      <c r="J97" s="142" t="str">
        <f t="shared" si="1"/>
        <v>26.5.2026</v>
      </c>
      <c r="L97" s="153">
        <v>86</v>
      </c>
      <c r="M97" s="92"/>
    </row>
    <row r="98" spans="1:13" ht="21.6" x14ac:dyDescent="0.65">
      <c r="A98" s="195"/>
      <c r="B98" s="140">
        <v>95</v>
      </c>
      <c r="C98" s="2"/>
      <c r="D98" s="1"/>
      <c r="E98" s="3"/>
      <c r="F98" s="1"/>
      <c r="G98" s="141">
        <f>IF(Basic34567[[#This Row],[نوع الخدمة]]="مخالفات", 50,
IF(Basic34567[[#This Row],[نوع الخدمة]]="كاش ان",
    IF(F98&lt;=100, 18, IF(F98&lt;=250, 23, IF(F98&lt;=500, 35, IF(F98&lt;=1000, 40, F98*0.04)))),
IF(Basic34567[[#This Row],[نوع الخدمة]]="كاش اوت",
    IF(F98&lt;=100, 15, IF(F98&lt;=250, 20, IF(F98&lt;=500, 30, IF(F98&lt;=1000, 35, F98*0.035)))),
0)))</f>
        <v>0</v>
      </c>
      <c r="H98" s="159">
        <f>IF(I98="مخالفات",50,Basic34567[[#This Row],[قيمة الرسوم / العموله]]+Basic34567[[#This Row],[قيمة الشحنه]])</f>
        <v>0</v>
      </c>
      <c r="I98" s="90"/>
      <c r="J98" s="142" t="str">
        <f t="shared" si="1"/>
        <v>26.5.2026</v>
      </c>
      <c r="L98" s="153">
        <v>87</v>
      </c>
      <c r="M98" s="92"/>
    </row>
    <row r="99" spans="1:13" ht="21.6" x14ac:dyDescent="0.65">
      <c r="A99" s="195"/>
      <c r="B99" s="140">
        <v>96</v>
      </c>
      <c r="C99" s="2"/>
      <c r="D99" s="1"/>
      <c r="E99" s="3"/>
      <c r="F99" s="1"/>
      <c r="G99" s="141">
        <f>IF(Basic34567[[#This Row],[نوع الخدمة]]="مخالفات", 50,
IF(Basic34567[[#This Row],[نوع الخدمة]]="كاش ان",
    IF(F99&lt;=100, 18, IF(F99&lt;=250, 23, IF(F99&lt;=500, 35, IF(F99&lt;=1000, 40, F99*0.04)))),
IF(Basic34567[[#This Row],[نوع الخدمة]]="كاش اوت",
    IF(F99&lt;=100, 15, IF(F99&lt;=250, 20, IF(F99&lt;=500, 30, IF(F99&lt;=1000, 35, F99*0.035)))),
0)))</f>
        <v>0</v>
      </c>
      <c r="H99" s="159">
        <f>IF(I99="مخالفات",50,Basic34567[[#This Row],[قيمة الرسوم / العموله]]+Basic34567[[#This Row],[قيمة الشحنه]])</f>
        <v>0</v>
      </c>
      <c r="I99" s="90"/>
      <c r="J99" s="142" t="str">
        <f t="shared" si="1"/>
        <v>26.5.2026</v>
      </c>
      <c r="L99" s="153">
        <v>88</v>
      </c>
      <c r="M99" s="92"/>
    </row>
    <row r="100" spans="1:13" ht="21.6" x14ac:dyDescent="0.65">
      <c r="A100" s="195"/>
      <c r="B100" s="140">
        <v>97</v>
      </c>
      <c r="C100" s="2"/>
      <c r="D100" s="1"/>
      <c r="E100" s="3"/>
      <c r="F100" s="1"/>
      <c r="G100" s="141">
        <f>IF(Basic34567[[#This Row],[نوع الخدمة]]="مخالفات", 50,
IF(Basic34567[[#This Row],[نوع الخدمة]]="كاش ان",
    IF(F100&lt;=100, 18, IF(F100&lt;=250, 23, IF(F100&lt;=500, 35, IF(F100&lt;=1000, 40, F100*0.04)))),
IF(Basic34567[[#This Row],[نوع الخدمة]]="كاش اوت",
    IF(F100&lt;=100, 15, IF(F100&lt;=250, 20, IF(F100&lt;=500, 30, IF(F100&lt;=1000, 35, F100*0.035)))),
0)))</f>
        <v>0</v>
      </c>
      <c r="H100" s="159">
        <f>IF(I100="مخالفات",50,Basic34567[[#This Row],[قيمة الرسوم / العموله]]+Basic34567[[#This Row],[قيمة الشحنه]])</f>
        <v>0</v>
      </c>
      <c r="I100" s="90"/>
      <c r="J100" s="142" t="str">
        <f t="shared" si="1"/>
        <v>26.5.2026</v>
      </c>
      <c r="L100" s="153">
        <v>89</v>
      </c>
      <c r="M100" s="92"/>
    </row>
    <row r="101" spans="1:13" ht="21.6" x14ac:dyDescent="0.65">
      <c r="A101" s="195"/>
      <c r="B101" s="144">
        <v>98</v>
      </c>
      <c r="C101" s="2"/>
      <c r="D101" s="1"/>
      <c r="E101" s="3"/>
      <c r="F101" s="1"/>
      <c r="G101" s="141">
        <f>IF(Basic34567[[#This Row],[نوع الخدمة]]="مخالفات", 50,
IF(Basic34567[[#This Row],[نوع الخدمة]]="كاش ان",
    IF(F101&lt;=100, 18, IF(F101&lt;=250, 23, IF(F101&lt;=500, 35, IF(F101&lt;=1000, 40, F101*0.04)))),
IF(Basic34567[[#This Row],[نوع الخدمة]]="كاش اوت",
    IF(F101&lt;=100, 15, IF(F101&lt;=250, 20, IF(F101&lt;=500, 30, IF(F101&lt;=1000, 35, F101*0.035)))),
0)))</f>
        <v>0</v>
      </c>
      <c r="H101" s="159">
        <f>IF(I101="مخالفات",50,Basic34567[[#This Row],[قيمة الرسوم / العموله]]+Basic34567[[#This Row],[قيمة الشحنه]])</f>
        <v>0</v>
      </c>
      <c r="I101" s="90"/>
      <c r="J101" s="142" t="str">
        <f t="shared" si="1"/>
        <v>26.5.2026</v>
      </c>
      <c r="L101" s="153">
        <v>90</v>
      </c>
      <c r="M101" s="92"/>
    </row>
    <row r="102" spans="1:13" ht="21.6" x14ac:dyDescent="0.65">
      <c r="A102" s="195"/>
      <c r="B102" s="140">
        <v>99</v>
      </c>
      <c r="C102" s="2"/>
      <c r="D102" s="1"/>
      <c r="E102" s="3"/>
      <c r="F102" s="1"/>
      <c r="G102" s="141">
        <f>IF(Basic34567[[#This Row],[نوع الخدمة]]="مخالفات", 50,
IF(Basic34567[[#This Row],[نوع الخدمة]]="كاش ان",
    IF(F102&lt;=100, 18, IF(F102&lt;=250, 23, IF(F102&lt;=500, 35, IF(F102&lt;=1000, 40, F102*0.04)))),
IF(Basic34567[[#This Row],[نوع الخدمة]]="كاش اوت",
    IF(F102&lt;=100, 15, IF(F102&lt;=250, 20, IF(F102&lt;=500, 30, IF(F102&lt;=1000, 35, F102*0.035)))),
0)))</f>
        <v>0</v>
      </c>
      <c r="H102" s="159">
        <f>IF(I102="مخالفات",50,Basic34567[[#This Row],[قيمة الرسوم / العموله]]+Basic34567[[#This Row],[قيمة الشحنه]])</f>
        <v>0</v>
      </c>
      <c r="I102" s="90"/>
      <c r="J102" s="142" t="str">
        <f t="shared" si="1"/>
        <v>26.5.2026</v>
      </c>
      <c r="L102" s="153">
        <v>91</v>
      </c>
      <c r="M102" s="92"/>
    </row>
    <row r="103" spans="1:13" ht="21.6" x14ac:dyDescent="0.65">
      <c r="A103" s="195"/>
      <c r="B103" s="140">
        <v>100</v>
      </c>
      <c r="C103" s="2"/>
      <c r="D103" s="1"/>
      <c r="E103" s="3"/>
      <c r="F103" s="1"/>
      <c r="G103" s="141">
        <f>IF(Basic34567[[#This Row],[نوع الخدمة]]="مخالفات", 50,
IF(Basic34567[[#This Row],[نوع الخدمة]]="كاش ان",
    IF(F103&lt;=100, 18, IF(F103&lt;=250, 23, IF(F103&lt;=500, 35, IF(F103&lt;=1000, 40, F103*0.04)))),
IF(Basic34567[[#This Row],[نوع الخدمة]]="كاش اوت",
    IF(F103&lt;=100, 15, IF(F103&lt;=250, 20, IF(F103&lt;=500, 30, IF(F103&lt;=1000, 35, F103*0.035)))),
0)))</f>
        <v>0</v>
      </c>
      <c r="H103" s="159">
        <f>IF(I103="مخالفات",50,Basic34567[[#This Row],[قيمة الرسوم / العموله]]+Basic34567[[#This Row],[قيمة الشحنه]])</f>
        <v>0</v>
      </c>
      <c r="I103" s="90"/>
      <c r="J103" s="142" t="str">
        <f t="shared" si="1"/>
        <v>26.5.2026</v>
      </c>
      <c r="L103" s="153">
        <v>92</v>
      </c>
      <c r="M103" s="92"/>
    </row>
    <row r="104" spans="1:13" ht="21.6" x14ac:dyDescent="0.65">
      <c r="A104" s="195"/>
      <c r="B104" s="140">
        <v>101</v>
      </c>
      <c r="C104" s="2"/>
      <c r="D104" s="1"/>
      <c r="E104" s="3"/>
      <c r="F104" s="1"/>
      <c r="G104" s="141">
        <f>IF(Basic34567[[#This Row],[نوع الخدمة]]="مخالفات", 50,
IF(Basic34567[[#This Row],[نوع الخدمة]]="كاش ان",
    IF(F104&lt;=100, 18, IF(F104&lt;=250, 23, IF(F104&lt;=500, 35, IF(F104&lt;=1000, 40, F104*0.04)))),
IF(Basic34567[[#This Row],[نوع الخدمة]]="كاش اوت",
    IF(F104&lt;=100, 15, IF(F104&lt;=250, 20, IF(F104&lt;=500, 30, IF(F104&lt;=1000, 35, F104*0.035)))),
0)))</f>
        <v>0</v>
      </c>
      <c r="H104" s="159">
        <f>IF(I104="مخالفات",50,Basic34567[[#This Row],[قيمة الرسوم / العموله]]+Basic34567[[#This Row],[قيمة الشحنه]])</f>
        <v>0</v>
      </c>
      <c r="I104" s="90"/>
      <c r="J104" s="142" t="str">
        <f t="shared" si="1"/>
        <v>26.5.2026</v>
      </c>
      <c r="L104" s="153">
        <v>93</v>
      </c>
      <c r="M104" s="92"/>
    </row>
    <row r="105" spans="1:13" ht="21.6" x14ac:dyDescent="0.65">
      <c r="A105" s="195"/>
      <c r="B105" s="144">
        <v>102</v>
      </c>
      <c r="C105" s="2"/>
      <c r="D105" s="1"/>
      <c r="E105" s="3"/>
      <c r="F105" s="1"/>
      <c r="G105" s="141">
        <f>IF(Basic34567[[#This Row],[نوع الخدمة]]="مخالفات", 50,
IF(Basic34567[[#This Row],[نوع الخدمة]]="كاش ان",
    IF(F105&lt;=100, 18, IF(F105&lt;=250, 23, IF(F105&lt;=500, 35, IF(F105&lt;=1000, 40, F105*0.04)))),
IF(Basic34567[[#This Row],[نوع الخدمة]]="كاش اوت",
    IF(F105&lt;=100, 15, IF(F105&lt;=250, 20, IF(F105&lt;=500, 30, IF(F105&lt;=1000, 35, F105*0.035)))),
0)))</f>
        <v>0</v>
      </c>
      <c r="H105" s="159">
        <f>IF(I105="مخالفات",50,Basic34567[[#This Row],[قيمة الرسوم / العموله]]+Basic34567[[#This Row],[قيمة الشحنه]])</f>
        <v>0</v>
      </c>
      <c r="I105" s="90"/>
      <c r="J105" s="142" t="str">
        <f t="shared" si="1"/>
        <v>26.5.2026</v>
      </c>
      <c r="L105" s="153">
        <v>94</v>
      </c>
      <c r="M105" s="92"/>
    </row>
    <row r="106" spans="1:13" ht="21.6" x14ac:dyDescent="0.65">
      <c r="A106" s="195"/>
      <c r="B106" s="140">
        <v>103</v>
      </c>
      <c r="C106" s="2"/>
      <c r="D106" s="1"/>
      <c r="E106" s="3"/>
      <c r="F106" s="1"/>
      <c r="G106" s="141">
        <f>IF(Basic34567[[#This Row],[نوع الخدمة]]="مخالفات", 50,
IF(Basic34567[[#This Row],[نوع الخدمة]]="كاش ان",
    IF(F106&lt;=100, 18, IF(F106&lt;=250, 23, IF(F106&lt;=500, 35, IF(F106&lt;=1000, 40, F106*0.04)))),
IF(Basic34567[[#This Row],[نوع الخدمة]]="كاش اوت",
    IF(F106&lt;=100, 15, IF(F106&lt;=250, 20, IF(F106&lt;=500, 30, IF(F106&lt;=1000, 35, F106*0.035)))),
0)))</f>
        <v>0</v>
      </c>
      <c r="H106" s="159">
        <f>IF(I106="مخالفات",50,Basic34567[[#This Row],[قيمة الرسوم / العموله]]+Basic34567[[#This Row],[قيمة الشحنه]])</f>
        <v>0</v>
      </c>
      <c r="I106" s="90"/>
      <c r="J106" s="142" t="str">
        <f t="shared" si="1"/>
        <v>26.5.2026</v>
      </c>
      <c r="L106" s="153">
        <v>95</v>
      </c>
      <c r="M106" s="92"/>
    </row>
    <row r="107" spans="1:13" ht="21.6" x14ac:dyDescent="0.65">
      <c r="A107" s="195"/>
      <c r="B107" s="140">
        <v>104</v>
      </c>
      <c r="C107" s="2"/>
      <c r="D107" s="1"/>
      <c r="E107" s="3"/>
      <c r="F107" s="1"/>
      <c r="G107" s="141">
        <f>IF(Basic34567[[#This Row],[نوع الخدمة]]="مخالفات", 50,
IF(Basic34567[[#This Row],[نوع الخدمة]]="كاش ان",
    IF(F107&lt;=100, 18, IF(F107&lt;=250, 23, IF(F107&lt;=500, 35, IF(F107&lt;=1000, 40, F107*0.04)))),
IF(Basic34567[[#This Row],[نوع الخدمة]]="كاش اوت",
    IF(F107&lt;=100, 15, IF(F107&lt;=250, 20, IF(F107&lt;=500, 30, IF(F107&lt;=1000, 35, F107*0.035)))),
0)))</f>
        <v>0</v>
      </c>
      <c r="H107" s="159">
        <f>IF(I107="مخالفات",50,Basic34567[[#This Row],[قيمة الرسوم / العموله]]+Basic34567[[#This Row],[قيمة الشحنه]])</f>
        <v>0</v>
      </c>
      <c r="I107" s="90"/>
      <c r="J107" s="142" t="str">
        <f t="shared" si="1"/>
        <v>26.5.2026</v>
      </c>
      <c r="L107" s="153">
        <v>96</v>
      </c>
      <c r="M107" s="92"/>
    </row>
    <row r="108" spans="1:13" ht="21.6" x14ac:dyDescent="0.65">
      <c r="A108" s="195"/>
      <c r="B108" s="140">
        <v>105</v>
      </c>
      <c r="C108" s="2"/>
      <c r="D108" s="1"/>
      <c r="E108" s="3"/>
      <c r="F108" s="1"/>
      <c r="G108" s="141">
        <f>IF(Basic34567[[#This Row],[نوع الخدمة]]="مخالفات", 50,
IF(Basic34567[[#This Row],[نوع الخدمة]]="كاش ان",
    IF(F108&lt;=100, 18, IF(F108&lt;=250, 23, IF(F108&lt;=500, 35, IF(F108&lt;=1000, 40, F108*0.04)))),
IF(Basic34567[[#This Row],[نوع الخدمة]]="كاش اوت",
    IF(F108&lt;=100, 15, IF(F108&lt;=250, 20, IF(F108&lt;=500, 30, IF(F108&lt;=1000, 35, F108*0.035)))),
0)))</f>
        <v>0</v>
      </c>
      <c r="H108" s="159">
        <f>IF(I108="مخالفات",50,Basic34567[[#This Row],[قيمة الرسوم / العموله]]+Basic34567[[#This Row],[قيمة الشحنه]])</f>
        <v>0</v>
      </c>
      <c r="I108" s="90"/>
      <c r="J108" s="142" t="str">
        <f t="shared" si="1"/>
        <v>26.5.2026</v>
      </c>
      <c r="L108" s="153">
        <v>97</v>
      </c>
      <c r="M108" s="92"/>
    </row>
    <row r="109" spans="1:13" ht="21.6" x14ac:dyDescent="0.65">
      <c r="A109" s="195"/>
      <c r="B109" s="144">
        <v>106</v>
      </c>
      <c r="C109" s="2"/>
      <c r="D109" s="1"/>
      <c r="E109" s="3"/>
      <c r="F109" s="1"/>
      <c r="G109" s="141">
        <f>IF(Basic34567[[#This Row],[نوع الخدمة]]="مخالفات", 50,
IF(Basic34567[[#This Row],[نوع الخدمة]]="كاش ان",
    IF(F109&lt;=100, 18, IF(F109&lt;=250, 23, IF(F109&lt;=500, 35, IF(F109&lt;=1000, 40, F109*0.04)))),
IF(Basic34567[[#This Row],[نوع الخدمة]]="كاش اوت",
    IF(F109&lt;=100, 15, IF(F109&lt;=250, 20, IF(F109&lt;=500, 30, IF(F109&lt;=1000, 35, F109*0.035)))),
0)))</f>
        <v>0</v>
      </c>
      <c r="H109" s="159">
        <f>IF(I109="مخالفات",50,Basic34567[[#This Row],[قيمة الرسوم / العموله]]+Basic34567[[#This Row],[قيمة الشحنه]])</f>
        <v>0</v>
      </c>
      <c r="I109" s="90"/>
      <c r="J109" s="142" t="str">
        <f t="shared" si="1"/>
        <v>26.5.2026</v>
      </c>
      <c r="L109" s="153">
        <v>98</v>
      </c>
      <c r="M109" s="92"/>
    </row>
    <row r="110" spans="1:13" ht="21.6" x14ac:dyDescent="0.65">
      <c r="A110" s="195"/>
      <c r="B110" s="140">
        <v>107</v>
      </c>
      <c r="C110" s="2"/>
      <c r="D110" s="1"/>
      <c r="E110" s="3"/>
      <c r="F110" s="1"/>
      <c r="G110" s="141">
        <f>IF(Basic34567[[#This Row],[نوع الخدمة]]="مخالفات", 50,
IF(Basic34567[[#This Row],[نوع الخدمة]]="كاش ان",
    IF(F110&lt;=100, 18, IF(F110&lt;=250, 23, IF(F110&lt;=500, 35, IF(F110&lt;=1000, 40, F110*0.04)))),
IF(Basic34567[[#This Row],[نوع الخدمة]]="كاش اوت",
    IF(F110&lt;=100, 15, IF(F110&lt;=250, 20, IF(F110&lt;=500, 30, IF(F110&lt;=1000, 35, F110*0.035)))),
0)))</f>
        <v>0</v>
      </c>
      <c r="H110" s="159">
        <f>IF(I110="مخالفات",50,Basic34567[[#This Row],[قيمة الرسوم / العموله]]+Basic34567[[#This Row],[قيمة الشحنه]])</f>
        <v>0</v>
      </c>
      <c r="I110" s="90"/>
      <c r="J110" s="142" t="str">
        <f t="shared" si="1"/>
        <v>26.5.2026</v>
      </c>
      <c r="L110" s="153">
        <v>99</v>
      </c>
      <c r="M110" s="92"/>
    </row>
    <row r="111" spans="1:13" ht="21.6" x14ac:dyDescent="0.65">
      <c r="A111" s="195"/>
      <c r="B111" s="140">
        <v>108</v>
      </c>
      <c r="C111" s="2"/>
      <c r="D111" s="1"/>
      <c r="E111" s="3"/>
      <c r="F111" s="1"/>
      <c r="G111" s="141">
        <f>IF(Basic34567[[#This Row],[نوع الخدمة]]="مخالفات", 50,
IF(Basic34567[[#This Row],[نوع الخدمة]]="كاش ان",
    IF(F111&lt;=100, 18, IF(F111&lt;=250, 23, IF(F111&lt;=500, 35, IF(F111&lt;=1000, 40, F111*0.04)))),
IF(Basic34567[[#This Row],[نوع الخدمة]]="كاش اوت",
    IF(F111&lt;=100, 15, IF(F111&lt;=250, 20, IF(F111&lt;=500, 30, IF(F111&lt;=1000, 35, F111*0.035)))),
0)))</f>
        <v>0</v>
      </c>
      <c r="H111" s="159">
        <f>IF(I111="مخالفات",50,Basic34567[[#This Row],[قيمة الرسوم / العموله]]+Basic34567[[#This Row],[قيمة الشحنه]])</f>
        <v>0</v>
      </c>
      <c r="I111" s="90"/>
      <c r="J111" s="142" t="str">
        <f t="shared" si="1"/>
        <v>26.5.2026</v>
      </c>
      <c r="L111" s="153">
        <v>100</v>
      </c>
      <c r="M111" s="92"/>
    </row>
    <row r="112" spans="1:13" ht="21.6" x14ac:dyDescent="0.65">
      <c r="A112" s="195"/>
      <c r="B112" s="140">
        <v>109</v>
      </c>
      <c r="C112" s="2"/>
      <c r="D112" s="1"/>
      <c r="E112" s="3"/>
      <c r="F112" s="1"/>
      <c r="G112" s="141">
        <f>IF(Basic34567[[#This Row],[نوع الخدمة]]="مخالفات", 50,
IF(Basic34567[[#This Row],[نوع الخدمة]]="كاش ان",
    IF(F112&lt;=100, 18, IF(F112&lt;=250, 23, IF(F112&lt;=500, 35, IF(F112&lt;=1000, 40, F112*0.04)))),
IF(Basic34567[[#This Row],[نوع الخدمة]]="كاش اوت",
    IF(F112&lt;=100, 15, IF(F112&lt;=250, 20, IF(F112&lt;=500, 30, IF(F112&lt;=1000, 35, F112*0.035)))),
0)))</f>
        <v>0</v>
      </c>
      <c r="H112" s="159">
        <f>IF(I112="مخالفات",50,Basic34567[[#This Row],[قيمة الرسوم / العموله]]+Basic34567[[#This Row],[قيمة الشحنه]])</f>
        <v>0</v>
      </c>
      <c r="I112" s="90"/>
      <c r="J112" s="142" t="str">
        <f t="shared" si="1"/>
        <v>26.5.2026</v>
      </c>
      <c r="L112" s="153">
        <v>101</v>
      </c>
      <c r="M112" s="92"/>
    </row>
    <row r="113" spans="1:13" ht="21.6" x14ac:dyDescent="0.65">
      <c r="A113" s="195"/>
      <c r="B113" s="144">
        <v>110</v>
      </c>
      <c r="C113" s="2"/>
      <c r="D113" s="1"/>
      <c r="E113" s="3"/>
      <c r="F113" s="1"/>
      <c r="G113" s="141">
        <f>IF(Basic34567[[#This Row],[نوع الخدمة]]="مخالفات", 50,
IF(Basic34567[[#This Row],[نوع الخدمة]]="كاش ان",
    IF(F113&lt;=100, 18, IF(F113&lt;=250, 23, IF(F113&lt;=500, 35, IF(F113&lt;=1000, 40, F113*0.04)))),
IF(Basic34567[[#This Row],[نوع الخدمة]]="كاش اوت",
    IF(F113&lt;=100, 15, IF(F113&lt;=250, 20, IF(F113&lt;=500, 30, IF(F113&lt;=1000, 35, F113*0.035)))),
0)))</f>
        <v>0</v>
      </c>
      <c r="H113" s="159">
        <f>IF(I113="مخالفات",50,Basic34567[[#This Row],[قيمة الرسوم / العموله]]+Basic34567[[#This Row],[قيمة الشحنه]])</f>
        <v>0</v>
      </c>
      <c r="I113" s="90"/>
      <c r="J113" s="142" t="str">
        <f t="shared" si="1"/>
        <v>26.5.2026</v>
      </c>
      <c r="L113" s="153">
        <v>102</v>
      </c>
      <c r="M113" s="92"/>
    </row>
    <row r="114" spans="1:13" ht="21.6" x14ac:dyDescent="0.65">
      <c r="A114" s="195"/>
      <c r="B114" s="140">
        <v>111</v>
      </c>
      <c r="C114" s="2"/>
      <c r="D114" s="1"/>
      <c r="E114" s="3"/>
      <c r="F114" s="1"/>
      <c r="G114" s="141">
        <f>IF(Basic34567[[#This Row],[نوع الخدمة]]="مخالفات", 50,
IF(Basic34567[[#This Row],[نوع الخدمة]]="كاش ان",
    IF(F114&lt;=100, 18, IF(F114&lt;=250, 23, IF(F114&lt;=500, 35, IF(F114&lt;=1000, 40, F114*0.04)))),
IF(Basic34567[[#This Row],[نوع الخدمة]]="كاش اوت",
    IF(F114&lt;=100, 15, IF(F114&lt;=250, 20, IF(F114&lt;=500, 30, IF(F114&lt;=1000, 35, F114*0.035)))),
0)))</f>
        <v>0</v>
      </c>
      <c r="H114" s="159">
        <f>IF(I114="مخالفات",50,Basic34567[[#This Row],[قيمة الرسوم / العموله]]+Basic34567[[#This Row],[قيمة الشحنه]])</f>
        <v>0</v>
      </c>
      <c r="I114" s="90"/>
      <c r="J114" s="142" t="str">
        <f t="shared" si="1"/>
        <v>26.5.2026</v>
      </c>
      <c r="L114" s="153">
        <v>103</v>
      </c>
      <c r="M114" s="92"/>
    </row>
    <row r="115" spans="1:13" ht="21.6" x14ac:dyDescent="0.65">
      <c r="A115" s="195"/>
      <c r="B115" s="140">
        <v>112</v>
      </c>
      <c r="C115" s="2"/>
      <c r="D115" s="1"/>
      <c r="E115" s="3"/>
      <c r="F115" s="1"/>
      <c r="G115" s="141">
        <f>IF(Basic34567[[#This Row],[نوع الخدمة]]="مخالفات", 50,
IF(Basic34567[[#This Row],[نوع الخدمة]]="كاش ان",
    IF(F115&lt;=100, 18, IF(F115&lt;=250, 23, IF(F115&lt;=500, 35, IF(F115&lt;=1000, 40, F115*0.04)))),
IF(Basic34567[[#This Row],[نوع الخدمة]]="كاش اوت",
    IF(F115&lt;=100, 15, IF(F115&lt;=250, 20, IF(F115&lt;=500, 30, IF(F115&lt;=1000, 35, F115*0.035)))),
0)))</f>
        <v>0</v>
      </c>
      <c r="H115" s="159">
        <f>IF(I115="مخالفات",50,Basic34567[[#This Row],[قيمة الرسوم / العموله]]+Basic34567[[#This Row],[قيمة الشحنه]])</f>
        <v>0</v>
      </c>
      <c r="I115" s="90"/>
      <c r="J115" s="142" t="str">
        <f t="shared" si="1"/>
        <v>26.5.2026</v>
      </c>
      <c r="L115" s="153">
        <v>104</v>
      </c>
      <c r="M115" s="92"/>
    </row>
    <row r="116" spans="1:13" ht="21.6" x14ac:dyDescent="0.65">
      <c r="A116" s="195"/>
      <c r="B116" s="140">
        <v>113</v>
      </c>
      <c r="C116" s="2"/>
      <c r="D116" s="1"/>
      <c r="E116" s="3"/>
      <c r="F116" s="1"/>
      <c r="G116" s="141">
        <f>IF(Basic34567[[#This Row],[نوع الخدمة]]="مخالفات", 50,
IF(Basic34567[[#This Row],[نوع الخدمة]]="كاش ان",
    IF(F116&lt;=100, 18, IF(F116&lt;=250, 23, IF(F116&lt;=500, 35, IF(F116&lt;=1000, 40, F116*0.04)))),
IF(Basic34567[[#This Row],[نوع الخدمة]]="كاش اوت",
    IF(F116&lt;=100, 15, IF(F116&lt;=250, 20, IF(F116&lt;=500, 30, IF(F116&lt;=1000, 35, F116*0.035)))),
0)))</f>
        <v>0</v>
      </c>
      <c r="H116" s="159">
        <f>IF(I116="مخالفات",50,Basic34567[[#This Row],[قيمة الرسوم / العموله]]+Basic34567[[#This Row],[قيمة الشحنه]])</f>
        <v>0</v>
      </c>
      <c r="I116" s="90"/>
      <c r="J116" s="142" t="str">
        <f t="shared" si="1"/>
        <v>26.5.2026</v>
      </c>
      <c r="L116" s="153">
        <v>105</v>
      </c>
      <c r="M116" s="92"/>
    </row>
    <row r="117" spans="1:13" ht="21.6" x14ac:dyDescent="0.65">
      <c r="A117" s="195"/>
      <c r="B117" s="144">
        <v>114</v>
      </c>
      <c r="C117" s="2"/>
      <c r="D117" s="1"/>
      <c r="E117" s="3"/>
      <c r="F117" s="1"/>
      <c r="G117" s="141">
        <f>IF(Basic34567[[#This Row],[نوع الخدمة]]="مخالفات", 50,
IF(Basic34567[[#This Row],[نوع الخدمة]]="كاش ان",
    IF(F117&lt;=100, 18, IF(F117&lt;=250, 23, IF(F117&lt;=500, 35, IF(F117&lt;=1000, 40, F117*0.04)))),
IF(Basic34567[[#This Row],[نوع الخدمة]]="كاش اوت",
    IF(F117&lt;=100, 15, IF(F117&lt;=250, 20, IF(F117&lt;=500, 30, IF(F117&lt;=1000, 35, F117*0.035)))),
0)))</f>
        <v>0</v>
      </c>
      <c r="H117" s="159">
        <f>IF(I117="مخالفات",50,Basic34567[[#This Row],[قيمة الرسوم / العموله]]+Basic34567[[#This Row],[قيمة الشحنه]])</f>
        <v>0</v>
      </c>
      <c r="I117" s="90"/>
      <c r="J117" s="142" t="str">
        <f t="shared" si="1"/>
        <v>26.5.2026</v>
      </c>
      <c r="L117" s="153">
        <v>106</v>
      </c>
      <c r="M117" s="92"/>
    </row>
    <row r="118" spans="1:13" ht="21.6" x14ac:dyDescent="0.65">
      <c r="A118" s="195"/>
      <c r="B118" s="140">
        <v>115</v>
      </c>
      <c r="C118" s="2"/>
      <c r="D118" s="1"/>
      <c r="E118" s="3"/>
      <c r="F118" s="1"/>
      <c r="G118" s="141">
        <f>IF(Basic34567[[#This Row],[نوع الخدمة]]="مخالفات", 50,
IF(Basic34567[[#This Row],[نوع الخدمة]]="كاش ان",
    IF(F118&lt;=100, 18, IF(F118&lt;=250, 23, IF(F118&lt;=500, 35, IF(F118&lt;=1000, 40, F118*0.04)))),
IF(Basic34567[[#This Row],[نوع الخدمة]]="كاش اوت",
    IF(F118&lt;=100, 15, IF(F118&lt;=250, 20, IF(F118&lt;=500, 30, IF(F118&lt;=1000, 35, F118*0.035)))),
0)))</f>
        <v>0</v>
      </c>
      <c r="H118" s="159">
        <f>IF(I118="مخالفات",50,Basic34567[[#This Row],[قيمة الرسوم / العموله]]+Basic34567[[#This Row],[قيمة الشحنه]])</f>
        <v>0</v>
      </c>
      <c r="I118" s="90"/>
      <c r="J118" s="142" t="str">
        <f t="shared" si="1"/>
        <v>26.5.2026</v>
      </c>
      <c r="L118" s="153">
        <v>107</v>
      </c>
      <c r="M118" s="92"/>
    </row>
    <row r="119" spans="1:13" ht="21.6" x14ac:dyDescent="0.65">
      <c r="A119" s="195"/>
      <c r="B119" s="140">
        <v>116</v>
      </c>
      <c r="C119" s="2"/>
      <c r="D119" s="1"/>
      <c r="E119" s="3"/>
      <c r="F119" s="1"/>
      <c r="G119" s="141">
        <f>IF(Basic34567[[#This Row],[نوع الخدمة]]="مخالفات", 50,
IF(Basic34567[[#This Row],[نوع الخدمة]]="كاش ان",
    IF(F119&lt;=100, 18, IF(F119&lt;=250, 23, IF(F119&lt;=500, 35, IF(F119&lt;=1000, 40, F119*0.04)))),
IF(Basic34567[[#This Row],[نوع الخدمة]]="كاش اوت",
    IF(F119&lt;=100, 15, IF(F119&lt;=250, 20, IF(F119&lt;=500, 30, IF(F119&lt;=1000, 35, F119*0.035)))),
0)))</f>
        <v>0</v>
      </c>
      <c r="H119" s="159">
        <f>IF(I119="مخالفات",50,Basic34567[[#This Row],[قيمة الرسوم / العموله]]+Basic34567[[#This Row],[قيمة الشحنه]])</f>
        <v>0</v>
      </c>
      <c r="I119" s="90"/>
      <c r="J119" s="142" t="str">
        <f t="shared" si="1"/>
        <v>26.5.2026</v>
      </c>
      <c r="L119" s="153">
        <v>108</v>
      </c>
      <c r="M119" s="92"/>
    </row>
    <row r="120" spans="1:13" ht="21.6" x14ac:dyDescent="0.65">
      <c r="A120" s="195"/>
      <c r="B120" s="140">
        <v>117</v>
      </c>
      <c r="C120" s="2"/>
      <c r="D120" s="1"/>
      <c r="E120" s="3"/>
      <c r="F120" s="1"/>
      <c r="G120" s="141">
        <f>IF(Basic34567[[#This Row],[نوع الخدمة]]="مخالفات", 50,
IF(Basic34567[[#This Row],[نوع الخدمة]]="كاش ان",
    IF(F120&lt;=100, 18, IF(F120&lt;=250, 23, IF(F120&lt;=500, 35, IF(F120&lt;=1000, 40, F120*0.04)))),
IF(Basic34567[[#This Row],[نوع الخدمة]]="كاش اوت",
    IF(F120&lt;=100, 15, IF(F120&lt;=250, 20, IF(F120&lt;=500, 30, IF(F120&lt;=1000, 35, F120*0.035)))),
0)))</f>
        <v>0</v>
      </c>
      <c r="H120" s="159">
        <f>IF(I120="مخالفات",50,Basic34567[[#This Row],[قيمة الرسوم / العموله]]+Basic34567[[#This Row],[قيمة الشحنه]])</f>
        <v>0</v>
      </c>
      <c r="I120" s="90"/>
      <c r="J120" s="142" t="str">
        <f t="shared" si="1"/>
        <v>26.5.2026</v>
      </c>
      <c r="L120" s="153">
        <v>109</v>
      </c>
      <c r="M120" s="92"/>
    </row>
    <row r="121" spans="1:13" ht="21.6" x14ac:dyDescent="0.65">
      <c r="A121" s="195"/>
      <c r="B121" s="144">
        <v>118</v>
      </c>
      <c r="C121" s="2"/>
      <c r="D121" s="1"/>
      <c r="E121" s="3"/>
      <c r="F121" s="1"/>
      <c r="G121" s="141">
        <f>IF(Basic34567[[#This Row],[نوع الخدمة]]="مخالفات", 50,
IF(Basic34567[[#This Row],[نوع الخدمة]]="كاش ان",
    IF(F121&lt;=100, 18, IF(F121&lt;=250, 23, IF(F121&lt;=500, 35, IF(F121&lt;=1000, 40, F121*0.04)))),
IF(Basic34567[[#This Row],[نوع الخدمة]]="كاش اوت",
    IF(F121&lt;=100, 15, IF(F121&lt;=250, 20, IF(F121&lt;=500, 30, IF(F121&lt;=1000, 35, F121*0.035)))),
0)))</f>
        <v>0</v>
      </c>
      <c r="H121" s="159">
        <f>IF(I121="مخالفات",50,Basic34567[[#This Row],[قيمة الرسوم / العموله]]+Basic34567[[#This Row],[قيمة الشحنه]])</f>
        <v>0</v>
      </c>
      <c r="I121" s="90"/>
      <c r="J121" s="142" t="str">
        <f t="shared" si="1"/>
        <v>26.5.2026</v>
      </c>
      <c r="L121" s="153">
        <v>110</v>
      </c>
      <c r="M121" s="92"/>
    </row>
    <row r="122" spans="1:13" ht="21.6" x14ac:dyDescent="0.65">
      <c r="A122" s="195"/>
      <c r="B122" s="140">
        <v>119</v>
      </c>
      <c r="C122" s="2"/>
      <c r="D122" s="1"/>
      <c r="E122" s="3"/>
      <c r="F122" s="1"/>
      <c r="G122" s="141">
        <f>IF(Basic34567[[#This Row],[نوع الخدمة]]="مخالفات", 50,
IF(Basic34567[[#This Row],[نوع الخدمة]]="كاش ان",
    IF(F122&lt;=100, 18, IF(F122&lt;=250, 23, IF(F122&lt;=500, 35, IF(F122&lt;=1000, 40, F122*0.04)))),
IF(Basic34567[[#This Row],[نوع الخدمة]]="كاش اوت",
    IF(F122&lt;=100, 15, IF(F122&lt;=250, 20, IF(F122&lt;=500, 30, IF(F122&lt;=1000, 35, F122*0.035)))),
0)))</f>
        <v>0</v>
      </c>
      <c r="H122" s="159">
        <f>IF(I122="مخالفات",50,Basic34567[[#This Row],[قيمة الرسوم / العموله]]+Basic34567[[#This Row],[قيمة الشحنه]])</f>
        <v>0</v>
      </c>
      <c r="I122" s="90"/>
      <c r="J122" s="142" t="str">
        <f t="shared" si="1"/>
        <v>26.5.2026</v>
      </c>
      <c r="L122" s="153">
        <v>111</v>
      </c>
      <c r="M122" s="92"/>
    </row>
    <row r="123" spans="1:13" ht="21.6" x14ac:dyDescent="0.65">
      <c r="A123" s="195"/>
      <c r="B123" s="140">
        <v>120</v>
      </c>
      <c r="C123" s="2"/>
      <c r="D123" s="1"/>
      <c r="E123" s="3"/>
      <c r="F123" s="1"/>
      <c r="G123" s="141">
        <f>IF(Basic34567[[#This Row],[نوع الخدمة]]="مخالفات", 50,
IF(Basic34567[[#This Row],[نوع الخدمة]]="كاش ان",
    IF(F123&lt;=100, 18, IF(F123&lt;=250, 23, IF(F123&lt;=500, 35, IF(F123&lt;=1000, 40, F123*0.04)))),
IF(Basic34567[[#This Row],[نوع الخدمة]]="كاش اوت",
    IF(F123&lt;=100, 15, IF(F123&lt;=250, 20, IF(F123&lt;=500, 30, IF(F123&lt;=1000, 35, F123*0.035)))),
0)))</f>
        <v>0</v>
      </c>
      <c r="H123" s="159">
        <f>IF(I123="مخالفات",50,Basic34567[[#This Row],[قيمة الرسوم / العموله]]+Basic34567[[#This Row],[قيمة الشحنه]])</f>
        <v>0</v>
      </c>
      <c r="I123" s="90"/>
      <c r="J123" s="142" t="str">
        <f t="shared" si="1"/>
        <v>26.5.2026</v>
      </c>
      <c r="L123" s="153">
        <v>112</v>
      </c>
      <c r="M123" s="92"/>
    </row>
    <row r="124" spans="1:13" ht="21.6" x14ac:dyDescent="0.65">
      <c r="A124" s="195"/>
      <c r="B124" s="140">
        <v>121</v>
      </c>
      <c r="C124" s="2"/>
      <c r="D124" s="1"/>
      <c r="E124" s="3"/>
      <c r="F124" s="1"/>
      <c r="G124" s="141">
        <f>IF(Basic34567[[#This Row],[نوع الخدمة]]="مخالفات", 50,
IF(Basic34567[[#This Row],[نوع الخدمة]]="كاش ان",
    IF(F124&lt;=100, 18, IF(F124&lt;=250, 23, IF(F124&lt;=500, 35, IF(F124&lt;=1000, 40, F124*0.04)))),
IF(Basic34567[[#This Row],[نوع الخدمة]]="كاش اوت",
    IF(F124&lt;=100, 15, IF(F124&lt;=250, 20, IF(F124&lt;=500, 30, IF(F124&lt;=1000, 35, F124*0.035)))),
0)))</f>
        <v>0</v>
      </c>
      <c r="H124" s="159">
        <f>IF(I124="مخالفات",50,Basic34567[[#This Row],[قيمة الرسوم / العموله]]+Basic34567[[#This Row],[قيمة الشحنه]])</f>
        <v>0</v>
      </c>
      <c r="I124" s="90"/>
      <c r="J124" s="142" t="str">
        <f t="shared" si="1"/>
        <v>26.5.2026</v>
      </c>
      <c r="L124" s="153">
        <v>113</v>
      </c>
      <c r="M124" s="92"/>
    </row>
    <row r="125" spans="1:13" ht="21.6" x14ac:dyDescent="0.65">
      <c r="A125" s="195"/>
      <c r="B125" s="144">
        <v>122</v>
      </c>
      <c r="C125" s="2"/>
      <c r="D125" s="1"/>
      <c r="E125" s="3"/>
      <c r="F125" s="1"/>
      <c r="G125" s="141">
        <f>IF(Basic34567[[#This Row],[نوع الخدمة]]="مخالفات", 50,
IF(Basic34567[[#This Row],[نوع الخدمة]]="كاش ان",
    IF(F125&lt;=100, 18, IF(F125&lt;=250, 23, IF(F125&lt;=500, 35, IF(F125&lt;=1000, 40, F125*0.04)))),
IF(Basic34567[[#This Row],[نوع الخدمة]]="كاش اوت",
    IF(F125&lt;=100, 15, IF(F125&lt;=250, 20, IF(F125&lt;=500, 30, IF(F125&lt;=1000, 35, F125*0.035)))),
0)))</f>
        <v>0</v>
      </c>
      <c r="H125" s="159">
        <f>IF(I125="مخالفات",50,Basic34567[[#This Row],[قيمة الرسوم / العموله]]+Basic34567[[#This Row],[قيمة الشحنه]])</f>
        <v>0</v>
      </c>
      <c r="I125" s="90"/>
      <c r="J125" s="142" t="str">
        <f t="shared" si="1"/>
        <v>26.5.2026</v>
      </c>
      <c r="L125" s="153">
        <v>114</v>
      </c>
      <c r="M125" s="92"/>
    </row>
    <row r="126" spans="1:13" ht="21.6" x14ac:dyDescent="0.65">
      <c r="A126" s="195"/>
      <c r="B126" s="140">
        <v>123</v>
      </c>
      <c r="C126" s="2"/>
      <c r="D126" s="1"/>
      <c r="E126" s="3"/>
      <c r="F126" s="1"/>
      <c r="G126" s="141">
        <f>IF(Basic34567[[#This Row],[نوع الخدمة]]="مخالفات", 50,
IF(Basic34567[[#This Row],[نوع الخدمة]]="كاش ان",
    IF(F126&lt;=100, 18, IF(F126&lt;=250, 23, IF(F126&lt;=500, 35, IF(F126&lt;=1000, 40, F126*0.04)))),
IF(Basic34567[[#This Row],[نوع الخدمة]]="كاش اوت",
    IF(F126&lt;=100, 15, IF(F126&lt;=250, 20, IF(F126&lt;=500, 30, IF(F126&lt;=1000, 35, F126*0.035)))),
0)))</f>
        <v>0</v>
      </c>
      <c r="H126" s="159">
        <f>IF(I126="مخالفات",50,Basic34567[[#This Row],[قيمة الرسوم / العموله]]+Basic34567[[#This Row],[قيمة الشحنه]])</f>
        <v>0</v>
      </c>
      <c r="I126" s="90"/>
      <c r="J126" s="142" t="str">
        <f t="shared" si="1"/>
        <v>26.5.2026</v>
      </c>
      <c r="L126" s="153">
        <v>115</v>
      </c>
      <c r="M126" s="92"/>
    </row>
    <row r="127" spans="1:13" ht="21.6" x14ac:dyDescent="0.65">
      <c r="A127" s="195"/>
      <c r="B127" s="140">
        <v>124</v>
      </c>
      <c r="C127" s="2"/>
      <c r="D127" s="1"/>
      <c r="E127" s="3"/>
      <c r="F127" s="1"/>
      <c r="G127" s="141">
        <f>IF(Basic34567[[#This Row],[نوع الخدمة]]="مخالفات", 50,
IF(Basic34567[[#This Row],[نوع الخدمة]]="كاش ان",
    IF(F127&lt;=100, 18, IF(F127&lt;=250, 23, IF(F127&lt;=500, 35, IF(F127&lt;=1000, 40, F127*0.04)))),
IF(Basic34567[[#This Row],[نوع الخدمة]]="كاش اوت",
    IF(F127&lt;=100, 15, IF(F127&lt;=250, 20, IF(F127&lt;=500, 30, IF(F127&lt;=1000, 35, F127*0.035)))),
0)))</f>
        <v>0</v>
      </c>
      <c r="H127" s="159">
        <f>IF(I127="مخالفات",50,Basic34567[[#This Row],[قيمة الرسوم / العموله]]+Basic34567[[#This Row],[قيمة الشحنه]])</f>
        <v>0</v>
      </c>
      <c r="I127" s="90"/>
      <c r="J127" s="142" t="str">
        <f t="shared" si="1"/>
        <v>26.5.2026</v>
      </c>
      <c r="L127" s="153">
        <v>116</v>
      </c>
      <c r="M127" s="92"/>
    </row>
    <row r="128" spans="1:13" ht="21.6" x14ac:dyDescent="0.65">
      <c r="A128" s="195"/>
      <c r="B128" s="140">
        <v>125</v>
      </c>
      <c r="C128" s="2"/>
      <c r="D128" s="1"/>
      <c r="E128" s="3"/>
      <c r="F128" s="1"/>
      <c r="G128" s="141">
        <f>IF(Basic34567[[#This Row],[نوع الخدمة]]="مخالفات", 50,
IF(Basic34567[[#This Row],[نوع الخدمة]]="كاش ان",
    IF(F128&lt;=100, 18, IF(F128&lt;=250, 23, IF(F128&lt;=500, 35, IF(F128&lt;=1000, 40, F128*0.04)))),
IF(Basic34567[[#This Row],[نوع الخدمة]]="كاش اوت",
    IF(F128&lt;=100, 15, IF(F128&lt;=250, 20, IF(F128&lt;=500, 30, IF(F128&lt;=1000, 35, F128*0.035)))),
0)))</f>
        <v>0</v>
      </c>
      <c r="H128" s="159">
        <f>IF(I128="مخالفات",50,Basic34567[[#This Row],[قيمة الرسوم / العموله]]+Basic34567[[#This Row],[قيمة الشحنه]])</f>
        <v>0</v>
      </c>
      <c r="I128" s="90"/>
      <c r="J128" s="142" t="str">
        <f t="shared" si="1"/>
        <v>26.5.2026</v>
      </c>
      <c r="L128" s="153">
        <v>117</v>
      </c>
      <c r="M128" s="92"/>
    </row>
    <row r="129" spans="1:13" ht="21.6" x14ac:dyDescent="0.65">
      <c r="A129" s="195"/>
      <c r="B129" s="144">
        <v>126</v>
      </c>
      <c r="C129" s="2"/>
      <c r="D129" s="1"/>
      <c r="E129" s="3"/>
      <c r="F129" s="1"/>
      <c r="G129" s="141">
        <f>IF(Basic34567[[#This Row],[نوع الخدمة]]="مخالفات", 50,
IF(Basic34567[[#This Row],[نوع الخدمة]]="كاش ان",
    IF(F129&lt;=100, 18, IF(F129&lt;=250, 23, IF(F129&lt;=500, 35, IF(F129&lt;=1000, 40, F129*0.04)))),
IF(Basic34567[[#This Row],[نوع الخدمة]]="كاش اوت",
    IF(F129&lt;=100, 15, IF(F129&lt;=250, 20, IF(F129&lt;=500, 30, IF(F129&lt;=1000, 35, F129*0.035)))),
0)))</f>
        <v>0</v>
      </c>
      <c r="H129" s="159">
        <f>IF(I129="مخالفات",50,Basic34567[[#This Row],[قيمة الرسوم / العموله]]+Basic34567[[#This Row],[قيمة الشحنه]])</f>
        <v>0</v>
      </c>
      <c r="I129" s="90"/>
      <c r="J129" s="142" t="str">
        <f t="shared" si="1"/>
        <v>26.5.2026</v>
      </c>
      <c r="L129" s="153">
        <v>118</v>
      </c>
      <c r="M129" s="92"/>
    </row>
    <row r="130" spans="1:13" ht="21.6" x14ac:dyDescent="0.65">
      <c r="A130" s="195"/>
      <c r="B130" s="140">
        <v>127</v>
      </c>
      <c r="C130" s="2"/>
      <c r="D130" s="1"/>
      <c r="E130" s="3"/>
      <c r="F130" s="1"/>
      <c r="G130" s="141">
        <f>IF(Basic34567[[#This Row],[نوع الخدمة]]="مخالفات", 50,
IF(Basic34567[[#This Row],[نوع الخدمة]]="كاش ان",
    IF(F130&lt;=100, 18, IF(F130&lt;=250, 23, IF(F130&lt;=500, 35, IF(F130&lt;=1000, 40, F130*0.04)))),
IF(Basic34567[[#This Row],[نوع الخدمة]]="كاش اوت",
    IF(F130&lt;=100, 15, IF(F130&lt;=250, 20, IF(F130&lt;=500, 30, IF(F130&lt;=1000, 35, F130*0.035)))),
0)))</f>
        <v>0</v>
      </c>
      <c r="H130" s="159">
        <f>IF(I130="مخالفات",50,Basic34567[[#This Row],[قيمة الرسوم / العموله]]+Basic34567[[#This Row],[قيمة الشحنه]])</f>
        <v>0</v>
      </c>
      <c r="I130" s="90"/>
      <c r="J130" s="142" t="str">
        <f t="shared" si="1"/>
        <v>26.5.2026</v>
      </c>
      <c r="L130" s="153">
        <v>119</v>
      </c>
      <c r="M130" s="92"/>
    </row>
    <row r="131" spans="1:13" ht="21.6" x14ac:dyDescent="0.65">
      <c r="A131" s="195"/>
      <c r="B131" s="140">
        <v>128</v>
      </c>
      <c r="C131" s="2"/>
      <c r="D131" s="1"/>
      <c r="E131" s="3"/>
      <c r="F131" s="1"/>
      <c r="G131" s="141">
        <f>IF(Basic34567[[#This Row],[نوع الخدمة]]="مخالفات", 50,
IF(Basic34567[[#This Row],[نوع الخدمة]]="كاش ان",
    IF(F131&lt;=100, 18, IF(F131&lt;=250, 23, IF(F131&lt;=500, 35, IF(F131&lt;=1000, 40, F131*0.04)))),
IF(Basic34567[[#This Row],[نوع الخدمة]]="كاش اوت",
    IF(F131&lt;=100, 15, IF(F131&lt;=250, 20, IF(F131&lt;=500, 30, IF(F131&lt;=1000, 35, F131*0.035)))),
0)))</f>
        <v>0</v>
      </c>
      <c r="H131" s="159">
        <f>IF(I131="مخالفات",50,Basic34567[[#This Row],[قيمة الرسوم / العموله]]+Basic34567[[#This Row],[قيمة الشحنه]])</f>
        <v>0</v>
      </c>
      <c r="I131" s="90"/>
      <c r="J131" s="142" t="str">
        <f t="shared" si="1"/>
        <v>26.5.2026</v>
      </c>
      <c r="L131" s="153">
        <v>120</v>
      </c>
      <c r="M131" s="92"/>
    </row>
    <row r="132" spans="1:13" ht="21.6" x14ac:dyDescent="0.65">
      <c r="A132" s="195"/>
      <c r="B132" s="140">
        <v>129</v>
      </c>
      <c r="C132" s="2"/>
      <c r="D132" s="1"/>
      <c r="E132" s="3"/>
      <c r="F132" s="1"/>
      <c r="G132" s="141">
        <f>IF(Basic34567[[#This Row],[نوع الخدمة]]="مخالفات", 50,
IF(Basic34567[[#This Row],[نوع الخدمة]]="كاش ان",
    IF(F132&lt;=100, 18, IF(F132&lt;=250, 23, IF(F132&lt;=500, 35, IF(F132&lt;=1000, 40, F132*0.04)))),
IF(Basic34567[[#This Row],[نوع الخدمة]]="كاش اوت",
    IF(F132&lt;=100, 15, IF(F132&lt;=250, 20, IF(F132&lt;=500, 30, IF(F132&lt;=1000, 35, F132*0.035)))),
0)))</f>
        <v>0</v>
      </c>
      <c r="H132" s="159">
        <f>IF(I132="مخالفات",50,Basic34567[[#This Row],[قيمة الرسوم / العموله]]+Basic34567[[#This Row],[قيمة الشحنه]])</f>
        <v>0</v>
      </c>
      <c r="I132" s="90"/>
      <c r="J132" s="142" t="str">
        <f t="shared" ref="J132:J195" si="2">M$3</f>
        <v>26.5.2026</v>
      </c>
      <c r="L132" s="153">
        <v>121</v>
      </c>
      <c r="M132" s="92"/>
    </row>
    <row r="133" spans="1:13" ht="21.6" x14ac:dyDescent="0.65">
      <c r="A133" s="195"/>
      <c r="B133" s="144">
        <v>130</v>
      </c>
      <c r="C133" s="2"/>
      <c r="D133" s="1"/>
      <c r="E133" s="3"/>
      <c r="F133" s="1"/>
      <c r="G133" s="141">
        <f>IF(Basic34567[[#This Row],[نوع الخدمة]]="مخالفات", 50,
IF(Basic34567[[#This Row],[نوع الخدمة]]="كاش ان",
    IF(F133&lt;=100, 18, IF(F133&lt;=250, 23, IF(F133&lt;=500, 35, IF(F133&lt;=1000, 40, F133*0.04)))),
IF(Basic34567[[#This Row],[نوع الخدمة]]="كاش اوت",
    IF(F133&lt;=100, 15, IF(F133&lt;=250, 20, IF(F133&lt;=500, 30, IF(F133&lt;=1000, 35, F133*0.035)))),
0)))</f>
        <v>0</v>
      </c>
      <c r="H133" s="159">
        <f>IF(I133="مخالفات",50,Basic34567[[#This Row],[قيمة الرسوم / العموله]]+Basic34567[[#This Row],[قيمة الشحنه]])</f>
        <v>0</v>
      </c>
      <c r="I133" s="90"/>
      <c r="J133" s="142" t="str">
        <f t="shared" si="2"/>
        <v>26.5.2026</v>
      </c>
      <c r="L133" s="153">
        <v>122</v>
      </c>
      <c r="M133" s="92"/>
    </row>
    <row r="134" spans="1:13" ht="21.6" x14ac:dyDescent="0.65">
      <c r="A134" s="195"/>
      <c r="B134" s="140">
        <v>131</v>
      </c>
      <c r="C134" s="2"/>
      <c r="D134" s="1"/>
      <c r="E134" s="3"/>
      <c r="F134" s="1"/>
      <c r="G134" s="141">
        <f>IF(Basic34567[[#This Row],[نوع الخدمة]]="مخالفات", 50,
IF(Basic34567[[#This Row],[نوع الخدمة]]="كاش ان",
    IF(F134&lt;=100, 18, IF(F134&lt;=250, 23, IF(F134&lt;=500, 35, IF(F134&lt;=1000, 40, F134*0.04)))),
IF(Basic34567[[#This Row],[نوع الخدمة]]="كاش اوت",
    IF(F134&lt;=100, 15, IF(F134&lt;=250, 20, IF(F134&lt;=500, 30, IF(F134&lt;=1000, 35, F134*0.035)))),
0)))</f>
        <v>0</v>
      </c>
      <c r="H134" s="159">
        <f>IF(I134="مخالفات",50,Basic34567[[#This Row],[قيمة الرسوم / العموله]]+Basic34567[[#This Row],[قيمة الشحنه]])</f>
        <v>0</v>
      </c>
      <c r="I134" s="90"/>
      <c r="J134" s="142" t="str">
        <f t="shared" si="2"/>
        <v>26.5.2026</v>
      </c>
      <c r="L134" s="153">
        <v>123</v>
      </c>
      <c r="M134" s="92"/>
    </row>
    <row r="135" spans="1:13" ht="21.6" x14ac:dyDescent="0.65">
      <c r="A135" s="195"/>
      <c r="B135" s="140">
        <v>132</v>
      </c>
      <c r="C135" s="2"/>
      <c r="D135" s="1"/>
      <c r="E135" s="3"/>
      <c r="F135" s="1"/>
      <c r="G135" s="141">
        <f>IF(Basic34567[[#This Row],[نوع الخدمة]]="مخالفات", 50,
IF(Basic34567[[#This Row],[نوع الخدمة]]="كاش ان",
    IF(F135&lt;=100, 18, IF(F135&lt;=250, 23, IF(F135&lt;=500, 35, IF(F135&lt;=1000, 40, F135*0.04)))),
IF(Basic34567[[#This Row],[نوع الخدمة]]="كاش اوت",
    IF(F135&lt;=100, 15, IF(F135&lt;=250, 20, IF(F135&lt;=500, 30, IF(F135&lt;=1000, 35, F135*0.035)))),
0)))</f>
        <v>0</v>
      </c>
      <c r="H135" s="159">
        <f>IF(I135="مخالفات",50,Basic34567[[#This Row],[قيمة الرسوم / العموله]]+Basic34567[[#This Row],[قيمة الشحنه]])</f>
        <v>0</v>
      </c>
      <c r="I135" s="90"/>
      <c r="J135" s="142" t="str">
        <f t="shared" si="2"/>
        <v>26.5.2026</v>
      </c>
      <c r="L135" s="153">
        <v>124</v>
      </c>
      <c r="M135" s="92"/>
    </row>
    <row r="136" spans="1:13" ht="21.6" x14ac:dyDescent="0.65">
      <c r="A136" s="195"/>
      <c r="B136" s="140">
        <v>133</v>
      </c>
      <c r="C136" s="2"/>
      <c r="D136" s="1"/>
      <c r="E136" s="3"/>
      <c r="F136" s="1"/>
      <c r="G136" s="141">
        <f>IF(Basic34567[[#This Row],[نوع الخدمة]]="مخالفات", 50,
IF(Basic34567[[#This Row],[نوع الخدمة]]="كاش ان",
    IF(F136&lt;=100, 18, IF(F136&lt;=250, 23, IF(F136&lt;=500, 35, IF(F136&lt;=1000, 40, F136*0.04)))),
IF(Basic34567[[#This Row],[نوع الخدمة]]="كاش اوت",
    IF(F136&lt;=100, 15, IF(F136&lt;=250, 20, IF(F136&lt;=500, 30, IF(F136&lt;=1000, 35, F136*0.035)))),
0)))</f>
        <v>0</v>
      </c>
      <c r="H136" s="159">
        <f>IF(I136="مخالفات",50,Basic34567[[#This Row],[قيمة الرسوم / العموله]]+Basic34567[[#This Row],[قيمة الشحنه]])</f>
        <v>0</v>
      </c>
      <c r="I136" s="90"/>
      <c r="J136" s="142" t="str">
        <f t="shared" si="2"/>
        <v>26.5.2026</v>
      </c>
      <c r="L136" s="153">
        <v>125</v>
      </c>
      <c r="M136" s="92"/>
    </row>
    <row r="137" spans="1:13" ht="21.6" x14ac:dyDescent="0.65">
      <c r="A137" s="195"/>
      <c r="B137" s="144">
        <v>134</v>
      </c>
      <c r="C137" s="2"/>
      <c r="D137" s="1"/>
      <c r="E137" s="3"/>
      <c r="F137" s="1"/>
      <c r="G137" s="141">
        <f>IF(Basic34567[[#This Row],[نوع الخدمة]]="مخالفات", 50,
IF(Basic34567[[#This Row],[نوع الخدمة]]="كاش ان",
    IF(F137&lt;=100, 18, IF(F137&lt;=250, 23, IF(F137&lt;=500, 35, IF(F137&lt;=1000, 40, F137*0.04)))),
IF(Basic34567[[#This Row],[نوع الخدمة]]="كاش اوت",
    IF(F137&lt;=100, 15, IF(F137&lt;=250, 20, IF(F137&lt;=500, 30, IF(F137&lt;=1000, 35, F137*0.035)))),
0)))</f>
        <v>0</v>
      </c>
      <c r="H137" s="159">
        <f>IF(I137="مخالفات",50,Basic34567[[#This Row],[قيمة الرسوم / العموله]]+Basic34567[[#This Row],[قيمة الشحنه]])</f>
        <v>0</v>
      </c>
      <c r="I137" s="90"/>
      <c r="J137" s="142" t="str">
        <f t="shared" si="2"/>
        <v>26.5.2026</v>
      </c>
      <c r="L137" s="153">
        <v>126</v>
      </c>
      <c r="M137" s="92"/>
    </row>
    <row r="138" spans="1:13" ht="21.6" x14ac:dyDescent="0.65">
      <c r="A138" s="195"/>
      <c r="B138" s="140">
        <v>135</v>
      </c>
      <c r="C138" s="2"/>
      <c r="D138" s="1"/>
      <c r="E138" s="3"/>
      <c r="F138" s="1"/>
      <c r="G138" s="141">
        <f>IF(Basic34567[[#This Row],[نوع الخدمة]]="مخالفات", 50,
IF(Basic34567[[#This Row],[نوع الخدمة]]="كاش ان",
    IF(F138&lt;=100, 18, IF(F138&lt;=250, 23, IF(F138&lt;=500, 35, IF(F138&lt;=1000, 40, F138*0.04)))),
IF(Basic34567[[#This Row],[نوع الخدمة]]="كاش اوت",
    IF(F138&lt;=100, 15, IF(F138&lt;=250, 20, IF(F138&lt;=500, 30, IF(F138&lt;=1000, 35, F138*0.035)))),
0)))</f>
        <v>0</v>
      </c>
      <c r="H138" s="159">
        <f>IF(I138="مخالفات",50,Basic34567[[#This Row],[قيمة الرسوم / العموله]]+Basic34567[[#This Row],[قيمة الشحنه]])</f>
        <v>0</v>
      </c>
      <c r="I138" s="90"/>
      <c r="J138" s="142" t="str">
        <f t="shared" si="2"/>
        <v>26.5.2026</v>
      </c>
      <c r="L138" s="153">
        <v>127</v>
      </c>
      <c r="M138" s="92"/>
    </row>
    <row r="139" spans="1:13" ht="21.6" x14ac:dyDescent="0.65">
      <c r="A139" s="195"/>
      <c r="B139" s="140">
        <v>136</v>
      </c>
      <c r="C139" s="2"/>
      <c r="D139" s="1"/>
      <c r="E139" s="3"/>
      <c r="F139" s="1"/>
      <c r="G139" s="141">
        <f>IF(Basic34567[[#This Row],[نوع الخدمة]]="مخالفات", 50,
IF(Basic34567[[#This Row],[نوع الخدمة]]="كاش ان",
    IF(F139&lt;=100, 18, IF(F139&lt;=250, 23, IF(F139&lt;=500, 35, IF(F139&lt;=1000, 40, F139*0.04)))),
IF(Basic34567[[#This Row],[نوع الخدمة]]="كاش اوت",
    IF(F139&lt;=100, 15, IF(F139&lt;=250, 20, IF(F139&lt;=500, 30, IF(F139&lt;=1000, 35, F139*0.035)))),
0)))</f>
        <v>0</v>
      </c>
      <c r="H139" s="159">
        <f>IF(I139="مخالفات",50,Basic34567[[#This Row],[قيمة الرسوم / العموله]]+Basic34567[[#This Row],[قيمة الشحنه]])</f>
        <v>0</v>
      </c>
      <c r="I139" s="90"/>
      <c r="J139" s="142" t="str">
        <f t="shared" si="2"/>
        <v>26.5.2026</v>
      </c>
      <c r="L139" s="153">
        <v>128</v>
      </c>
      <c r="M139" s="92"/>
    </row>
    <row r="140" spans="1:13" ht="21.6" x14ac:dyDescent="0.65">
      <c r="A140" s="195"/>
      <c r="B140" s="140">
        <v>137</v>
      </c>
      <c r="C140" s="2"/>
      <c r="D140" s="1"/>
      <c r="E140" s="3"/>
      <c r="F140" s="1"/>
      <c r="G140" s="141">
        <f>IF(Basic34567[[#This Row],[نوع الخدمة]]="مخالفات", 50,
IF(Basic34567[[#This Row],[نوع الخدمة]]="كاش ان",
    IF(F140&lt;=100, 18, IF(F140&lt;=250, 23, IF(F140&lt;=500, 35, IF(F140&lt;=1000, 40, F140*0.04)))),
IF(Basic34567[[#This Row],[نوع الخدمة]]="كاش اوت",
    IF(F140&lt;=100, 15, IF(F140&lt;=250, 20, IF(F140&lt;=500, 30, IF(F140&lt;=1000, 35, F140*0.035)))),
0)))</f>
        <v>0</v>
      </c>
      <c r="H140" s="159">
        <f>IF(I140="مخالفات",50,Basic34567[[#This Row],[قيمة الرسوم / العموله]]+Basic34567[[#This Row],[قيمة الشحنه]])</f>
        <v>0</v>
      </c>
      <c r="I140" s="90"/>
      <c r="J140" s="142" t="str">
        <f t="shared" si="2"/>
        <v>26.5.2026</v>
      </c>
      <c r="L140" s="153">
        <v>129</v>
      </c>
      <c r="M140" s="92"/>
    </row>
    <row r="141" spans="1:13" ht="21.6" x14ac:dyDescent="0.65">
      <c r="A141" s="195"/>
      <c r="B141" s="144">
        <v>138</v>
      </c>
      <c r="C141" s="2"/>
      <c r="D141" s="1"/>
      <c r="E141" s="3"/>
      <c r="F141" s="1"/>
      <c r="G141" s="141">
        <f>IF(Basic34567[[#This Row],[نوع الخدمة]]="مخالفات", 50,
IF(Basic34567[[#This Row],[نوع الخدمة]]="كاش ان",
    IF(F141&lt;=100, 18, IF(F141&lt;=250, 23, IF(F141&lt;=500, 35, IF(F141&lt;=1000, 40, F141*0.04)))),
IF(Basic34567[[#This Row],[نوع الخدمة]]="كاش اوت",
    IF(F141&lt;=100, 15, IF(F141&lt;=250, 20, IF(F141&lt;=500, 30, IF(F141&lt;=1000, 35, F141*0.035)))),
0)))</f>
        <v>0</v>
      </c>
      <c r="H141" s="159">
        <f>IF(I141="مخالفات",50,Basic34567[[#This Row],[قيمة الرسوم / العموله]]+Basic34567[[#This Row],[قيمة الشحنه]])</f>
        <v>0</v>
      </c>
      <c r="I141" s="90"/>
      <c r="J141" s="142" t="str">
        <f t="shared" si="2"/>
        <v>26.5.2026</v>
      </c>
      <c r="L141" s="153">
        <v>130</v>
      </c>
      <c r="M141" s="92"/>
    </row>
    <row r="142" spans="1:13" ht="21.6" x14ac:dyDescent="0.65">
      <c r="A142" s="195"/>
      <c r="B142" s="140">
        <v>139</v>
      </c>
      <c r="C142" s="2"/>
      <c r="D142" s="1"/>
      <c r="E142" s="3"/>
      <c r="F142" s="1"/>
      <c r="G142" s="141">
        <f>IF(Basic34567[[#This Row],[نوع الخدمة]]="مخالفات", 50,
IF(Basic34567[[#This Row],[نوع الخدمة]]="كاش ان",
    IF(F142&lt;=100, 18, IF(F142&lt;=250, 23, IF(F142&lt;=500, 35, IF(F142&lt;=1000, 40, F142*0.04)))),
IF(Basic34567[[#This Row],[نوع الخدمة]]="كاش اوت",
    IF(F142&lt;=100, 15, IF(F142&lt;=250, 20, IF(F142&lt;=500, 30, IF(F142&lt;=1000, 35, F142*0.035)))),
0)))</f>
        <v>0</v>
      </c>
      <c r="H142" s="159">
        <f>IF(I142="مخالفات",50,Basic34567[[#This Row],[قيمة الرسوم / العموله]]+Basic34567[[#This Row],[قيمة الشحنه]])</f>
        <v>0</v>
      </c>
      <c r="I142" s="90"/>
      <c r="J142" s="142" t="str">
        <f t="shared" si="2"/>
        <v>26.5.2026</v>
      </c>
      <c r="L142" s="153">
        <v>131</v>
      </c>
      <c r="M142" s="92"/>
    </row>
    <row r="143" spans="1:13" ht="21.6" x14ac:dyDescent="0.65">
      <c r="A143" s="195"/>
      <c r="B143" s="140">
        <v>140</v>
      </c>
      <c r="C143" s="2"/>
      <c r="D143" s="1"/>
      <c r="E143" s="3"/>
      <c r="F143" s="1"/>
      <c r="G143" s="141">
        <f>IF(Basic34567[[#This Row],[نوع الخدمة]]="مخالفات", 50,
IF(Basic34567[[#This Row],[نوع الخدمة]]="كاش ان",
    IF(F143&lt;=100, 18, IF(F143&lt;=250, 23, IF(F143&lt;=500, 35, IF(F143&lt;=1000, 40, F143*0.04)))),
IF(Basic34567[[#This Row],[نوع الخدمة]]="كاش اوت",
    IF(F143&lt;=100, 15, IF(F143&lt;=250, 20, IF(F143&lt;=500, 30, IF(F143&lt;=1000, 35, F143*0.035)))),
0)))</f>
        <v>0</v>
      </c>
      <c r="H143" s="159">
        <f>IF(I143="مخالفات",50,Basic34567[[#This Row],[قيمة الرسوم / العموله]]+Basic34567[[#This Row],[قيمة الشحنه]])</f>
        <v>0</v>
      </c>
      <c r="I143" s="90"/>
      <c r="J143" s="142" t="str">
        <f t="shared" si="2"/>
        <v>26.5.2026</v>
      </c>
      <c r="L143" s="153">
        <v>132</v>
      </c>
      <c r="M143" s="92"/>
    </row>
    <row r="144" spans="1:13" ht="21.6" x14ac:dyDescent="0.65">
      <c r="A144" s="195"/>
      <c r="B144" s="140">
        <v>141</v>
      </c>
      <c r="C144" s="2"/>
      <c r="D144" s="1"/>
      <c r="E144" s="3"/>
      <c r="F144" s="1"/>
      <c r="G144" s="141">
        <f>IF(Basic34567[[#This Row],[نوع الخدمة]]="مخالفات", 50,
IF(Basic34567[[#This Row],[نوع الخدمة]]="كاش ان",
    IF(F144&lt;=100, 18, IF(F144&lt;=250, 23, IF(F144&lt;=500, 35, IF(F144&lt;=1000, 40, F144*0.04)))),
IF(Basic34567[[#This Row],[نوع الخدمة]]="كاش اوت",
    IF(F144&lt;=100, 15, IF(F144&lt;=250, 20, IF(F144&lt;=500, 30, IF(F144&lt;=1000, 35, F144*0.035)))),
0)))</f>
        <v>0</v>
      </c>
      <c r="H144" s="159">
        <f>IF(I144="مخالفات",50,Basic34567[[#This Row],[قيمة الرسوم / العموله]]+Basic34567[[#This Row],[قيمة الشحنه]])</f>
        <v>0</v>
      </c>
      <c r="I144" s="90"/>
      <c r="J144" s="142" t="str">
        <f t="shared" si="2"/>
        <v>26.5.2026</v>
      </c>
      <c r="L144" s="153">
        <v>133</v>
      </c>
      <c r="M144" s="92"/>
    </row>
    <row r="145" spans="1:13" ht="21.6" x14ac:dyDescent="0.65">
      <c r="A145" s="195"/>
      <c r="B145" s="144">
        <v>142</v>
      </c>
      <c r="C145" s="2"/>
      <c r="D145" s="1"/>
      <c r="E145" s="3"/>
      <c r="F145" s="1"/>
      <c r="G145" s="141">
        <f>IF(Basic34567[[#This Row],[نوع الخدمة]]="مخالفات", 50,
IF(Basic34567[[#This Row],[نوع الخدمة]]="كاش ان",
    IF(F145&lt;=100, 18, IF(F145&lt;=250, 23, IF(F145&lt;=500, 35, IF(F145&lt;=1000, 40, F145*0.04)))),
IF(Basic34567[[#This Row],[نوع الخدمة]]="كاش اوت",
    IF(F145&lt;=100, 15, IF(F145&lt;=250, 20, IF(F145&lt;=500, 30, IF(F145&lt;=1000, 35, F145*0.035)))),
0)))</f>
        <v>0</v>
      </c>
      <c r="H145" s="159">
        <f>IF(I145="مخالفات",50,Basic34567[[#This Row],[قيمة الرسوم / العموله]]+Basic34567[[#This Row],[قيمة الشحنه]])</f>
        <v>0</v>
      </c>
      <c r="I145" s="90"/>
      <c r="J145" s="142" t="str">
        <f t="shared" si="2"/>
        <v>26.5.2026</v>
      </c>
      <c r="L145" s="153">
        <v>134</v>
      </c>
      <c r="M145" s="92"/>
    </row>
    <row r="146" spans="1:13" ht="21.6" x14ac:dyDescent="0.65">
      <c r="A146" s="195"/>
      <c r="B146" s="140">
        <v>143</v>
      </c>
      <c r="C146" s="2"/>
      <c r="D146" s="1"/>
      <c r="E146" s="3"/>
      <c r="F146" s="1"/>
      <c r="G146" s="141">
        <f>IF(Basic34567[[#This Row],[نوع الخدمة]]="مخالفات", 50,
IF(Basic34567[[#This Row],[نوع الخدمة]]="كاش ان",
    IF(F146&lt;=100, 18, IF(F146&lt;=250, 23, IF(F146&lt;=500, 35, IF(F146&lt;=1000, 40, F146*0.04)))),
IF(Basic34567[[#This Row],[نوع الخدمة]]="كاش اوت",
    IF(F146&lt;=100, 15, IF(F146&lt;=250, 20, IF(F146&lt;=500, 30, IF(F146&lt;=1000, 35, F146*0.035)))),
0)))</f>
        <v>0</v>
      </c>
      <c r="H146" s="159">
        <f>IF(I146="مخالفات",50,Basic34567[[#This Row],[قيمة الرسوم / العموله]]+Basic34567[[#This Row],[قيمة الشحنه]])</f>
        <v>0</v>
      </c>
      <c r="I146" s="90"/>
      <c r="J146" s="142" t="str">
        <f t="shared" si="2"/>
        <v>26.5.2026</v>
      </c>
      <c r="L146" s="153">
        <v>135</v>
      </c>
      <c r="M146" s="92"/>
    </row>
    <row r="147" spans="1:13" ht="21.6" x14ac:dyDescent="0.65">
      <c r="A147" s="195"/>
      <c r="B147" s="140">
        <v>144</v>
      </c>
      <c r="C147" s="2"/>
      <c r="D147" s="1"/>
      <c r="E147" s="3"/>
      <c r="F147" s="1"/>
      <c r="G147" s="141">
        <f>IF(Basic34567[[#This Row],[نوع الخدمة]]="مخالفات", 50,
IF(Basic34567[[#This Row],[نوع الخدمة]]="كاش ان",
    IF(F147&lt;=100, 18, IF(F147&lt;=250, 23, IF(F147&lt;=500, 35, IF(F147&lt;=1000, 40, F147*0.04)))),
IF(Basic34567[[#This Row],[نوع الخدمة]]="كاش اوت",
    IF(F147&lt;=100, 15, IF(F147&lt;=250, 20, IF(F147&lt;=500, 30, IF(F147&lt;=1000, 35, F147*0.035)))),
0)))</f>
        <v>0</v>
      </c>
      <c r="H147" s="159">
        <f>IF(I147="مخالفات",50,Basic34567[[#This Row],[قيمة الرسوم / العموله]]+Basic34567[[#This Row],[قيمة الشحنه]])</f>
        <v>0</v>
      </c>
      <c r="I147" s="90"/>
      <c r="J147" s="142" t="str">
        <f t="shared" si="2"/>
        <v>26.5.2026</v>
      </c>
      <c r="L147" s="153">
        <v>136</v>
      </c>
      <c r="M147" s="92"/>
    </row>
    <row r="148" spans="1:13" ht="21.6" x14ac:dyDescent="0.65">
      <c r="A148" s="195"/>
      <c r="B148" s="140">
        <v>145</v>
      </c>
      <c r="C148" s="2"/>
      <c r="D148" s="1"/>
      <c r="E148" s="3"/>
      <c r="F148" s="1"/>
      <c r="G148" s="141">
        <f>IF(Basic34567[[#This Row],[نوع الخدمة]]="مخالفات", 50,
IF(Basic34567[[#This Row],[نوع الخدمة]]="كاش ان",
    IF(F148&lt;=100, 18, IF(F148&lt;=250, 23, IF(F148&lt;=500, 35, IF(F148&lt;=1000, 40, F148*0.04)))),
IF(Basic34567[[#This Row],[نوع الخدمة]]="كاش اوت",
    IF(F148&lt;=100, 15, IF(F148&lt;=250, 20, IF(F148&lt;=500, 30, IF(F148&lt;=1000, 35, F148*0.035)))),
0)))</f>
        <v>0</v>
      </c>
      <c r="H148" s="159">
        <f>IF(I148="مخالفات",50,Basic34567[[#This Row],[قيمة الرسوم / العموله]]+Basic34567[[#This Row],[قيمة الشحنه]])</f>
        <v>0</v>
      </c>
      <c r="I148" s="90"/>
      <c r="J148" s="142" t="str">
        <f t="shared" si="2"/>
        <v>26.5.2026</v>
      </c>
      <c r="L148" s="153">
        <v>137</v>
      </c>
      <c r="M148" s="92"/>
    </row>
    <row r="149" spans="1:13" ht="21.6" x14ac:dyDescent="0.65">
      <c r="A149" s="195"/>
      <c r="B149" s="144">
        <v>146</v>
      </c>
      <c r="C149" s="2"/>
      <c r="D149" s="1"/>
      <c r="E149" s="3"/>
      <c r="F149" s="1"/>
      <c r="G149" s="141">
        <f>IF(Basic34567[[#This Row],[نوع الخدمة]]="مخالفات", 50,
IF(Basic34567[[#This Row],[نوع الخدمة]]="كاش ان",
    IF(F149&lt;=100, 18, IF(F149&lt;=250, 23, IF(F149&lt;=500, 35, IF(F149&lt;=1000, 40, F149*0.04)))),
IF(Basic34567[[#This Row],[نوع الخدمة]]="كاش اوت",
    IF(F149&lt;=100, 15, IF(F149&lt;=250, 20, IF(F149&lt;=500, 30, IF(F149&lt;=1000, 35, F149*0.035)))),
0)))</f>
        <v>0</v>
      </c>
      <c r="H149" s="159">
        <f>IF(I149="مخالفات",50,Basic34567[[#This Row],[قيمة الرسوم / العموله]]+Basic34567[[#This Row],[قيمة الشحنه]])</f>
        <v>0</v>
      </c>
      <c r="I149" s="90"/>
      <c r="J149" s="142" t="str">
        <f t="shared" si="2"/>
        <v>26.5.2026</v>
      </c>
      <c r="L149" s="153">
        <v>138</v>
      </c>
      <c r="M149" s="92"/>
    </row>
    <row r="150" spans="1:13" ht="21.6" x14ac:dyDescent="0.65">
      <c r="A150" s="195"/>
      <c r="B150" s="140">
        <v>147</v>
      </c>
      <c r="C150" s="2"/>
      <c r="D150" s="1"/>
      <c r="E150" s="3"/>
      <c r="F150" s="1"/>
      <c r="G150" s="141">
        <f>IF(Basic34567[[#This Row],[نوع الخدمة]]="مخالفات", 50,
IF(Basic34567[[#This Row],[نوع الخدمة]]="كاش ان",
    IF(F150&lt;=100, 18, IF(F150&lt;=250, 23, IF(F150&lt;=500, 35, IF(F150&lt;=1000, 40, F150*0.04)))),
IF(Basic34567[[#This Row],[نوع الخدمة]]="كاش اوت",
    IF(F150&lt;=100, 15, IF(F150&lt;=250, 20, IF(F150&lt;=500, 30, IF(F150&lt;=1000, 35, F150*0.035)))),
0)))</f>
        <v>0</v>
      </c>
      <c r="H150" s="159">
        <f>IF(I150="مخالفات",50,Basic34567[[#This Row],[قيمة الرسوم / العموله]]+Basic34567[[#This Row],[قيمة الشحنه]])</f>
        <v>0</v>
      </c>
      <c r="I150" s="90"/>
      <c r="J150" s="142" t="str">
        <f t="shared" si="2"/>
        <v>26.5.2026</v>
      </c>
      <c r="L150" s="153">
        <v>139</v>
      </c>
      <c r="M150" s="92"/>
    </row>
    <row r="151" spans="1:13" ht="21.6" x14ac:dyDescent="0.65">
      <c r="A151" s="195"/>
      <c r="B151" s="140">
        <v>148</v>
      </c>
      <c r="C151" s="2"/>
      <c r="D151" s="1"/>
      <c r="E151" s="3"/>
      <c r="F151" s="1"/>
      <c r="G151" s="141">
        <f>IF(Basic34567[[#This Row],[نوع الخدمة]]="مخالفات", 50,
IF(Basic34567[[#This Row],[نوع الخدمة]]="كاش ان",
    IF(F151&lt;=100, 18, IF(F151&lt;=250, 23, IF(F151&lt;=500, 35, IF(F151&lt;=1000, 40, F151*0.04)))),
IF(Basic34567[[#This Row],[نوع الخدمة]]="كاش اوت",
    IF(F151&lt;=100, 15, IF(F151&lt;=250, 20, IF(F151&lt;=500, 30, IF(F151&lt;=1000, 35, F151*0.035)))),
0)))</f>
        <v>0</v>
      </c>
      <c r="H151" s="159">
        <f>IF(I151="مخالفات",50,Basic34567[[#This Row],[قيمة الرسوم / العموله]]+Basic34567[[#This Row],[قيمة الشحنه]])</f>
        <v>0</v>
      </c>
      <c r="I151" s="90"/>
      <c r="J151" s="142" t="str">
        <f t="shared" si="2"/>
        <v>26.5.2026</v>
      </c>
      <c r="L151" s="153">
        <v>140</v>
      </c>
      <c r="M151" s="92"/>
    </row>
    <row r="152" spans="1:13" ht="21.6" x14ac:dyDescent="0.65">
      <c r="A152" s="195"/>
      <c r="B152" s="140">
        <v>149</v>
      </c>
      <c r="C152" s="2"/>
      <c r="D152" s="1"/>
      <c r="E152" s="3"/>
      <c r="F152" s="1"/>
      <c r="G152" s="141">
        <f>IF(Basic34567[[#This Row],[نوع الخدمة]]="مخالفات", 50,
IF(Basic34567[[#This Row],[نوع الخدمة]]="كاش ان",
    IF(F152&lt;=100, 18, IF(F152&lt;=250, 23, IF(F152&lt;=500, 35, IF(F152&lt;=1000, 40, F152*0.04)))),
IF(Basic34567[[#This Row],[نوع الخدمة]]="كاش اوت",
    IF(F152&lt;=100, 15, IF(F152&lt;=250, 20, IF(F152&lt;=500, 30, IF(F152&lt;=1000, 35, F152*0.035)))),
0)))</f>
        <v>0</v>
      </c>
      <c r="H152" s="159">
        <f>IF(I152="مخالفات",50,Basic34567[[#This Row],[قيمة الرسوم / العموله]]+Basic34567[[#This Row],[قيمة الشحنه]])</f>
        <v>0</v>
      </c>
      <c r="I152" s="90"/>
      <c r="J152" s="142" t="str">
        <f t="shared" si="2"/>
        <v>26.5.2026</v>
      </c>
      <c r="L152" s="153">
        <v>141</v>
      </c>
      <c r="M152" s="92"/>
    </row>
    <row r="153" spans="1:13" ht="21.6" x14ac:dyDescent="0.65">
      <c r="A153" s="195"/>
      <c r="B153" s="144">
        <v>150</v>
      </c>
      <c r="C153" s="2"/>
      <c r="D153" s="1"/>
      <c r="E153" s="3"/>
      <c r="F153" s="1"/>
      <c r="G153" s="141">
        <f>IF(Basic34567[[#This Row],[نوع الخدمة]]="مخالفات", 50,
IF(Basic34567[[#This Row],[نوع الخدمة]]="كاش ان",
    IF(F153&lt;=100, 18, IF(F153&lt;=250, 23, IF(F153&lt;=500, 35, IF(F153&lt;=1000, 40, F153*0.04)))),
IF(Basic34567[[#This Row],[نوع الخدمة]]="كاش اوت",
    IF(F153&lt;=100, 15, IF(F153&lt;=250, 20, IF(F153&lt;=500, 30, IF(F153&lt;=1000, 35, F153*0.035)))),
0)))</f>
        <v>0</v>
      </c>
      <c r="H153" s="159">
        <f>IF(I153="مخالفات",50,Basic34567[[#This Row],[قيمة الرسوم / العموله]]+Basic34567[[#This Row],[قيمة الشحنه]])</f>
        <v>0</v>
      </c>
      <c r="I153" s="90"/>
      <c r="J153" s="142" t="str">
        <f t="shared" si="2"/>
        <v>26.5.2026</v>
      </c>
      <c r="L153" s="153">
        <v>142</v>
      </c>
      <c r="M153" s="92"/>
    </row>
    <row r="154" spans="1:13" ht="21.6" x14ac:dyDescent="0.65">
      <c r="A154" s="195"/>
      <c r="B154" s="140">
        <v>151</v>
      </c>
      <c r="C154" s="2"/>
      <c r="D154" s="1"/>
      <c r="E154" s="3"/>
      <c r="F154" s="1"/>
      <c r="G154" s="141">
        <f>IF(Basic34567[[#This Row],[نوع الخدمة]]="مخالفات", 50,
IF(Basic34567[[#This Row],[نوع الخدمة]]="كاش ان",
    IF(F154&lt;=100, 18, IF(F154&lt;=250, 23, IF(F154&lt;=500, 35, IF(F154&lt;=1000, 40, F154*0.04)))),
IF(Basic34567[[#This Row],[نوع الخدمة]]="كاش اوت",
    IF(F154&lt;=100, 15, IF(F154&lt;=250, 20, IF(F154&lt;=500, 30, IF(F154&lt;=1000, 35, F154*0.035)))),
0)))</f>
        <v>0</v>
      </c>
      <c r="H154" s="159">
        <f>IF(I154="مخالفات",50,Basic34567[[#This Row],[قيمة الرسوم / العموله]]+Basic34567[[#This Row],[قيمة الشحنه]])</f>
        <v>0</v>
      </c>
      <c r="I154" s="90"/>
      <c r="J154" s="142" t="str">
        <f t="shared" si="2"/>
        <v>26.5.2026</v>
      </c>
      <c r="L154" s="153">
        <v>143</v>
      </c>
      <c r="M154" s="92"/>
    </row>
    <row r="155" spans="1:13" ht="21.6" x14ac:dyDescent="0.65">
      <c r="A155" s="195"/>
      <c r="B155" s="140">
        <v>152</v>
      </c>
      <c r="C155" s="2"/>
      <c r="D155" s="1"/>
      <c r="E155" s="3"/>
      <c r="F155" s="1"/>
      <c r="G155" s="141">
        <f>IF(Basic34567[[#This Row],[نوع الخدمة]]="مخالفات", 50,
IF(Basic34567[[#This Row],[نوع الخدمة]]="كاش ان",
    IF(F155&lt;=100, 18, IF(F155&lt;=250, 23, IF(F155&lt;=500, 35, IF(F155&lt;=1000, 40, F155*0.04)))),
IF(Basic34567[[#This Row],[نوع الخدمة]]="كاش اوت",
    IF(F155&lt;=100, 15, IF(F155&lt;=250, 20, IF(F155&lt;=500, 30, IF(F155&lt;=1000, 35, F155*0.035)))),
0)))</f>
        <v>0</v>
      </c>
      <c r="H155" s="159">
        <f>IF(I155="مخالفات",50,Basic34567[[#This Row],[قيمة الرسوم / العموله]]+Basic34567[[#This Row],[قيمة الشحنه]])</f>
        <v>0</v>
      </c>
      <c r="I155" s="90"/>
      <c r="J155" s="142" t="str">
        <f t="shared" si="2"/>
        <v>26.5.2026</v>
      </c>
      <c r="L155" s="153">
        <v>144</v>
      </c>
      <c r="M155" s="92"/>
    </row>
    <row r="156" spans="1:13" ht="21.6" x14ac:dyDescent="0.65">
      <c r="A156" s="195"/>
      <c r="B156" s="140">
        <v>153</v>
      </c>
      <c r="C156" s="2"/>
      <c r="D156" s="1"/>
      <c r="E156" s="3"/>
      <c r="F156" s="1"/>
      <c r="G156" s="141">
        <f>IF(Basic34567[[#This Row],[نوع الخدمة]]="مخالفات", 50,
IF(Basic34567[[#This Row],[نوع الخدمة]]="كاش ان",
    IF(F156&lt;=100, 18, IF(F156&lt;=250, 23, IF(F156&lt;=500, 35, IF(F156&lt;=1000, 40, F156*0.04)))),
IF(Basic34567[[#This Row],[نوع الخدمة]]="كاش اوت",
    IF(F156&lt;=100, 15, IF(F156&lt;=250, 20, IF(F156&lt;=500, 30, IF(F156&lt;=1000, 35, F156*0.035)))),
0)))</f>
        <v>0</v>
      </c>
      <c r="H156" s="159">
        <f>IF(I156="مخالفات",50,Basic34567[[#This Row],[قيمة الرسوم / العموله]]+Basic34567[[#This Row],[قيمة الشحنه]])</f>
        <v>0</v>
      </c>
      <c r="I156" s="90"/>
      <c r="J156" s="142" t="str">
        <f t="shared" si="2"/>
        <v>26.5.2026</v>
      </c>
      <c r="L156" s="153">
        <v>145</v>
      </c>
      <c r="M156" s="92"/>
    </row>
    <row r="157" spans="1:13" ht="21.6" x14ac:dyDescent="0.65">
      <c r="A157" s="195"/>
      <c r="B157" s="144">
        <v>154</v>
      </c>
      <c r="C157" s="2"/>
      <c r="D157" s="1"/>
      <c r="E157" s="3"/>
      <c r="F157" s="1"/>
      <c r="G157" s="141">
        <f>IF(Basic34567[[#This Row],[نوع الخدمة]]="مخالفات", 50,
IF(Basic34567[[#This Row],[نوع الخدمة]]="كاش ان",
    IF(F157&lt;=100, 18, IF(F157&lt;=250, 23, IF(F157&lt;=500, 35, IF(F157&lt;=1000, 40, F157*0.04)))),
IF(Basic34567[[#This Row],[نوع الخدمة]]="كاش اوت",
    IF(F157&lt;=100, 15, IF(F157&lt;=250, 20, IF(F157&lt;=500, 30, IF(F157&lt;=1000, 35, F157*0.035)))),
0)))</f>
        <v>0</v>
      </c>
      <c r="H157" s="159">
        <f>IF(I157="مخالفات",50,Basic34567[[#This Row],[قيمة الرسوم / العموله]]+Basic34567[[#This Row],[قيمة الشحنه]])</f>
        <v>0</v>
      </c>
      <c r="I157" s="90"/>
      <c r="J157" s="142" t="str">
        <f t="shared" si="2"/>
        <v>26.5.2026</v>
      </c>
      <c r="L157" s="153">
        <v>146</v>
      </c>
      <c r="M157" s="92"/>
    </row>
    <row r="158" spans="1:13" ht="21.6" x14ac:dyDescent="0.65">
      <c r="A158" s="195"/>
      <c r="B158" s="140">
        <v>155</v>
      </c>
      <c r="C158" s="2"/>
      <c r="D158" s="1"/>
      <c r="E158" s="3"/>
      <c r="F158" s="1"/>
      <c r="G158" s="141">
        <f>IF(Basic34567[[#This Row],[نوع الخدمة]]="مخالفات", 50,
IF(Basic34567[[#This Row],[نوع الخدمة]]="كاش ان",
    IF(F158&lt;=100, 18, IF(F158&lt;=250, 23, IF(F158&lt;=500, 35, IF(F158&lt;=1000, 40, F158*0.04)))),
IF(Basic34567[[#This Row],[نوع الخدمة]]="كاش اوت",
    IF(F158&lt;=100, 15, IF(F158&lt;=250, 20, IF(F158&lt;=500, 30, IF(F158&lt;=1000, 35, F158*0.035)))),
0)))</f>
        <v>0</v>
      </c>
      <c r="H158" s="159">
        <f>IF(I158="مخالفات",50,Basic34567[[#This Row],[قيمة الرسوم / العموله]]+Basic34567[[#This Row],[قيمة الشحنه]])</f>
        <v>0</v>
      </c>
      <c r="I158" s="90"/>
      <c r="J158" s="142" t="str">
        <f t="shared" si="2"/>
        <v>26.5.2026</v>
      </c>
      <c r="L158" s="153">
        <v>147</v>
      </c>
      <c r="M158" s="92"/>
    </row>
    <row r="159" spans="1:13" ht="21.6" x14ac:dyDescent="0.65">
      <c r="A159" s="195"/>
      <c r="B159" s="140">
        <v>156</v>
      </c>
      <c r="C159" s="2"/>
      <c r="D159" s="1"/>
      <c r="E159" s="3"/>
      <c r="F159" s="1"/>
      <c r="G159" s="141">
        <f>IF(Basic34567[[#This Row],[نوع الخدمة]]="مخالفات", 50,
IF(Basic34567[[#This Row],[نوع الخدمة]]="كاش ان",
    IF(F159&lt;=100, 18, IF(F159&lt;=250, 23, IF(F159&lt;=500, 35, IF(F159&lt;=1000, 40, F159*0.04)))),
IF(Basic34567[[#This Row],[نوع الخدمة]]="كاش اوت",
    IF(F159&lt;=100, 15, IF(F159&lt;=250, 20, IF(F159&lt;=500, 30, IF(F159&lt;=1000, 35, F159*0.035)))),
0)))</f>
        <v>0</v>
      </c>
      <c r="H159" s="159">
        <f>IF(I159="مخالفات",50,Basic34567[[#This Row],[قيمة الرسوم / العموله]]+Basic34567[[#This Row],[قيمة الشحنه]])</f>
        <v>0</v>
      </c>
      <c r="I159" s="90"/>
      <c r="J159" s="142" t="str">
        <f t="shared" si="2"/>
        <v>26.5.2026</v>
      </c>
      <c r="L159" s="153">
        <v>148</v>
      </c>
      <c r="M159" s="92"/>
    </row>
    <row r="160" spans="1:13" ht="21.6" x14ac:dyDescent="0.65">
      <c r="A160" s="195"/>
      <c r="B160" s="140">
        <v>157</v>
      </c>
      <c r="C160" s="2"/>
      <c r="D160" s="1"/>
      <c r="E160" s="3"/>
      <c r="F160" s="1"/>
      <c r="G160" s="141">
        <f>IF(Basic34567[[#This Row],[نوع الخدمة]]="مخالفات", 50,
IF(Basic34567[[#This Row],[نوع الخدمة]]="كاش ان",
    IF(F160&lt;=100, 18, IF(F160&lt;=250, 23, IF(F160&lt;=500, 35, IF(F160&lt;=1000, 40, F160*0.04)))),
IF(Basic34567[[#This Row],[نوع الخدمة]]="كاش اوت",
    IF(F160&lt;=100, 15, IF(F160&lt;=250, 20, IF(F160&lt;=500, 30, IF(F160&lt;=1000, 35, F160*0.035)))),
0)))</f>
        <v>0</v>
      </c>
      <c r="H160" s="159">
        <f>IF(I160="مخالفات",50,Basic34567[[#This Row],[قيمة الرسوم / العموله]]+Basic34567[[#This Row],[قيمة الشحنه]])</f>
        <v>0</v>
      </c>
      <c r="I160" s="90"/>
      <c r="J160" s="142" t="str">
        <f t="shared" si="2"/>
        <v>26.5.2026</v>
      </c>
      <c r="L160" s="153">
        <v>149</v>
      </c>
      <c r="M160" s="92"/>
    </row>
    <row r="161" spans="1:13" ht="21.6" x14ac:dyDescent="0.65">
      <c r="A161" s="195"/>
      <c r="B161" s="144">
        <v>158</v>
      </c>
      <c r="C161" s="2"/>
      <c r="D161" s="1"/>
      <c r="E161" s="3"/>
      <c r="F161" s="1"/>
      <c r="G161" s="141">
        <f>IF(Basic34567[[#This Row],[نوع الخدمة]]="مخالفات", 50,
IF(Basic34567[[#This Row],[نوع الخدمة]]="كاش ان",
    IF(F161&lt;=100, 18, IF(F161&lt;=250, 23, IF(F161&lt;=500, 35, IF(F161&lt;=1000, 40, F161*0.04)))),
IF(Basic34567[[#This Row],[نوع الخدمة]]="كاش اوت",
    IF(F161&lt;=100, 15, IF(F161&lt;=250, 20, IF(F161&lt;=500, 30, IF(F161&lt;=1000, 35, F161*0.035)))),
0)))</f>
        <v>0</v>
      </c>
      <c r="H161" s="159">
        <f>IF(I161="مخالفات",50,Basic34567[[#This Row],[قيمة الرسوم / العموله]]+Basic34567[[#This Row],[قيمة الشحنه]])</f>
        <v>0</v>
      </c>
      <c r="I161" s="90"/>
      <c r="J161" s="142" t="str">
        <f t="shared" si="2"/>
        <v>26.5.2026</v>
      </c>
      <c r="L161" s="153">
        <v>150</v>
      </c>
      <c r="M161" s="92"/>
    </row>
    <row r="162" spans="1:13" ht="21.6" x14ac:dyDescent="0.65">
      <c r="A162" s="195"/>
      <c r="B162" s="140">
        <v>159</v>
      </c>
      <c r="C162" s="2"/>
      <c r="D162" s="1"/>
      <c r="E162" s="3"/>
      <c r="F162" s="1"/>
      <c r="G162" s="141">
        <f>IF(Basic34567[[#This Row],[نوع الخدمة]]="مخالفات", 50,
IF(Basic34567[[#This Row],[نوع الخدمة]]="كاش ان",
    IF(F162&lt;=100, 18, IF(F162&lt;=250, 23, IF(F162&lt;=500, 35, IF(F162&lt;=1000, 40, F162*0.04)))),
IF(Basic34567[[#This Row],[نوع الخدمة]]="كاش اوت",
    IF(F162&lt;=100, 15, IF(F162&lt;=250, 20, IF(F162&lt;=500, 30, IF(F162&lt;=1000, 35, F162*0.035)))),
0)))</f>
        <v>0</v>
      </c>
      <c r="H162" s="159">
        <f>IF(I162="مخالفات",50,Basic34567[[#This Row],[قيمة الرسوم / العموله]]+Basic34567[[#This Row],[قيمة الشحنه]])</f>
        <v>0</v>
      </c>
      <c r="I162" s="90"/>
      <c r="J162" s="142" t="str">
        <f t="shared" si="2"/>
        <v>26.5.2026</v>
      </c>
      <c r="L162" s="153">
        <v>151</v>
      </c>
      <c r="M162" s="92"/>
    </row>
    <row r="163" spans="1:13" ht="21.6" x14ac:dyDescent="0.65">
      <c r="A163" s="195"/>
      <c r="B163" s="140">
        <v>160</v>
      </c>
      <c r="C163" s="2"/>
      <c r="D163" s="1"/>
      <c r="E163" s="3"/>
      <c r="F163" s="1"/>
      <c r="G163" s="141">
        <f>IF(Basic34567[[#This Row],[نوع الخدمة]]="مخالفات", 50,
IF(Basic34567[[#This Row],[نوع الخدمة]]="كاش ان",
    IF(F163&lt;=100, 18, IF(F163&lt;=250, 23, IF(F163&lt;=500, 35, IF(F163&lt;=1000, 40, F163*0.04)))),
IF(Basic34567[[#This Row],[نوع الخدمة]]="كاش اوت",
    IF(F163&lt;=100, 15, IF(F163&lt;=250, 20, IF(F163&lt;=500, 30, IF(F163&lt;=1000, 35, F163*0.035)))),
0)))</f>
        <v>0</v>
      </c>
      <c r="H163" s="159">
        <f>IF(I163="مخالفات",50,Basic34567[[#This Row],[قيمة الرسوم / العموله]]+Basic34567[[#This Row],[قيمة الشحنه]])</f>
        <v>0</v>
      </c>
      <c r="I163" s="90"/>
      <c r="J163" s="142" t="str">
        <f t="shared" si="2"/>
        <v>26.5.2026</v>
      </c>
      <c r="L163" s="153">
        <v>152</v>
      </c>
      <c r="M163" s="92"/>
    </row>
    <row r="164" spans="1:13" ht="21.6" x14ac:dyDescent="0.65">
      <c r="A164" s="195"/>
      <c r="B164" s="140">
        <v>161</v>
      </c>
      <c r="C164" s="2"/>
      <c r="D164" s="1"/>
      <c r="E164" s="3"/>
      <c r="F164" s="1"/>
      <c r="G164" s="141">
        <f>IF(Basic34567[[#This Row],[نوع الخدمة]]="مخالفات", 50,
IF(Basic34567[[#This Row],[نوع الخدمة]]="كاش ان",
    IF(F164&lt;=100, 18, IF(F164&lt;=250, 23, IF(F164&lt;=500, 35, IF(F164&lt;=1000, 40, F164*0.04)))),
IF(Basic34567[[#This Row],[نوع الخدمة]]="كاش اوت",
    IF(F164&lt;=100, 15, IF(F164&lt;=250, 20, IF(F164&lt;=500, 30, IF(F164&lt;=1000, 35, F164*0.035)))),
0)))</f>
        <v>0</v>
      </c>
      <c r="H164" s="159">
        <f>IF(I164="مخالفات",50,Basic34567[[#This Row],[قيمة الرسوم / العموله]]+Basic34567[[#This Row],[قيمة الشحنه]])</f>
        <v>0</v>
      </c>
      <c r="I164" s="90"/>
      <c r="J164" s="142" t="str">
        <f t="shared" si="2"/>
        <v>26.5.2026</v>
      </c>
      <c r="L164" s="153">
        <v>153</v>
      </c>
      <c r="M164" s="92"/>
    </row>
    <row r="165" spans="1:13" ht="21.6" x14ac:dyDescent="0.65">
      <c r="A165" s="195"/>
      <c r="B165" s="144">
        <v>162</v>
      </c>
      <c r="C165" s="2"/>
      <c r="D165" s="1"/>
      <c r="E165" s="3"/>
      <c r="F165" s="1"/>
      <c r="G165" s="141">
        <f>IF(Basic34567[[#This Row],[نوع الخدمة]]="مخالفات", 50,
IF(Basic34567[[#This Row],[نوع الخدمة]]="كاش ان",
    IF(F165&lt;=100, 18, IF(F165&lt;=250, 23, IF(F165&lt;=500, 35, IF(F165&lt;=1000, 40, F165*0.04)))),
IF(Basic34567[[#This Row],[نوع الخدمة]]="كاش اوت",
    IF(F165&lt;=100, 15, IF(F165&lt;=250, 20, IF(F165&lt;=500, 30, IF(F165&lt;=1000, 35, F165*0.035)))),
0)))</f>
        <v>0</v>
      </c>
      <c r="H165" s="159">
        <f>IF(I165="مخالفات",50,Basic34567[[#This Row],[قيمة الرسوم / العموله]]+Basic34567[[#This Row],[قيمة الشحنه]])</f>
        <v>0</v>
      </c>
      <c r="I165" s="90"/>
      <c r="J165" s="142" t="str">
        <f t="shared" si="2"/>
        <v>26.5.2026</v>
      </c>
      <c r="L165" s="153">
        <v>154</v>
      </c>
      <c r="M165" s="92"/>
    </row>
    <row r="166" spans="1:13" ht="21.6" x14ac:dyDescent="0.65">
      <c r="A166" s="195"/>
      <c r="B166" s="140">
        <v>163</v>
      </c>
      <c r="C166" s="2"/>
      <c r="D166" s="1"/>
      <c r="E166" s="3"/>
      <c r="F166" s="1"/>
      <c r="G166" s="141">
        <f>IF(Basic34567[[#This Row],[نوع الخدمة]]="مخالفات", 50,
IF(Basic34567[[#This Row],[نوع الخدمة]]="كاش ان",
    IF(F166&lt;=100, 18, IF(F166&lt;=250, 23, IF(F166&lt;=500, 35, IF(F166&lt;=1000, 40, F166*0.04)))),
IF(Basic34567[[#This Row],[نوع الخدمة]]="كاش اوت",
    IF(F166&lt;=100, 15, IF(F166&lt;=250, 20, IF(F166&lt;=500, 30, IF(F166&lt;=1000, 35, F166*0.035)))),
0)))</f>
        <v>0</v>
      </c>
      <c r="H166" s="159">
        <f>IF(I166="مخالفات",50,Basic34567[[#This Row],[قيمة الرسوم / العموله]]+Basic34567[[#This Row],[قيمة الشحنه]])</f>
        <v>0</v>
      </c>
      <c r="I166" s="90"/>
      <c r="J166" s="142" t="str">
        <f t="shared" si="2"/>
        <v>26.5.2026</v>
      </c>
      <c r="L166" s="153">
        <v>155</v>
      </c>
      <c r="M166" s="92"/>
    </row>
    <row r="167" spans="1:13" ht="21.6" x14ac:dyDescent="0.65">
      <c r="A167" s="195"/>
      <c r="B167" s="140">
        <v>164</v>
      </c>
      <c r="C167" s="2"/>
      <c r="D167" s="1"/>
      <c r="E167" s="3"/>
      <c r="F167" s="1"/>
      <c r="G167" s="141">
        <f>IF(Basic34567[[#This Row],[نوع الخدمة]]="مخالفات", 50,
IF(Basic34567[[#This Row],[نوع الخدمة]]="كاش ان",
    IF(F167&lt;=100, 18, IF(F167&lt;=250, 23, IF(F167&lt;=500, 35, IF(F167&lt;=1000, 40, F167*0.04)))),
IF(Basic34567[[#This Row],[نوع الخدمة]]="كاش اوت",
    IF(F167&lt;=100, 15, IF(F167&lt;=250, 20, IF(F167&lt;=500, 30, IF(F167&lt;=1000, 35, F167*0.035)))),
0)))</f>
        <v>0</v>
      </c>
      <c r="H167" s="159">
        <f>IF(I167="مخالفات",50,Basic34567[[#This Row],[قيمة الرسوم / العموله]]+Basic34567[[#This Row],[قيمة الشحنه]])</f>
        <v>0</v>
      </c>
      <c r="I167" s="90"/>
      <c r="J167" s="142" t="str">
        <f t="shared" si="2"/>
        <v>26.5.2026</v>
      </c>
      <c r="L167" s="153">
        <v>156</v>
      </c>
      <c r="M167" s="92"/>
    </row>
    <row r="168" spans="1:13" ht="21.6" x14ac:dyDescent="0.65">
      <c r="A168" s="195"/>
      <c r="B168" s="140">
        <v>165</v>
      </c>
      <c r="C168" s="2"/>
      <c r="D168" s="1"/>
      <c r="E168" s="3"/>
      <c r="F168" s="1"/>
      <c r="G168" s="141">
        <f>IF(Basic34567[[#This Row],[نوع الخدمة]]="مخالفات", 50,
IF(Basic34567[[#This Row],[نوع الخدمة]]="كاش ان",
    IF(F168&lt;=100, 18, IF(F168&lt;=250, 23, IF(F168&lt;=500, 35, IF(F168&lt;=1000, 40, F168*0.04)))),
IF(Basic34567[[#This Row],[نوع الخدمة]]="كاش اوت",
    IF(F168&lt;=100, 15, IF(F168&lt;=250, 20, IF(F168&lt;=500, 30, IF(F168&lt;=1000, 35, F168*0.035)))),
0)))</f>
        <v>0</v>
      </c>
      <c r="H168" s="159">
        <f>IF(I168="مخالفات",50,Basic34567[[#This Row],[قيمة الرسوم / العموله]]+Basic34567[[#This Row],[قيمة الشحنه]])</f>
        <v>0</v>
      </c>
      <c r="I168" s="90"/>
      <c r="J168" s="142" t="str">
        <f t="shared" si="2"/>
        <v>26.5.2026</v>
      </c>
      <c r="L168" s="153">
        <v>157</v>
      </c>
      <c r="M168" s="92"/>
    </row>
    <row r="169" spans="1:13" ht="21.6" x14ac:dyDescent="0.65">
      <c r="A169" s="195"/>
      <c r="B169" s="144">
        <v>166</v>
      </c>
      <c r="C169" s="2"/>
      <c r="D169" s="1"/>
      <c r="E169" s="3"/>
      <c r="F169" s="1"/>
      <c r="G169" s="141">
        <f>IF(Basic34567[[#This Row],[نوع الخدمة]]="مخالفات", 50,
IF(Basic34567[[#This Row],[نوع الخدمة]]="كاش ان",
    IF(F169&lt;=100, 18, IF(F169&lt;=250, 23, IF(F169&lt;=500, 35, IF(F169&lt;=1000, 40, F169*0.04)))),
IF(Basic34567[[#This Row],[نوع الخدمة]]="كاش اوت",
    IF(F169&lt;=100, 15, IF(F169&lt;=250, 20, IF(F169&lt;=500, 30, IF(F169&lt;=1000, 35, F169*0.035)))),
0)))</f>
        <v>0</v>
      </c>
      <c r="H169" s="159">
        <f>IF(I169="مخالفات",50,Basic34567[[#This Row],[قيمة الرسوم / العموله]]+Basic34567[[#This Row],[قيمة الشحنه]])</f>
        <v>0</v>
      </c>
      <c r="I169" s="90"/>
      <c r="J169" s="142" t="str">
        <f t="shared" si="2"/>
        <v>26.5.2026</v>
      </c>
      <c r="L169" s="153">
        <v>158</v>
      </c>
      <c r="M169" s="92"/>
    </row>
    <row r="170" spans="1:13" ht="21.6" x14ac:dyDescent="0.65">
      <c r="A170" s="195"/>
      <c r="B170" s="140">
        <v>167</v>
      </c>
      <c r="C170" s="2"/>
      <c r="D170" s="1"/>
      <c r="E170" s="3"/>
      <c r="F170" s="1"/>
      <c r="G170" s="141">
        <f>IF(Basic34567[[#This Row],[نوع الخدمة]]="مخالفات", 50,
IF(Basic34567[[#This Row],[نوع الخدمة]]="كاش ان",
    IF(F170&lt;=100, 18, IF(F170&lt;=250, 23, IF(F170&lt;=500, 35, IF(F170&lt;=1000, 40, F170*0.04)))),
IF(Basic34567[[#This Row],[نوع الخدمة]]="كاش اوت",
    IF(F170&lt;=100, 15, IF(F170&lt;=250, 20, IF(F170&lt;=500, 30, IF(F170&lt;=1000, 35, F170*0.035)))),
0)))</f>
        <v>0</v>
      </c>
      <c r="H170" s="159">
        <f>IF(I170="مخالفات",50,Basic34567[[#This Row],[قيمة الرسوم / العموله]]+Basic34567[[#This Row],[قيمة الشحنه]])</f>
        <v>0</v>
      </c>
      <c r="I170" s="90"/>
      <c r="J170" s="142" t="str">
        <f t="shared" si="2"/>
        <v>26.5.2026</v>
      </c>
      <c r="L170" s="153">
        <v>159</v>
      </c>
      <c r="M170" s="92"/>
    </row>
    <row r="171" spans="1:13" ht="21.6" x14ac:dyDescent="0.65">
      <c r="A171" s="195"/>
      <c r="B171" s="140">
        <v>168</v>
      </c>
      <c r="C171" s="2"/>
      <c r="D171" s="1"/>
      <c r="E171" s="3"/>
      <c r="F171" s="1"/>
      <c r="G171" s="141">
        <f>IF(Basic34567[[#This Row],[نوع الخدمة]]="مخالفات", 50,
IF(Basic34567[[#This Row],[نوع الخدمة]]="كاش ان",
    IF(F171&lt;=100, 18, IF(F171&lt;=250, 23, IF(F171&lt;=500, 35, IF(F171&lt;=1000, 40, F171*0.04)))),
IF(Basic34567[[#This Row],[نوع الخدمة]]="كاش اوت",
    IF(F171&lt;=100, 15, IF(F171&lt;=250, 20, IF(F171&lt;=500, 30, IF(F171&lt;=1000, 35, F171*0.035)))),
0)))</f>
        <v>0</v>
      </c>
      <c r="H171" s="159">
        <f>IF(I171="مخالفات",50,Basic34567[[#This Row],[قيمة الرسوم / العموله]]+Basic34567[[#This Row],[قيمة الشحنه]])</f>
        <v>0</v>
      </c>
      <c r="I171" s="90"/>
      <c r="J171" s="142" t="str">
        <f t="shared" si="2"/>
        <v>26.5.2026</v>
      </c>
      <c r="L171" s="153">
        <v>160</v>
      </c>
      <c r="M171" s="92"/>
    </row>
    <row r="172" spans="1:13" ht="21.6" x14ac:dyDescent="0.65">
      <c r="A172" s="195"/>
      <c r="B172" s="140">
        <v>169</v>
      </c>
      <c r="C172" s="2"/>
      <c r="D172" s="1"/>
      <c r="E172" s="3"/>
      <c r="F172" s="1"/>
      <c r="G172" s="141">
        <f>IF(Basic34567[[#This Row],[نوع الخدمة]]="مخالفات", 50,
IF(Basic34567[[#This Row],[نوع الخدمة]]="كاش ان",
    IF(F172&lt;=100, 18, IF(F172&lt;=250, 23, IF(F172&lt;=500, 35, IF(F172&lt;=1000, 40, F172*0.04)))),
IF(Basic34567[[#This Row],[نوع الخدمة]]="كاش اوت",
    IF(F172&lt;=100, 15, IF(F172&lt;=250, 20, IF(F172&lt;=500, 30, IF(F172&lt;=1000, 35, F172*0.035)))),
0)))</f>
        <v>0</v>
      </c>
      <c r="H172" s="159">
        <f>IF(I172="مخالفات",50,Basic34567[[#This Row],[قيمة الرسوم / العموله]]+Basic34567[[#This Row],[قيمة الشحنه]])</f>
        <v>0</v>
      </c>
      <c r="I172" s="90"/>
      <c r="J172" s="142" t="str">
        <f t="shared" si="2"/>
        <v>26.5.2026</v>
      </c>
      <c r="L172" s="153">
        <v>161</v>
      </c>
      <c r="M172" s="92"/>
    </row>
    <row r="173" spans="1:13" ht="21.6" x14ac:dyDescent="0.65">
      <c r="A173" s="195"/>
      <c r="B173" s="144">
        <v>170</v>
      </c>
      <c r="C173" s="2"/>
      <c r="D173" s="1"/>
      <c r="E173" s="3"/>
      <c r="F173" s="1"/>
      <c r="G173" s="141">
        <f>IF(Basic34567[[#This Row],[نوع الخدمة]]="مخالفات", 50,
IF(Basic34567[[#This Row],[نوع الخدمة]]="كاش ان",
    IF(F173&lt;=100, 18, IF(F173&lt;=250, 23, IF(F173&lt;=500, 35, IF(F173&lt;=1000, 40, F173*0.04)))),
IF(Basic34567[[#This Row],[نوع الخدمة]]="كاش اوت",
    IF(F173&lt;=100, 15, IF(F173&lt;=250, 20, IF(F173&lt;=500, 30, IF(F173&lt;=1000, 35, F173*0.035)))),
0)))</f>
        <v>0</v>
      </c>
      <c r="H173" s="159">
        <f>IF(I173="مخالفات",50,Basic34567[[#This Row],[قيمة الرسوم / العموله]]+Basic34567[[#This Row],[قيمة الشحنه]])</f>
        <v>0</v>
      </c>
      <c r="I173" s="90"/>
      <c r="J173" s="142" t="str">
        <f t="shared" si="2"/>
        <v>26.5.2026</v>
      </c>
      <c r="L173" s="153">
        <v>162</v>
      </c>
      <c r="M173" s="92"/>
    </row>
    <row r="174" spans="1:13" ht="21.6" x14ac:dyDescent="0.65">
      <c r="A174" s="195"/>
      <c r="B174" s="140">
        <v>171</v>
      </c>
      <c r="C174" s="2"/>
      <c r="D174" s="1"/>
      <c r="E174" s="3"/>
      <c r="F174" s="1"/>
      <c r="G174" s="141">
        <f>IF(Basic34567[[#This Row],[نوع الخدمة]]="مخالفات", 50,
IF(Basic34567[[#This Row],[نوع الخدمة]]="كاش ان",
    IF(F174&lt;=100, 18, IF(F174&lt;=250, 23, IF(F174&lt;=500, 35, IF(F174&lt;=1000, 40, F174*0.04)))),
IF(Basic34567[[#This Row],[نوع الخدمة]]="كاش اوت",
    IF(F174&lt;=100, 15, IF(F174&lt;=250, 20, IF(F174&lt;=500, 30, IF(F174&lt;=1000, 35, F174*0.035)))),
0)))</f>
        <v>0</v>
      </c>
      <c r="H174" s="159">
        <f>IF(I174="مخالفات",50,Basic34567[[#This Row],[قيمة الرسوم / العموله]]+Basic34567[[#This Row],[قيمة الشحنه]])</f>
        <v>0</v>
      </c>
      <c r="I174" s="90"/>
      <c r="J174" s="142" t="str">
        <f t="shared" si="2"/>
        <v>26.5.2026</v>
      </c>
      <c r="L174" s="153">
        <v>163</v>
      </c>
      <c r="M174" s="92"/>
    </row>
    <row r="175" spans="1:13" ht="21.6" x14ac:dyDescent="0.65">
      <c r="A175" s="195"/>
      <c r="B175" s="140">
        <v>172</v>
      </c>
      <c r="C175" s="2"/>
      <c r="D175" s="1"/>
      <c r="E175" s="3"/>
      <c r="F175" s="1"/>
      <c r="G175" s="141">
        <f>IF(Basic34567[[#This Row],[نوع الخدمة]]="مخالفات", 50,
IF(Basic34567[[#This Row],[نوع الخدمة]]="كاش ان",
    IF(F175&lt;=100, 18, IF(F175&lt;=250, 23, IF(F175&lt;=500, 35, IF(F175&lt;=1000, 40, F175*0.04)))),
IF(Basic34567[[#This Row],[نوع الخدمة]]="كاش اوت",
    IF(F175&lt;=100, 15, IF(F175&lt;=250, 20, IF(F175&lt;=500, 30, IF(F175&lt;=1000, 35, F175*0.035)))),
0)))</f>
        <v>0</v>
      </c>
      <c r="H175" s="159">
        <f>IF(I175="مخالفات",50,Basic34567[[#This Row],[قيمة الرسوم / العموله]]+Basic34567[[#This Row],[قيمة الشحنه]])</f>
        <v>0</v>
      </c>
      <c r="I175" s="90"/>
      <c r="J175" s="142" t="str">
        <f t="shared" si="2"/>
        <v>26.5.2026</v>
      </c>
      <c r="L175" s="153">
        <v>164</v>
      </c>
      <c r="M175" s="92"/>
    </row>
    <row r="176" spans="1:13" ht="21.6" x14ac:dyDescent="0.65">
      <c r="A176" s="195"/>
      <c r="B176" s="140">
        <v>173</v>
      </c>
      <c r="C176" s="2"/>
      <c r="D176" s="1"/>
      <c r="E176" s="3"/>
      <c r="F176" s="1"/>
      <c r="G176" s="141">
        <f>IF(Basic34567[[#This Row],[نوع الخدمة]]="مخالفات", 50,
IF(Basic34567[[#This Row],[نوع الخدمة]]="كاش ان",
    IF(F176&lt;=100, 18, IF(F176&lt;=250, 23, IF(F176&lt;=500, 35, IF(F176&lt;=1000, 40, F176*0.04)))),
IF(Basic34567[[#This Row],[نوع الخدمة]]="كاش اوت",
    IF(F176&lt;=100, 15, IF(F176&lt;=250, 20, IF(F176&lt;=500, 30, IF(F176&lt;=1000, 35, F176*0.035)))),
0)))</f>
        <v>0</v>
      </c>
      <c r="H176" s="159">
        <f>IF(I176="مخالفات",50,Basic34567[[#This Row],[قيمة الرسوم / العموله]]+Basic34567[[#This Row],[قيمة الشحنه]])</f>
        <v>0</v>
      </c>
      <c r="I176" s="90"/>
      <c r="J176" s="142" t="str">
        <f t="shared" si="2"/>
        <v>26.5.2026</v>
      </c>
      <c r="L176" s="153">
        <v>165</v>
      </c>
      <c r="M176" s="92"/>
    </row>
    <row r="177" spans="1:13" ht="21.6" x14ac:dyDescent="0.65">
      <c r="A177" s="195"/>
      <c r="B177" s="144">
        <v>174</v>
      </c>
      <c r="C177" s="2"/>
      <c r="D177" s="1"/>
      <c r="E177" s="3"/>
      <c r="F177" s="1"/>
      <c r="G177" s="141">
        <f>IF(Basic34567[[#This Row],[نوع الخدمة]]="مخالفات", 50,
IF(Basic34567[[#This Row],[نوع الخدمة]]="كاش ان",
    IF(F177&lt;=100, 18, IF(F177&lt;=250, 23, IF(F177&lt;=500, 35, IF(F177&lt;=1000, 40, F177*0.04)))),
IF(Basic34567[[#This Row],[نوع الخدمة]]="كاش اوت",
    IF(F177&lt;=100, 15, IF(F177&lt;=250, 20, IF(F177&lt;=500, 30, IF(F177&lt;=1000, 35, F177*0.035)))),
0)))</f>
        <v>0</v>
      </c>
      <c r="H177" s="159">
        <f>IF(I177="مخالفات",50,Basic34567[[#This Row],[قيمة الرسوم / العموله]]+Basic34567[[#This Row],[قيمة الشحنه]])</f>
        <v>0</v>
      </c>
      <c r="I177" s="90"/>
      <c r="J177" s="142" t="str">
        <f t="shared" si="2"/>
        <v>26.5.2026</v>
      </c>
      <c r="L177" s="153">
        <v>166</v>
      </c>
      <c r="M177" s="92"/>
    </row>
    <row r="178" spans="1:13" ht="21.6" x14ac:dyDescent="0.65">
      <c r="A178" s="195"/>
      <c r="B178" s="140">
        <v>175</v>
      </c>
      <c r="C178" s="2"/>
      <c r="D178" s="1"/>
      <c r="E178" s="3"/>
      <c r="F178" s="1"/>
      <c r="G178" s="141">
        <f>IF(Basic34567[[#This Row],[نوع الخدمة]]="مخالفات", 50,
IF(Basic34567[[#This Row],[نوع الخدمة]]="كاش ان",
    IF(F178&lt;=100, 18, IF(F178&lt;=250, 23, IF(F178&lt;=500, 35, IF(F178&lt;=1000, 40, F178*0.04)))),
IF(Basic34567[[#This Row],[نوع الخدمة]]="كاش اوت",
    IF(F178&lt;=100, 15, IF(F178&lt;=250, 20, IF(F178&lt;=500, 30, IF(F178&lt;=1000, 35, F178*0.035)))),
0)))</f>
        <v>0</v>
      </c>
      <c r="H178" s="159">
        <f>IF(I178="مخالفات",50,Basic34567[[#This Row],[قيمة الرسوم / العموله]]+Basic34567[[#This Row],[قيمة الشحنه]])</f>
        <v>0</v>
      </c>
      <c r="I178" s="90"/>
      <c r="J178" s="142" t="str">
        <f t="shared" si="2"/>
        <v>26.5.2026</v>
      </c>
      <c r="L178" s="153">
        <v>167</v>
      </c>
      <c r="M178" s="92"/>
    </row>
    <row r="179" spans="1:13" ht="21.6" x14ac:dyDescent="0.65">
      <c r="A179" s="195"/>
      <c r="B179" s="140">
        <v>176</v>
      </c>
      <c r="C179" s="2"/>
      <c r="D179" s="1"/>
      <c r="E179" s="3"/>
      <c r="F179" s="1"/>
      <c r="G179" s="141">
        <f>IF(Basic34567[[#This Row],[نوع الخدمة]]="مخالفات", 50,
IF(Basic34567[[#This Row],[نوع الخدمة]]="كاش ان",
    IF(F179&lt;=100, 18, IF(F179&lt;=250, 23, IF(F179&lt;=500, 35, IF(F179&lt;=1000, 40, F179*0.04)))),
IF(Basic34567[[#This Row],[نوع الخدمة]]="كاش اوت",
    IF(F179&lt;=100, 15, IF(F179&lt;=250, 20, IF(F179&lt;=500, 30, IF(F179&lt;=1000, 35, F179*0.035)))),
0)))</f>
        <v>0</v>
      </c>
      <c r="H179" s="159">
        <f>IF(I179="مخالفات",50,Basic34567[[#This Row],[قيمة الرسوم / العموله]]+Basic34567[[#This Row],[قيمة الشحنه]])</f>
        <v>0</v>
      </c>
      <c r="I179" s="90"/>
      <c r="J179" s="142" t="str">
        <f t="shared" si="2"/>
        <v>26.5.2026</v>
      </c>
      <c r="L179" s="153">
        <v>168</v>
      </c>
      <c r="M179" s="92"/>
    </row>
    <row r="180" spans="1:13" ht="21.6" x14ac:dyDescent="0.65">
      <c r="A180" s="195"/>
      <c r="B180" s="140">
        <v>177</v>
      </c>
      <c r="C180" s="2"/>
      <c r="D180" s="1"/>
      <c r="E180" s="3"/>
      <c r="F180" s="1"/>
      <c r="G180" s="141">
        <f>IF(Basic34567[[#This Row],[نوع الخدمة]]="مخالفات", 50,
IF(Basic34567[[#This Row],[نوع الخدمة]]="كاش ان",
    IF(F180&lt;=100, 18, IF(F180&lt;=250, 23, IF(F180&lt;=500, 35, IF(F180&lt;=1000, 40, F180*0.04)))),
IF(Basic34567[[#This Row],[نوع الخدمة]]="كاش اوت",
    IF(F180&lt;=100, 15, IF(F180&lt;=250, 20, IF(F180&lt;=500, 30, IF(F180&lt;=1000, 35, F180*0.035)))),
0)))</f>
        <v>0</v>
      </c>
      <c r="H180" s="159">
        <f>IF(I180="مخالفات",50,Basic34567[[#This Row],[قيمة الرسوم / العموله]]+Basic34567[[#This Row],[قيمة الشحنه]])</f>
        <v>0</v>
      </c>
      <c r="I180" s="90"/>
      <c r="J180" s="142" t="str">
        <f t="shared" si="2"/>
        <v>26.5.2026</v>
      </c>
      <c r="L180" s="153">
        <v>169</v>
      </c>
      <c r="M180" s="92"/>
    </row>
    <row r="181" spans="1:13" ht="21.6" x14ac:dyDescent="0.65">
      <c r="A181" s="195"/>
      <c r="B181" s="144">
        <v>178</v>
      </c>
      <c r="C181" s="2"/>
      <c r="D181" s="1"/>
      <c r="E181" s="3"/>
      <c r="F181" s="1"/>
      <c r="G181" s="141">
        <f>IF(Basic34567[[#This Row],[نوع الخدمة]]="مخالفات", 50,
IF(Basic34567[[#This Row],[نوع الخدمة]]="كاش ان",
    IF(F181&lt;=100, 18, IF(F181&lt;=250, 23, IF(F181&lt;=500, 35, IF(F181&lt;=1000, 40, F181*0.04)))),
IF(Basic34567[[#This Row],[نوع الخدمة]]="كاش اوت",
    IF(F181&lt;=100, 15, IF(F181&lt;=250, 20, IF(F181&lt;=500, 30, IF(F181&lt;=1000, 35, F181*0.035)))),
0)))</f>
        <v>0</v>
      </c>
      <c r="H181" s="159">
        <f>IF(I181="مخالفات",50,Basic34567[[#This Row],[قيمة الرسوم / العموله]]+Basic34567[[#This Row],[قيمة الشحنه]])</f>
        <v>0</v>
      </c>
      <c r="I181" s="90"/>
      <c r="J181" s="142" t="str">
        <f t="shared" si="2"/>
        <v>26.5.2026</v>
      </c>
      <c r="L181" s="153">
        <v>170</v>
      </c>
      <c r="M181" s="92"/>
    </row>
    <row r="182" spans="1:13" ht="21.6" x14ac:dyDescent="0.65">
      <c r="A182" s="195"/>
      <c r="B182" s="140">
        <v>179</v>
      </c>
      <c r="C182" s="2"/>
      <c r="D182" s="1"/>
      <c r="E182" s="3"/>
      <c r="F182" s="1"/>
      <c r="G182" s="141">
        <f>IF(Basic34567[[#This Row],[نوع الخدمة]]="مخالفات", 50,
IF(Basic34567[[#This Row],[نوع الخدمة]]="كاش ان",
    IF(F182&lt;=100, 18, IF(F182&lt;=250, 23, IF(F182&lt;=500, 35, IF(F182&lt;=1000, 40, F182*0.04)))),
IF(Basic34567[[#This Row],[نوع الخدمة]]="كاش اوت",
    IF(F182&lt;=100, 15, IF(F182&lt;=250, 20, IF(F182&lt;=500, 30, IF(F182&lt;=1000, 35, F182*0.035)))),
0)))</f>
        <v>0</v>
      </c>
      <c r="H182" s="159">
        <f>IF(I182="مخالفات",50,Basic34567[[#This Row],[قيمة الرسوم / العموله]]+Basic34567[[#This Row],[قيمة الشحنه]])</f>
        <v>0</v>
      </c>
      <c r="I182" s="90"/>
      <c r="J182" s="142" t="str">
        <f t="shared" si="2"/>
        <v>26.5.2026</v>
      </c>
      <c r="L182" s="153">
        <v>171</v>
      </c>
      <c r="M182" s="92"/>
    </row>
    <row r="183" spans="1:13" ht="21.6" x14ac:dyDescent="0.65">
      <c r="A183" s="195"/>
      <c r="B183" s="140">
        <v>180</v>
      </c>
      <c r="C183" s="2"/>
      <c r="D183" s="1"/>
      <c r="E183" s="3"/>
      <c r="F183" s="1"/>
      <c r="G183" s="141">
        <f>IF(Basic34567[[#This Row],[نوع الخدمة]]="مخالفات", 50,
IF(Basic34567[[#This Row],[نوع الخدمة]]="كاش ان",
    IF(F183&lt;=100, 18, IF(F183&lt;=250, 23, IF(F183&lt;=500, 35, IF(F183&lt;=1000, 40, F183*0.04)))),
IF(Basic34567[[#This Row],[نوع الخدمة]]="كاش اوت",
    IF(F183&lt;=100, 15, IF(F183&lt;=250, 20, IF(F183&lt;=500, 30, IF(F183&lt;=1000, 35, F183*0.035)))),
0)))</f>
        <v>0</v>
      </c>
      <c r="H183" s="159">
        <f>IF(I183="مخالفات",50,Basic34567[[#This Row],[قيمة الرسوم / العموله]]+Basic34567[[#This Row],[قيمة الشحنه]])</f>
        <v>0</v>
      </c>
      <c r="I183" s="90"/>
      <c r="J183" s="142" t="str">
        <f t="shared" si="2"/>
        <v>26.5.2026</v>
      </c>
      <c r="L183" s="153">
        <v>172</v>
      </c>
      <c r="M183" s="92"/>
    </row>
    <row r="184" spans="1:13" ht="21.6" x14ac:dyDescent="0.65">
      <c r="A184" s="195"/>
      <c r="B184" s="140">
        <v>181</v>
      </c>
      <c r="C184" s="2"/>
      <c r="D184" s="1"/>
      <c r="E184" s="3"/>
      <c r="F184" s="1"/>
      <c r="G184" s="141">
        <f>IF(Basic34567[[#This Row],[نوع الخدمة]]="مخالفات", 50,
IF(Basic34567[[#This Row],[نوع الخدمة]]="كاش ان",
    IF(F184&lt;=100, 18, IF(F184&lt;=250, 23, IF(F184&lt;=500, 35, IF(F184&lt;=1000, 40, F184*0.04)))),
IF(Basic34567[[#This Row],[نوع الخدمة]]="كاش اوت",
    IF(F184&lt;=100, 15, IF(F184&lt;=250, 20, IF(F184&lt;=500, 30, IF(F184&lt;=1000, 35, F184*0.035)))),
0)))</f>
        <v>0</v>
      </c>
      <c r="H184" s="159">
        <f>IF(I184="مخالفات",50,Basic34567[[#This Row],[قيمة الرسوم / العموله]]+Basic34567[[#This Row],[قيمة الشحنه]])</f>
        <v>0</v>
      </c>
      <c r="I184" s="90"/>
      <c r="J184" s="142" t="str">
        <f t="shared" si="2"/>
        <v>26.5.2026</v>
      </c>
      <c r="L184" s="153">
        <v>173</v>
      </c>
      <c r="M184" s="92"/>
    </row>
    <row r="185" spans="1:13" ht="21.6" x14ac:dyDescent="0.65">
      <c r="A185" s="195"/>
      <c r="B185" s="144">
        <v>182</v>
      </c>
      <c r="C185" s="2"/>
      <c r="D185" s="1"/>
      <c r="E185" s="3"/>
      <c r="F185" s="1"/>
      <c r="G185" s="141">
        <f>IF(Basic34567[[#This Row],[نوع الخدمة]]="مخالفات", 50,
IF(Basic34567[[#This Row],[نوع الخدمة]]="كاش ان",
    IF(F185&lt;=100, 18, IF(F185&lt;=250, 23, IF(F185&lt;=500, 35, IF(F185&lt;=1000, 40, F185*0.04)))),
IF(Basic34567[[#This Row],[نوع الخدمة]]="كاش اوت",
    IF(F185&lt;=100, 15, IF(F185&lt;=250, 20, IF(F185&lt;=500, 30, IF(F185&lt;=1000, 35, F185*0.035)))),
0)))</f>
        <v>0</v>
      </c>
      <c r="H185" s="159">
        <f>IF(I185="مخالفات",50,Basic34567[[#This Row],[قيمة الرسوم / العموله]]+Basic34567[[#This Row],[قيمة الشحنه]])</f>
        <v>0</v>
      </c>
      <c r="I185" s="90"/>
      <c r="J185" s="142" t="str">
        <f t="shared" si="2"/>
        <v>26.5.2026</v>
      </c>
      <c r="L185" s="153">
        <v>174</v>
      </c>
      <c r="M185" s="92"/>
    </row>
    <row r="186" spans="1:13" ht="21.6" x14ac:dyDescent="0.65">
      <c r="A186" s="195"/>
      <c r="B186" s="140">
        <v>183</v>
      </c>
      <c r="C186" s="2"/>
      <c r="D186" s="1"/>
      <c r="E186" s="3"/>
      <c r="F186" s="1"/>
      <c r="G186" s="141">
        <f>IF(Basic34567[[#This Row],[نوع الخدمة]]="مخالفات", 50,
IF(Basic34567[[#This Row],[نوع الخدمة]]="كاش ان",
    IF(F186&lt;=100, 18, IF(F186&lt;=250, 23, IF(F186&lt;=500, 35, IF(F186&lt;=1000, 40, F186*0.04)))),
IF(Basic34567[[#This Row],[نوع الخدمة]]="كاش اوت",
    IF(F186&lt;=100, 15, IF(F186&lt;=250, 20, IF(F186&lt;=500, 30, IF(F186&lt;=1000, 35, F186*0.035)))),
0)))</f>
        <v>0</v>
      </c>
      <c r="H186" s="159">
        <f>IF(I186="مخالفات",50,Basic34567[[#This Row],[قيمة الرسوم / العموله]]+Basic34567[[#This Row],[قيمة الشحنه]])</f>
        <v>0</v>
      </c>
      <c r="I186" s="90"/>
      <c r="J186" s="142" t="str">
        <f t="shared" si="2"/>
        <v>26.5.2026</v>
      </c>
      <c r="L186" s="153">
        <v>175</v>
      </c>
      <c r="M186" s="92"/>
    </row>
    <row r="187" spans="1:13" ht="21.6" x14ac:dyDescent="0.65">
      <c r="A187" s="195"/>
      <c r="B187" s="140">
        <v>184</v>
      </c>
      <c r="C187" s="2"/>
      <c r="D187" s="1"/>
      <c r="E187" s="3"/>
      <c r="F187" s="1"/>
      <c r="G187" s="141">
        <f>IF(Basic34567[[#This Row],[نوع الخدمة]]="مخالفات", 50,
IF(Basic34567[[#This Row],[نوع الخدمة]]="كاش ان",
    IF(F187&lt;=100, 18, IF(F187&lt;=250, 23, IF(F187&lt;=500, 35, IF(F187&lt;=1000, 40, F187*0.04)))),
IF(Basic34567[[#This Row],[نوع الخدمة]]="كاش اوت",
    IF(F187&lt;=100, 15, IF(F187&lt;=250, 20, IF(F187&lt;=500, 30, IF(F187&lt;=1000, 35, F187*0.035)))),
0)))</f>
        <v>0</v>
      </c>
      <c r="H187" s="159">
        <f>IF(I187="مخالفات",50,Basic34567[[#This Row],[قيمة الرسوم / العموله]]+Basic34567[[#This Row],[قيمة الشحنه]])</f>
        <v>0</v>
      </c>
      <c r="I187" s="90"/>
      <c r="J187" s="142" t="str">
        <f t="shared" si="2"/>
        <v>26.5.2026</v>
      </c>
      <c r="L187" s="153">
        <v>176</v>
      </c>
      <c r="M187" s="92"/>
    </row>
    <row r="188" spans="1:13" ht="21.6" x14ac:dyDescent="0.65">
      <c r="A188" s="195"/>
      <c r="B188" s="140">
        <v>185</v>
      </c>
      <c r="C188" s="2"/>
      <c r="D188" s="1"/>
      <c r="E188" s="3"/>
      <c r="F188" s="1"/>
      <c r="G188" s="141">
        <f>IF(Basic34567[[#This Row],[نوع الخدمة]]="مخالفات", 50,
IF(Basic34567[[#This Row],[نوع الخدمة]]="كاش ان",
    IF(F188&lt;=100, 18, IF(F188&lt;=250, 23, IF(F188&lt;=500, 35, IF(F188&lt;=1000, 40, F188*0.04)))),
IF(Basic34567[[#This Row],[نوع الخدمة]]="كاش اوت",
    IF(F188&lt;=100, 15, IF(F188&lt;=250, 20, IF(F188&lt;=500, 30, IF(F188&lt;=1000, 35, F188*0.035)))),
0)))</f>
        <v>0</v>
      </c>
      <c r="H188" s="159">
        <f>IF(I188="مخالفات",50,Basic34567[[#This Row],[قيمة الرسوم / العموله]]+Basic34567[[#This Row],[قيمة الشحنه]])</f>
        <v>0</v>
      </c>
      <c r="I188" s="90"/>
      <c r="J188" s="142" t="str">
        <f t="shared" si="2"/>
        <v>26.5.2026</v>
      </c>
      <c r="L188" s="153">
        <v>177</v>
      </c>
      <c r="M188" s="92"/>
    </row>
    <row r="189" spans="1:13" ht="21.6" x14ac:dyDescent="0.65">
      <c r="A189" s="195"/>
      <c r="B189" s="144">
        <v>186</v>
      </c>
      <c r="C189" s="2"/>
      <c r="D189" s="1"/>
      <c r="E189" s="3"/>
      <c r="F189" s="1"/>
      <c r="G189" s="141">
        <f>IF(Basic34567[[#This Row],[نوع الخدمة]]="مخالفات", 50,
IF(Basic34567[[#This Row],[نوع الخدمة]]="كاش ان",
    IF(F189&lt;=100, 18, IF(F189&lt;=250, 23, IF(F189&lt;=500, 35, IF(F189&lt;=1000, 40, F189*0.04)))),
IF(Basic34567[[#This Row],[نوع الخدمة]]="كاش اوت",
    IF(F189&lt;=100, 15, IF(F189&lt;=250, 20, IF(F189&lt;=500, 30, IF(F189&lt;=1000, 35, F189*0.035)))),
0)))</f>
        <v>0</v>
      </c>
      <c r="H189" s="159">
        <f>IF(I189="مخالفات",50,Basic34567[[#This Row],[قيمة الرسوم / العموله]]+Basic34567[[#This Row],[قيمة الشحنه]])</f>
        <v>0</v>
      </c>
      <c r="I189" s="90"/>
      <c r="J189" s="142" t="str">
        <f t="shared" si="2"/>
        <v>26.5.2026</v>
      </c>
      <c r="L189" s="153">
        <v>178</v>
      </c>
      <c r="M189" s="92"/>
    </row>
    <row r="190" spans="1:13" ht="21.6" x14ac:dyDescent="0.65">
      <c r="A190" s="195"/>
      <c r="B190" s="140">
        <v>187</v>
      </c>
      <c r="C190" s="2"/>
      <c r="D190" s="1"/>
      <c r="E190" s="3"/>
      <c r="F190" s="1"/>
      <c r="G190" s="141">
        <f>IF(Basic34567[[#This Row],[نوع الخدمة]]="مخالفات", 50,
IF(Basic34567[[#This Row],[نوع الخدمة]]="كاش ان",
    IF(F190&lt;=100, 18, IF(F190&lt;=250, 23, IF(F190&lt;=500, 35, IF(F190&lt;=1000, 40, F190*0.04)))),
IF(Basic34567[[#This Row],[نوع الخدمة]]="كاش اوت",
    IF(F190&lt;=100, 15, IF(F190&lt;=250, 20, IF(F190&lt;=500, 30, IF(F190&lt;=1000, 35, F190*0.035)))),
0)))</f>
        <v>0</v>
      </c>
      <c r="H190" s="159">
        <f>IF(I190="مخالفات",50,Basic34567[[#This Row],[قيمة الرسوم / العموله]]+Basic34567[[#This Row],[قيمة الشحنه]])</f>
        <v>0</v>
      </c>
      <c r="I190" s="90"/>
      <c r="J190" s="142" t="str">
        <f t="shared" si="2"/>
        <v>26.5.2026</v>
      </c>
      <c r="L190" s="153">
        <v>179</v>
      </c>
      <c r="M190" s="92"/>
    </row>
    <row r="191" spans="1:13" ht="21.6" x14ac:dyDescent="0.65">
      <c r="A191" s="195"/>
      <c r="B191" s="140">
        <v>188</v>
      </c>
      <c r="C191" s="2"/>
      <c r="D191" s="1"/>
      <c r="E191" s="3"/>
      <c r="F191" s="1"/>
      <c r="G191" s="141">
        <f>IF(Basic34567[[#This Row],[نوع الخدمة]]="مخالفات", 50,
IF(Basic34567[[#This Row],[نوع الخدمة]]="كاش ان",
    IF(F191&lt;=100, 18, IF(F191&lt;=250, 23, IF(F191&lt;=500, 35, IF(F191&lt;=1000, 40, F191*0.04)))),
IF(Basic34567[[#This Row],[نوع الخدمة]]="كاش اوت",
    IF(F191&lt;=100, 15, IF(F191&lt;=250, 20, IF(F191&lt;=500, 30, IF(F191&lt;=1000, 35, F191*0.035)))),
0)))</f>
        <v>0</v>
      </c>
      <c r="H191" s="159">
        <f>IF(I191="مخالفات",50,Basic34567[[#This Row],[قيمة الرسوم / العموله]]+Basic34567[[#This Row],[قيمة الشحنه]])</f>
        <v>0</v>
      </c>
      <c r="I191" s="90"/>
      <c r="J191" s="142" t="str">
        <f t="shared" si="2"/>
        <v>26.5.2026</v>
      </c>
      <c r="L191" s="153">
        <v>180</v>
      </c>
      <c r="M191" s="92"/>
    </row>
    <row r="192" spans="1:13" ht="21.6" x14ac:dyDescent="0.65">
      <c r="A192" s="195"/>
      <c r="B192" s="140">
        <v>189</v>
      </c>
      <c r="C192" s="2"/>
      <c r="D192" s="1"/>
      <c r="E192" s="3"/>
      <c r="F192" s="1"/>
      <c r="G192" s="141">
        <f>IF(Basic34567[[#This Row],[نوع الخدمة]]="مخالفات", 50,
IF(Basic34567[[#This Row],[نوع الخدمة]]="كاش ان",
    IF(F192&lt;=100, 18, IF(F192&lt;=250, 23, IF(F192&lt;=500, 35, IF(F192&lt;=1000, 40, F192*0.04)))),
IF(Basic34567[[#This Row],[نوع الخدمة]]="كاش اوت",
    IF(F192&lt;=100, 15, IF(F192&lt;=250, 20, IF(F192&lt;=500, 30, IF(F192&lt;=1000, 35, F192*0.035)))),
0)))</f>
        <v>0</v>
      </c>
      <c r="H192" s="159">
        <f>IF(I192="مخالفات",50,Basic34567[[#This Row],[قيمة الرسوم / العموله]]+Basic34567[[#This Row],[قيمة الشحنه]])</f>
        <v>0</v>
      </c>
      <c r="I192" s="90"/>
      <c r="J192" s="142" t="str">
        <f t="shared" si="2"/>
        <v>26.5.2026</v>
      </c>
      <c r="L192" s="153">
        <v>181</v>
      </c>
      <c r="M192" s="92"/>
    </row>
    <row r="193" spans="1:13" ht="21.6" x14ac:dyDescent="0.65">
      <c r="A193" s="195"/>
      <c r="B193" s="144">
        <v>190</v>
      </c>
      <c r="C193" s="2"/>
      <c r="D193" s="1"/>
      <c r="E193" s="3"/>
      <c r="F193" s="1"/>
      <c r="G193" s="141">
        <f>IF(Basic34567[[#This Row],[نوع الخدمة]]="مخالفات", 50,
IF(Basic34567[[#This Row],[نوع الخدمة]]="كاش ان",
    IF(F193&lt;=100, 18, IF(F193&lt;=250, 23, IF(F193&lt;=500, 35, IF(F193&lt;=1000, 40, F193*0.04)))),
IF(Basic34567[[#This Row],[نوع الخدمة]]="كاش اوت",
    IF(F193&lt;=100, 15, IF(F193&lt;=250, 20, IF(F193&lt;=500, 30, IF(F193&lt;=1000, 35, F193*0.035)))),
0)))</f>
        <v>0</v>
      </c>
      <c r="H193" s="159">
        <f>IF(I193="مخالفات",50,Basic34567[[#This Row],[قيمة الرسوم / العموله]]+Basic34567[[#This Row],[قيمة الشحنه]])</f>
        <v>0</v>
      </c>
      <c r="I193" s="90"/>
      <c r="J193" s="142" t="str">
        <f t="shared" si="2"/>
        <v>26.5.2026</v>
      </c>
      <c r="L193" s="153">
        <v>182</v>
      </c>
      <c r="M193" s="92"/>
    </row>
    <row r="194" spans="1:13" ht="21.6" x14ac:dyDescent="0.65">
      <c r="A194" s="195"/>
      <c r="B194" s="140">
        <v>191</v>
      </c>
      <c r="C194" s="2"/>
      <c r="D194" s="1"/>
      <c r="E194" s="3"/>
      <c r="F194" s="1"/>
      <c r="G194" s="141">
        <f>IF(Basic34567[[#This Row],[نوع الخدمة]]="مخالفات", 50,
IF(Basic34567[[#This Row],[نوع الخدمة]]="كاش ان",
    IF(F194&lt;=100, 18, IF(F194&lt;=250, 23, IF(F194&lt;=500, 35, IF(F194&lt;=1000, 40, F194*0.04)))),
IF(Basic34567[[#This Row],[نوع الخدمة]]="كاش اوت",
    IF(F194&lt;=100, 15, IF(F194&lt;=250, 20, IF(F194&lt;=500, 30, IF(F194&lt;=1000, 35, F194*0.035)))),
0)))</f>
        <v>0</v>
      </c>
      <c r="H194" s="159">
        <f>IF(I194="مخالفات",50,Basic34567[[#This Row],[قيمة الرسوم / العموله]]+Basic34567[[#This Row],[قيمة الشحنه]])</f>
        <v>0</v>
      </c>
      <c r="I194" s="90"/>
      <c r="J194" s="142" t="str">
        <f t="shared" si="2"/>
        <v>26.5.2026</v>
      </c>
      <c r="L194" s="153">
        <v>183</v>
      </c>
      <c r="M194" s="92"/>
    </row>
    <row r="195" spans="1:13" ht="21.6" x14ac:dyDescent="0.65">
      <c r="A195" s="195"/>
      <c r="B195" s="140">
        <v>192</v>
      </c>
      <c r="C195" s="2"/>
      <c r="D195" s="1"/>
      <c r="E195" s="3"/>
      <c r="F195" s="1"/>
      <c r="G195" s="141">
        <f>IF(Basic34567[[#This Row],[نوع الخدمة]]="مخالفات", 50,
IF(Basic34567[[#This Row],[نوع الخدمة]]="كاش ان",
    IF(F195&lt;=100, 18, IF(F195&lt;=250, 23, IF(F195&lt;=500, 35, IF(F195&lt;=1000, 40, F195*0.04)))),
IF(Basic34567[[#This Row],[نوع الخدمة]]="كاش اوت",
    IF(F195&lt;=100, 15, IF(F195&lt;=250, 20, IF(F195&lt;=500, 30, IF(F195&lt;=1000, 35, F195*0.035)))),
0)))</f>
        <v>0</v>
      </c>
      <c r="H195" s="159">
        <f>IF(I195="مخالفات",50,Basic34567[[#This Row],[قيمة الرسوم / العموله]]+Basic34567[[#This Row],[قيمة الشحنه]])</f>
        <v>0</v>
      </c>
      <c r="I195" s="90"/>
      <c r="J195" s="142" t="str">
        <f t="shared" si="2"/>
        <v>26.5.2026</v>
      </c>
      <c r="L195" s="153">
        <v>184</v>
      </c>
      <c r="M195" s="92"/>
    </row>
    <row r="196" spans="1:13" ht="21.6" x14ac:dyDescent="0.65">
      <c r="A196" s="195"/>
      <c r="B196" s="140">
        <v>193</v>
      </c>
      <c r="C196" s="2"/>
      <c r="D196" s="1"/>
      <c r="E196" s="3"/>
      <c r="F196" s="1"/>
      <c r="G196" s="141">
        <f>IF(Basic34567[[#This Row],[نوع الخدمة]]="مخالفات", 50,
IF(Basic34567[[#This Row],[نوع الخدمة]]="كاش ان",
    IF(F196&lt;=100, 18, IF(F196&lt;=250, 23, IF(F196&lt;=500, 35, IF(F196&lt;=1000, 40, F196*0.04)))),
IF(Basic34567[[#This Row],[نوع الخدمة]]="كاش اوت",
    IF(F196&lt;=100, 15, IF(F196&lt;=250, 20, IF(F196&lt;=500, 30, IF(F196&lt;=1000, 35, F196*0.035)))),
0)))</f>
        <v>0</v>
      </c>
      <c r="H196" s="159">
        <f>IF(I196="مخالفات",50,Basic34567[[#This Row],[قيمة الرسوم / العموله]]+Basic34567[[#This Row],[قيمة الشحنه]])</f>
        <v>0</v>
      </c>
      <c r="I196" s="90"/>
      <c r="J196" s="142" t="str">
        <f t="shared" ref="J196:J226" si="3">M$3</f>
        <v>26.5.2026</v>
      </c>
      <c r="L196" s="153">
        <v>185</v>
      </c>
      <c r="M196" s="92"/>
    </row>
    <row r="197" spans="1:13" ht="21.6" x14ac:dyDescent="0.65">
      <c r="A197" s="195"/>
      <c r="B197" s="144">
        <v>194</v>
      </c>
      <c r="C197" s="2"/>
      <c r="D197" s="1"/>
      <c r="E197" s="3"/>
      <c r="F197" s="1"/>
      <c r="G197" s="141">
        <f>IF(Basic34567[[#This Row],[نوع الخدمة]]="مخالفات", 50,
IF(Basic34567[[#This Row],[نوع الخدمة]]="كاش ان",
    IF(F197&lt;=100, 18, IF(F197&lt;=250, 23, IF(F197&lt;=500, 35, IF(F197&lt;=1000, 40, F197*0.04)))),
IF(Basic34567[[#This Row],[نوع الخدمة]]="كاش اوت",
    IF(F197&lt;=100, 15, IF(F197&lt;=250, 20, IF(F197&lt;=500, 30, IF(F197&lt;=1000, 35, F197*0.035)))),
0)))</f>
        <v>0</v>
      </c>
      <c r="H197" s="159">
        <f>IF(I197="مخالفات",50,Basic34567[[#This Row],[قيمة الرسوم / العموله]]+Basic34567[[#This Row],[قيمة الشحنه]])</f>
        <v>0</v>
      </c>
      <c r="I197" s="90"/>
      <c r="J197" s="142" t="str">
        <f t="shared" si="3"/>
        <v>26.5.2026</v>
      </c>
      <c r="L197" s="153">
        <v>186</v>
      </c>
      <c r="M197" s="92"/>
    </row>
    <row r="198" spans="1:13" ht="21.6" x14ac:dyDescent="0.65">
      <c r="A198" s="195"/>
      <c r="B198" s="140">
        <v>195</v>
      </c>
      <c r="C198" s="2"/>
      <c r="D198" s="1"/>
      <c r="E198" s="3"/>
      <c r="F198" s="1"/>
      <c r="G198" s="141">
        <f>IF(Basic34567[[#This Row],[نوع الخدمة]]="مخالفات", 50,
IF(Basic34567[[#This Row],[نوع الخدمة]]="كاش ان",
    IF(F198&lt;=100, 18, IF(F198&lt;=250, 23, IF(F198&lt;=500, 35, IF(F198&lt;=1000, 40, F198*0.04)))),
IF(Basic34567[[#This Row],[نوع الخدمة]]="كاش اوت",
    IF(F198&lt;=100, 15, IF(F198&lt;=250, 20, IF(F198&lt;=500, 30, IF(F198&lt;=1000, 35, F198*0.035)))),
0)))</f>
        <v>0</v>
      </c>
      <c r="H198" s="159">
        <f>IF(I198="مخالفات",50,Basic34567[[#This Row],[قيمة الرسوم / العموله]]+Basic34567[[#This Row],[قيمة الشحنه]])</f>
        <v>0</v>
      </c>
      <c r="I198" s="90"/>
      <c r="J198" s="142" t="str">
        <f t="shared" si="3"/>
        <v>26.5.2026</v>
      </c>
      <c r="L198" s="153">
        <v>187</v>
      </c>
      <c r="M198" s="92"/>
    </row>
    <row r="199" spans="1:13" ht="21.6" x14ac:dyDescent="0.65">
      <c r="A199" s="195"/>
      <c r="B199" s="140">
        <v>196</v>
      </c>
      <c r="C199" s="2"/>
      <c r="D199" s="1"/>
      <c r="E199" s="3"/>
      <c r="F199" s="1"/>
      <c r="G199" s="141">
        <f>IF(Basic34567[[#This Row],[نوع الخدمة]]="مخالفات", 50,
IF(Basic34567[[#This Row],[نوع الخدمة]]="كاش ان",
    IF(F199&lt;=100, 18, IF(F199&lt;=250, 23, IF(F199&lt;=500, 35, IF(F199&lt;=1000, 40, F199*0.04)))),
IF(Basic34567[[#This Row],[نوع الخدمة]]="كاش اوت",
    IF(F199&lt;=100, 15, IF(F199&lt;=250, 20, IF(F199&lt;=500, 30, IF(F199&lt;=1000, 35, F199*0.035)))),
0)))</f>
        <v>0</v>
      </c>
      <c r="H199" s="159">
        <f>IF(I199="مخالفات",50,Basic34567[[#This Row],[قيمة الرسوم / العموله]]+Basic34567[[#This Row],[قيمة الشحنه]])</f>
        <v>0</v>
      </c>
      <c r="I199" s="90"/>
      <c r="J199" s="142" t="str">
        <f t="shared" si="3"/>
        <v>26.5.2026</v>
      </c>
      <c r="L199" s="153">
        <v>188</v>
      </c>
      <c r="M199" s="92"/>
    </row>
    <row r="200" spans="1:13" ht="21.6" x14ac:dyDescent="0.65">
      <c r="A200" s="195"/>
      <c r="B200" s="140">
        <v>197</v>
      </c>
      <c r="C200" s="2"/>
      <c r="D200" s="1"/>
      <c r="E200" s="3"/>
      <c r="F200" s="1"/>
      <c r="G200" s="141">
        <f>IF(Basic34567[[#This Row],[نوع الخدمة]]="مخالفات", 50,
IF(Basic34567[[#This Row],[نوع الخدمة]]="كاش ان",
    IF(F200&lt;=100, 18, IF(F200&lt;=250, 23, IF(F200&lt;=500, 35, IF(F200&lt;=1000, 40, F200*0.04)))),
IF(Basic34567[[#This Row],[نوع الخدمة]]="كاش اوت",
    IF(F200&lt;=100, 15, IF(F200&lt;=250, 20, IF(F200&lt;=500, 30, IF(F200&lt;=1000, 35, F200*0.035)))),
0)))</f>
        <v>0</v>
      </c>
      <c r="H200" s="159">
        <f>IF(I200="مخالفات",50,Basic34567[[#This Row],[قيمة الرسوم / العموله]]+Basic34567[[#This Row],[قيمة الشحنه]])</f>
        <v>0</v>
      </c>
      <c r="I200" s="90"/>
      <c r="J200" s="142" t="str">
        <f t="shared" si="3"/>
        <v>26.5.2026</v>
      </c>
      <c r="L200" s="153">
        <v>189</v>
      </c>
      <c r="M200" s="92"/>
    </row>
    <row r="201" spans="1:13" ht="21.6" x14ac:dyDescent="0.65">
      <c r="A201" s="195"/>
      <c r="B201" s="144">
        <v>198</v>
      </c>
      <c r="C201" s="2"/>
      <c r="D201" s="1"/>
      <c r="E201" s="3"/>
      <c r="F201" s="1"/>
      <c r="G201" s="141">
        <f>IF(Basic34567[[#This Row],[نوع الخدمة]]="مخالفات", 50,
IF(Basic34567[[#This Row],[نوع الخدمة]]="كاش ان",
    IF(F201&lt;=100, 18, IF(F201&lt;=250, 23, IF(F201&lt;=500, 35, IF(F201&lt;=1000, 40, F201*0.04)))),
IF(Basic34567[[#This Row],[نوع الخدمة]]="كاش اوت",
    IF(F201&lt;=100, 15, IF(F201&lt;=250, 20, IF(F201&lt;=500, 30, IF(F201&lt;=1000, 35, F201*0.035)))),
0)))</f>
        <v>0</v>
      </c>
      <c r="H201" s="159">
        <f>IF(I201="مخالفات",50,Basic34567[[#This Row],[قيمة الرسوم / العموله]]+Basic34567[[#This Row],[قيمة الشحنه]])</f>
        <v>0</v>
      </c>
      <c r="I201" s="90"/>
      <c r="J201" s="142" t="str">
        <f t="shared" si="3"/>
        <v>26.5.2026</v>
      </c>
      <c r="L201" s="153">
        <v>190</v>
      </c>
      <c r="M201" s="92"/>
    </row>
    <row r="202" spans="1:13" ht="21.6" x14ac:dyDescent="0.65">
      <c r="A202" s="195"/>
      <c r="B202" s="140">
        <v>199</v>
      </c>
      <c r="C202" s="2"/>
      <c r="D202" s="1"/>
      <c r="E202" s="3"/>
      <c r="F202" s="1"/>
      <c r="G202" s="141">
        <f>IF(Basic34567[[#This Row],[نوع الخدمة]]="مخالفات", 50,
IF(Basic34567[[#This Row],[نوع الخدمة]]="كاش ان",
    IF(F202&lt;=100, 18, IF(F202&lt;=250, 23, IF(F202&lt;=500, 35, IF(F202&lt;=1000, 40, F202*0.04)))),
IF(Basic34567[[#This Row],[نوع الخدمة]]="كاش اوت",
    IF(F202&lt;=100, 15, IF(F202&lt;=250, 20, IF(F202&lt;=500, 30, IF(F202&lt;=1000, 35, F202*0.035)))),
0)))</f>
        <v>0</v>
      </c>
      <c r="H202" s="159">
        <f>IF(I202="مخالفات",50,Basic34567[[#This Row],[قيمة الرسوم / العموله]]+Basic34567[[#This Row],[قيمة الشحنه]])</f>
        <v>0</v>
      </c>
      <c r="I202" s="90"/>
      <c r="J202" s="142" t="str">
        <f t="shared" si="3"/>
        <v>26.5.2026</v>
      </c>
      <c r="L202" s="153">
        <v>191</v>
      </c>
      <c r="M202" s="92"/>
    </row>
    <row r="203" spans="1:13" ht="21.6" x14ac:dyDescent="0.65">
      <c r="A203" s="195"/>
      <c r="B203" s="140">
        <v>200</v>
      </c>
      <c r="C203" s="2"/>
      <c r="D203" s="1"/>
      <c r="E203" s="3"/>
      <c r="F203" s="1"/>
      <c r="G203" s="141">
        <f>IF(Basic34567[[#This Row],[نوع الخدمة]]="مخالفات", 50,
IF(Basic34567[[#This Row],[نوع الخدمة]]="كاش ان",
    IF(F203&lt;=100, 18, IF(F203&lt;=250, 23, IF(F203&lt;=500, 35, IF(F203&lt;=1000, 40, F203*0.04)))),
IF(Basic34567[[#This Row],[نوع الخدمة]]="كاش اوت",
    IF(F203&lt;=100, 15, IF(F203&lt;=250, 20, IF(F203&lt;=500, 30, IF(F203&lt;=1000, 35, F203*0.035)))),
0)))</f>
        <v>0</v>
      </c>
      <c r="H203" s="159">
        <f>IF(I203="مخالفات",50,Basic34567[[#This Row],[قيمة الرسوم / العموله]]+Basic34567[[#This Row],[قيمة الشحنه]])</f>
        <v>0</v>
      </c>
      <c r="I203" s="90"/>
      <c r="J203" s="142" t="str">
        <f t="shared" si="3"/>
        <v>26.5.2026</v>
      </c>
      <c r="L203" s="153">
        <v>192</v>
      </c>
      <c r="M203" s="92"/>
    </row>
    <row r="204" spans="1:13" ht="21.6" x14ac:dyDescent="0.65">
      <c r="A204" s="195"/>
      <c r="B204" s="140">
        <v>201</v>
      </c>
      <c r="C204" s="2"/>
      <c r="D204" s="1"/>
      <c r="E204" s="3"/>
      <c r="F204" s="1"/>
      <c r="G204" s="141">
        <f>IF(Basic34567[[#This Row],[نوع الخدمة]]="مخالفات", 50,
IF(Basic34567[[#This Row],[نوع الخدمة]]="كاش ان",
    IF(F204&lt;=100, 18, IF(F204&lt;=250, 23, IF(F204&lt;=500, 35, IF(F204&lt;=1000, 40, F204*0.04)))),
IF(Basic34567[[#This Row],[نوع الخدمة]]="كاش اوت",
    IF(F204&lt;=100, 15, IF(F204&lt;=250, 20, IF(F204&lt;=500, 30, IF(F204&lt;=1000, 35, F204*0.035)))),
0)))</f>
        <v>0</v>
      </c>
      <c r="H204" s="159">
        <f>IF(I204="مخالفات",50,Basic34567[[#This Row],[قيمة الرسوم / العموله]]+Basic34567[[#This Row],[قيمة الشحنه]])</f>
        <v>0</v>
      </c>
      <c r="I204" s="90"/>
      <c r="J204" s="142" t="str">
        <f t="shared" si="3"/>
        <v>26.5.2026</v>
      </c>
      <c r="L204" s="153">
        <v>193</v>
      </c>
      <c r="M204" s="92"/>
    </row>
    <row r="205" spans="1:13" ht="21.6" x14ac:dyDescent="0.65">
      <c r="A205" s="195"/>
      <c r="B205" s="144">
        <v>202</v>
      </c>
      <c r="C205" s="2"/>
      <c r="D205" s="1"/>
      <c r="E205" s="3"/>
      <c r="F205" s="1"/>
      <c r="G205" s="141">
        <f>IF(Basic34567[[#This Row],[نوع الخدمة]]="مخالفات", 50,
IF(Basic34567[[#This Row],[نوع الخدمة]]="كاش ان",
    IF(F205&lt;=100, 18, IF(F205&lt;=250, 23, IF(F205&lt;=500, 35, IF(F205&lt;=1000, 40, F205*0.04)))),
IF(Basic34567[[#This Row],[نوع الخدمة]]="كاش اوت",
    IF(F205&lt;=100, 15, IF(F205&lt;=250, 20, IF(F205&lt;=500, 30, IF(F205&lt;=1000, 35, F205*0.035)))),
0)))</f>
        <v>0</v>
      </c>
      <c r="H205" s="159">
        <f>IF(I205="مخالفات",50,Basic34567[[#This Row],[قيمة الرسوم / العموله]]+Basic34567[[#This Row],[قيمة الشحنه]])</f>
        <v>0</v>
      </c>
      <c r="I205" s="90"/>
      <c r="J205" s="142" t="str">
        <f t="shared" si="3"/>
        <v>26.5.2026</v>
      </c>
      <c r="L205" s="153">
        <v>194</v>
      </c>
      <c r="M205" s="92"/>
    </row>
    <row r="206" spans="1:13" ht="21.6" x14ac:dyDescent="0.65">
      <c r="A206" s="195"/>
      <c r="B206" s="140">
        <v>203</v>
      </c>
      <c r="C206" s="2"/>
      <c r="D206" s="1"/>
      <c r="E206" s="3"/>
      <c r="F206" s="1"/>
      <c r="G206" s="141">
        <f>IF(Basic34567[[#This Row],[نوع الخدمة]]="مخالفات", 50,
IF(Basic34567[[#This Row],[نوع الخدمة]]="كاش ان",
    IF(F206&lt;=100, 18, IF(F206&lt;=250, 23, IF(F206&lt;=500, 35, IF(F206&lt;=1000, 40, F206*0.04)))),
IF(Basic34567[[#This Row],[نوع الخدمة]]="كاش اوت",
    IF(F206&lt;=100, 15, IF(F206&lt;=250, 20, IF(F206&lt;=500, 30, IF(F206&lt;=1000, 35, F206*0.035)))),
0)))</f>
        <v>0</v>
      </c>
      <c r="H206" s="159">
        <f>IF(I206="مخالفات",50,Basic34567[[#This Row],[قيمة الرسوم / العموله]]+Basic34567[[#This Row],[قيمة الشحنه]])</f>
        <v>0</v>
      </c>
      <c r="I206" s="90"/>
      <c r="J206" s="142" t="str">
        <f t="shared" si="3"/>
        <v>26.5.2026</v>
      </c>
      <c r="L206" s="153">
        <v>195</v>
      </c>
      <c r="M206" s="92"/>
    </row>
    <row r="207" spans="1:13" ht="21.6" x14ac:dyDescent="0.65">
      <c r="A207" s="195"/>
      <c r="B207" s="140">
        <v>204</v>
      </c>
      <c r="C207" s="2"/>
      <c r="D207" s="1"/>
      <c r="E207" s="3"/>
      <c r="F207" s="1"/>
      <c r="G207" s="141">
        <f>IF(Basic34567[[#This Row],[نوع الخدمة]]="مخالفات", 50,
IF(Basic34567[[#This Row],[نوع الخدمة]]="كاش ان",
    IF(F207&lt;=100, 18, IF(F207&lt;=250, 23, IF(F207&lt;=500, 35, IF(F207&lt;=1000, 40, F207*0.04)))),
IF(Basic34567[[#This Row],[نوع الخدمة]]="كاش اوت",
    IF(F207&lt;=100, 15, IF(F207&lt;=250, 20, IF(F207&lt;=500, 30, IF(F207&lt;=1000, 35, F207*0.035)))),
0)))</f>
        <v>0</v>
      </c>
      <c r="H207" s="159">
        <f>IF(I207="مخالفات",50,Basic34567[[#This Row],[قيمة الرسوم / العموله]]+Basic34567[[#This Row],[قيمة الشحنه]])</f>
        <v>0</v>
      </c>
      <c r="I207" s="90"/>
      <c r="J207" s="142" t="str">
        <f t="shared" si="3"/>
        <v>26.5.2026</v>
      </c>
      <c r="L207" s="153">
        <v>196</v>
      </c>
      <c r="M207" s="92"/>
    </row>
    <row r="208" spans="1:13" ht="21.6" x14ac:dyDescent="0.65">
      <c r="A208" s="195"/>
      <c r="B208" s="140">
        <v>205</v>
      </c>
      <c r="C208" s="2"/>
      <c r="D208" s="1"/>
      <c r="E208" s="3"/>
      <c r="F208" s="1"/>
      <c r="G208" s="141">
        <f>IF(Basic34567[[#This Row],[نوع الخدمة]]="مخالفات", 50,
IF(Basic34567[[#This Row],[نوع الخدمة]]="كاش ان",
    IF(F208&lt;=100, 18, IF(F208&lt;=250, 23, IF(F208&lt;=500, 35, IF(F208&lt;=1000, 40, F208*0.04)))),
IF(Basic34567[[#This Row],[نوع الخدمة]]="كاش اوت",
    IF(F208&lt;=100, 15, IF(F208&lt;=250, 20, IF(F208&lt;=500, 30, IF(F208&lt;=1000, 35, F208*0.035)))),
0)))</f>
        <v>0</v>
      </c>
      <c r="H208" s="159">
        <f>IF(I208="مخالفات",50,Basic34567[[#This Row],[قيمة الرسوم / العموله]]+Basic34567[[#This Row],[قيمة الشحنه]])</f>
        <v>0</v>
      </c>
      <c r="I208" s="90"/>
      <c r="J208" s="142" t="str">
        <f t="shared" si="3"/>
        <v>26.5.2026</v>
      </c>
      <c r="L208" s="153">
        <v>197</v>
      </c>
      <c r="M208" s="92"/>
    </row>
    <row r="209" spans="1:13" ht="21.6" x14ac:dyDescent="0.65">
      <c r="A209" s="195"/>
      <c r="B209" s="144">
        <v>206</v>
      </c>
      <c r="C209" s="2"/>
      <c r="D209" s="1"/>
      <c r="E209" s="3"/>
      <c r="F209" s="1"/>
      <c r="G209" s="141">
        <f>IF(Basic34567[[#This Row],[نوع الخدمة]]="مخالفات", 50,
IF(Basic34567[[#This Row],[نوع الخدمة]]="كاش ان",
    IF(F209&lt;=100, 18, IF(F209&lt;=250, 23, IF(F209&lt;=500, 35, IF(F209&lt;=1000, 40, F209*0.04)))),
IF(Basic34567[[#This Row],[نوع الخدمة]]="كاش اوت",
    IF(F209&lt;=100, 15, IF(F209&lt;=250, 20, IF(F209&lt;=500, 30, IF(F209&lt;=1000, 35, F209*0.035)))),
0)))</f>
        <v>0</v>
      </c>
      <c r="H209" s="159">
        <f>IF(I209="مخالفات",50,Basic34567[[#This Row],[قيمة الرسوم / العموله]]+Basic34567[[#This Row],[قيمة الشحنه]])</f>
        <v>0</v>
      </c>
      <c r="I209" s="90"/>
      <c r="J209" s="142" t="str">
        <f t="shared" si="3"/>
        <v>26.5.2026</v>
      </c>
      <c r="L209" s="153">
        <v>198</v>
      </c>
      <c r="M209" s="92"/>
    </row>
    <row r="210" spans="1:13" ht="21.6" x14ac:dyDescent="0.65">
      <c r="A210" s="195"/>
      <c r="B210" s="140">
        <v>207</v>
      </c>
      <c r="C210" s="2"/>
      <c r="D210" s="1"/>
      <c r="E210" s="3"/>
      <c r="F210" s="1"/>
      <c r="G210" s="141">
        <f>IF(Basic34567[[#This Row],[نوع الخدمة]]="مخالفات", 50,
IF(Basic34567[[#This Row],[نوع الخدمة]]="كاش ان",
    IF(F210&lt;=100, 18, IF(F210&lt;=250, 23, IF(F210&lt;=500, 35, IF(F210&lt;=1000, 40, F210*0.04)))),
IF(Basic34567[[#This Row],[نوع الخدمة]]="كاش اوت",
    IF(F210&lt;=100, 15, IF(F210&lt;=250, 20, IF(F210&lt;=500, 30, IF(F210&lt;=1000, 35, F210*0.035)))),
0)))</f>
        <v>0</v>
      </c>
      <c r="H210" s="159">
        <f>IF(I210="مخالفات",50,Basic34567[[#This Row],[قيمة الرسوم / العموله]]+Basic34567[[#This Row],[قيمة الشحنه]])</f>
        <v>0</v>
      </c>
      <c r="I210" s="90"/>
      <c r="J210" s="142" t="str">
        <f t="shared" si="3"/>
        <v>26.5.2026</v>
      </c>
      <c r="L210" s="153">
        <v>199</v>
      </c>
      <c r="M210" s="92"/>
    </row>
    <row r="211" spans="1:13" ht="21.6" x14ac:dyDescent="0.65">
      <c r="A211" s="195"/>
      <c r="B211" s="140">
        <v>208</v>
      </c>
      <c r="C211" s="2"/>
      <c r="D211" s="1"/>
      <c r="E211" s="3"/>
      <c r="F211" s="1"/>
      <c r="G211" s="141">
        <f>IF(Basic34567[[#This Row],[نوع الخدمة]]="مخالفات", 50,
IF(Basic34567[[#This Row],[نوع الخدمة]]="كاش ان",
    IF(F211&lt;=100, 18, IF(F211&lt;=250, 23, IF(F211&lt;=500, 35, IF(F211&lt;=1000, 40, F211*0.04)))),
IF(Basic34567[[#This Row],[نوع الخدمة]]="كاش اوت",
    IF(F211&lt;=100, 15, IF(F211&lt;=250, 20, IF(F211&lt;=500, 30, IF(F211&lt;=1000, 35, F211*0.035)))),
0)))</f>
        <v>0</v>
      </c>
      <c r="H211" s="159">
        <f>IF(I211="مخالفات",50,Basic34567[[#This Row],[قيمة الرسوم / العموله]]+Basic34567[[#This Row],[قيمة الشحنه]])</f>
        <v>0</v>
      </c>
      <c r="I211" s="90"/>
      <c r="J211" s="142" t="str">
        <f t="shared" si="3"/>
        <v>26.5.2026</v>
      </c>
      <c r="L211" s="153">
        <v>200</v>
      </c>
      <c r="M211" s="92"/>
    </row>
    <row r="212" spans="1:13" ht="21.6" x14ac:dyDescent="0.65">
      <c r="A212" s="195"/>
      <c r="B212" s="140">
        <v>209</v>
      </c>
      <c r="C212" s="2"/>
      <c r="D212" s="1"/>
      <c r="E212" s="3"/>
      <c r="F212" s="1"/>
      <c r="G212" s="141">
        <f>IF(Basic34567[[#This Row],[نوع الخدمة]]="مخالفات", 50,
IF(Basic34567[[#This Row],[نوع الخدمة]]="كاش ان",
    IF(F212&lt;=100, 18, IF(F212&lt;=250, 23, IF(F212&lt;=500, 35, IF(F212&lt;=1000, 40, F212*0.04)))),
IF(Basic34567[[#This Row],[نوع الخدمة]]="كاش اوت",
    IF(F212&lt;=100, 15, IF(F212&lt;=250, 20, IF(F212&lt;=500, 30, IF(F212&lt;=1000, 35, F212*0.035)))),
0)))</f>
        <v>0</v>
      </c>
      <c r="H212" s="159">
        <f>IF(I212="مخالفات",50,Basic34567[[#This Row],[قيمة الرسوم / العموله]]+Basic34567[[#This Row],[قيمة الشحنه]])</f>
        <v>0</v>
      </c>
      <c r="I212" s="90"/>
      <c r="J212" s="142" t="str">
        <f t="shared" si="3"/>
        <v>26.5.2026</v>
      </c>
      <c r="L212" s="153">
        <v>201</v>
      </c>
      <c r="M212" s="92"/>
    </row>
    <row r="213" spans="1:13" ht="21.6" x14ac:dyDescent="0.65">
      <c r="A213" s="195"/>
      <c r="B213" s="144">
        <v>210</v>
      </c>
      <c r="C213" s="2"/>
      <c r="D213" s="1"/>
      <c r="E213" s="3"/>
      <c r="F213" s="1"/>
      <c r="G213" s="141">
        <f>IF(Basic34567[[#This Row],[نوع الخدمة]]="مخالفات", 50,
IF(Basic34567[[#This Row],[نوع الخدمة]]="كاش ان",
    IF(F213&lt;=100, 18, IF(F213&lt;=250, 23, IF(F213&lt;=500, 35, IF(F213&lt;=1000, 40, F213*0.04)))),
IF(Basic34567[[#This Row],[نوع الخدمة]]="كاش اوت",
    IF(F213&lt;=100, 15, IF(F213&lt;=250, 20, IF(F213&lt;=500, 30, IF(F213&lt;=1000, 35, F213*0.035)))),
0)))</f>
        <v>0</v>
      </c>
      <c r="H213" s="159">
        <f>IF(I213="مخالفات",50,Basic34567[[#This Row],[قيمة الرسوم / العموله]]+Basic34567[[#This Row],[قيمة الشحنه]])</f>
        <v>0</v>
      </c>
      <c r="I213" s="90"/>
      <c r="J213" s="142" t="str">
        <f t="shared" si="3"/>
        <v>26.5.2026</v>
      </c>
      <c r="L213" s="153">
        <v>202</v>
      </c>
      <c r="M213" s="92"/>
    </row>
    <row r="214" spans="1:13" ht="21.6" x14ac:dyDescent="0.65">
      <c r="A214" s="195"/>
      <c r="B214" s="140">
        <v>211</v>
      </c>
      <c r="C214" s="2"/>
      <c r="D214" s="1"/>
      <c r="E214" s="3"/>
      <c r="F214" s="1"/>
      <c r="G214" s="141">
        <f>IF(Basic34567[[#This Row],[نوع الخدمة]]="مخالفات", 50,
IF(Basic34567[[#This Row],[نوع الخدمة]]="كاش ان",
    IF(F214&lt;=100, 18, IF(F214&lt;=250, 23, IF(F214&lt;=500, 35, IF(F214&lt;=1000, 40, F214*0.04)))),
IF(Basic34567[[#This Row],[نوع الخدمة]]="كاش اوت",
    IF(F214&lt;=100, 15, IF(F214&lt;=250, 20, IF(F214&lt;=500, 30, IF(F214&lt;=1000, 35, F214*0.035)))),
0)))</f>
        <v>0</v>
      </c>
      <c r="H214" s="159">
        <f>IF(I214="مخالفات",50,Basic34567[[#This Row],[قيمة الرسوم / العموله]]+Basic34567[[#This Row],[قيمة الشحنه]])</f>
        <v>0</v>
      </c>
      <c r="I214" s="90"/>
      <c r="J214" s="142" t="str">
        <f t="shared" si="3"/>
        <v>26.5.2026</v>
      </c>
      <c r="L214" s="153">
        <v>203</v>
      </c>
      <c r="M214" s="92"/>
    </row>
    <row r="215" spans="1:13" ht="21.6" x14ac:dyDescent="0.65">
      <c r="A215" s="195"/>
      <c r="B215" s="140">
        <v>212</v>
      </c>
      <c r="C215" s="2"/>
      <c r="D215" s="1"/>
      <c r="E215" s="3"/>
      <c r="F215" s="1"/>
      <c r="G215" s="141">
        <f>IF(Basic34567[[#This Row],[نوع الخدمة]]="مخالفات", 50,
IF(Basic34567[[#This Row],[نوع الخدمة]]="كاش ان",
    IF(F215&lt;=100, 18, IF(F215&lt;=250, 23, IF(F215&lt;=500, 35, IF(F215&lt;=1000, 40, F215*0.04)))),
IF(Basic34567[[#This Row],[نوع الخدمة]]="كاش اوت",
    IF(F215&lt;=100, 15, IF(F215&lt;=250, 20, IF(F215&lt;=500, 30, IF(F215&lt;=1000, 35, F215*0.035)))),
0)))</f>
        <v>0</v>
      </c>
      <c r="H215" s="159">
        <f>IF(I215="مخالفات",50,Basic34567[[#This Row],[قيمة الرسوم / العموله]]+Basic34567[[#This Row],[قيمة الشحنه]])</f>
        <v>0</v>
      </c>
      <c r="I215" s="90"/>
      <c r="J215" s="142" t="str">
        <f t="shared" si="3"/>
        <v>26.5.2026</v>
      </c>
      <c r="L215" s="153">
        <v>204</v>
      </c>
      <c r="M215" s="92"/>
    </row>
    <row r="216" spans="1:13" ht="21.6" x14ac:dyDescent="0.65">
      <c r="A216" s="195"/>
      <c r="B216" s="140">
        <v>213</v>
      </c>
      <c r="C216" s="2"/>
      <c r="D216" s="1"/>
      <c r="E216" s="3"/>
      <c r="F216" s="1"/>
      <c r="G216" s="141">
        <f>IF(Basic34567[[#This Row],[نوع الخدمة]]="مخالفات", 50,
IF(Basic34567[[#This Row],[نوع الخدمة]]="كاش ان",
    IF(F216&lt;=100, 18, IF(F216&lt;=250, 23, IF(F216&lt;=500, 35, IF(F216&lt;=1000, 40, F216*0.04)))),
IF(Basic34567[[#This Row],[نوع الخدمة]]="كاش اوت",
    IF(F216&lt;=100, 15, IF(F216&lt;=250, 20, IF(F216&lt;=500, 30, IF(F216&lt;=1000, 35, F216*0.035)))),
0)))</f>
        <v>0</v>
      </c>
      <c r="H216" s="159">
        <f>IF(I216="مخالفات",50,Basic34567[[#This Row],[قيمة الرسوم / العموله]]+Basic34567[[#This Row],[قيمة الشحنه]])</f>
        <v>0</v>
      </c>
      <c r="I216" s="90"/>
      <c r="J216" s="142" t="str">
        <f t="shared" si="3"/>
        <v>26.5.2026</v>
      </c>
      <c r="L216" s="153">
        <v>205</v>
      </c>
      <c r="M216" s="92"/>
    </row>
    <row r="217" spans="1:13" ht="21.6" x14ac:dyDescent="0.65">
      <c r="A217" s="195"/>
      <c r="B217" s="144">
        <v>214</v>
      </c>
      <c r="C217" s="2"/>
      <c r="D217" s="1"/>
      <c r="E217" s="3"/>
      <c r="F217" s="1"/>
      <c r="G217" s="141">
        <f>IF(Basic34567[[#This Row],[نوع الخدمة]]="مخالفات", 50,
IF(Basic34567[[#This Row],[نوع الخدمة]]="كاش ان",
    IF(F217&lt;=100, 18, IF(F217&lt;=250, 23, IF(F217&lt;=500, 35, IF(F217&lt;=1000, 40, F217*0.04)))),
IF(Basic34567[[#This Row],[نوع الخدمة]]="كاش اوت",
    IF(F217&lt;=100, 15, IF(F217&lt;=250, 20, IF(F217&lt;=500, 30, IF(F217&lt;=1000, 35, F217*0.035)))),
0)))</f>
        <v>0</v>
      </c>
      <c r="H217" s="159">
        <f>IF(I217="مخالفات",50,Basic34567[[#This Row],[قيمة الرسوم / العموله]]+Basic34567[[#This Row],[قيمة الشحنه]])</f>
        <v>0</v>
      </c>
      <c r="I217" s="90"/>
      <c r="J217" s="142" t="str">
        <f t="shared" si="3"/>
        <v>26.5.2026</v>
      </c>
      <c r="L217" s="153">
        <v>206</v>
      </c>
      <c r="M217" s="92"/>
    </row>
    <row r="218" spans="1:13" ht="21.6" x14ac:dyDescent="0.65">
      <c r="A218" s="195"/>
      <c r="B218" s="140">
        <v>215</v>
      </c>
      <c r="C218" s="2"/>
      <c r="D218" s="1"/>
      <c r="E218" s="3"/>
      <c r="F218" s="1"/>
      <c r="G218" s="141">
        <f>IF(Basic34567[[#This Row],[نوع الخدمة]]="مخالفات", 50,
IF(Basic34567[[#This Row],[نوع الخدمة]]="كاش ان",
    IF(F218&lt;=100, 18, IF(F218&lt;=250, 23, IF(F218&lt;=500, 35, IF(F218&lt;=1000, 40, F218*0.04)))),
IF(Basic34567[[#This Row],[نوع الخدمة]]="كاش اوت",
    IF(F218&lt;=100, 15, IF(F218&lt;=250, 20, IF(F218&lt;=500, 30, IF(F218&lt;=1000, 35, F218*0.035)))),
0)))</f>
        <v>0</v>
      </c>
      <c r="H218" s="159">
        <f>IF(I218="مخالفات",50,Basic34567[[#This Row],[قيمة الرسوم / العموله]]+Basic34567[[#This Row],[قيمة الشحنه]])</f>
        <v>0</v>
      </c>
      <c r="I218" s="90"/>
      <c r="J218" s="142" t="str">
        <f t="shared" si="3"/>
        <v>26.5.2026</v>
      </c>
      <c r="L218" s="153">
        <v>207</v>
      </c>
      <c r="M218" s="92"/>
    </row>
    <row r="219" spans="1:13" ht="21.6" x14ac:dyDescent="0.65">
      <c r="A219" s="195"/>
      <c r="B219" s="140">
        <v>216</v>
      </c>
      <c r="C219" s="2"/>
      <c r="D219" s="1"/>
      <c r="E219" s="3"/>
      <c r="F219" s="1"/>
      <c r="G219" s="141">
        <f>IF(Basic34567[[#This Row],[نوع الخدمة]]="مخالفات", 50,
IF(Basic34567[[#This Row],[نوع الخدمة]]="كاش ان",
    IF(F219&lt;=100, 18, IF(F219&lt;=250, 23, IF(F219&lt;=500, 35, IF(F219&lt;=1000, 40, F219*0.04)))),
IF(Basic34567[[#This Row],[نوع الخدمة]]="كاش اوت",
    IF(F219&lt;=100, 15, IF(F219&lt;=250, 20, IF(F219&lt;=500, 30, IF(F219&lt;=1000, 35, F219*0.035)))),
0)))</f>
        <v>0</v>
      </c>
      <c r="H219" s="159">
        <f>IF(I219="مخالفات",50,Basic34567[[#This Row],[قيمة الرسوم / العموله]]+Basic34567[[#This Row],[قيمة الشحنه]])</f>
        <v>0</v>
      </c>
      <c r="I219" s="90"/>
      <c r="J219" s="142" t="str">
        <f t="shared" si="3"/>
        <v>26.5.2026</v>
      </c>
      <c r="L219" s="153">
        <v>208</v>
      </c>
      <c r="M219" s="92"/>
    </row>
    <row r="220" spans="1:13" ht="21.6" x14ac:dyDescent="0.65">
      <c r="A220" s="195"/>
      <c r="B220" s="140">
        <v>217</v>
      </c>
      <c r="C220" s="2"/>
      <c r="D220" s="1"/>
      <c r="E220" s="3"/>
      <c r="F220" s="1"/>
      <c r="G220" s="141">
        <f>IF(Basic34567[[#This Row],[نوع الخدمة]]="مخالفات", 50,
IF(Basic34567[[#This Row],[نوع الخدمة]]="كاش ان",
    IF(F220&lt;=100, 18, IF(F220&lt;=250, 23, IF(F220&lt;=500, 35, IF(F220&lt;=1000, 40, F220*0.04)))),
IF(Basic34567[[#This Row],[نوع الخدمة]]="كاش اوت",
    IF(F220&lt;=100, 15, IF(F220&lt;=250, 20, IF(F220&lt;=500, 30, IF(F220&lt;=1000, 35, F220*0.035)))),
0)))</f>
        <v>0</v>
      </c>
      <c r="H220" s="159">
        <f>IF(I220="مخالفات",50,Basic34567[[#This Row],[قيمة الرسوم / العموله]]+Basic34567[[#This Row],[قيمة الشحنه]])</f>
        <v>0</v>
      </c>
      <c r="I220" s="90"/>
      <c r="J220" s="142" t="str">
        <f t="shared" si="3"/>
        <v>26.5.2026</v>
      </c>
      <c r="L220" s="153">
        <v>209</v>
      </c>
      <c r="M220" s="92"/>
    </row>
    <row r="221" spans="1:13" ht="21.6" x14ac:dyDescent="0.65">
      <c r="A221" s="195"/>
      <c r="B221" s="144">
        <v>218</v>
      </c>
      <c r="C221" s="2"/>
      <c r="D221" s="1"/>
      <c r="E221" s="3"/>
      <c r="F221" s="1"/>
      <c r="G221" s="141">
        <f>IF(Basic34567[[#This Row],[نوع الخدمة]]="مخالفات", 50,
IF(Basic34567[[#This Row],[نوع الخدمة]]="كاش ان",
    IF(F221&lt;=100, 18, IF(F221&lt;=250, 23, IF(F221&lt;=500, 35, IF(F221&lt;=1000, 40, F221*0.04)))),
IF(Basic34567[[#This Row],[نوع الخدمة]]="كاش اوت",
    IF(F221&lt;=100, 15, IF(F221&lt;=250, 20, IF(F221&lt;=500, 30, IF(F221&lt;=1000, 35, F221*0.035)))),
0)))</f>
        <v>0</v>
      </c>
      <c r="H221" s="159">
        <f>IF(I221="مخالفات",50,Basic34567[[#This Row],[قيمة الرسوم / العموله]]+Basic34567[[#This Row],[قيمة الشحنه]])</f>
        <v>0</v>
      </c>
      <c r="I221" s="90"/>
      <c r="J221" s="142" t="str">
        <f t="shared" si="3"/>
        <v>26.5.2026</v>
      </c>
      <c r="L221" s="153">
        <v>210</v>
      </c>
      <c r="M221" s="92"/>
    </row>
    <row r="222" spans="1:13" ht="21.6" x14ac:dyDescent="0.65">
      <c r="A222" s="195"/>
      <c r="B222" s="140">
        <v>219</v>
      </c>
      <c r="C222" s="2"/>
      <c r="D222" s="1"/>
      <c r="E222" s="3"/>
      <c r="F222" s="1"/>
      <c r="G222" s="141">
        <f>IF(Basic34567[[#This Row],[نوع الخدمة]]="مخالفات", 50,
IF(Basic34567[[#This Row],[نوع الخدمة]]="كاش ان",
    IF(F222&lt;=100, 18, IF(F222&lt;=250, 23, IF(F222&lt;=500, 35, IF(F222&lt;=1000, 40, F222*0.04)))),
IF(Basic34567[[#This Row],[نوع الخدمة]]="كاش اوت",
    IF(F222&lt;=100, 15, IF(F222&lt;=250, 20, IF(F222&lt;=500, 30, IF(F222&lt;=1000, 35, F222*0.035)))),
0)))</f>
        <v>0</v>
      </c>
      <c r="H222" s="159">
        <f>IF(I222="مخالفات",50,Basic34567[[#This Row],[قيمة الرسوم / العموله]]+Basic34567[[#This Row],[قيمة الشحنه]])</f>
        <v>0</v>
      </c>
      <c r="I222" s="90"/>
      <c r="J222" s="142" t="str">
        <f t="shared" si="3"/>
        <v>26.5.2026</v>
      </c>
      <c r="L222" s="153">
        <v>211</v>
      </c>
      <c r="M222" s="92"/>
    </row>
    <row r="223" spans="1:13" ht="21.6" x14ac:dyDescent="0.65">
      <c r="A223" s="195"/>
      <c r="B223" s="140">
        <v>220</v>
      </c>
      <c r="C223" s="2"/>
      <c r="D223" s="1"/>
      <c r="E223" s="3"/>
      <c r="F223" s="1"/>
      <c r="G223" s="141">
        <f>IF(Basic34567[[#This Row],[نوع الخدمة]]="مخالفات", 50,
IF(Basic34567[[#This Row],[نوع الخدمة]]="كاش ان",
    IF(F223&lt;=100, 18, IF(F223&lt;=250, 23, IF(F223&lt;=500, 35, IF(F223&lt;=1000, 40, F223*0.04)))),
IF(Basic34567[[#This Row],[نوع الخدمة]]="كاش اوت",
    IF(F223&lt;=100, 15, IF(F223&lt;=250, 20, IF(F223&lt;=500, 30, IF(F223&lt;=1000, 35, F223*0.035)))),
0)))</f>
        <v>0</v>
      </c>
      <c r="H223" s="159">
        <f>IF(I223="مخالفات",50,Basic34567[[#This Row],[قيمة الرسوم / العموله]]+Basic34567[[#This Row],[قيمة الشحنه]])</f>
        <v>0</v>
      </c>
      <c r="I223" s="90"/>
      <c r="J223" s="142" t="str">
        <f t="shared" si="3"/>
        <v>26.5.2026</v>
      </c>
      <c r="L223" s="153">
        <v>212</v>
      </c>
      <c r="M223" s="92"/>
    </row>
    <row r="224" spans="1:13" ht="21.6" x14ac:dyDescent="0.65">
      <c r="A224" s="195"/>
      <c r="B224" s="140">
        <v>221</v>
      </c>
      <c r="C224" s="2"/>
      <c r="D224" s="1"/>
      <c r="E224" s="3"/>
      <c r="F224" s="1"/>
      <c r="G224" s="141">
        <f>IF(Basic34567[[#This Row],[نوع الخدمة]]="مخالفات", 50,
IF(Basic34567[[#This Row],[نوع الخدمة]]="كاش ان",
    IF(F224&lt;=100, 18, IF(F224&lt;=250, 23, IF(F224&lt;=500, 35, IF(F224&lt;=1000, 40, F224*0.04)))),
IF(Basic34567[[#This Row],[نوع الخدمة]]="كاش اوت",
    IF(F224&lt;=100, 15, IF(F224&lt;=250, 20, IF(F224&lt;=500, 30, IF(F224&lt;=1000, 35, F224*0.035)))),
0)))</f>
        <v>0</v>
      </c>
      <c r="H224" s="159">
        <f>IF(I224="مخالفات",50,Basic34567[[#This Row],[قيمة الرسوم / العموله]]+Basic34567[[#This Row],[قيمة الشحنه]])</f>
        <v>0</v>
      </c>
      <c r="I224" s="90"/>
      <c r="J224" s="142" t="str">
        <f t="shared" si="3"/>
        <v>26.5.2026</v>
      </c>
      <c r="L224" s="153">
        <v>213</v>
      </c>
      <c r="M224" s="92"/>
    </row>
    <row r="225" spans="1:13" ht="21.6" x14ac:dyDescent="0.65">
      <c r="A225" s="195"/>
      <c r="B225" s="144">
        <v>222</v>
      </c>
      <c r="C225" s="2"/>
      <c r="D225" s="1"/>
      <c r="E225" s="3"/>
      <c r="F225" s="1"/>
      <c r="G225" s="141">
        <f>IF(Basic34567[[#This Row],[نوع الخدمة]]="مخالفات", 50,
IF(Basic34567[[#This Row],[نوع الخدمة]]="كاش ان",
    IF(F225&lt;=100, 18, IF(F225&lt;=250, 23, IF(F225&lt;=500, 35, IF(F225&lt;=1000, 40, F225*0.04)))),
IF(Basic34567[[#This Row],[نوع الخدمة]]="كاش اوت",
    IF(F225&lt;=100, 15, IF(F225&lt;=250, 20, IF(F225&lt;=500, 30, IF(F225&lt;=1000, 35, F225*0.035)))),
0)))</f>
        <v>0</v>
      </c>
      <c r="H225" s="159">
        <f>IF(I225="مخالفات",50,Basic34567[[#This Row],[قيمة الرسوم / العموله]]+Basic34567[[#This Row],[قيمة الشحنه]])</f>
        <v>0</v>
      </c>
      <c r="I225" s="90"/>
      <c r="J225" s="142" t="str">
        <f t="shared" si="3"/>
        <v>26.5.2026</v>
      </c>
      <c r="L225" s="153">
        <v>214</v>
      </c>
      <c r="M225" s="92"/>
    </row>
    <row r="226" spans="1:13" ht="21.6" x14ac:dyDescent="0.65">
      <c r="A226" s="195"/>
      <c r="B226" s="140">
        <v>223</v>
      </c>
      <c r="C226" s="4"/>
      <c r="D226" s="5"/>
      <c r="E226" s="6"/>
      <c r="F226" s="5"/>
      <c r="G226" s="141">
        <f>IF(Basic34567[[#This Row],[نوع الخدمة]]="مخالفات", 50,
IF(Basic34567[[#This Row],[نوع الخدمة]]="كاش ان",
    IF(F226&lt;=100, 18, IF(F226&lt;=250, 23, IF(F226&lt;=500, 35, IF(F226&lt;=1000, 40, F226*0.04)))),
IF(Basic34567[[#This Row],[نوع الخدمة]]="كاش اوت",
    IF(F226&lt;=100, 15, IF(F226&lt;=250, 20, IF(F226&lt;=500, 30, IF(F226&lt;=1000, 35, F226*0.035)))),
0)))</f>
        <v>0</v>
      </c>
      <c r="H226" s="160">
        <f>IF(I226="مخالفات",50,Basic34567[[#This Row],[قيمة الرسوم / العموله]]+Basic34567[[#This Row],[قيمة الشحنه]])</f>
        <v>0</v>
      </c>
      <c r="I226" s="90"/>
      <c r="J226" s="142" t="str">
        <f t="shared" si="3"/>
        <v>26.5.2026</v>
      </c>
      <c r="L226" s="156">
        <v>215</v>
      </c>
      <c r="M226" s="93"/>
    </row>
  </sheetData>
  <sheetProtection algorithmName="SHA-512" hashValue="gbki/+KpA7myaLkb0tu1uJ1kypr5rg1zSxIuXmH0nwxk8JltNvQHX6Rv5vFtUXKH9C/Ng01OCRIVd/FgTxvrGw==" saltValue="XVyaL2F+jrT54OhU9ei+Gw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23" priority="12" operator="equal">
      <formula>$BH$10</formula>
    </cfRule>
    <cfRule type="cellIs" dxfId="22" priority="13" operator="equal">
      <formula>$BH$9</formula>
    </cfRule>
    <cfRule type="cellIs" dxfId="21" priority="14" operator="equal">
      <formula>$BH$8</formula>
    </cfRule>
  </conditionalFormatting>
  <conditionalFormatting sqref="P11">
    <cfRule type="cellIs" dxfId="20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{BA3E1D58-7BA6-4900-9AE7-09DE706667AE}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{E6635A11-C11F-4D21-8491-E561CA6313D2}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{37EE61FF-C7E8-47D1-8F5A-82F63B24B0BB}</x14:id>
        </ext>
      </extLst>
    </cfRule>
  </conditionalFormatting>
  <dataValidations count="2">
    <dataValidation type="textLength" operator="equal" allowBlank="1" showInputMessage="1" showErrorMessage="1" errorTitle="يجب إخال رقم IPN صحيح 13 رقم" sqref="C1:C1048576" xr:uid="{00000000-0002-0000-1900-000000000000}">
      <formula1>13</formula1>
    </dataValidation>
    <dataValidation type="list" allowBlank="1" showInputMessage="1" showErrorMessage="1" sqref="I4:I226" xr:uid="{00000000-0002-0000-1900-000001000000}">
      <formula1>$BH$8:$BH$10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A3E1D58-7BA6-4900-9AE7-09DE706667A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E6635A11-C11F-4D21-8491-E561CA6313D2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37EE61FF-C7E8-47D1-8F5A-82F63B24B0BB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H226"/>
  <sheetViews>
    <sheetView showGridLines="0" showRowColHeaders="0" rightToLeft="1" topLeftCell="D1" zoomScale="80" zoomScaleNormal="80" workbookViewId="0">
      <selection activeCell="R10" sqref="R10:W10"/>
    </sheetView>
  </sheetViews>
  <sheetFormatPr defaultColWidth="9.109375" defaultRowHeight="14.4" x14ac:dyDescent="0.3"/>
  <cols>
    <col min="1" max="1" width="2.5546875" style="124" customWidth="1"/>
    <col min="2" max="2" width="6.5546875" style="125" bestFit="1" customWidth="1"/>
    <col min="3" max="3" width="25.6640625" style="126" customWidth="1"/>
    <col min="4" max="4" width="15.6640625" style="124" customWidth="1"/>
    <col min="5" max="5" width="17.5546875" style="157" customWidth="1"/>
    <col min="6" max="6" width="12.88671875" style="124" bestFit="1" customWidth="1"/>
    <col min="7" max="7" width="19" style="124" bestFit="1" customWidth="1"/>
    <col min="8" max="8" width="19" style="124" customWidth="1"/>
    <col min="9" max="9" width="12.44140625" style="128" bestFit="1" customWidth="1"/>
    <col min="10" max="10" width="16.44140625" style="129" customWidth="1"/>
    <col min="11" max="11" width="3.5546875" style="124" customWidth="1"/>
    <col min="12" max="12" width="8.5546875" style="124" bestFit="1" customWidth="1"/>
    <col min="13" max="13" width="23" style="124" customWidth="1"/>
    <col min="14" max="14" width="8.33203125" style="124" bestFit="1" customWidth="1"/>
    <col min="15" max="15" width="26.5546875" style="124" bestFit="1" customWidth="1"/>
    <col min="16" max="16" width="15" style="124" customWidth="1"/>
    <col min="17" max="17" width="3.5546875" style="124" customWidth="1"/>
    <col min="18" max="19" width="17.5546875" style="128" customWidth="1"/>
    <col min="20" max="20" width="11.5546875" style="128" bestFit="1" customWidth="1"/>
    <col min="21" max="21" width="10.5546875" style="128" bestFit="1" customWidth="1"/>
    <col min="22" max="22" width="10.109375" style="128" bestFit="1" customWidth="1"/>
    <col min="23" max="23" width="8.88671875" style="128" customWidth="1"/>
    <col min="24" max="24" width="12.6640625" style="124" customWidth="1"/>
    <col min="25" max="16384" width="9.109375" style="124"/>
  </cols>
  <sheetData>
    <row r="1" spans="1:60" x14ac:dyDescent="0.3">
      <c r="E1" s="127">
        <f>Total!F5</f>
        <v>69</v>
      </c>
      <c r="F1" s="192" t="str">
        <f>Total!G5</f>
        <v>العبور</v>
      </c>
      <c r="G1" s="192"/>
      <c r="H1" s="192"/>
    </row>
    <row r="3" spans="1:60" ht="15.6" x14ac:dyDescent="0.3">
      <c r="B3" s="130" t="s">
        <v>0</v>
      </c>
      <c r="C3" s="131" t="s">
        <v>1</v>
      </c>
      <c r="D3" s="132" t="s">
        <v>2</v>
      </c>
      <c r="E3" s="133" t="s">
        <v>3</v>
      </c>
      <c r="F3" s="132" t="s">
        <v>4</v>
      </c>
      <c r="G3" s="132" t="s">
        <v>5</v>
      </c>
      <c r="H3" s="132" t="s">
        <v>76</v>
      </c>
      <c r="I3" s="132" t="s">
        <v>6</v>
      </c>
      <c r="J3" s="134" t="s">
        <v>7</v>
      </c>
      <c r="L3" s="135" t="s">
        <v>7</v>
      </c>
      <c r="M3" s="7" t="s">
        <v>110</v>
      </c>
      <c r="O3" s="137" t="s">
        <v>17</v>
      </c>
      <c r="P3" s="138">
        <f>M5+M6</f>
        <v>0</v>
      </c>
      <c r="T3" s="173"/>
      <c r="U3" s="173"/>
      <c r="V3" s="173"/>
      <c r="W3" s="173"/>
      <c r="X3" s="139"/>
    </row>
    <row r="4" spans="1:60" ht="21.6" x14ac:dyDescent="0.65">
      <c r="A4" s="195"/>
      <c r="B4" s="140">
        <v>1</v>
      </c>
      <c r="C4" s="8"/>
      <c r="D4" s="9"/>
      <c r="E4" s="10"/>
      <c r="F4" s="9"/>
      <c r="G4" s="141">
        <f>IF(Basic3456[[#This Row],[نوع الخدمة]]="مخالفات", 50,
IF(Basic3456[[#This Row],[نوع الخدمة]]="كاش ان",
    IF(F4&lt;=100, 18, IF(F4&lt;=250, 23, IF(F4&lt;=500, 35, IF(F4&lt;=1000, 40, F4*0.04)))),
IF(Basic3456[[#This Row],[نوع الخدمة]]="كاش اوت",
    IF(F4&lt;=100, 15, IF(F4&lt;=250, 20, IF(F4&lt;=500, 30, IF(F4&lt;=1000, 35, F4*0.035)))),
0)))</f>
        <v>0</v>
      </c>
      <c r="H4" s="141">
        <f>IF(I4="مخالفات",50,Basic3456[[#This Row],[قيمة الرسوم / العموله]]+Basic3456[[#This Row],[قيمة الشحنه]])</f>
        <v>0</v>
      </c>
      <c r="I4" s="90"/>
      <c r="J4" s="142" t="str">
        <f t="shared" ref="J4:J67" si="0">M$3</f>
        <v>27.5.2026</v>
      </c>
      <c r="L4" s="135" t="s">
        <v>26</v>
      </c>
      <c r="M4" s="90">
        <v>0</v>
      </c>
      <c r="O4" s="137" t="s">
        <v>18</v>
      </c>
      <c r="P4" s="138">
        <f>M4</f>
        <v>0</v>
      </c>
      <c r="S4" s="143" t="s">
        <v>22</v>
      </c>
      <c r="T4" s="143" t="s">
        <v>23</v>
      </c>
      <c r="U4" s="173"/>
      <c r="V4" s="173"/>
      <c r="W4" s="173"/>
      <c r="X4" s="139"/>
    </row>
    <row r="5" spans="1:60" ht="21.6" x14ac:dyDescent="0.65">
      <c r="A5" s="195"/>
      <c r="B5" s="144">
        <v>2</v>
      </c>
      <c r="C5" s="8"/>
      <c r="D5" s="9"/>
      <c r="E5" s="10"/>
      <c r="F5" s="9"/>
      <c r="G5" s="141">
        <f>IF(Basic3456[[#This Row],[نوع الخدمة]]="مخالفات", 50,
IF(Basic3456[[#This Row],[نوع الخدمة]]="كاش ان",
    IF(F5&lt;=100, 18, IF(F5&lt;=250, 23, IF(F5&lt;=500, 35, IF(F5&lt;=1000, 40, F5*0.04)))),
IF(Basic3456[[#This Row],[نوع الخدمة]]="كاش اوت",
    IF(F5&lt;=100, 15, IF(F5&lt;=250, 20, IF(F5&lt;=500, 30, IF(F5&lt;=1000, 35, F5*0.035)))),
0)))</f>
        <v>0</v>
      </c>
      <c r="H5" s="141">
        <f>IF(I5="مخالفات",50,Basic3456[[#This Row],[قيمة الرسوم / العموله]]+Basic3456[[#This Row],[قيمة الشحنه]])</f>
        <v>0</v>
      </c>
      <c r="I5" s="90"/>
      <c r="J5" s="142" t="str">
        <f t="shared" si="0"/>
        <v>27.5.2026</v>
      </c>
      <c r="L5" s="135" t="s">
        <v>27</v>
      </c>
      <c r="M5" s="90"/>
      <c r="O5" s="137" t="s">
        <v>19</v>
      </c>
      <c r="P5" s="138">
        <f>SUMIF(Basic3456[نوع الخدمة],"كاش ان",Basic3456[قيمة الشحنه])</f>
        <v>0</v>
      </c>
      <c r="S5" s="145">
        <f>P5+P9+P12+P7</f>
        <v>0</v>
      </c>
      <c r="T5" s="145">
        <f>P3</f>
        <v>0</v>
      </c>
    </row>
    <row r="6" spans="1:60" ht="21.6" x14ac:dyDescent="0.65">
      <c r="A6" s="195"/>
      <c r="B6" s="140">
        <v>3</v>
      </c>
      <c r="C6" s="8"/>
      <c r="D6" s="9"/>
      <c r="E6" s="10"/>
      <c r="F6" s="9"/>
      <c r="G6" s="141">
        <f>IF(Basic3456[[#This Row],[نوع الخدمة]]="مخالفات", 50,
IF(Basic3456[[#This Row],[نوع الخدمة]]="كاش ان",
    IF(F6&lt;=100, 18, IF(F6&lt;=250, 23, IF(F6&lt;=500, 35, IF(F6&lt;=1000, 40, F6*0.04)))),
IF(Basic3456[[#This Row],[نوع الخدمة]]="كاش اوت",
    IF(F6&lt;=100, 15, IF(F6&lt;=250, 20, IF(F6&lt;=500, 30, IF(F6&lt;=1000, 35, F6*0.035)))),
0)))</f>
        <v>0</v>
      </c>
      <c r="H6" s="141">
        <f>IF(I6="مخالفات",50,Basic3456[[#This Row],[قيمة الرسوم / العموله]]+Basic3456[[#This Row],[قيمة الشحنه]])</f>
        <v>0</v>
      </c>
      <c r="I6" s="90"/>
      <c r="J6" s="142" t="str">
        <f t="shared" si="0"/>
        <v>27.5.2026</v>
      </c>
      <c r="L6" s="135" t="s">
        <v>28</v>
      </c>
      <c r="M6" s="90"/>
      <c r="O6" s="146" t="s">
        <v>12</v>
      </c>
      <c r="P6" s="138">
        <f>P3*150</f>
        <v>0</v>
      </c>
    </row>
    <row r="7" spans="1:60" ht="21.6" x14ac:dyDescent="0.65">
      <c r="A7" s="195"/>
      <c r="B7" s="140">
        <v>4</v>
      </c>
      <c r="C7" s="8"/>
      <c r="D7" s="9"/>
      <c r="E7" s="10"/>
      <c r="F7" s="9"/>
      <c r="G7" s="141">
        <f>IF(Basic3456[[#This Row],[نوع الخدمة]]="مخالفات", 50,
IF(Basic3456[[#This Row],[نوع الخدمة]]="كاش ان",
    IF(F7&lt;=100, 18, IF(F7&lt;=250, 23, IF(F7&lt;=500, 35, IF(F7&lt;=1000, 40, F7*0.04)))),
IF(Basic3456[[#This Row],[نوع الخدمة]]="كاش اوت",
    IF(F7&lt;=100, 15, IF(F7&lt;=250, 20, IF(F7&lt;=500, 30, IF(F7&lt;=1000, 35, F7*0.035)))),
0)))</f>
        <v>0</v>
      </c>
      <c r="H7" s="141">
        <f>IF(I7="مخالفات",50,Basic3456[[#This Row],[قيمة الرسوم / العموله]]+Basic3456[[#This Row],[قيمة الشحنه]])</f>
        <v>0</v>
      </c>
      <c r="I7" s="90"/>
      <c r="J7" s="142" t="str">
        <f t="shared" si="0"/>
        <v>27.5.2026</v>
      </c>
      <c r="L7" s="137" t="s">
        <v>11</v>
      </c>
      <c r="M7" s="165"/>
      <c r="O7" s="146" t="s">
        <v>75</v>
      </c>
      <c r="P7" s="138">
        <f>SUMIF(Basic3456[نوع الخدمة],"مخالفات",Basic3456[الاجمــــــــــالي])</f>
        <v>0</v>
      </c>
      <c r="R7" s="173"/>
      <c r="S7" s="173"/>
    </row>
    <row r="8" spans="1:60" ht="21.6" x14ac:dyDescent="0.65">
      <c r="A8" s="195"/>
      <c r="B8" s="140">
        <v>5</v>
      </c>
      <c r="C8" s="8"/>
      <c r="D8" s="9"/>
      <c r="E8" s="10"/>
      <c r="F8" s="9"/>
      <c r="G8" s="141">
        <f>IF(Basic3456[[#This Row],[نوع الخدمة]]="مخالفات", 50,
IF(Basic3456[[#This Row],[نوع الخدمة]]="كاش ان",
    IF(F8&lt;=100, 18, IF(F8&lt;=250, 23, IF(F8&lt;=500, 35, IF(F8&lt;=1000, 40, F8*0.04)))),
IF(Basic3456[[#This Row],[نوع الخدمة]]="كاش اوت",
    IF(F8&lt;=100, 15, IF(F8&lt;=250, 20, IF(F8&lt;=500, 30, IF(F8&lt;=1000, 35, F8*0.035)))),
0)))</f>
        <v>0</v>
      </c>
      <c r="H8" s="141">
        <f>IF(I8="مخالفات",50,Basic3456[[#This Row],[قيمة الرسوم / العموله]]+Basic3456[[#This Row],[قيمة الشحنه]])</f>
        <v>0</v>
      </c>
      <c r="I8" s="90"/>
      <c r="J8" s="142" t="str">
        <f t="shared" si="0"/>
        <v>27.5.2026</v>
      </c>
      <c r="L8" s="166" t="s">
        <v>79</v>
      </c>
      <c r="M8" s="167">
        <v>0</v>
      </c>
      <c r="O8" s="137" t="s">
        <v>11</v>
      </c>
      <c r="P8" s="138">
        <f>M7</f>
        <v>0</v>
      </c>
      <c r="R8" s="143" t="s">
        <v>72</v>
      </c>
      <c r="S8" s="143" t="s">
        <v>25</v>
      </c>
      <c r="T8" s="143" t="s">
        <v>24</v>
      </c>
      <c r="U8" s="143" t="s">
        <v>73</v>
      </c>
      <c r="V8" s="143" t="s">
        <v>25</v>
      </c>
      <c r="W8" s="143" t="s">
        <v>24</v>
      </c>
      <c r="BH8" s="148" t="s">
        <v>8</v>
      </c>
    </row>
    <row r="9" spans="1:60" ht="18" customHeight="1" x14ac:dyDescent="0.65">
      <c r="A9" s="195"/>
      <c r="B9" s="144">
        <v>6</v>
      </c>
      <c r="C9" s="8"/>
      <c r="D9" s="9"/>
      <c r="E9" s="10"/>
      <c r="F9" s="9"/>
      <c r="G9" s="141">
        <f>IF(Basic3456[[#This Row],[نوع الخدمة]]="مخالفات", 50,
IF(Basic3456[[#This Row],[نوع الخدمة]]="كاش ان",
    IF(F9&lt;=100, 18, IF(F9&lt;=250, 23, IF(F9&lt;=500, 35, IF(F9&lt;=1000, 40, F9*0.04)))),
IF(Basic3456[[#This Row],[نوع الخدمة]]="كاش اوت",
    IF(F9&lt;=100, 15, IF(F9&lt;=250, 20, IF(F9&lt;=500, 30, IF(F9&lt;=1000, 35, F9*0.035)))),
0)))</f>
        <v>0</v>
      </c>
      <c r="H9" s="141">
        <f>IF(I9="مخالفات",50,Basic3456[[#This Row],[قيمة الرسوم / العموله]]+Basic3456[[#This Row],[قيمة الشحنه]])</f>
        <v>0</v>
      </c>
      <c r="I9" s="90"/>
      <c r="J9" s="142" t="str">
        <f t="shared" si="0"/>
        <v>27.5.2026</v>
      </c>
      <c r="L9" s="166" t="s">
        <v>80</v>
      </c>
      <c r="M9" s="167">
        <v>0</v>
      </c>
      <c r="O9" s="137" t="s">
        <v>20</v>
      </c>
      <c r="P9" s="138">
        <f>SUMIF(Basic3456[نوع الخدمة],"كاش ان",Basic3456[قيمة الرسوم / العموله])</f>
        <v>0</v>
      </c>
      <c r="R9" s="149">
        <f>Total!H5/24</f>
        <v>29166.666666666668</v>
      </c>
      <c r="S9" s="149">
        <f>S5</f>
        <v>0</v>
      </c>
      <c r="T9" s="150">
        <f>S9/R9</f>
        <v>0</v>
      </c>
      <c r="U9" s="149">
        <f>Total!K5/24</f>
        <v>2.9166666666666665</v>
      </c>
      <c r="V9" s="149">
        <f>T5</f>
        <v>0</v>
      </c>
      <c r="W9" s="150">
        <f>V9/U9</f>
        <v>0</v>
      </c>
      <c r="BH9" s="148" t="s">
        <v>9</v>
      </c>
    </row>
    <row r="10" spans="1:60" ht="21.6" x14ac:dyDescent="0.65">
      <c r="A10" s="195"/>
      <c r="B10" s="140">
        <v>7</v>
      </c>
      <c r="C10" s="8"/>
      <c r="D10" s="9"/>
      <c r="E10" s="10"/>
      <c r="F10" s="9"/>
      <c r="G10" s="141">
        <f>IF(Basic3456[[#This Row],[نوع الخدمة]]="مخالفات", 50,
IF(Basic3456[[#This Row],[نوع الخدمة]]="كاش ان",
    IF(F10&lt;=100, 18, IF(F10&lt;=250, 23, IF(F10&lt;=500, 35, IF(F10&lt;=1000, 40, F10*0.04)))),
IF(Basic3456[[#This Row],[نوع الخدمة]]="كاش اوت",
    IF(F10&lt;=100, 15, IF(F10&lt;=250, 20, IF(F10&lt;=500, 30, IF(F10&lt;=1000, 35, F10*0.035)))),
0)))</f>
        <v>0</v>
      </c>
      <c r="H10" s="141">
        <f>IF(I10="مخالفات",50,Basic3456[[#This Row],[قيمة الرسوم / العموله]]+Basic3456[[#This Row],[قيمة الشحنه]])</f>
        <v>0</v>
      </c>
      <c r="I10" s="90"/>
      <c r="J10" s="142" t="str">
        <f t="shared" si="0"/>
        <v>27.5.2026</v>
      </c>
      <c r="O10" s="137" t="s">
        <v>16</v>
      </c>
      <c r="P10" s="138">
        <f>SUMIF(Basic3456[نوع الخدمة],"كاش اوت",Basic3456[قيمة الشحنه])</f>
        <v>0</v>
      </c>
      <c r="R10" s="191">
        <f>(W9+T9)/2</f>
        <v>0</v>
      </c>
      <c r="S10" s="191"/>
      <c r="T10" s="191"/>
      <c r="U10" s="191"/>
      <c r="V10" s="191"/>
      <c r="W10" s="191"/>
      <c r="BH10" s="148" t="s">
        <v>10</v>
      </c>
    </row>
    <row r="11" spans="1:60" ht="21.6" x14ac:dyDescent="0.65">
      <c r="A11" s="195"/>
      <c r="B11" s="140">
        <v>8</v>
      </c>
      <c r="C11" s="8"/>
      <c r="D11" s="9"/>
      <c r="E11" s="10"/>
      <c r="F11" s="9"/>
      <c r="G11" s="141">
        <f>IF(Basic3456[[#This Row],[نوع الخدمة]]="مخالفات", 50,
IF(Basic3456[[#This Row],[نوع الخدمة]]="كاش ان",
    IF(F11&lt;=100, 18, IF(F11&lt;=250, 23, IF(F11&lt;=500, 35, IF(F11&lt;=1000, 40, F11*0.04)))),
IF(Basic3456[[#This Row],[نوع الخدمة]]="كاش اوت",
    IF(F11&lt;=100, 15, IF(F11&lt;=250, 20, IF(F11&lt;=500, 30, IF(F11&lt;=1000, 35, F11*0.035)))),
0)))</f>
        <v>0</v>
      </c>
      <c r="H11" s="141">
        <f>IF(I11="مخالفات",50,Basic3456[[#This Row],[قيمة الرسوم / العموله]]+Basic3456[[#This Row],[قيمة الشحنه]])</f>
        <v>0</v>
      </c>
      <c r="I11" s="90"/>
      <c r="J11" s="142" t="str">
        <f t="shared" si="0"/>
        <v>27.5.2026</v>
      </c>
      <c r="L11" s="169" t="s">
        <v>77</v>
      </c>
      <c r="M11" s="168" t="s">
        <v>78</v>
      </c>
      <c r="O11" s="151" t="s">
        <v>21</v>
      </c>
      <c r="P11" s="152">
        <f>(P5+P6+P9+P7+P4)-P10-P8</f>
        <v>0</v>
      </c>
      <c r="T11" s="173"/>
    </row>
    <row r="12" spans="1:60" ht="21.6" x14ac:dyDescent="0.65">
      <c r="A12" s="195"/>
      <c r="B12" s="140">
        <v>9</v>
      </c>
      <c r="C12" s="8"/>
      <c r="D12" s="9"/>
      <c r="E12" s="10"/>
      <c r="F12" s="9"/>
      <c r="G12" s="141">
        <f>IF(Basic3456[[#This Row],[نوع الخدمة]]="مخالفات", 50,
IF(Basic3456[[#This Row],[نوع الخدمة]]="كاش ان",
    IF(F12&lt;=100, 18, IF(F12&lt;=250, 23, IF(F12&lt;=500, 35, IF(F12&lt;=1000, 40, F12*0.04)))),
IF(Basic3456[[#This Row],[نوع الخدمة]]="كاش اوت",
    IF(F12&lt;=100, 15, IF(F12&lt;=250, 20, IF(F12&lt;=500, 30, IF(F12&lt;=1000, 35, F12*0.035)))),
0)))</f>
        <v>0</v>
      </c>
      <c r="H12" s="141">
        <f>IF(I12="مخالفات",50,Basic3456[[#This Row],[قيمة الرسوم / العموله]]+Basic3456[[#This Row],[قيمة الشحنه]])</f>
        <v>0</v>
      </c>
      <c r="I12" s="90"/>
      <c r="J12" s="142" t="str">
        <f t="shared" si="0"/>
        <v>27.5.2026</v>
      </c>
      <c r="L12" s="153">
        <v>1</v>
      </c>
      <c r="M12" s="91"/>
      <c r="O12" s="137" t="s">
        <v>29</v>
      </c>
      <c r="P12" s="138">
        <f>SUMIF(Basic3456[نوع الخدمة],"كاش اوت",Basic3456[الاجمــــــــــالي])</f>
        <v>0</v>
      </c>
    </row>
    <row r="13" spans="1:60" ht="21.6" x14ac:dyDescent="0.65">
      <c r="A13" s="195"/>
      <c r="B13" s="144">
        <v>10</v>
      </c>
      <c r="C13" s="8"/>
      <c r="D13" s="9"/>
      <c r="E13" s="10"/>
      <c r="F13" s="9"/>
      <c r="G13" s="141">
        <f>IF(Basic3456[[#This Row],[نوع الخدمة]]="مخالفات", 50,
IF(Basic3456[[#This Row],[نوع الخدمة]]="كاش ان",
    IF(F13&lt;=100, 18, IF(F13&lt;=250, 23, IF(F13&lt;=500, 35, IF(F13&lt;=1000, 40, F13*0.04)))),
IF(Basic3456[[#This Row],[نوع الخدمة]]="كاش اوت",
    IF(F13&lt;=100, 15, IF(F13&lt;=250, 20, IF(F13&lt;=500, 30, IF(F13&lt;=1000, 35, F13*0.035)))),
0)))</f>
        <v>0</v>
      </c>
      <c r="H13" s="141">
        <f>IF(I13="مخالفات",50,Basic3456[[#This Row],[قيمة الرسوم / العموله]]+Basic3456[[#This Row],[قيمة الشحنه]])</f>
        <v>0</v>
      </c>
      <c r="I13" s="90"/>
      <c r="J13" s="142" t="str">
        <f t="shared" si="0"/>
        <v>27.5.2026</v>
      </c>
      <c r="L13" s="153">
        <v>2</v>
      </c>
      <c r="M13" s="92"/>
    </row>
    <row r="14" spans="1:60" ht="21.6" x14ac:dyDescent="0.65">
      <c r="A14" s="195"/>
      <c r="B14" s="140">
        <v>11</v>
      </c>
      <c r="C14" s="2"/>
      <c r="D14" s="1"/>
      <c r="E14" s="3"/>
      <c r="F14" s="1"/>
      <c r="G14" s="141">
        <f>IF(Basic3456[[#This Row],[نوع الخدمة]]="مخالفات", 50,
IF(Basic3456[[#This Row],[نوع الخدمة]]="كاش ان",
    IF(F14&lt;=100, 18, IF(F14&lt;=250, 23, IF(F14&lt;=500, 35, IF(F14&lt;=1000, 40, F14*0.04)))),
IF(Basic3456[[#This Row],[نوع الخدمة]]="كاش اوت",
    IF(F14&lt;=100, 15, IF(F14&lt;=250, 20, IF(F14&lt;=500, 30, IF(F14&lt;=1000, 35, F14*0.035)))),
0)))</f>
        <v>0</v>
      </c>
      <c r="H14" s="159">
        <f>IF(I14="مخالفات",50,Basic3456[[#This Row],[قيمة الرسوم / العموله]]+Basic3456[[#This Row],[قيمة الشحنه]])</f>
        <v>0</v>
      </c>
      <c r="I14" s="90"/>
      <c r="J14" s="142" t="str">
        <f t="shared" si="0"/>
        <v>27.5.2026</v>
      </c>
      <c r="L14" s="153">
        <v>3</v>
      </c>
      <c r="M14" s="92"/>
    </row>
    <row r="15" spans="1:60" ht="21.6" x14ac:dyDescent="0.65">
      <c r="A15" s="195"/>
      <c r="B15" s="140">
        <v>12</v>
      </c>
      <c r="C15" s="2"/>
      <c r="D15" s="1"/>
      <c r="E15" s="3"/>
      <c r="F15" s="1"/>
      <c r="G15" s="141">
        <f>IF(Basic3456[[#This Row],[نوع الخدمة]]="مخالفات", 50,
IF(Basic3456[[#This Row],[نوع الخدمة]]="كاش ان",
    IF(F15&lt;=100, 18, IF(F15&lt;=250, 23, IF(F15&lt;=500, 35, IF(F15&lt;=1000, 40, F15*0.04)))),
IF(Basic3456[[#This Row],[نوع الخدمة]]="كاش اوت",
    IF(F15&lt;=100, 15, IF(F15&lt;=250, 20, IF(F15&lt;=500, 30, IF(F15&lt;=1000, 35, F15*0.035)))),
0)))</f>
        <v>0</v>
      </c>
      <c r="H15" s="159">
        <f>IF(I15="مخالفات",50,Basic3456[[#This Row],[قيمة الرسوم / العموله]]+Basic3456[[#This Row],[قيمة الشحنه]])</f>
        <v>0</v>
      </c>
      <c r="I15" s="90"/>
      <c r="J15" s="142" t="str">
        <f t="shared" si="0"/>
        <v>27.5.2026</v>
      </c>
      <c r="L15" s="153">
        <v>4</v>
      </c>
      <c r="M15" s="92"/>
      <c r="O15" s="154" t="s">
        <v>10</v>
      </c>
      <c r="P15" s="155">
        <f>COUNTIF(Basic3456[نوع الخدمة],"مخالفات")</f>
        <v>0</v>
      </c>
    </row>
    <row r="16" spans="1:60" ht="21.6" x14ac:dyDescent="0.65">
      <c r="A16" s="195"/>
      <c r="B16" s="140">
        <v>13</v>
      </c>
      <c r="C16" s="2"/>
      <c r="D16" s="1"/>
      <c r="E16" s="3"/>
      <c r="F16" s="1"/>
      <c r="G16" s="141">
        <f>IF(Basic3456[[#This Row],[نوع الخدمة]]="مخالفات", 50,
IF(Basic3456[[#This Row],[نوع الخدمة]]="كاش ان",
    IF(F16&lt;=100, 18, IF(F16&lt;=250, 23, IF(F16&lt;=500, 35, IF(F16&lt;=1000, 40, F16*0.04)))),
IF(Basic3456[[#This Row],[نوع الخدمة]]="كاش اوت",
    IF(F16&lt;=100, 15, IF(F16&lt;=250, 20, IF(F16&lt;=500, 30, IF(F16&lt;=1000, 35, F16*0.035)))),
0)))</f>
        <v>0</v>
      </c>
      <c r="H16" s="159">
        <f>IF(I16="مخالفات",50,Basic3456[[#This Row],[قيمة الرسوم / العموله]]+Basic3456[[#This Row],[قيمة الشحنه]])</f>
        <v>0</v>
      </c>
      <c r="I16" s="90"/>
      <c r="J16" s="142" t="str">
        <f t="shared" si="0"/>
        <v>27.5.2026</v>
      </c>
      <c r="L16" s="153">
        <v>5</v>
      </c>
      <c r="M16" s="92"/>
      <c r="O16" s="154" t="s">
        <v>13</v>
      </c>
      <c r="P16" s="155">
        <f>COUNTIF(Basic3456[نوع الخدمة],"كاش ان")</f>
        <v>0</v>
      </c>
    </row>
    <row r="17" spans="1:21" ht="21.6" x14ac:dyDescent="0.65">
      <c r="A17" s="195"/>
      <c r="B17" s="144">
        <v>14</v>
      </c>
      <c r="C17" s="2"/>
      <c r="D17" s="1"/>
      <c r="E17" s="3"/>
      <c r="F17" s="1"/>
      <c r="G17" s="141">
        <f>IF(Basic3456[[#This Row],[نوع الخدمة]]="مخالفات", 50,
IF(Basic3456[[#This Row],[نوع الخدمة]]="كاش ان",
    IF(F17&lt;=100, 18, IF(F17&lt;=250, 23, IF(F17&lt;=500, 35, IF(F17&lt;=1000, 40, F17*0.04)))),
IF(Basic3456[[#This Row],[نوع الخدمة]]="كاش اوت",
    IF(F17&lt;=100, 15, IF(F17&lt;=250, 20, IF(F17&lt;=500, 30, IF(F17&lt;=1000, 35, F17*0.035)))),
0)))</f>
        <v>0</v>
      </c>
      <c r="H17" s="159">
        <f>IF(I17="مخالفات",50,Basic3456[[#This Row],[قيمة الرسوم / العموله]]+Basic3456[[#This Row],[قيمة الشحنه]])</f>
        <v>0</v>
      </c>
      <c r="I17" s="90"/>
      <c r="J17" s="142" t="str">
        <f t="shared" si="0"/>
        <v>27.5.2026</v>
      </c>
      <c r="L17" s="153">
        <v>6</v>
      </c>
      <c r="M17" s="92"/>
      <c r="O17" s="154" t="s">
        <v>14</v>
      </c>
      <c r="P17" s="155">
        <f>COUNTIF(Basic3456[نوع الخدمة],"كاش اوت")</f>
        <v>0</v>
      </c>
    </row>
    <row r="18" spans="1:21" ht="21.6" x14ac:dyDescent="0.65">
      <c r="A18" s="195"/>
      <c r="B18" s="140">
        <v>15</v>
      </c>
      <c r="C18" s="2"/>
      <c r="D18" s="1"/>
      <c r="E18" s="3"/>
      <c r="F18" s="1"/>
      <c r="G18" s="141">
        <f>IF(Basic3456[[#This Row],[نوع الخدمة]]="مخالفات", 50,
IF(Basic3456[[#This Row],[نوع الخدمة]]="كاش ان",
    IF(F18&lt;=100, 18, IF(F18&lt;=250, 23, IF(F18&lt;=500, 35, IF(F18&lt;=1000, 40, F18*0.04)))),
IF(Basic3456[[#This Row],[نوع الخدمة]]="كاش اوت",
    IF(F18&lt;=100, 15, IF(F18&lt;=250, 20, IF(F18&lt;=500, 30, IF(F18&lt;=1000, 35, F18*0.035)))),
0)))</f>
        <v>0</v>
      </c>
      <c r="H18" s="159">
        <f>IF(I18="مخالفات",50,Basic3456[[#This Row],[قيمة الرسوم / العموله]]+Basic3456[[#This Row],[قيمة الشحنه]])</f>
        <v>0</v>
      </c>
      <c r="I18" s="90"/>
      <c r="J18" s="142" t="str">
        <f t="shared" si="0"/>
        <v>27.5.2026</v>
      </c>
      <c r="L18" s="153">
        <v>7</v>
      </c>
      <c r="M18" s="92"/>
      <c r="O18" s="154" t="s">
        <v>15</v>
      </c>
      <c r="P18" s="155">
        <f>P16+P17</f>
        <v>0</v>
      </c>
    </row>
    <row r="19" spans="1:21" ht="21.6" x14ac:dyDescent="0.65">
      <c r="A19" s="195"/>
      <c r="B19" s="140">
        <v>16</v>
      </c>
      <c r="C19" s="2"/>
      <c r="D19" s="1"/>
      <c r="E19" s="3"/>
      <c r="F19" s="1"/>
      <c r="G19" s="141">
        <f>IF(Basic3456[[#This Row],[نوع الخدمة]]="مخالفات", 50,
IF(Basic3456[[#This Row],[نوع الخدمة]]="كاش ان",
    IF(F19&lt;=100, 18, IF(F19&lt;=250, 23, IF(F19&lt;=500, 35, IF(F19&lt;=1000, 40, F19*0.04)))),
IF(Basic3456[[#This Row],[نوع الخدمة]]="كاش اوت",
    IF(F19&lt;=100, 15, IF(F19&lt;=250, 20, IF(F19&lt;=500, 30, IF(F19&lt;=1000, 35, F19*0.035)))),
0)))</f>
        <v>0</v>
      </c>
      <c r="H19" s="159">
        <f>IF(I19="مخالفات",50,Basic3456[[#This Row],[قيمة الرسوم / العموله]]+Basic3456[[#This Row],[قيمة الشحنه]])</f>
        <v>0</v>
      </c>
      <c r="I19" s="90"/>
      <c r="J19" s="142" t="str">
        <f t="shared" si="0"/>
        <v>27.5.2026</v>
      </c>
      <c r="L19" s="153">
        <v>8</v>
      </c>
      <c r="M19" s="92"/>
    </row>
    <row r="20" spans="1:21" ht="21.6" x14ac:dyDescent="0.65">
      <c r="A20" s="195"/>
      <c r="B20" s="140">
        <v>17</v>
      </c>
      <c r="C20" s="2"/>
      <c r="D20" s="1"/>
      <c r="E20" s="3"/>
      <c r="F20" s="1"/>
      <c r="G20" s="141">
        <f>IF(Basic3456[[#This Row],[نوع الخدمة]]="مخالفات", 50,
IF(Basic3456[[#This Row],[نوع الخدمة]]="كاش ان",
    IF(F20&lt;=100, 18, IF(F20&lt;=250, 23, IF(F20&lt;=500, 35, IF(F20&lt;=1000, 40, F20*0.04)))),
IF(Basic3456[[#This Row],[نوع الخدمة]]="كاش اوت",
    IF(F20&lt;=100, 15, IF(F20&lt;=250, 20, IF(F20&lt;=500, 30, IF(F20&lt;=1000, 35, F20*0.035)))),
0)))</f>
        <v>0</v>
      </c>
      <c r="H20" s="159">
        <f>IF(I20="مخالفات",50,Basic3456[[#This Row],[قيمة الرسوم / العموله]]+Basic3456[[#This Row],[قيمة الشحنه]])</f>
        <v>0</v>
      </c>
      <c r="I20" s="90"/>
      <c r="J20" s="142" t="str">
        <f t="shared" si="0"/>
        <v>27.5.2026</v>
      </c>
      <c r="L20" s="153">
        <v>9</v>
      </c>
      <c r="M20" s="92"/>
      <c r="O20" s="193" t="s">
        <v>30</v>
      </c>
      <c r="P20" s="194"/>
    </row>
    <row r="21" spans="1:21" ht="21.6" x14ac:dyDescent="0.65">
      <c r="A21" s="195"/>
      <c r="B21" s="144">
        <v>18</v>
      </c>
      <c r="C21" s="2"/>
      <c r="D21" s="1"/>
      <c r="E21" s="3"/>
      <c r="F21" s="1"/>
      <c r="G21" s="141">
        <f>IF(Basic3456[[#This Row],[نوع الخدمة]]="مخالفات", 50,
IF(Basic3456[[#This Row],[نوع الخدمة]]="كاش ان",
    IF(F21&lt;=100, 18, IF(F21&lt;=250, 23, IF(F21&lt;=500, 35, IF(F21&lt;=1000, 40, F21*0.04)))),
IF(Basic3456[[#This Row],[نوع الخدمة]]="كاش اوت",
    IF(F21&lt;=100, 15, IF(F21&lt;=250, 20, IF(F21&lt;=500, 30, IF(F21&lt;=1000, 35, F21*0.035)))),
0)))</f>
        <v>0</v>
      </c>
      <c r="H21" s="159">
        <f>IF(I21="مخالفات",50,Basic3456[[#This Row],[قيمة الرسوم / العموله]]+Basic3456[[#This Row],[قيمة الشحنه]])</f>
        <v>0</v>
      </c>
      <c r="I21" s="90"/>
      <c r="J21" s="142" t="str">
        <f t="shared" si="0"/>
        <v>27.5.2026</v>
      </c>
      <c r="L21" s="153">
        <v>10</v>
      </c>
      <c r="M21" s="92"/>
      <c r="O21" s="196" t="s">
        <v>31</v>
      </c>
      <c r="P21" s="197"/>
    </row>
    <row r="22" spans="1:21" ht="21.6" x14ac:dyDescent="0.65">
      <c r="A22" s="195"/>
      <c r="B22" s="140">
        <v>19</v>
      </c>
      <c r="C22" s="2"/>
      <c r="D22" s="1"/>
      <c r="E22" s="3"/>
      <c r="F22" s="1"/>
      <c r="G22" s="141">
        <f>IF(Basic3456[[#This Row],[نوع الخدمة]]="مخالفات", 50,
IF(Basic3456[[#This Row],[نوع الخدمة]]="كاش ان",
    IF(F22&lt;=100, 18, IF(F22&lt;=250, 23, IF(F22&lt;=500, 35, IF(F22&lt;=1000, 40, F22*0.04)))),
IF(Basic3456[[#This Row],[نوع الخدمة]]="كاش اوت",
    IF(F22&lt;=100, 15, IF(F22&lt;=250, 20, IF(F22&lt;=500, 30, IF(F22&lt;=1000, 35, F22*0.035)))),
0)))</f>
        <v>0</v>
      </c>
      <c r="H22" s="159">
        <f>IF(I22="مخالفات",50,Basic3456[[#This Row],[قيمة الرسوم / العموله]]+Basic3456[[#This Row],[قيمة الشحنه]])</f>
        <v>0</v>
      </c>
      <c r="I22" s="90"/>
      <c r="J22" s="142" t="str">
        <f t="shared" si="0"/>
        <v>27.5.2026</v>
      </c>
      <c r="L22" s="153">
        <v>11</v>
      </c>
      <c r="M22" s="92"/>
      <c r="O22" s="147" t="s">
        <v>27</v>
      </c>
      <c r="P22" s="135">
        <f>M8+'26'!P28</f>
        <v>-4</v>
      </c>
    </row>
    <row r="23" spans="1:21" ht="21.6" x14ac:dyDescent="0.65">
      <c r="A23" s="195"/>
      <c r="B23" s="140">
        <v>20</v>
      </c>
      <c r="C23" s="2"/>
      <c r="D23" s="1"/>
      <c r="E23" s="3"/>
      <c r="F23" s="1"/>
      <c r="G23" s="141">
        <f>IF(Basic3456[[#This Row],[نوع الخدمة]]="مخالفات", 50,
IF(Basic3456[[#This Row],[نوع الخدمة]]="كاش ان",
    IF(F23&lt;=100, 18, IF(F23&lt;=250, 23, IF(F23&lt;=500, 35, IF(F23&lt;=1000, 40, F23*0.04)))),
IF(Basic3456[[#This Row],[نوع الخدمة]]="كاش اوت",
    IF(F23&lt;=100, 15, IF(F23&lt;=250, 20, IF(F23&lt;=500, 30, IF(F23&lt;=1000, 35, F23*0.035)))),
0)))</f>
        <v>0</v>
      </c>
      <c r="H23" s="159">
        <f>IF(I23="مخالفات",50,Basic3456[[#This Row],[قيمة الرسوم / العموله]]+Basic3456[[#This Row],[قيمة الشحنه]])</f>
        <v>0</v>
      </c>
      <c r="I23" s="90"/>
      <c r="J23" s="142" t="str">
        <f t="shared" si="0"/>
        <v>27.5.2026</v>
      </c>
      <c r="L23" s="153">
        <v>12</v>
      </c>
      <c r="M23" s="92"/>
      <c r="O23" s="147" t="s">
        <v>28</v>
      </c>
      <c r="P23" s="135">
        <f>M9+'26'!P29</f>
        <v>0</v>
      </c>
      <c r="T23" s="173"/>
      <c r="U23" s="173"/>
    </row>
    <row r="24" spans="1:21" ht="21.6" x14ac:dyDescent="0.65">
      <c r="A24" s="195"/>
      <c r="B24" s="140">
        <v>21</v>
      </c>
      <c r="C24" s="2"/>
      <c r="D24" s="1"/>
      <c r="E24" s="3"/>
      <c r="F24" s="1"/>
      <c r="G24" s="141">
        <f>IF(Basic3456[[#This Row],[نوع الخدمة]]="مخالفات", 50,
IF(Basic3456[[#This Row],[نوع الخدمة]]="كاش ان",
    IF(F24&lt;=100, 18, IF(F24&lt;=250, 23, IF(F24&lt;=500, 35, IF(F24&lt;=1000, 40, F24*0.04)))),
IF(Basic3456[[#This Row],[نوع الخدمة]]="كاش اوت",
    IF(F24&lt;=100, 15, IF(F24&lt;=250, 20, IF(F24&lt;=500, 30, IF(F24&lt;=1000, 35, F24*0.035)))),
0)))</f>
        <v>0</v>
      </c>
      <c r="H24" s="159">
        <f>IF(I24="مخالفات",50,Basic3456[[#This Row],[قيمة الرسوم / العموله]]+Basic3456[[#This Row],[قيمة الشحنه]])</f>
        <v>0</v>
      </c>
      <c r="I24" s="90"/>
      <c r="J24" s="142" t="str">
        <f t="shared" si="0"/>
        <v>27.5.2026</v>
      </c>
      <c r="L24" s="153">
        <v>13</v>
      </c>
      <c r="M24" s="92"/>
      <c r="O24" s="196" t="s">
        <v>32</v>
      </c>
      <c r="P24" s="197"/>
    </row>
    <row r="25" spans="1:21" ht="21.6" x14ac:dyDescent="0.65">
      <c r="A25" s="195"/>
      <c r="B25" s="144">
        <v>22</v>
      </c>
      <c r="C25" s="2"/>
      <c r="D25" s="1"/>
      <c r="E25" s="3"/>
      <c r="F25" s="1"/>
      <c r="G25" s="141">
        <f>IF(Basic3456[[#This Row],[نوع الخدمة]]="مخالفات", 50,
IF(Basic3456[[#This Row],[نوع الخدمة]]="كاش ان",
    IF(F25&lt;=100, 18, IF(F25&lt;=250, 23, IF(F25&lt;=500, 35, IF(F25&lt;=1000, 40, F25*0.04)))),
IF(Basic3456[[#This Row],[نوع الخدمة]]="كاش اوت",
    IF(F25&lt;=100, 15, IF(F25&lt;=250, 20, IF(F25&lt;=500, 30, IF(F25&lt;=1000, 35, F25*0.035)))),
0)))</f>
        <v>0</v>
      </c>
      <c r="H25" s="159">
        <f>IF(I25="مخالفات",50,Basic3456[[#This Row],[قيمة الرسوم / العموله]]+Basic3456[[#This Row],[قيمة الشحنه]])</f>
        <v>0</v>
      </c>
      <c r="I25" s="90"/>
      <c r="J25" s="142" t="str">
        <f t="shared" si="0"/>
        <v>27.5.2026</v>
      </c>
      <c r="L25" s="153">
        <v>14</v>
      </c>
      <c r="M25" s="92"/>
      <c r="O25" s="147" t="s">
        <v>27</v>
      </c>
      <c r="P25" s="135">
        <f>M5</f>
        <v>0</v>
      </c>
    </row>
    <row r="26" spans="1:21" ht="21.6" x14ac:dyDescent="0.65">
      <c r="A26" s="195"/>
      <c r="B26" s="140">
        <v>23</v>
      </c>
      <c r="C26" s="2"/>
      <c r="D26" s="1"/>
      <c r="E26" s="3"/>
      <c r="F26" s="1"/>
      <c r="G26" s="141">
        <f>IF(Basic3456[[#This Row],[نوع الخدمة]]="مخالفات", 50,
IF(Basic3456[[#This Row],[نوع الخدمة]]="كاش ان",
    IF(F26&lt;=100, 18, IF(F26&lt;=250, 23, IF(F26&lt;=500, 35, IF(F26&lt;=1000, 40, F26*0.04)))),
IF(Basic3456[[#This Row],[نوع الخدمة]]="كاش اوت",
    IF(F26&lt;=100, 15, IF(F26&lt;=250, 20, IF(F26&lt;=500, 30, IF(F26&lt;=1000, 35, F26*0.035)))),
0)))</f>
        <v>0</v>
      </c>
      <c r="H26" s="159">
        <f>IF(I26="مخالفات",50,Basic3456[[#This Row],[قيمة الرسوم / العموله]]+Basic3456[[#This Row],[قيمة الشحنه]])</f>
        <v>0</v>
      </c>
      <c r="I26" s="90"/>
      <c r="J26" s="142" t="str">
        <f t="shared" si="0"/>
        <v>27.5.2026</v>
      </c>
      <c r="L26" s="153">
        <v>15</v>
      </c>
      <c r="M26" s="92"/>
      <c r="O26" s="147" t="s">
        <v>28</v>
      </c>
      <c r="P26" s="135">
        <f>M6</f>
        <v>0</v>
      </c>
    </row>
    <row r="27" spans="1:21" ht="21.6" x14ac:dyDescent="0.65">
      <c r="A27" s="195"/>
      <c r="B27" s="140">
        <v>24</v>
      </c>
      <c r="C27" s="2"/>
      <c r="D27" s="1"/>
      <c r="E27" s="3"/>
      <c r="F27" s="1"/>
      <c r="G27" s="141">
        <f>IF(Basic3456[[#This Row],[نوع الخدمة]]="مخالفات", 50,
IF(Basic3456[[#This Row],[نوع الخدمة]]="كاش ان",
    IF(F27&lt;=100, 18, IF(F27&lt;=250, 23, IF(F27&lt;=500, 35, IF(F27&lt;=1000, 40, F27*0.04)))),
IF(Basic3456[[#This Row],[نوع الخدمة]]="كاش اوت",
    IF(F27&lt;=100, 15, IF(F27&lt;=250, 20, IF(F27&lt;=500, 30, IF(F27&lt;=1000, 35, F27*0.035)))),
0)))</f>
        <v>0</v>
      </c>
      <c r="H27" s="159">
        <f>IF(I27="مخالفات",50,Basic3456[[#This Row],[قيمة الرسوم / العموله]]+Basic3456[[#This Row],[قيمة الشحنه]])</f>
        <v>0</v>
      </c>
      <c r="I27" s="90"/>
      <c r="J27" s="142" t="str">
        <f t="shared" si="0"/>
        <v>27.5.2026</v>
      </c>
      <c r="L27" s="153">
        <v>16</v>
      </c>
      <c r="M27" s="92"/>
      <c r="O27" s="196" t="s">
        <v>33</v>
      </c>
      <c r="P27" s="197"/>
    </row>
    <row r="28" spans="1:21" ht="21.6" x14ac:dyDescent="0.65">
      <c r="A28" s="195"/>
      <c r="B28" s="140">
        <v>25</v>
      </c>
      <c r="C28" s="2"/>
      <c r="D28" s="1"/>
      <c r="E28" s="3"/>
      <c r="F28" s="1"/>
      <c r="G28" s="141">
        <f>IF(Basic3456[[#This Row],[نوع الخدمة]]="مخالفات", 50,
IF(Basic3456[[#This Row],[نوع الخدمة]]="كاش ان",
    IF(F28&lt;=100, 18, IF(F28&lt;=250, 23, IF(F28&lt;=500, 35, IF(F28&lt;=1000, 40, F28*0.04)))),
IF(Basic3456[[#This Row],[نوع الخدمة]]="كاش اوت",
    IF(F28&lt;=100, 15, IF(F28&lt;=250, 20, IF(F28&lt;=500, 30, IF(F28&lt;=1000, 35, F28*0.035)))),
0)))</f>
        <v>0</v>
      </c>
      <c r="H28" s="159">
        <f>IF(I28="مخالفات",50,Basic3456[[#This Row],[قيمة الرسوم / العموله]]+Basic3456[[#This Row],[قيمة الشحنه]])</f>
        <v>0</v>
      </c>
      <c r="I28" s="90"/>
      <c r="J28" s="142" t="str">
        <f t="shared" si="0"/>
        <v>27.5.2026</v>
      </c>
      <c r="L28" s="153">
        <v>17</v>
      </c>
      <c r="M28" s="92"/>
      <c r="O28" s="147" t="s">
        <v>27</v>
      </c>
      <c r="P28" s="135">
        <f>P22-P25</f>
        <v>-4</v>
      </c>
    </row>
    <row r="29" spans="1:21" ht="21.6" x14ac:dyDescent="0.65">
      <c r="A29" s="195"/>
      <c r="B29" s="144">
        <v>26</v>
      </c>
      <c r="C29" s="2"/>
      <c r="D29" s="1"/>
      <c r="E29" s="3"/>
      <c r="F29" s="1"/>
      <c r="G29" s="141">
        <f>IF(Basic3456[[#This Row],[نوع الخدمة]]="مخالفات", 50,
IF(Basic3456[[#This Row],[نوع الخدمة]]="كاش ان",
    IF(F29&lt;=100, 18, IF(F29&lt;=250, 23, IF(F29&lt;=500, 35, IF(F29&lt;=1000, 40, F29*0.04)))),
IF(Basic3456[[#This Row],[نوع الخدمة]]="كاش اوت",
    IF(F29&lt;=100, 15, IF(F29&lt;=250, 20, IF(F29&lt;=500, 30, IF(F29&lt;=1000, 35, F29*0.035)))),
0)))</f>
        <v>0</v>
      </c>
      <c r="H29" s="159">
        <f>IF(I29="مخالفات",50,Basic3456[[#This Row],[قيمة الرسوم / العموله]]+Basic3456[[#This Row],[قيمة الشحنه]])</f>
        <v>0</v>
      </c>
      <c r="I29" s="90"/>
      <c r="J29" s="142" t="str">
        <f t="shared" si="0"/>
        <v>27.5.2026</v>
      </c>
      <c r="L29" s="153">
        <v>18</v>
      </c>
      <c r="M29" s="92"/>
      <c r="O29" s="147" t="s">
        <v>28</v>
      </c>
      <c r="P29" s="135">
        <f>P23-P26</f>
        <v>0</v>
      </c>
    </row>
    <row r="30" spans="1:21" ht="21.6" x14ac:dyDescent="0.65">
      <c r="A30" s="195"/>
      <c r="B30" s="140">
        <v>27</v>
      </c>
      <c r="C30" s="2"/>
      <c r="D30" s="1"/>
      <c r="E30" s="3"/>
      <c r="F30" s="1"/>
      <c r="G30" s="141">
        <f>IF(Basic3456[[#This Row],[نوع الخدمة]]="مخالفات", 50,
IF(Basic3456[[#This Row],[نوع الخدمة]]="كاش ان",
    IF(F30&lt;=100, 18, IF(F30&lt;=250, 23, IF(F30&lt;=500, 35, IF(F30&lt;=1000, 40, F30*0.04)))),
IF(Basic3456[[#This Row],[نوع الخدمة]]="كاش اوت",
    IF(F30&lt;=100, 15, IF(F30&lt;=250, 20, IF(F30&lt;=500, 30, IF(F30&lt;=1000, 35, F30*0.035)))),
0)))</f>
        <v>0</v>
      </c>
      <c r="H30" s="159">
        <f>IF(I30="مخالفات",50,Basic3456[[#This Row],[قيمة الرسوم / العموله]]+Basic3456[[#This Row],[قيمة الشحنه]])</f>
        <v>0</v>
      </c>
      <c r="I30" s="90"/>
      <c r="J30" s="142" t="str">
        <f t="shared" si="0"/>
        <v>27.5.2026</v>
      </c>
      <c r="L30" s="153">
        <v>19</v>
      </c>
      <c r="M30" s="92"/>
    </row>
    <row r="31" spans="1:21" ht="21.6" x14ac:dyDescent="0.65">
      <c r="A31" s="195"/>
      <c r="B31" s="140">
        <v>28</v>
      </c>
      <c r="C31" s="2"/>
      <c r="D31" s="1"/>
      <c r="E31" s="3"/>
      <c r="F31" s="1"/>
      <c r="G31" s="141">
        <f>IF(Basic3456[[#This Row],[نوع الخدمة]]="مخالفات", 50,
IF(Basic3456[[#This Row],[نوع الخدمة]]="كاش ان",
    IF(F31&lt;=100, 18, IF(F31&lt;=250, 23, IF(F31&lt;=500, 35, IF(F31&lt;=1000, 40, F31*0.04)))),
IF(Basic3456[[#This Row],[نوع الخدمة]]="كاش اوت",
    IF(F31&lt;=100, 15, IF(F31&lt;=250, 20, IF(F31&lt;=500, 30, IF(F31&lt;=1000, 35, F31*0.035)))),
0)))</f>
        <v>0</v>
      </c>
      <c r="H31" s="159">
        <f>IF(I31="مخالفات",50,Basic3456[[#This Row],[قيمة الرسوم / العموله]]+Basic3456[[#This Row],[قيمة الشحنه]])</f>
        <v>0</v>
      </c>
      <c r="I31" s="90"/>
      <c r="J31" s="142" t="str">
        <f t="shared" si="0"/>
        <v>27.5.2026</v>
      </c>
      <c r="L31" s="153">
        <v>20</v>
      </c>
      <c r="M31" s="92"/>
    </row>
    <row r="32" spans="1:21" ht="21.6" x14ac:dyDescent="0.65">
      <c r="A32" s="195"/>
      <c r="B32" s="140">
        <v>29</v>
      </c>
      <c r="C32" s="2"/>
      <c r="D32" s="1"/>
      <c r="E32" s="3"/>
      <c r="F32" s="1"/>
      <c r="G32" s="141">
        <f>IF(Basic3456[[#This Row],[نوع الخدمة]]="مخالفات", 50,
IF(Basic3456[[#This Row],[نوع الخدمة]]="كاش ان",
    IF(F32&lt;=100, 18, IF(F32&lt;=250, 23, IF(F32&lt;=500, 35, IF(F32&lt;=1000, 40, F32*0.04)))),
IF(Basic3456[[#This Row],[نوع الخدمة]]="كاش اوت",
    IF(F32&lt;=100, 15, IF(F32&lt;=250, 20, IF(F32&lt;=500, 30, IF(F32&lt;=1000, 35, F32*0.035)))),
0)))</f>
        <v>0</v>
      </c>
      <c r="H32" s="159">
        <f>IF(I32="مخالفات",50,Basic3456[[#This Row],[قيمة الرسوم / العموله]]+Basic3456[[#This Row],[قيمة الشحنه]])</f>
        <v>0</v>
      </c>
      <c r="I32" s="90"/>
      <c r="J32" s="142" t="str">
        <f t="shared" si="0"/>
        <v>27.5.2026</v>
      </c>
      <c r="L32" s="153">
        <v>21</v>
      </c>
      <c r="M32" s="92"/>
    </row>
    <row r="33" spans="1:13" ht="21.6" x14ac:dyDescent="0.65">
      <c r="A33" s="195"/>
      <c r="B33" s="144">
        <v>30</v>
      </c>
      <c r="C33" s="2"/>
      <c r="D33" s="1"/>
      <c r="E33" s="3"/>
      <c r="F33" s="1"/>
      <c r="G33" s="141">
        <f>IF(Basic3456[[#This Row],[نوع الخدمة]]="مخالفات", 50,
IF(Basic3456[[#This Row],[نوع الخدمة]]="كاش ان",
    IF(F33&lt;=100, 18, IF(F33&lt;=250, 23, IF(F33&lt;=500, 35, IF(F33&lt;=1000, 40, F33*0.04)))),
IF(Basic3456[[#This Row],[نوع الخدمة]]="كاش اوت",
    IF(F33&lt;=100, 15, IF(F33&lt;=250, 20, IF(F33&lt;=500, 30, IF(F33&lt;=1000, 35, F33*0.035)))),
0)))</f>
        <v>0</v>
      </c>
      <c r="H33" s="159">
        <f>IF(I33="مخالفات",50,Basic3456[[#This Row],[قيمة الرسوم / العموله]]+Basic3456[[#This Row],[قيمة الشحنه]])</f>
        <v>0</v>
      </c>
      <c r="I33" s="90"/>
      <c r="J33" s="142" t="str">
        <f t="shared" si="0"/>
        <v>27.5.2026</v>
      </c>
      <c r="L33" s="153">
        <v>22</v>
      </c>
      <c r="M33" s="92"/>
    </row>
    <row r="34" spans="1:13" ht="21.6" x14ac:dyDescent="0.65">
      <c r="A34" s="195"/>
      <c r="B34" s="140">
        <v>31</v>
      </c>
      <c r="C34" s="2"/>
      <c r="D34" s="1"/>
      <c r="E34" s="3"/>
      <c r="F34" s="1"/>
      <c r="G34" s="141">
        <f>IF(Basic3456[[#This Row],[نوع الخدمة]]="مخالفات", 50,
IF(Basic3456[[#This Row],[نوع الخدمة]]="كاش ان",
    IF(F34&lt;=100, 18, IF(F34&lt;=250, 23, IF(F34&lt;=500, 35, IF(F34&lt;=1000, 40, F34*0.04)))),
IF(Basic3456[[#This Row],[نوع الخدمة]]="كاش اوت",
    IF(F34&lt;=100, 15, IF(F34&lt;=250, 20, IF(F34&lt;=500, 30, IF(F34&lt;=1000, 35, F34*0.035)))),
0)))</f>
        <v>0</v>
      </c>
      <c r="H34" s="159">
        <f>IF(I34="مخالفات",50,Basic3456[[#This Row],[قيمة الرسوم / العموله]]+Basic3456[[#This Row],[قيمة الشحنه]])</f>
        <v>0</v>
      </c>
      <c r="I34" s="90"/>
      <c r="J34" s="142" t="str">
        <f t="shared" si="0"/>
        <v>27.5.2026</v>
      </c>
      <c r="L34" s="153">
        <v>23</v>
      </c>
      <c r="M34" s="92"/>
    </row>
    <row r="35" spans="1:13" ht="21.6" x14ac:dyDescent="0.65">
      <c r="A35" s="195"/>
      <c r="B35" s="140">
        <v>32</v>
      </c>
      <c r="C35" s="2"/>
      <c r="D35" s="1"/>
      <c r="E35" s="3"/>
      <c r="F35" s="1"/>
      <c r="G35" s="141">
        <f>IF(Basic3456[[#This Row],[نوع الخدمة]]="مخالفات", 50,
IF(Basic3456[[#This Row],[نوع الخدمة]]="كاش ان",
    IF(F35&lt;=100, 18, IF(F35&lt;=250, 23, IF(F35&lt;=500, 35, IF(F35&lt;=1000, 40, F35*0.04)))),
IF(Basic3456[[#This Row],[نوع الخدمة]]="كاش اوت",
    IF(F35&lt;=100, 15, IF(F35&lt;=250, 20, IF(F35&lt;=500, 30, IF(F35&lt;=1000, 35, F35*0.035)))),
0)))</f>
        <v>0</v>
      </c>
      <c r="H35" s="159">
        <f>IF(I35="مخالفات",50,Basic3456[[#This Row],[قيمة الرسوم / العموله]]+Basic3456[[#This Row],[قيمة الشحنه]])</f>
        <v>0</v>
      </c>
      <c r="I35" s="90"/>
      <c r="J35" s="142" t="str">
        <f t="shared" si="0"/>
        <v>27.5.2026</v>
      </c>
      <c r="L35" s="153">
        <v>24</v>
      </c>
      <c r="M35" s="92"/>
    </row>
    <row r="36" spans="1:13" ht="21.6" x14ac:dyDescent="0.65">
      <c r="A36" s="195"/>
      <c r="B36" s="140">
        <v>33</v>
      </c>
      <c r="C36" s="2"/>
      <c r="D36" s="1"/>
      <c r="E36" s="3"/>
      <c r="F36" s="1"/>
      <c r="G36" s="141">
        <f>IF(Basic3456[[#This Row],[نوع الخدمة]]="مخالفات", 50,
IF(Basic3456[[#This Row],[نوع الخدمة]]="كاش ان",
    IF(F36&lt;=100, 18, IF(F36&lt;=250, 23, IF(F36&lt;=500, 35, IF(F36&lt;=1000, 40, F36*0.04)))),
IF(Basic3456[[#This Row],[نوع الخدمة]]="كاش اوت",
    IF(F36&lt;=100, 15, IF(F36&lt;=250, 20, IF(F36&lt;=500, 30, IF(F36&lt;=1000, 35, F36*0.035)))),
0)))</f>
        <v>0</v>
      </c>
      <c r="H36" s="159">
        <f>IF(I36="مخالفات",50,Basic3456[[#This Row],[قيمة الرسوم / العموله]]+Basic3456[[#This Row],[قيمة الشحنه]])</f>
        <v>0</v>
      </c>
      <c r="I36" s="90"/>
      <c r="J36" s="142" t="str">
        <f t="shared" si="0"/>
        <v>27.5.2026</v>
      </c>
      <c r="L36" s="153">
        <v>25</v>
      </c>
      <c r="M36" s="92"/>
    </row>
    <row r="37" spans="1:13" ht="21.6" x14ac:dyDescent="0.65">
      <c r="A37" s="195"/>
      <c r="B37" s="144">
        <v>34</v>
      </c>
      <c r="C37" s="2"/>
      <c r="D37" s="1"/>
      <c r="E37" s="3"/>
      <c r="F37" s="1"/>
      <c r="G37" s="141">
        <f>IF(Basic3456[[#This Row],[نوع الخدمة]]="مخالفات", 50,
IF(Basic3456[[#This Row],[نوع الخدمة]]="كاش ان",
    IF(F37&lt;=100, 18, IF(F37&lt;=250, 23, IF(F37&lt;=500, 35, IF(F37&lt;=1000, 40, F37*0.04)))),
IF(Basic3456[[#This Row],[نوع الخدمة]]="كاش اوت",
    IF(F37&lt;=100, 15, IF(F37&lt;=250, 20, IF(F37&lt;=500, 30, IF(F37&lt;=1000, 35, F37*0.035)))),
0)))</f>
        <v>0</v>
      </c>
      <c r="H37" s="159">
        <f>IF(I37="مخالفات",50,Basic3456[[#This Row],[قيمة الرسوم / العموله]]+Basic3456[[#This Row],[قيمة الشحنه]])</f>
        <v>0</v>
      </c>
      <c r="I37" s="90"/>
      <c r="J37" s="142" t="str">
        <f t="shared" si="0"/>
        <v>27.5.2026</v>
      </c>
      <c r="L37" s="153">
        <v>26</v>
      </c>
      <c r="M37" s="92"/>
    </row>
    <row r="38" spans="1:13" ht="21.6" x14ac:dyDescent="0.65">
      <c r="A38" s="195"/>
      <c r="B38" s="140">
        <v>35</v>
      </c>
      <c r="C38" s="2"/>
      <c r="D38" s="1"/>
      <c r="E38" s="3"/>
      <c r="F38" s="1"/>
      <c r="G38" s="141">
        <f>IF(Basic3456[[#This Row],[نوع الخدمة]]="مخالفات", 50,
IF(Basic3456[[#This Row],[نوع الخدمة]]="كاش ان",
    IF(F38&lt;=100, 18, IF(F38&lt;=250, 23, IF(F38&lt;=500, 35, IF(F38&lt;=1000, 40, F38*0.04)))),
IF(Basic3456[[#This Row],[نوع الخدمة]]="كاش اوت",
    IF(F38&lt;=100, 15, IF(F38&lt;=250, 20, IF(F38&lt;=500, 30, IF(F38&lt;=1000, 35, F38*0.035)))),
0)))</f>
        <v>0</v>
      </c>
      <c r="H38" s="159">
        <f>IF(I38="مخالفات",50,Basic3456[[#This Row],[قيمة الرسوم / العموله]]+Basic3456[[#This Row],[قيمة الشحنه]])</f>
        <v>0</v>
      </c>
      <c r="I38" s="90"/>
      <c r="J38" s="142" t="str">
        <f t="shared" si="0"/>
        <v>27.5.2026</v>
      </c>
      <c r="L38" s="153">
        <v>27</v>
      </c>
      <c r="M38" s="92"/>
    </row>
    <row r="39" spans="1:13" ht="21.6" x14ac:dyDescent="0.65">
      <c r="A39" s="195"/>
      <c r="B39" s="140">
        <v>36</v>
      </c>
      <c r="C39" s="2"/>
      <c r="D39" s="1"/>
      <c r="E39" s="3"/>
      <c r="F39" s="1"/>
      <c r="G39" s="141">
        <f>IF(Basic3456[[#This Row],[نوع الخدمة]]="مخالفات", 50,
IF(Basic3456[[#This Row],[نوع الخدمة]]="كاش ان",
    IF(F39&lt;=100, 18, IF(F39&lt;=250, 23, IF(F39&lt;=500, 35, IF(F39&lt;=1000, 40, F39*0.04)))),
IF(Basic3456[[#This Row],[نوع الخدمة]]="كاش اوت",
    IF(F39&lt;=100, 15, IF(F39&lt;=250, 20, IF(F39&lt;=500, 30, IF(F39&lt;=1000, 35, F39*0.035)))),
0)))</f>
        <v>0</v>
      </c>
      <c r="H39" s="159">
        <f>IF(I39="مخالفات",50,Basic3456[[#This Row],[قيمة الرسوم / العموله]]+Basic3456[[#This Row],[قيمة الشحنه]])</f>
        <v>0</v>
      </c>
      <c r="I39" s="90"/>
      <c r="J39" s="142" t="str">
        <f t="shared" si="0"/>
        <v>27.5.2026</v>
      </c>
      <c r="L39" s="153">
        <v>28</v>
      </c>
      <c r="M39" s="92"/>
    </row>
    <row r="40" spans="1:13" ht="21.6" x14ac:dyDescent="0.65">
      <c r="A40" s="195"/>
      <c r="B40" s="140">
        <v>37</v>
      </c>
      <c r="C40" s="2"/>
      <c r="D40" s="1"/>
      <c r="E40" s="3"/>
      <c r="F40" s="1"/>
      <c r="G40" s="141">
        <f>IF(Basic3456[[#This Row],[نوع الخدمة]]="مخالفات", 50,
IF(Basic3456[[#This Row],[نوع الخدمة]]="كاش ان",
    IF(F40&lt;=100, 18, IF(F40&lt;=250, 23, IF(F40&lt;=500, 35, IF(F40&lt;=1000, 40, F40*0.04)))),
IF(Basic3456[[#This Row],[نوع الخدمة]]="كاش اوت",
    IF(F40&lt;=100, 15, IF(F40&lt;=250, 20, IF(F40&lt;=500, 30, IF(F40&lt;=1000, 35, F40*0.035)))),
0)))</f>
        <v>0</v>
      </c>
      <c r="H40" s="159">
        <f>IF(I40="مخالفات",50,Basic3456[[#This Row],[قيمة الرسوم / العموله]]+Basic3456[[#This Row],[قيمة الشحنه]])</f>
        <v>0</v>
      </c>
      <c r="I40" s="90"/>
      <c r="J40" s="142" t="str">
        <f t="shared" si="0"/>
        <v>27.5.2026</v>
      </c>
      <c r="L40" s="153">
        <v>29</v>
      </c>
      <c r="M40" s="92"/>
    </row>
    <row r="41" spans="1:13" ht="21.6" x14ac:dyDescent="0.65">
      <c r="A41" s="195"/>
      <c r="B41" s="144">
        <v>38</v>
      </c>
      <c r="C41" s="2"/>
      <c r="D41" s="1"/>
      <c r="E41" s="3"/>
      <c r="F41" s="1"/>
      <c r="G41" s="141">
        <f>IF(Basic3456[[#This Row],[نوع الخدمة]]="مخالفات", 50,
IF(Basic3456[[#This Row],[نوع الخدمة]]="كاش ان",
    IF(F41&lt;=100, 18, IF(F41&lt;=250, 23, IF(F41&lt;=500, 35, IF(F41&lt;=1000, 40, F41*0.04)))),
IF(Basic3456[[#This Row],[نوع الخدمة]]="كاش اوت",
    IF(F41&lt;=100, 15, IF(F41&lt;=250, 20, IF(F41&lt;=500, 30, IF(F41&lt;=1000, 35, F41*0.035)))),
0)))</f>
        <v>0</v>
      </c>
      <c r="H41" s="159">
        <f>IF(I41="مخالفات",50,Basic3456[[#This Row],[قيمة الرسوم / العموله]]+Basic3456[[#This Row],[قيمة الشحنه]])</f>
        <v>0</v>
      </c>
      <c r="I41" s="90"/>
      <c r="J41" s="142" t="str">
        <f t="shared" si="0"/>
        <v>27.5.2026</v>
      </c>
      <c r="L41" s="153">
        <v>30</v>
      </c>
      <c r="M41" s="92"/>
    </row>
    <row r="42" spans="1:13" ht="21.6" x14ac:dyDescent="0.65">
      <c r="A42" s="195"/>
      <c r="B42" s="140">
        <v>39</v>
      </c>
      <c r="C42" s="2"/>
      <c r="D42" s="1"/>
      <c r="E42" s="3"/>
      <c r="F42" s="1"/>
      <c r="G42" s="141">
        <f>IF(Basic3456[[#This Row],[نوع الخدمة]]="مخالفات", 50,
IF(Basic3456[[#This Row],[نوع الخدمة]]="كاش ان",
    IF(F42&lt;=100, 18, IF(F42&lt;=250, 23, IF(F42&lt;=500, 35, IF(F42&lt;=1000, 40, F42*0.04)))),
IF(Basic3456[[#This Row],[نوع الخدمة]]="كاش اوت",
    IF(F42&lt;=100, 15, IF(F42&lt;=250, 20, IF(F42&lt;=500, 30, IF(F42&lt;=1000, 35, F42*0.035)))),
0)))</f>
        <v>0</v>
      </c>
      <c r="H42" s="159">
        <f>IF(I42="مخالفات",50,Basic3456[[#This Row],[قيمة الرسوم / العموله]]+Basic3456[[#This Row],[قيمة الشحنه]])</f>
        <v>0</v>
      </c>
      <c r="I42" s="90"/>
      <c r="J42" s="142" t="str">
        <f t="shared" si="0"/>
        <v>27.5.2026</v>
      </c>
      <c r="L42" s="153">
        <v>31</v>
      </c>
      <c r="M42" s="92"/>
    </row>
    <row r="43" spans="1:13" ht="21.6" x14ac:dyDescent="0.65">
      <c r="A43" s="195"/>
      <c r="B43" s="140">
        <v>40</v>
      </c>
      <c r="C43" s="2"/>
      <c r="D43" s="1"/>
      <c r="E43" s="3"/>
      <c r="F43" s="1"/>
      <c r="G43" s="141">
        <f>IF(Basic3456[[#This Row],[نوع الخدمة]]="مخالفات", 50,
IF(Basic3456[[#This Row],[نوع الخدمة]]="كاش ان",
    IF(F43&lt;=100, 18, IF(F43&lt;=250, 23, IF(F43&lt;=500, 35, IF(F43&lt;=1000, 40, F43*0.04)))),
IF(Basic3456[[#This Row],[نوع الخدمة]]="كاش اوت",
    IF(F43&lt;=100, 15, IF(F43&lt;=250, 20, IF(F43&lt;=500, 30, IF(F43&lt;=1000, 35, F43*0.035)))),
0)))</f>
        <v>0</v>
      </c>
      <c r="H43" s="159">
        <f>IF(I43="مخالفات",50,Basic3456[[#This Row],[قيمة الرسوم / العموله]]+Basic3456[[#This Row],[قيمة الشحنه]])</f>
        <v>0</v>
      </c>
      <c r="I43" s="90"/>
      <c r="J43" s="142" t="str">
        <f t="shared" si="0"/>
        <v>27.5.2026</v>
      </c>
      <c r="L43" s="153">
        <v>32</v>
      </c>
      <c r="M43" s="92"/>
    </row>
    <row r="44" spans="1:13" ht="21.6" x14ac:dyDescent="0.65">
      <c r="A44" s="195"/>
      <c r="B44" s="140">
        <v>41</v>
      </c>
      <c r="C44" s="2"/>
      <c r="D44" s="1"/>
      <c r="E44" s="3"/>
      <c r="F44" s="1"/>
      <c r="G44" s="141">
        <f>IF(Basic3456[[#This Row],[نوع الخدمة]]="مخالفات", 50,
IF(Basic3456[[#This Row],[نوع الخدمة]]="كاش ان",
    IF(F44&lt;=100, 18, IF(F44&lt;=250, 23, IF(F44&lt;=500, 35, IF(F44&lt;=1000, 40, F44*0.04)))),
IF(Basic3456[[#This Row],[نوع الخدمة]]="كاش اوت",
    IF(F44&lt;=100, 15, IF(F44&lt;=250, 20, IF(F44&lt;=500, 30, IF(F44&lt;=1000, 35, F44*0.035)))),
0)))</f>
        <v>0</v>
      </c>
      <c r="H44" s="159">
        <f>IF(I44="مخالفات",50,Basic3456[[#This Row],[قيمة الرسوم / العموله]]+Basic3456[[#This Row],[قيمة الشحنه]])</f>
        <v>0</v>
      </c>
      <c r="I44" s="90"/>
      <c r="J44" s="142" t="str">
        <f t="shared" si="0"/>
        <v>27.5.2026</v>
      </c>
      <c r="L44" s="153">
        <v>33</v>
      </c>
      <c r="M44" s="92"/>
    </row>
    <row r="45" spans="1:13" ht="21.6" x14ac:dyDescent="0.65">
      <c r="A45" s="195"/>
      <c r="B45" s="144">
        <v>42</v>
      </c>
      <c r="C45" s="2"/>
      <c r="D45" s="1"/>
      <c r="E45" s="3"/>
      <c r="F45" s="1"/>
      <c r="G45" s="141">
        <f>IF(Basic3456[[#This Row],[نوع الخدمة]]="مخالفات", 50,
IF(Basic3456[[#This Row],[نوع الخدمة]]="كاش ان",
    IF(F45&lt;=100, 18, IF(F45&lt;=250, 23, IF(F45&lt;=500, 35, IF(F45&lt;=1000, 40, F45*0.04)))),
IF(Basic3456[[#This Row],[نوع الخدمة]]="كاش اوت",
    IF(F45&lt;=100, 15, IF(F45&lt;=250, 20, IF(F45&lt;=500, 30, IF(F45&lt;=1000, 35, F45*0.035)))),
0)))</f>
        <v>0</v>
      </c>
      <c r="H45" s="159">
        <f>IF(I45="مخالفات",50,Basic3456[[#This Row],[قيمة الرسوم / العموله]]+Basic3456[[#This Row],[قيمة الشحنه]])</f>
        <v>0</v>
      </c>
      <c r="I45" s="90"/>
      <c r="J45" s="142" t="str">
        <f t="shared" si="0"/>
        <v>27.5.2026</v>
      </c>
      <c r="L45" s="153">
        <v>34</v>
      </c>
      <c r="M45" s="92"/>
    </row>
    <row r="46" spans="1:13" ht="21.6" x14ac:dyDescent="0.65">
      <c r="A46" s="195"/>
      <c r="B46" s="140">
        <v>43</v>
      </c>
      <c r="C46" s="2"/>
      <c r="D46" s="1"/>
      <c r="E46" s="3"/>
      <c r="F46" s="1"/>
      <c r="G46" s="141">
        <f>IF(Basic3456[[#This Row],[نوع الخدمة]]="مخالفات", 50,
IF(Basic3456[[#This Row],[نوع الخدمة]]="كاش ان",
    IF(F46&lt;=100, 18, IF(F46&lt;=250, 23, IF(F46&lt;=500, 35, IF(F46&lt;=1000, 40, F46*0.04)))),
IF(Basic3456[[#This Row],[نوع الخدمة]]="كاش اوت",
    IF(F46&lt;=100, 15, IF(F46&lt;=250, 20, IF(F46&lt;=500, 30, IF(F46&lt;=1000, 35, F46*0.035)))),
0)))</f>
        <v>0</v>
      </c>
      <c r="H46" s="159">
        <f>IF(I46="مخالفات",50,Basic3456[[#This Row],[قيمة الرسوم / العموله]]+Basic3456[[#This Row],[قيمة الشحنه]])</f>
        <v>0</v>
      </c>
      <c r="I46" s="90"/>
      <c r="J46" s="142" t="str">
        <f t="shared" si="0"/>
        <v>27.5.2026</v>
      </c>
      <c r="L46" s="153">
        <v>35</v>
      </c>
      <c r="M46" s="92"/>
    </row>
    <row r="47" spans="1:13" ht="21.6" x14ac:dyDescent="0.65">
      <c r="A47" s="195"/>
      <c r="B47" s="140">
        <v>44</v>
      </c>
      <c r="C47" s="2"/>
      <c r="D47" s="1"/>
      <c r="E47" s="3"/>
      <c r="F47" s="1"/>
      <c r="G47" s="141">
        <f>IF(Basic3456[[#This Row],[نوع الخدمة]]="مخالفات", 50,
IF(Basic3456[[#This Row],[نوع الخدمة]]="كاش ان",
    IF(F47&lt;=100, 18, IF(F47&lt;=250, 23, IF(F47&lt;=500, 35, IF(F47&lt;=1000, 40, F47*0.04)))),
IF(Basic3456[[#This Row],[نوع الخدمة]]="كاش اوت",
    IF(F47&lt;=100, 15, IF(F47&lt;=250, 20, IF(F47&lt;=500, 30, IF(F47&lt;=1000, 35, F47*0.035)))),
0)))</f>
        <v>0</v>
      </c>
      <c r="H47" s="159">
        <f>IF(I47="مخالفات",50,Basic3456[[#This Row],[قيمة الرسوم / العموله]]+Basic3456[[#This Row],[قيمة الشحنه]])</f>
        <v>0</v>
      </c>
      <c r="I47" s="90"/>
      <c r="J47" s="142" t="str">
        <f t="shared" si="0"/>
        <v>27.5.2026</v>
      </c>
      <c r="L47" s="153">
        <v>36</v>
      </c>
      <c r="M47" s="92"/>
    </row>
    <row r="48" spans="1:13" ht="21.6" x14ac:dyDescent="0.65">
      <c r="A48" s="195"/>
      <c r="B48" s="140">
        <v>45</v>
      </c>
      <c r="C48" s="2"/>
      <c r="D48" s="1"/>
      <c r="E48" s="3"/>
      <c r="F48" s="1"/>
      <c r="G48" s="141">
        <f>IF(Basic3456[[#This Row],[نوع الخدمة]]="مخالفات", 50,
IF(Basic3456[[#This Row],[نوع الخدمة]]="كاش ان",
    IF(F48&lt;=100, 18, IF(F48&lt;=250, 23, IF(F48&lt;=500, 35, IF(F48&lt;=1000, 40, F48*0.04)))),
IF(Basic3456[[#This Row],[نوع الخدمة]]="كاش اوت",
    IF(F48&lt;=100, 15, IF(F48&lt;=250, 20, IF(F48&lt;=500, 30, IF(F48&lt;=1000, 35, F48*0.035)))),
0)))</f>
        <v>0</v>
      </c>
      <c r="H48" s="159">
        <f>IF(I48="مخالفات",50,Basic3456[[#This Row],[قيمة الرسوم / العموله]]+Basic3456[[#This Row],[قيمة الشحنه]])</f>
        <v>0</v>
      </c>
      <c r="I48" s="90"/>
      <c r="J48" s="142" t="str">
        <f t="shared" si="0"/>
        <v>27.5.2026</v>
      </c>
      <c r="L48" s="153">
        <v>37</v>
      </c>
      <c r="M48" s="92"/>
    </row>
    <row r="49" spans="1:13" ht="21.6" x14ac:dyDescent="0.65">
      <c r="A49" s="195"/>
      <c r="B49" s="144">
        <v>46</v>
      </c>
      <c r="C49" s="2"/>
      <c r="D49" s="1"/>
      <c r="E49" s="3"/>
      <c r="F49" s="1"/>
      <c r="G49" s="141">
        <f>IF(Basic3456[[#This Row],[نوع الخدمة]]="مخالفات", 50,
IF(Basic3456[[#This Row],[نوع الخدمة]]="كاش ان",
    IF(F49&lt;=100, 18, IF(F49&lt;=250, 23, IF(F49&lt;=500, 35, IF(F49&lt;=1000, 40, F49*0.04)))),
IF(Basic3456[[#This Row],[نوع الخدمة]]="كاش اوت",
    IF(F49&lt;=100, 15, IF(F49&lt;=250, 20, IF(F49&lt;=500, 30, IF(F49&lt;=1000, 35, F49*0.035)))),
0)))</f>
        <v>0</v>
      </c>
      <c r="H49" s="159">
        <f>IF(I49="مخالفات",50,Basic3456[[#This Row],[قيمة الرسوم / العموله]]+Basic3456[[#This Row],[قيمة الشحنه]])</f>
        <v>0</v>
      </c>
      <c r="I49" s="90"/>
      <c r="J49" s="142" t="str">
        <f t="shared" si="0"/>
        <v>27.5.2026</v>
      </c>
      <c r="L49" s="153">
        <v>38</v>
      </c>
      <c r="M49" s="92"/>
    </row>
    <row r="50" spans="1:13" ht="21.6" x14ac:dyDescent="0.65">
      <c r="A50" s="195"/>
      <c r="B50" s="140">
        <v>47</v>
      </c>
      <c r="C50" s="2"/>
      <c r="D50" s="1"/>
      <c r="E50" s="3"/>
      <c r="F50" s="1"/>
      <c r="G50" s="141">
        <f>IF(Basic3456[[#This Row],[نوع الخدمة]]="مخالفات", 50,
IF(Basic3456[[#This Row],[نوع الخدمة]]="كاش ان",
    IF(F50&lt;=100, 18, IF(F50&lt;=250, 23, IF(F50&lt;=500, 35, IF(F50&lt;=1000, 40, F50*0.04)))),
IF(Basic3456[[#This Row],[نوع الخدمة]]="كاش اوت",
    IF(F50&lt;=100, 15, IF(F50&lt;=250, 20, IF(F50&lt;=500, 30, IF(F50&lt;=1000, 35, F50*0.035)))),
0)))</f>
        <v>0</v>
      </c>
      <c r="H50" s="159">
        <f>IF(I50="مخالفات",50,Basic3456[[#This Row],[قيمة الرسوم / العموله]]+Basic3456[[#This Row],[قيمة الشحنه]])</f>
        <v>0</v>
      </c>
      <c r="I50" s="90"/>
      <c r="J50" s="142" t="str">
        <f t="shared" si="0"/>
        <v>27.5.2026</v>
      </c>
      <c r="L50" s="153">
        <v>39</v>
      </c>
      <c r="M50" s="92"/>
    </row>
    <row r="51" spans="1:13" ht="21.6" x14ac:dyDescent="0.65">
      <c r="A51" s="195"/>
      <c r="B51" s="140">
        <v>48</v>
      </c>
      <c r="C51" s="2"/>
      <c r="D51" s="1"/>
      <c r="E51" s="3"/>
      <c r="F51" s="1"/>
      <c r="G51" s="141">
        <f>IF(Basic3456[[#This Row],[نوع الخدمة]]="مخالفات", 50,
IF(Basic3456[[#This Row],[نوع الخدمة]]="كاش ان",
    IF(F51&lt;=100, 18, IF(F51&lt;=250, 23, IF(F51&lt;=500, 35, IF(F51&lt;=1000, 40, F51*0.04)))),
IF(Basic3456[[#This Row],[نوع الخدمة]]="كاش اوت",
    IF(F51&lt;=100, 15, IF(F51&lt;=250, 20, IF(F51&lt;=500, 30, IF(F51&lt;=1000, 35, F51*0.035)))),
0)))</f>
        <v>0</v>
      </c>
      <c r="H51" s="159">
        <f>IF(I51="مخالفات",50,Basic3456[[#This Row],[قيمة الرسوم / العموله]]+Basic3456[[#This Row],[قيمة الشحنه]])</f>
        <v>0</v>
      </c>
      <c r="I51" s="90"/>
      <c r="J51" s="142" t="str">
        <f t="shared" si="0"/>
        <v>27.5.2026</v>
      </c>
      <c r="L51" s="153">
        <v>40</v>
      </c>
      <c r="M51" s="92"/>
    </row>
    <row r="52" spans="1:13" ht="21.6" x14ac:dyDescent="0.65">
      <c r="A52" s="195"/>
      <c r="B52" s="140">
        <v>49</v>
      </c>
      <c r="C52" s="2"/>
      <c r="D52" s="1"/>
      <c r="E52" s="3"/>
      <c r="F52" s="1"/>
      <c r="G52" s="141">
        <f>IF(Basic3456[[#This Row],[نوع الخدمة]]="مخالفات", 50,
IF(Basic3456[[#This Row],[نوع الخدمة]]="كاش ان",
    IF(F52&lt;=100, 18, IF(F52&lt;=250, 23, IF(F52&lt;=500, 35, IF(F52&lt;=1000, 40, F52*0.04)))),
IF(Basic3456[[#This Row],[نوع الخدمة]]="كاش اوت",
    IF(F52&lt;=100, 15, IF(F52&lt;=250, 20, IF(F52&lt;=500, 30, IF(F52&lt;=1000, 35, F52*0.035)))),
0)))</f>
        <v>0</v>
      </c>
      <c r="H52" s="159">
        <f>IF(I52="مخالفات",50,Basic3456[[#This Row],[قيمة الرسوم / العموله]]+Basic3456[[#This Row],[قيمة الشحنه]])</f>
        <v>0</v>
      </c>
      <c r="I52" s="90"/>
      <c r="J52" s="142" t="str">
        <f t="shared" si="0"/>
        <v>27.5.2026</v>
      </c>
      <c r="L52" s="153">
        <v>41</v>
      </c>
      <c r="M52" s="92"/>
    </row>
    <row r="53" spans="1:13" ht="21.6" x14ac:dyDescent="0.65">
      <c r="A53" s="195"/>
      <c r="B53" s="144">
        <v>50</v>
      </c>
      <c r="C53" s="2"/>
      <c r="D53" s="1"/>
      <c r="E53" s="3"/>
      <c r="F53" s="1"/>
      <c r="G53" s="141">
        <f>IF(Basic3456[[#This Row],[نوع الخدمة]]="مخالفات", 50,
IF(Basic3456[[#This Row],[نوع الخدمة]]="كاش ان",
    IF(F53&lt;=100, 18, IF(F53&lt;=250, 23, IF(F53&lt;=500, 35, IF(F53&lt;=1000, 40, F53*0.04)))),
IF(Basic3456[[#This Row],[نوع الخدمة]]="كاش اوت",
    IF(F53&lt;=100, 15, IF(F53&lt;=250, 20, IF(F53&lt;=500, 30, IF(F53&lt;=1000, 35, F53*0.035)))),
0)))</f>
        <v>0</v>
      </c>
      <c r="H53" s="159">
        <f>IF(I53="مخالفات",50,Basic3456[[#This Row],[قيمة الرسوم / العموله]]+Basic3456[[#This Row],[قيمة الشحنه]])</f>
        <v>0</v>
      </c>
      <c r="I53" s="90"/>
      <c r="J53" s="142" t="str">
        <f t="shared" si="0"/>
        <v>27.5.2026</v>
      </c>
      <c r="L53" s="153">
        <v>42</v>
      </c>
      <c r="M53" s="92"/>
    </row>
    <row r="54" spans="1:13" ht="21.6" x14ac:dyDescent="0.65">
      <c r="A54" s="195"/>
      <c r="B54" s="140">
        <v>51</v>
      </c>
      <c r="C54" s="2"/>
      <c r="D54" s="1"/>
      <c r="E54" s="3"/>
      <c r="F54" s="1"/>
      <c r="G54" s="141">
        <f>IF(Basic3456[[#This Row],[نوع الخدمة]]="مخالفات", 50,
IF(Basic3456[[#This Row],[نوع الخدمة]]="كاش ان",
    IF(F54&lt;=100, 18, IF(F54&lt;=250, 23, IF(F54&lt;=500, 35, IF(F54&lt;=1000, 40, F54*0.04)))),
IF(Basic3456[[#This Row],[نوع الخدمة]]="كاش اوت",
    IF(F54&lt;=100, 15, IF(F54&lt;=250, 20, IF(F54&lt;=500, 30, IF(F54&lt;=1000, 35, F54*0.035)))),
0)))</f>
        <v>0</v>
      </c>
      <c r="H54" s="159">
        <f>IF(I54="مخالفات",50,Basic3456[[#This Row],[قيمة الرسوم / العموله]]+Basic3456[[#This Row],[قيمة الشحنه]])</f>
        <v>0</v>
      </c>
      <c r="I54" s="90"/>
      <c r="J54" s="142" t="str">
        <f t="shared" si="0"/>
        <v>27.5.2026</v>
      </c>
      <c r="L54" s="153">
        <v>43</v>
      </c>
      <c r="M54" s="92"/>
    </row>
    <row r="55" spans="1:13" ht="21.6" x14ac:dyDescent="0.65">
      <c r="A55" s="195"/>
      <c r="B55" s="140">
        <v>52</v>
      </c>
      <c r="C55" s="2"/>
      <c r="D55" s="1"/>
      <c r="E55" s="3"/>
      <c r="F55" s="1"/>
      <c r="G55" s="141">
        <f>IF(Basic3456[[#This Row],[نوع الخدمة]]="مخالفات", 50,
IF(Basic3456[[#This Row],[نوع الخدمة]]="كاش ان",
    IF(F55&lt;=100, 18, IF(F55&lt;=250, 23, IF(F55&lt;=500, 35, IF(F55&lt;=1000, 40, F55*0.04)))),
IF(Basic3456[[#This Row],[نوع الخدمة]]="كاش اوت",
    IF(F55&lt;=100, 15, IF(F55&lt;=250, 20, IF(F55&lt;=500, 30, IF(F55&lt;=1000, 35, F55*0.035)))),
0)))</f>
        <v>0</v>
      </c>
      <c r="H55" s="159">
        <f>IF(I55="مخالفات",50,Basic3456[[#This Row],[قيمة الرسوم / العموله]]+Basic3456[[#This Row],[قيمة الشحنه]])</f>
        <v>0</v>
      </c>
      <c r="I55" s="90"/>
      <c r="J55" s="142" t="str">
        <f t="shared" si="0"/>
        <v>27.5.2026</v>
      </c>
      <c r="L55" s="153">
        <v>44</v>
      </c>
      <c r="M55" s="92"/>
    </row>
    <row r="56" spans="1:13" ht="21.6" x14ac:dyDescent="0.65">
      <c r="A56" s="195"/>
      <c r="B56" s="140">
        <v>53</v>
      </c>
      <c r="C56" s="2"/>
      <c r="D56" s="1"/>
      <c r="E56" s="3"/>
      <c r="F56" s="1"/>
      <c r="G56" s="141">
        <f>IF(Basic3456[[#This Row],[نوع الخدمة]]="مخالفات", 50,
IF(Basic3456[[#This Row],[نوع الخدمة]]="كاش ان",
    IF(F56&lt;=100, 18, IF(F56&lt;=250, 23, IF(F56&lt;=500, 35, IF(F56&lt;=1000, 40, F56*0.04)))),
IF(Basic3456[[#This Row],[نوع الخدمة]]="كاش اوت",
    IF(F56&lt;=100, 15, IF(F56&lt;=250, 20, IF(F56&lt;=500, 30, IF(F56&lt;=1000, 35, F56*0.035)))),
0)))</f>
        <v>0</v>
      </c>
      <c r="H56" s="159">
        <f>IF(I56="مخالفات",50,Basic3456[[#This Row],[قيمة الرسوم / العموله]]+Basic3456[[#This Row],[قيمة الشحنه]])</f>
        <v>0</v>
      </c>
      <c r="I56" s="90"/>
      <c r="J56" s="142" t="str">
        <f t="shared" si="0"/>
        <v>27.5.2026</v>
      </c>
      <c r="L56" s="153">
        <v>45</v>
      </c>
      <c r="M56" s="92"/>
    </row>
    <row r="57" spans="1:13" ht="21.6" x14ac:dyDescent="0.65">
      <c r="A57" s="195"/>
      <c r="B57" s="144">
        <v>54</v>
      </c>
      <c r="C57" s="2"/>
      <c r="D57" s="1"/>
      <c r="E57" s="3"/>
      <c r="F57" s="1"/>
      <c r="G57" s="141">
        <f>IF(Basic3456[[#This Row],[نوع الخدمة]]="مخالفات", 50,
IF(Basic3456[[#This Row],[نوع الخدمة]]="كاش ان",
    IF(F57&lt;=100, 18, IF(F57&lt;=250, 23, IF(F57&lt;=500, 35, IF(F57&lt;=1000, 40, F57*0.04)))),
IF(Basic3456[[#This Row],[نوع الخدمة]]="كاش اوت",
    IF(F57&lt;=100, 15, IF(F57&lt;=250, 20, IF(F57&lt;=500, 30, IF(F57&lt;=1000, 35, F57*0.035)))),
0)))</f>
        <v>0</v>
      </c>
      <c r="H57" s="159">
        <f>IF(I57="مخالفات",50,Basic3456[[#This Row],[قيمة الرسوم / العموله]]+Basic3456[[#This Row],[قيمة الشحنه]])</f>
        <v>0</v>
      </c>
      <c r="I57" s="90"/>
      <c r="J57" s="142" t="str">
        <f t="shared" si="0"/>
        <v>27.5.2026</v>
      </c>
      <c r="L57" s="153">
        <v>46</v>
      </c>
      <c r="M57" s="92"/>
    </row>
    <row r="58" spans="1:13" ht="21.6" x14ac:dyDescent="0.65">
      <c r="A58" s="195"/>
      <c r="B58" s="140">
        <v>55</v>
      </c>
      <c r="C58" s="2"/>
      <c r="D58" s="1"/>
      <c r="E58" s="3"/>
      <c r="F58" s="1"/>
      <c r="G58" s="141">
        <f>IF(Basic3456[[#This Row],[نوع الخدمة]]="مخالفات", 50,
IF(Basic3456[[#This Row],[نوع الخدمة]]="كاش ان",
    IF(F58&lt;=100, 18, IF(F58&lt;=250, 23, IF(F58&lt;=500, 35, IF(F58&lt;=1000, 40, F58*0.04)))),
IF(Basic3456[[#This Row],[نوع الخدمة]]="كاش اوت",
    IF(F58&lt;=100, 15, IF(F58&lt;=250, 20, IF(F58&lt;=500, 30, IF(F58&lt;=1000, 35, F58*0.035)))),
0)))</f>
        <v>0</v>
      </c>
      <c r="H58" s="159">
        <f>IF(I58="مخالفات",50,Basic3456[[#This Row],[قيمة الرسوم / العموله]]+Basic3456[[#This Row],[قيمة الشحنه]])</f>
        <v>0</v>
      </c>
      <c r="I58" s="90"/>
      <c r="J58" s="142" t="str">
        <f t="shared" si="0"/>
        <v>27.5.2026</v>
      </c>
      <c r="L58" s="153">
        <v>47</v>
      </c>
      <c r="M58" s="92"/>
    </row>
    <row r="59" spans="1:13" ht="21.6" x14ac:dyDescent="0.65">
      <c r="A59" s="195"/>
      <c r="B59" s="140">
        <v>56</v>
      </c>
      <c r="C59" s="2"/>
      <c r="D59" s="1"/>
      <c r="E59" s="3"/>
      <c r="F59" s="1"/>
      <c r="G59" s="141">
        <f>IF(Basic3456[[#This Row],[نوع الخدمة]]="مخالفات", 50,
IF(Basic3456[[#This Row],[نوع الخدمة]]="كاش ان",
    IF(F59&lt;=100, 18, IF(F59&lt;=250, 23, IF(F59&lt;=500, 35, IF(F59&lt;=1000, 40, F59*0.04)))),
IF(Basic3456[[#This Row],[نوع الخدمة]]="كاش اوت",
    IF(F59&lt;=100, 15, IF(F59&lt;=250, 20, IF(F59&lt;=500, 30, IF(F59&lt;=1000, 35, F59*0.035)))),
0)))</f>
        <v>0</v>
      </c>
      <c r="H59" s="159">
        <f>IF(I59="مخالفات",50,Basic3456[[#This Row],[قيمة الرسوم / العموله]]+Basic3456[[#This Row],[قيمة الشحنه]])</f>
        <v>0</v>
      </c>
      <c r="I59" s="90"/>
      <c r="J59" s="142" t="str">
        <f t="shared" si="0"/>
        <v>27.5.2026</v>
      </c>
      <c r="L59" s="153">
        <v>48</v>
      </c>
      <c r="M59" s="92"/>
    </row>
    <row r="60" spans="1:13" ht="21.6" x14ac:dyDescent="0.65">
      <c r="A60" s="195"/>
      <c r="B60" s="140">
        <v>57</v>
      </c>
      <c r="C60" s="2"/>
      <c r="D60" s="1"/>
      <c r="E60" s="3"/>
      <c r="F60" s="1"/>
      <c r="G60" s="141">
        <f>IF(Basic3456[[#This Row],[نوع الخدمة]]="مخالفات", 50,
IF(Basic3456[[#This Row],[نوع الخدمة]]="كاش ان",
    IF(F60&lt;=100, 18, IF(F60&lt;=250, 23, IF(F60&lt;=500, 35, IF(F60&lt;=1000, 40, F60*0.04)))),
IF(Basic3456[[#This Row],[نوع الخدمة]]="كاش اوت",
    IF(F60&lt;=100, 15, IF(F60&lt;=250, 20, IF(F60&lt;=500, 30, IF(F60&lt;=1000, 35, F60*0.035)))),
0)))</f>
        <v>0</v>
      </c>
      <c r="H60" s="159">
        <f>IF(I60="مخالفات",50,Basic3456[[#This Row],[قيمة الرسوم / العموله]]+Basic3456[[#This Row],[قيمة الشحنه]])</f>
        <v>0</v>
      </c>
      <c r="I60" s="90"/>
      <c r="J60" s="142" t="str">
        <f t="shared" si="0"/>
        <v>27.5.2026</v>
      </c>
      <c r="L60" s="153">
        <v>49</v>
      </c>
      <c r="M60" s="92"/>
    </row>
    <row r="61" spans="1:13" ht="21.6" x14ac:dyDescent="0.65">
      <c r="A61" s="195"/>
      <c r="B61" s="144">
        <v>58</v>
      </c>
      <c r="C61" s="2"/>
      <c r="D61" s="1"/>
      <c r="E61" s="3"/>
      <c r="F61" s="1"/>
      <c r="G61" s="141">
        <f>IF(Basic3456[[#This Row],[نوع الخدمة]]="مخالفات", 50,
IF(Basic3456[[#This Row],[نوع الخدمة]]="كاش ان",
    IF(F61&lt;=100, 18, IF(F61&lt;=250, 23, IF(F61&lt;=500, 35, IF(F61&lt;=1000, 40, F61*0.04)))),
IF(Basic3456[[#This Row],[نوع الخدمة]]="كاش اوت",
    IF(F61&lt;=100, 15, IF(F61&lt;=250, 20, IF(F61&lt;=500, 30, IF(F61&lt;=1000, 35, F61*0.035)))),
0)))</f>
        <v>0</v>
      </c>
      <c r="H61" s="159">
        <f>IF(I61="مخالفات",50,Basic3456[[#This Row],[قيمة الرسوم / العموله]]+Basic3456[[#This Row],[قيمة الشحنه]])</f>
        <v>0</v>
      </c>
      <c r="I61" s="90"/>
      <c r="J61" s="142" t="str">
        <f t="shared" si="0"/>
        <v>27.5.2026</v>
      </c>
      <c r="L61" s="153">
        <v>50</v>
      </c>
      <c r="M61" s="92"/>
    </row>
    <row r="62" spans="1:13" ht="21.6" x14ac:dyDescent="0.65">
      <c r="A62" s="195"/>
      <c r="B62" s="140">
        <v>59</v>
      </c>
      <c r="C62" s="2"/>
      <c r="D62" s="1"/>
      <c r="E62" s="3"/>
      <c r="F62" s="1"/>
      <c r="G62" s="141">
        <f>IF(Basic3456[[#This Row],[نوع الخدمة]]="مخالفات", 50,
IF(Basic3456[[#This Row],[نوع الخدمة]]="كاش ان",
    IF(F62&lt;=100, 18, IF(F62&lt;=250, 23, IF(F62&lt;=500, 35, IF(F62&lt;=1000, 40, F62*0.04)))),
IF(Basic3456[[#This Row],[نوع الخدمة]]="كاش اوت",
    IF(F62&lt;=100, 15, IF(F62&lt;=250, 20, IF(F62&lt;=500, 30, IF(F62&lt;=1000, 35, F62*0.035)))),
0)))</f>
        <v>0</v>
      </c>
      <c r="H62" s="159">
        <f>IF(I62="مخالفات",50,Basic3456[[#This Row],[قيمة الرسوم / العموله]]+Basic3456[[#This Row],[قيمة الشحنه]])</f>
        <v>0</v>
      </c>
      <c r="I62" s="90"/>
      <c r="J62" s="142" t="str">
        <f t="shared" si="0"/>
        <v>27.5.2026</v>
      </c>
      <c r="L62" s="153">
        <v>51</v>
      </c>
      <c r="M62" s="92"/>
    </row>
    <row r="63" spans="1:13" ht="21.6" x14ac:dyDescent="0.65">
      <c r="A63" s="195"/>
      <c r="B63" s="140">
        <v>60</v>
      </c>
      <c r="C63" s="2"/>
      <c r="D63" s="1"/>
      <c r="E63" s="3"/>
      <c r="F63" s="1"/>
      <c r="G63" s="141">
        <f>IF(Basic3456[[#This Row],[نوع الخدمة]]="مخالفات", 50,
IF(Basic3456[[#This Row],[نوع الخدمة]]="كاش ان",
    IF(F63&lt;=100, 18, IF(F63&lt;=250, 23, IF(F63&lt;=500, 35, IF(F63&lt;=1000, 40, F63*0.04)))),
IF(Basic3456[[#This Row],[نوع الخدمة]]="كاش اوت",
    IF(F63&lt;=100, 15, IF(F63&lt;=250, 20, IF(F63&lt;=500, 30, IF(F63&lt;=1000, 35, F63*0.035)))),
0)))</f>
        <v>0</v>
      </c>
      <c r="H63" s="159">
        <f>IF(I63="مخالفات",50,Basic3456[[#This Row],[قيمة الرسوم / العموله]]+Basic3456[[#This Row],[قيمة الشحنه]])</f>
        <v>0</v>
      </c>
      <c r="I63" s="90"/>
      <c r="J63" s="142" t="str">
        <f t="shared" si="0"/>
        <v>27.5.2026</v>
      </c>
      <c r="L63" s="153">
        <v>52</v>
      </c>
      <c r="M63" s="92"/>
    </row>
    <row r="64" spans="1:13" ht="21.6" x14ac:dyDescent="0.65">
      <c r="A64" s="195"/>
      <c r="B64" s="140">
        <v>61</v>
      </c>
      <c r="C64" s="2"/>
      <c r="D64" s="1"/>
      <c r="E64" s="3"/>
      <c r="F64" s="1"/>
      <c r="G64" s="141">
        <f>IF(Basic3456[[#This Row],[نوع الخدمة]]="مخالفات", 50,
IF(Basic3456[[#This Row],[نوع الخدمة]]="كاش ان",
    IF(F64&lt;=100, 18, IF(F64&lt;=250, 23, IF(F64&lt;=500, 35, IF(F64&lt;=1000, 40, F64*0.04)))),
IF(Basic3456[[#This Row],[نوع الخدمة]]="كاش اوت",
    IF(F64&lt;=100, 15, IF(F64&lt;=250, 20, IF(F64&lt;=500, 30, IF(F64&lt;=1000, 35, F64*0.035)))),
0)))</f>
        <v>0</v>
      </c>
      <c r="H64" s="159">
        <f>IF(I64="مخالفات",50,Basic3456[[#This Row],[قيمة الرسوم / العموله]]+Basic3456[[#This Row],[قيمة الشحنه]])</f>
        <v>0</v>
      </c>
      <c r="I64" s="90"/>
      <c r="J64" s="142" t="str">
        <f t="shared" si="0"/>
        <v>27.5.2026</v>
      </c>
      <c r="L64" s="153">
        <v>53</v>
      </c>
      <c r="M64" s="92"/>
    </row>
    <row r="65" spans="1:13" ht="21.6" x14ac:dyDescent="0.65">
      <c r="A65" s="195"/>
      <c r="B65" s="144">
        <v>62</v>
      </c>
      <c r="C65" s="2"/>
      <c r="D65" s="1"/>
      <c r="E65" s="3"/>
      <c r="F65" s="1"/>
      <c r="G65" s="141">
        <f>IF(Basic3456[[#This Row],[نوع الخدمة]]="مخالفات", 50,
IF(Basic3456[[#This Row],[نوع الخدمة]]="كاش ان",
    IF(F65&lt;=100, 18, IF(F65&lt;=250, 23, IF(F65&lt;=500, 35, IF(F65&lt;=1000, 40, F65*0.04)))),
IF(Basic3456[[#This Row],[نوع الخدمة]]="كاش اوت",
    IF(F65&lt;=100, 15, IF(F65&lt;=250, 20, IF(F65&lt;=500, 30, IF(F65&lt;=1000, 35, F65*0.035)))),
0)))</f>
        <v>0</v>
      </c>
      <c r="H65" s="159">
        <f>IF(I65="مخالفات",50,Basic3456[[#This Row],[قيمة الرسوم / العموله]]+Basic3456[[#This Row],[قيمة الشحنه]])</f>
        <v>0</v>
      </c>
      <c r="I65" s="90"/>
      <c r="J65" s="142" t="str">
        <f t="shared" si="0"/>
        <v>27.5.2026</v>
      </c>
      <c r="L65" s="153">
        <v>54</v>
      </c>
      <c r="M65" s="92"/>
    </row>
    <row r="66" spans="1:13" ht="21.6" x14ac:dyDescent="0.65">
      <c r="A66" s="195"/>
      <c r="B66" s="140">
        <v>63</v>
      </c>
      <c r="C66" s="2"/>
      <c r="D66" s="1"/>
      <c r="E66" s="3"/>
      <c r="F66" s="1"/>
      <c r="G66" s="141">
        <f>IF(Basic3456[[#This Row],[نوع الخدمة]]="مخالفات", 50,
IF(Basic3456[[#This Row],[نوع الخدمة]]="كاش ان",
    IF(F66&lt;=100, 18, IF(F66&lt;=250, 23, IF(F66&lt;=500, 35, IF(F66&lt;=1000, 40, F66*0.04)))),
IF(Basic3456[[#This Row],[نوع الخدمة]]="كاش اوت",
    IF(F66&lt;=100, 15, IF(F66&lt;=250, 20, IF(F66&lt;=500, 30, IF(F66&lt;=1000, 35, F66*0.035)))),
0)))</f>
        <v>0</v>
      </c>
      <c r="H66" s="159">
        <f>IF(I66="مخالفات",50,Basic3456[[#This Row],[قيمة الرسوم / العموله]]+Basic3456[[#This Row],[قيمة الشحنه]])</f>
        <v>0</v>
      </c>
      <c r="I66" s="90"/>
      <c r="J66" s="142" t="str">
        <f t="shared" si="0"/>
        <v>27.5.2026</v>
      </c>
      <c r="L66" s="153">
        <v>55</v>
      </c>
      <c r="M66" s="92"/>
    </row>
    <row r="67" spans="1:13" ht="21.6" x14ac:dyDescent="0.65">
      <c r="A67" s="195"/>
      <c r="B67" s="140">
        <v>64</v>
      </c>
      <c r="C67" s="2"/>
      <c r="D67" s="1"/>
      <c r="E67" s="3"/>
      <c r="F67" s="1"/>
      <c r="G67" s="141">
        <f>IF(Basic3456[[#This Row],[نوع الخدمة]]="مخالفات", 50,
IF(Basic3456[[#This Row],[نوع الخدمة]]="كاش ان",
    IF(F67&lt;=100, 18, IF(F67&lt;=250, 23, IF(F67&lt;=500, 35, IF(F67&lt;=1000, 40, F67*0.04)))),
IF(Basic3456[[#This Row],[نوع الخدمة]]="كاش اوت",
    IF(F67&lt;=100, 15, IF(F67&lt;=250, 20, IF(F67&lt;=500, 30, IF(F67&lt;=1000, 35, F67*0.035)))),
0)))</f>
        <v>0</v>
      </c>
      <c r="H67" s="159">
        <f>IF(I67="مخالفات",50,Basic3456[[#This Row],[قيمة الرسوم / العموله]]+Basic3456[[#This Row],[قيمة الشحنه]])</f>
        <v>0</v>
      </c>
      <c r="I67" s="90"/>
      <c r="J67" s="142" t="str">
        <f t="shared" si="0"/>
        <v>27.5.2026</v>
      </c>
      <c r="L67" s="153">
        <v>56</v>
      </c>
      <c r="M67" s="92"/>
    </row>
    <row r="68" spans="1:13" ht="21.6" x14ac:dyDescent="0.65">
      <c r="A68" s="195"/>
      <c r="B68" s="140">
        <v>65</v>
      </c>
      <c r="C68" s="2"/>
      <c r="D68" s="1"/>
      <c r="E68" s="3"/>
      <c r="F68" s="1"/>
      <c r="G68" s="141">
        <f>IF(Basic3456[[#This Row],[نوع الخدمة]]="مخالفات", 50,
IF(Basic3456[[#This Row],[نوع الخدمة]]="كاش ان",
    IF(F68&lt;=100, 18, IF(F68&lt;=250, 23, IF(F68&lt;=500, 35, IF(F68&lt;=1000, 40, F68*0.04)))),
IF(Basic3456[[#This Row],[نوع الخدمة]]="كاش اوت",
    IF(F68&lt;=100, 15, IF(F68&lt;=250, 20, IF(F68&lt;=500, 30, IF(F68&lt;=1000, 35, F68*0.035)))),
0)))</f>
        <v>0</v>
      </c>
      <c r="H68" s="159">
        <f>IF(I68="مخالفات",50,Basic3456[[#This Row],[قيمة الرسوم / العموله]]+Basic3456[[#This Row],[قيمة الشحنه]])</f>
        <v>0</v>
      </c>
      <c r="I68" s="90"/>
      <c r="J68" s="142" t="str">
        <f t="shared" ref="J68:J131" si="1">M$3</f>
        <v>27.5.2026</v>
      </c>
      <c r="L68" s="153">
        <v>57</v>
      </c>
      <c r="M68" s="92"/>
    </row>
    <row r="69" spans="1:13" ht="21.6" x14ac:dyDescent="0.65">
      <c r="A69" s="195"/>
      <c r="B69" s="144">
        <v>66</v>
      </c>
      <c r="C69" s="2"/>
      <c r="D69" s="1"/>
      <c r="E69" s="3"/>
      <c r="F69" s="1"/>
      <c r="G69" s="141">
        <f>IF(Basic3456[[#This Row],[نوع الخدمة]]="مخالفات", 50,
IF(Basic3456[[#This Row],[نوع الخدمة]]="كاش ان",
    IF(F69&lt;=100, 18, IF(F69&lt;=250, 23, IF(F69&lt;=500, 35, IF(F69&lt;=1000, 40, F69*0.04)))),
IF(Basic3456[[#This Row],[نوع الخدمة]]="كاش اوت",
    IF(F69&lt;=100, 15, IF(F69&lt;=250, 20, IF(F69&lt;=500, 30, IF(F69&lt;=1000, 35, F69*0.035)))),
0)))</f>
        <v>0</v>
      </c>
      <c r="H69" s="159">
        <f>IF(I69="مخالفات",50,Basic3456[[#This Row],[قيمة الرسوم / العموله]]+Basic3456[[#This Row],[قيمة الشحنه]])</f>
        <v>0</v>
      </c>
      <c r="I69" s="90"/>
      <c r="J69" s="142" t="str">
        <f t="shared" si="1"/>
        <v>27.5.2026</v>
      </c>
      <c r="L69" s="153">
        <v>58</v>
      </c>
      <c r="M69" s="92"/>
    </row>
    <row r="70" spans="1:13" ht="21.6" x14ac:dyDescent="0.65">
      <c r="A70" s="195"/>
      <c r="B70" s="140">
        <v>67</v>
      </c>
      <c r="C70" s="2"/>
      <c r="D70" s="1"/>
      <c r="E70" s="3"/>
      <c r="F70" s="1"/>
      <c r="G70" s="141">
        <f>IF(Basic3456[[#This Row],[نوع الخدمة]]="مخالفات", 50,
IF(Basic3456[[#This Row],[نوع الخدمة]]="كاش ان",
    IF(F70&lt;=100, 18, IF(F70&lt;=250, 23, IF(F70&lt;=500, 35, IF(F70&lt;=1000, 40, F70*0.04)))),
IF(Basic3456[[#This Row],[نوع الخدمة]]="كاش اوت",
    IF(F70&lt;=100, 15, IF(F70&lt;=250, 20, IF(F70&lt;=500, 30, IF(F70&lt;=1000, 35, F70*0.035)))),
0)))</f>
        <v>0</v>
      </c>
      <c r="H70" s="159">
        <f>IF(I70="مخالفات",50,Basic3456[[#This Row],[قيمة الرسوم / العموله]]+Basic3456[[#This Row],[قيمة الشحنه]])</f>
        <v>0</v>
      </c>
      <c r="I70" s="90"/>
      <c r="J70" s="142" t="str">
        <f t="shared" si="1"/>
        <v>27.5.2026</v>
      </c>
      <c r="L70" s="153">
        <v>59</v>
      </c>
      <c r="M70" s="92"/>
    </row>
    <row r="71" spans="1:13" ht="21.6" x14ac:dyDescent="0.65">
      <c r="A71" s="195"/>
      <c r="B71" s="140">
        <v>68</v>
      </c>
      <c r="C71" s="2"/>
      <c r="D71" s="1"/>
      <c r="E71" s="3"/>
      <c r="F71" s="1"/>
      <c r="G71" s="141">
        <f>IF(Basic3456[[#This Row],[نوع الخدمة]]="مخالفات", 50,
IF(Basic3456[[#This Row],[نوع الخدمة]]="كاش ان",
    IF(F71&lt;=100, 18, IF(F71&lt;=250, 23, IF(F71&lt;=500, 35, IF(F71&lt;=1000, 40, F71*0.04)))),
IF(Basic3456[[#This Row],[نوع الخدمة]]="كاش اوت",
    IF(F71&lt;=100, 15, IF(F71&lt;=250, 20, IF(F71&lt;=500, 30, IF(F71&lt;=1000, 35, F71*0.035)))),
0)))</f>
        <v>0</v>
      </c>
      <c r="H71" s="159">
        <f>IF(I71="مخالفات",50,Basic3456[[#This Row],[قيمة الرسوم / العموله]]+Basic3456[[#This Row],[قيمة الشحنه]])</f>
        <v>0</v>
      </c>
      <c r="I71" s="90"/>
      <c r="J71" s="142" t="str">
        <f t="shared" si="1"/>
        <v>27.5.2026</v>
      </c>
      <c r="L71" s="153">
        <v>60</v>
      </c>
      <c r="M71" s="92"/>
    </row>
    <row r="72" spans="1:13" ht="21.6" x14ac:dyDescent="0.65">
      <c r="A72" s="195"/>
      <c r="B72" s="140">
        <v>69</v>
      </c>
      <c r="C72" s="2"/>
      <c r="D72" s="1"/>
      <c r="E72" s="3"/>
      <c r="F72" s="1"/>
      <c r="G72" s="141">
        <f>IF(Basic3456[[#This Row],[نوع الخدمة]]="مخالفات", 50,
IF(Basic3456[[#This Row],[نوع الخدمة]]="كاش ان",
    IF(F72&lt;=100, 18, IF(F72&lt;=250, 23, IF(F72&lt;=500, 35, IF(F72&lt;=1000, 40, F72*0.04)))),
IF(Basic3456[[#This Row],[نوع الخدمة]]="كاش اوت",
    IF(F72&lt;=100, 15, IF(F72&lt;=250, 20, IF(F72&lt;=500, 30, IF(F72&lt;=1000, 35, F72*0.035)))),
0)))</f>
        <v>0</v>
      </c>
      <c r="H72" s="159">
        <f>IF(I72="مخالفات",50,Basic3456[[#This Row],[قيمة الرسوم / العموله]]+Basic3456[[#This Row],[قيمة الشحنه]])</f>
        <v>0</v>
      </c>
      <c r="I72" s="90"/>
      <c r="J72" s="142" t="str">
        <f t="shared" si="1"/>
        <v>27.5.2026</v>
      </c>
      <c r="L72" s="153">
        <v>61</v>
      </c>
      <c r="M72" s="92"/>
    </row>
    <row r="73" spans="1:13" ht="21.6" x14ac:dyDescent="0.65">
      <c r="A73" s="195"/>
      <c r="B73" s="144">
        <v>70</v>
      </c>
      <c r="C73" s="2"/>
      <c r="D73" s="1"/>
      <c r="E73" s="3"/>
      <c r="F73" s="1"/>
      <c r="G73" s="141">
        <f>IF(Basic3456[[#This Row],[نوع الخدمة]]="مخالفات", 50,
IF(Basic3456[[#This Row],[نوع الخدمة]]="كاش ان",
    IF(F73&lt;=100, 18, IF(F73&lt;=250, 23, IF(F73&lt;=500, 35, IF(F73&lt;=1000, 40, F73*0.04)))),
IF(Basic3456[[#This Row],[نوع الخدمة]]="كاش اوت",
    IF(F73&lt;=100, 15, IF(F73&lt;=250, 20, IF(F73&lt;=500, 30, IF(F73&lt;=1000, 35, F73*0.035)))),
0)))</f>
        <v>0</v>
      </c>
      <c r="H73" s="159">
        <f>IF(I73="مخالفات",50,Basic3456[[#This Row],[قيمة الرسوم / العموله]]+Basic3456[[#This Row],[قيمة الشحنه]])</f>
        <v>0</v>
      </c>
      <c r="I73" s="90"/>
      <c r="J73" s="142" t="str">
        <f t="shared" si="1"/>
        <v>27.5.2026</v>
      </c>
      <c r="L73" s="153">
        <v>62</v>
      </c>
      <c r="M73" s="92"/>
    </row>
    <row r="74" spans="1:13" ht="21.6" x14ac:dyDescent="0.65">
      <c r="A74" s="195"/>
      <c r="B74" s="140">
        <v>71</v>
      </c>
      <c r="C74" s="2"/>
      <c r="D74" s="1"/>
      <c r="E74" s="3"/>
      <c r="F74" s="1"/>
      <c r="G74" s="141">
        <f>IF(Basic3456[[#This Row],[نوع الخدمة]]="مخالفات", 50,
IF(Basic3456[[#This Row],[نوع الخدمة]]="كاش ان",
    IF(F74&lt;=100, 18, IF(F74&lt;=250, 23, IF(F74&lt;=500, 35, IF(F74&lt;=1000, 40, F74*0.04)))),
IF(Basic3456[[#This Row],[نوع الخدمة]]="كاش اوت",
    IF(F74&lt;=100, 15, IF(F74&lt;=250, 20, IF(F74&lt;=500, 30, IF(F74&lt;=1000, 35, F74*0.035)))),
0)))</f>
        <v>0</v>
      </c>
      <c r="H74" s="159">
        <f>IF(I74="مخالفات",50,Basic3456[[#This Row],[قيمة الرسوم / العموله]]+Basic3456[[#This Row],[قيمة الشحنه]])</f>
        <v>0</v>
      </c>
      <c r="I74" s="90"/>
      <c r="J74" s="142" t="str">
        <f t="shared" si="1"/>
        <v>27.5.2026</v>
      </c>
      <c r="L74" s="153">
        <v>63</v>
      </c>
      <c r="M74" s="92"/>
    </row>
    <row r="75" spans="1:13" ht="21.6" x14ac:dyDescent="0.65">
      <c r="A75" s="195"/>
      <c r="B75" s="140">
        <v>72</v>
      </c>
      <c r="C75" s="2"/>
      <c r="D75" s="1"/>
      <c r="E75" s="3"/>
      <c r="F75" s="1"/>
      <c r="G75" s="141">
        <f>IF(Basic3456[[#This Row],[نوع الخدمة]]="مخالفات", 50,
IF(Basic3456[[#This Row],[نوع الخدمة]]="كاش ان",
    IF(F75&lt;=100, 18, IF(F75&lt;=250, 23, IF(F75&lt;=500, 35, IF(F75&lt;=1000, 40, F75*0.04)))),
IF(Basic3456[[#This Row],[نوع الخدمة]]="كاش اوت",
    IF(F75&lt;=100, 15, IF(F75&lt;=250, 20, IF(F75&lt;=500, 30, IF(F75&lt;=1000, 35, F75*0.035)))),
0)))</f>
        <v>0</v>
      </c>
      <c r="H75" s="159">
        <f>IF(I75="مخالفات",50,Basic3456[[#This Row],[قيمة الرسوم / العموله]]+Basic3456[[#This Row],[قيمة الشحنه]])</f>
        <v>0</v>
      </c>
      <c r="I75" s="90"/>
      <c r="J75" s="142" t="str">
        <f t="shared" si="1"/>
        <v>27.5.2026</v>
      </c>
      <c r="L75" s="153">
        <v>64</v>
      </c>
      <c r="M75" s="92"/>
    </row>
    <row r="76" spans="1:13" ht="21.6" x14ac:dyDescent="0.65">
      <c r="A76" s="195"/>
      <c r="B76" s="140">
        <v>73</v>
      </c>
      <c r="C76" s="2"/>
      <c r="D76" s="1"/>
      <c r="E76" s="3"/>
      <c r="F76" s="1"/>
      <c r="G76" s="141">
        <f>IF(Basic3456[[#This Row],[نوع الخدمة]]="مخالفات", 50,
IF(Basic3456[[#This Row],[نوع الخدمة]]="كاش ان",
    IF(F76&lt;=100, 18, IF(F76&lt;=250, 23, IF(F76&lt;=500, 35, IF(F76&lt;=1000, 40, F76*0.04)))),
IF(Basic3456[[#This Row],[نوع الخدمة]]="كاش اوت",
    IF(F76&lt;=100, 15, IF(F76&lt;=250, 20, IF(F76&lt;=500, 30, IF(F76&lt;=1000, 35, F76*0.035)))),
0)))</f>
        <v>0</v>
      </c>
      <c r="H76" s="159">
        <f>IF(I76="مخالفات",50,Basic3456[[#This Row],[قيمة الرسوم / العموله]]+Basic3456[[#This Row],[قيمة الشحنه]])</f>
        <v>0</v>
      </c>
      <c r="I76" s="90"/>
      <c r="J76" s="142" t="str">
        <f t="shared" si="1"/>
        <v>27.5.2026</v>
      </c>
      <c r="L76" s="153">
        <v>65</v>
      </c>
      <c r="M76" s="92"/>
    </row>
    <row r="77" spans="1:13" ht="21.6" x14ac:dyDescent="0.65">
      <c r="A77" s="195"/>
      <c r="B77" s="144">
        <v>74</v>
      </c>
      <c r="C77" s="2"/>
      <c r="D77" s="1"/>
      <c r="E77" s="3"/>
      <c r="F77" s="1"/>
      <c r="G77" s="141">
        <f>IF(Basic3456[[#This Row],[نوع الخدمة]]="مخالفات", 50,
IF(Basic3456[[#This Row],[نوع الخدمة]]="كاش ان",
    IF(F77&lt;=100, 18, IF(F77&lt;=250, 23, IF(F77&lt;=500, 35, IF(F77&lt;=1000, 40, F77*0.04)))),
IF(Basic3456[[#This Row],[نوع الخدمة]]="كاش اوت",
    IF(F77&lt;=100, 15, IF(F77&lt;=250, 20, IF(F77&lt;=500, 30, IF(F77&lt;=1000, 35, F77*0.035)))),
0)))</f>
        <v>0</v>
      </c>
      <c r="H77" s="159">
        <f>IF(I77="مخالفات",50,Basic3456[[#This Row],[قيمة الرسوم / العموله]]+Basic3456[[#This Row],[قيمة الشحنه]])</f>
        <v>0</v>
      </c>
      <c r="I77" s="90"/>
      <c r="J77" s="142" t="str">
        <f t="shared" si="1"/>
        <v>27.5.2026</v>
      </c>
      <c r="L77" s="153">
        <v>66</v>
      </c>
      <c r="M77" s="92"/>
    </row>
    <row r="78" spans="1:13" ht="21.6" x14ac:dyDescent="0.65">
      <c r="A78" s="195"/>
      <c r="B78" s="140">
        <v>75</v>
      </c>
      <c r="C78" s="2"/>
      <c r="D78" s="1"/>
      <c r="E78" s="3"/>
      <c r="F78" s="1"/>
      <c r="G78" s="141">
        <f>IF(Basic3456[[#This Row],[نوع الخدمة]]="مخالفات", 50,
IF(Basic3456[[#This Row],[نوع الخدمة]]="كاش ان",
    IF(F78&lt;=100, 18, IF(F78&lt;=250, 23, IF(F78&lt;=500, 35, IF(F78&lt;=1000, 40, F78*0.04)))),
IF(Basic3456[[#This Row],[نوع الخدمة]]="كاش اوت",
    IF(F78&lt;=100, 15, IF(F78&lt;=250, 20, IF(F78&lt;=500, 30, IF(F78&lt;=1000, 35, F78*0.035)))),
0)))</f>
        <v>0</v>
      </c>
      <c r="H78" s="159">
        <f>IF(I78="مخالفات",50,Basic3456[[#This Row],[قيمة الرسوم / العموله]]+Basic3456[[#This Row],[قيمة الشحنه]])</f>
        <v>0</v>
      </c>
      <c r="I78" s="90"/>
      <c r="J78" s="142" t="str">
        <f t="shared" si="1"/>
        <v>27.5.2026</v>
      </c>
      <c r="L78" s="153">
        <v>67</v>
      </c>
      <c r="M78" s="92"/>
    </row>
    <row r="79" spans="1:13" ht="21.6" x14ac:dyDescent="0.65">
      <c r="A79" s="195"/>
      <c r="B79" s="140">
        <v>76</v>
      </c>
      <c r="C79" s="2"/>
      <c r="D79" s="1"/>
      <c r="E79" s="3"/>
      <c r="F79" s="1"/>
      <c r="G79" s="141">
        <f>IF(Basic3456[[#This Row],[نوع الخدمة]]="مخالفات", 50,
IF(Basic3456[[#This Row],[نوع الخدمة]]="كاش ان",
    IF(F79&lt;=100, 18, IF(F79&lt;=250, 23, IF(F79&lt;=500, 35, IF(F79&lt;=1000, 40, F79*0.04)))),
IF(Basic3456[[#This Row],[نوع الخدمة]]="كاش اوت",
    IF(F79&lt;=100, 15, IF(F79&lt;=250, 20, IF(F79&lt;=500, 30, IF(F79&lt;=1000, 35, F79*0.035)))),
0)))</f>
        <v>0</v>
      </c>
      <c r="H79" s="159">
        <f>IF(I79="مخالفات",50,Basic3456[[#This Row],[قيمة الرسوم / العموله]]+Basic3456[[#This Row],[قيمة الشحنه]])</f>
        <v>0</v>
      </c>
      <c r="I79" s="90"/>
      <c r="J79" s="142" t="str">
        <f t="shared" si="1"/>
        <v>27.5.2026</v>
      </c>
      <c r="L79" s="153">
        <v>68</v>
      </c>
      <c r="M79" s="92"/>
    </row>
    <row r="80" spans="1:13" ht="21.6" x14ac:dyDescent="0.65">
      <c r="A80" s="195"/>
      <c r="B80" s="140">
        <v>77</v>
      </c>
      <c r="C80" s="2"/>
      <c r="D80" s="1"/>
      <c r="E80" s="3"/>
      <c r="F80" s="1"/>
      <c r="G80" s="141">
        <f>IF(Basic3456[[#This Row],[نوع الخدمة]]="مخالفات", 50,
IF(Basic3456[[#This Row],[نوع الخدمة]]="كاش ان",
    IF(F80&lt;=100, 18, IF(F80&lt;=250, 23, IF(F80&lt;=500, 35, IF(F80&lt;=1000, 40, F80*0.04)))),
IF(Basic3456[[#This Row],[نوع الخدمة]]="كاش اوت",
    IF(F80&lt;=100, 15, IF(F80&lt;=250, 20, IF(F80&lt;=500, 30, IF(F80&lt;=1000, 35, F80*0.035)))),
0)))</f>
        <v>0</v>
      </c>
      <c r="H80" s="159">
        <f>IF(I80="مخالفات",50,Basic3456[[#This Row],[قيمة الرسوم / العموله]]+Basic3456[[#This Row],[قيمة الشحنه]])</f>
        <v>0</v>
      </c>
      <c r="I80" s="90"/>
      <c r="J80" s="142" t="str">
        <f t="shared" si="1"/>
        <v>27.5.2026</v>
      </c>
      <c r="L80" s="153">
        <v>69</v>
      </c>
      <c r="M80" s="92"/>
    </row>
    <row r="81" spans="1:13" ht="21.6" x14ac:dyDescent="0.65">
      <c r="A81" s="195"/>
      <c r="B81" s="144">
        <v>78</v>
      </c>
      <c r="C81" s="2"/>
      <c r="D81" s="1"/>
      <c r="E81" s="3"/>
      <c r="F81" s="1"/>
      <c r="G81" s="141">
        <f>IF(Basic3456[[#This Row],[نوع الخدمة]]="مخالفات", 50,
IF(Basic3456[[#This Row],[نوع الخدمة]]="كاش ان",
    IF(F81&lt;=100, 18, IF(F81&lt;=250, 23, IF(F81&lt;=500, 35, IF(F81&lt;=1000, 40, F81*0.04)))),
IF(Basic3456[[#This Row],[نوع الخدمة]]="كاش اوت",
    IF(F81&lt;=100, 15, IF(F81&lt;=250, 20, IF(F81&lt;=500, 30, IF(F81&lt;=1000, 35, F81*0.035)))),
0)))</f>
        <v>0</v>
      </c>
      <c r="H81" s="159">
        <f>IF(I81="مخالفات",50,Basic3456[[#This Row],[قيمة الرسوم / العموله]]+Basic3456[[#This Row],[قيمة الشحنه]])</f>
        <v>0</v>
      </c>
      <c r="I81" s="90"/>
      <c r="J81" s="142" t="str">
        <f t="shared" si="1"/>
        <v>27.5.2026</v>
      </c>
      <c r="L81" s="153">
        <v>70</v>
      </c>
      <c r="M81" s="92"/>
    </row>
    <row r="82" spans="1:13" ht="21.6" x14ac:dyDescent="0.65">
      <c r="A82" s="195"/>
      <c r="B82" s="140">
        <v>79</v>
      </c>
      <c r="C82" s="2"/>
      <c r="D82" s="1"/>
      <c r="E82" s="3"/>
      <c r="F82" s="1"/>
      <c r="G82" s="141">
        <f>IF(Basic3456[[#This Row],[نوع الخدمة]]="مخالفات", 50,
IF(Basic3456[[#This Row],[نوع الخدمة]]="كاش ان",
    IF(F82&lt;=100, 18, IF(F82&lt;=250, 23, IF(F82&lt;=500, 35, IF(F82&lt;=1000, 40, F82*0.04)))),
IF(Basic3456[[#This Row],[نوع الخدمة]]="كاش اوت",
    IF(F82&lt;=100, 15, IF(F82&lt;=250, 20, IF(F82&lt;=500, 30, IF(F82&lt;=1000, 35, F82*0.035)))),
0)))</f>
        <v>0</v>
      </c>
      <c r="H82" s="159">
        <f>IF(I82="مخالفات",50,Basic3456[[#This Row],[قيمة الرسوم / العموله]]+Basic3456[[#This Row],[قيمة الشحنه]])</f>
        <v>0</v>
      </c>
      <c r="I82" s="90"/>
      <c r="J82" s="142" t="str">
        <f t="shared" si="1"/>
        <v>27.5.2026</v>
      </c>
      <c r="L82" s="153">
        <v>71</v>
      </c>
      <c r="M82" s="92"/>
    </row>
    <row r="83" spans="1:13" ht="21.6" x14ac:dyDescent="0.65">
      <c r="A83" s="195"/>
      <c r="B83" s="140">
        <v>80</v>
      </c>
      <c r="C83" s="2"/>
      <c r="D83" s="1"/>
      <c r="E83" s="3"/>
      <c r="F83" s="1"/>
      <c r="G83" s="141">
        <f>IF(Basic3456[[#This Row],[نوع الخدمة]]="مخالفات", 50,
IF(Basic3456[[#This Row],[نوع الخدمة]]="كاش ان",
    IF(F83&lt;=100, 18, IF(F83&lt;=250, 23, IF(F83&lt;=500, 35, IF(F83&lt;=1000, 40, F83*0.04)))),
IF(Basic3456[[#This Row],[نوع الخدمة]]="كاش اوت",
    IF(F83&lt;=100, 15, IF(F83&lt;=250, 20, IF(F83&lt;=500, 30, IF(F83&lt;=1000, 35, F83*0.035)))),
0)))</f>
        <v>0</v>
      </c>
      <c r="H83" s="159">
        <f>IF(I83="مخالفات",50,Basic3456[[#This Row],[قيمة الرسوم / العموله]]+Basic3456[[#This Row],[قيمة الشحنه]])</f>
        <v>0</v>
      </c>
      <c r="I83" s="90"/>
      <c r="J83" s="142" t="str">
        <f t="shared" si="1"/>
        <v>27.5.2026</v>
      </c>
      <c r="L83" s="153">
        <v>72</v>
      </c>
      <c r="M83" s="92"/>
    </row>
    <row r="84" spans="1:13" ht="21.6" x14ac:dyDescent="0.65">
      <c r="A84" s="195"/>
      <c r="B84" s="140">
        <v>81</v>
      </c>
      <c r="C84" s="2"/>
      <c r="D84" s="1"/>
      <c r="E84" s="3"/>
      <c r="F84" s="1"/>
      <c r="G84" s="141">
        <f>IF(Basic3456[[#This Row],[نوع الخدمة]]="مخالفات", 50,
IF(Basic3456[[#This Row],[نوع الخدمة]]="كاش ان",
    IF(F84&lt;=100, 18, IF(F84&lt;=250, 23, IF(F84&lt;=500, 35, IF(F84&lt;=1000, 40, F84*0.04)))),
IF(Basic3456[[#This Row],[نوع الخدمة]]="كاش اوت",
    IF(F84&lt;=100, 15, IF(F84&lt;=250, 20, IF(F84&lt;=500, 30, IF(F84&lt;=1000, 35, F84*0.035)))),
0)))</f>
        <v>0</v>
      </c>
      <c r="H84" s="159">
        <f>IF(I84="مخالفات",50,Basic3456[[#This Row],[قيمة الرسوم / العموله]]+Basic3456[[#This Row],[قيمة الشحنه]])</f>
        <v>0</v>
      </c>
      <c r="I84" s="90"/>
      <c r="J84" s="142" t="str">
        <f t="shared" si="1"/>
        <v>27.5.2026</v>
      </c>
      <c r="L84" s="153">
        <v>73</v>
      </c>
      <c r="M84" s="92"/>
    </row>
    <row r="85" spans="1:13" ht="21.6" x14ac:dyDescent="0.65">
      <c r="A85" s="195"/>
      <c r="B85" s="144">
        <v>82</v>
      </c>
      <c r="C85" s="2"/>
      <c r="D85" s="1"/>
      <c r="E85" s="3"/>
      <c r="F85" s="1"/>
      <c r="G85" s="141">
        <f>IF(Basic3456[[#This Row],[نوع الخدمة]]="مخالفات", 50,
IF(Basic3456[[#This Row],[نوع الخدمة]]="كاش ان",
    IF(F85&lt;=100, 18, IF(F85&lt;=250, 23, IF(F85&lt;=500, 35, IF(F85&lt;=1000, 40, F85*0.04)))),
IF(Basic3456[[#This Row],[نوع الخدمة]]="كاش اوت",
    IF(F85&lt;=100, 15, IF(F85&lt;=250, 20, IF(F85&lt;=500, 30, IF(F85&lt;=1000, 35, F85*0.035)))),
0)))</f>
        <v>0</v>
      </c>
      <c r="H85" s="159">
        <f>IF(I85="مخالفات",50,Basic3456[[#This Row],[قيمة الرسوم / العموله]]+Basic3456[[#This Row],[قيمة الشحنه]])</f>
        <v>0</v>
      </c>
      <c r="I85" s="90"/>
      <c r="J85" s="142" t="str">
        <f t="shared" si="1"/>
        <v>27.5.2026</v>
      </c>
      <c r="L85" s="153">
        <v>74</v>
      </c>
      <c r="M85" s="92"/>
    </row>
    <row r="86" spans="1:13" ht="21.6" x14ac:dyDescent="0.65">
      <c r="A86" s="195"/>
      <c r="B86" s="140">
        <v>83</v>
      </c>
      <c r="C86" s="2"/>
      <c r="D86" s="1"/>
      <c r="E86" s="3"/>
      <c r="F86" s="1"/>
      <c r="G86" s="141">
        <f>IF(Basic3456[[#This Row],[نوع الخدمة]]="مخالفات", 50,
IF(Basic3456[[#This Row],[نوع الخدمة]]="كاش ان",
    IF(F86&lt;=100, 18, IF(F86&lt;=250, 23, IF(F86&lt;=500, 35, IF(F86&lt;=1000, 40, F86*0.04)))),
IF(Basic3456[[#This Row],[نوع الخدمة]]="كاش اوت",
    IF(F86&lt;=100, 15, IF(F86&lt;=250, 20, IF(F86&lt;=500, 30, IF(F86&lt;=1000, 35, F86*0.035)))),
0)))</f>
        <v>0</v>
      </c>
      <c r="H86" s="159">
        <f>IF(I86="مخالفات",50,Basic3456[[#This Row],[قيمة الرسوم / العموله]]+Basic3456[[#This Row],[قيمة الشحنه]])</f>
        <v>0</v>
      </c>
      <c r="I86" s="90"/>
      <c r="J86" s="142" t="str">
        <f t="shared" si="1"/>
        <v>27.5.2026</v>
      </c>
      <c r="L86" s="153">
        <v>75</v>
      </c>
      <c r="M86" s="92"/>
    </row>
    <row r="87" spans="1:13" ht="21.6" x14ac:dyDescent="0.65">
      <c r="A87" s="195"/>
      <c r="B87" s="140">
        <v>84</v>
      </c>
      <c r="C87" s="2"/>
      <c r="D87" s="1"/>
      <c r="E87" s="3"/>
      <c r="F87" s="1"/>
      <c r="G87" s="141">
        <f>IF(Basic3456[[#This Row],[نوع الخدمة]]="مخالفات", 50,
IF(Basic3456[[#This Row],[نوع الخدمة]]="كاش ان",
    IF(F87&lt;=100, 18, IF(F87&lt;=250, 23, IF(F87&lt;=500, 35, IF(F87&lt;=1000, 40, F87*0.04)))),
IF(Basic3456[[#This Row],[نوع الخدمة]]="كاش اوت",
    IF(F87&lt;=100, 15, IF(F87&lt;=250, 20, IF(F87&lt;=500, 30, IF(F87&lt;=1000, 35, F87*0.035)))),
0)))</f>
        <v>0</v>
      </c>
      <c r="H87" s="159">
        <f>IF(I87="مخالفات",50,Basic3456[[#This Row],[قيمة الرسوم / العموله]]+Basic3456[[#This Row],[قيمة الشحنه]])</f>
        <v>0</v>
      </c>
      <c r="I87" s="90"/>
      <c r="J87" s="142" t="str">
        <f t="shared" si="1"/>
        <v>27.5.2026</v>
      </c>
      <c r="L87" s="153">
        <v>76</v>
      </c>
      <c r="M87" s="92"/>
    </row>
    <row r="88" spans="1:13" ht="21.6" x14ac:dyDescent="0.65">
      <c r="A88" s="195"/>
      <c r="B88" s="140">
        <v>85</v>
      </c>
      <c r="C88" s="2"/>
      <c r="D88" s="1"/>
      <c r="E88" s="3"/>
      <c r="F88" s="1"/>
      <c r="G88" s="141">
        <f>IF(Basic3456[[#This Row],[نوع الخدمة]]="مخالفات", 50,
IF(Basic3456[[#This Row],[نوع الخدمة]]="كاش ان",
    IF(F88&lt;=100, 18, IF(F88&lt;=250, 23, IF(F88&lt;=500, 35, IF(F88&lt;=1000, 40, F88*0.04)))),
IF(Basic3456[[#This Row],[نوع الخدمة]]="كاش اوت",
    IF(F88&lt;=100, 15, IF(F88&lt;=250, 20, IF(F88&lt;=500, 30, IF(F88&lt;=1000, 35, F88*0.035)))),
0)))</f>
        <v>0</v>
      </c>
      <c r="H88" s="159">
        <f>IF(I88="مخالفات",50,Basic3456[[#This Row],[قيمة الرسوم / العموله]]+Basic3456[[#This Row],[قيمة الشحنه]])</f>
        <v>0</v>
      </c>
      <c r="I88" s="90"/>
      <c r="J88" s="142" t="str">
        <f t="shared" si="1"/>
        <v>27.5.2026</v>
      </c>
      <c r="L88" s="153">
        <v>77</v>
      </c>
      <c r="M88" s="92"/>
    </row>
    <row r="89" spans="1:13" ht="21.6" x14ac:dyDescent="0.65">
      <c r="A89" s="195"/>
      <c r="B89" s="144">
        <v>86</v>
      </c>
      <c r="C89" s="2"/>
      <c r="D89" s="1"/>
      <c r="E89" s="3"/>
      <c r="F89" s="1"/>
      <c r="G89" s="141">
        <f>IF(Basic3456[[#This Row],[نوع الخدمة]]="مخالفات", 50,
IF(Basic3456[[#This Row],[نوع الخدمة]]="كاش ان",
    IF(F89&lt;=100, 18, IF(F89&lt;=250, 23, IF(F89&lt;=500, 35, IF(F89&lt;=1000, 40, F89*0.04)))),
IF(Basic3456[[#This Row],[نوع الخدمة]]="كاش اوت",
    IF(F89&lt;=100, 15, IF(F89&lt;=250, 20, IF(F89&lt;=500, 30, IF(F89&lt;=1000, 35, F89*0.035)))),
0)))</f>
        <v>0</v>
      </c>
      <c r="H89" s="159">
        <f>IF(I89="مخالفات",50,Basic3456[[#This Row],[قيمة الرسوم / العموله]]+Basic3456[[#This Row],[قيمة الشحنه]])</f>
        <v>0</v>
      </c>
      <c r="I89" s="90"/>
      <c r="J89" s="142" t="str">
        <f t="shared" si="1"/>
        <v>27.5.2026</v>
      </c>
      <c r="L89" s="153">
        <v>78</v>
      </c>
      <c r="M89" s="92"/>
    </row>
    <row r="90" spans="1:13" ht="21.6" x14ac:dyDescent="0.65">
      <c r="A90" s="195"/>
      <c r="B90" s="140">
        <v>87</v>
      </c>
      <c r="C90" s="2"/>
      <c r="D90" s="1"/>
      <c r="E90" s="3"/>
      <c r="F90" s="1"/>
      <c r="G90" s="141">
        <f>IF(Basic3456[[#This Row],[نوع الخدمة]]="مخالفات", 50,
IF(Basic3456[[#This Row],[نوع الخدمة]]="كاش ان",
    IF(F90&lt;=100, 18, IF(F90&lt;=250, 23, IF(F90&lt;=500, 35, IF(F90&lt;=1000, 40, F90*0.04)))),
IF(Basic3456[[#This Row],[نوع الخدمة]]="كاش اوت",
    IF(F90&lt;=100, 15, IF(F90&lt;=250, 20, IF(F90&lt;=500, 30, IF(F90&lt;=1000, 35, F90*0.035)))),
0)))</f>
        <v>0</v>
      </c>
      <c r="H90" s="159">
        <f>IF(I90="مخالفات",50,Basic3456[[#This Row],[قيمة الرسوم / العموله]]+Basic3456[[#This Row],[قيمة الشحنه]])</f>
        <v>0</v>
      </c>
      <c r="I90" s="90"/>
      <c r="J90" s="142" t="str">
        <f t="shared" si="1"/>
        <v>27.5.2026</v>
      </c>
      <c r="L90" s="153">
        <v>79</v>
      </c>
      <c r="M90" s="92"/>
    </row>
    <row r="91" spans="1:13" ht="21.6" x14ac:dyDescent="0.65">
      <c r="A91" s="195"/>
      <c r="B91" s="140">
        <v>88</v>
      </c>
      <c r="C91" s="2"/>
      <c r="D91" s="1"/>
      <c r="E91" s="3"/>
      <c r="F91" s="1"/>
      <c r="G91" s="141">
        <f>IF(Basic3456[[#This Row],[نوع الخدمة]]="مخالفات", 50,
IF(Basic3456[[#This Row],[نوع الخدمة]]="كاش ان",
    IF(F91&lt;=100, 18, IF(F91&lt;=250, 23, IF(F91&lt;=500, 35, IF(F91&lt;=1000, 40, F91*0.04)))),
IF(Basic3456[[#This Row],[نوع الخدمة]]="كاش اوت",
    IF(F91&lt;=100, 15, IF(F91&lt;=250, 20, IF(F91&lt;=500, 30, IF(F91&lt;=1000, 35, F91*0.035)))),
0)))</f>
        <v>0</v>
      </c>
      <c r="H91" s="159">
        <f>IF(I91="مخالفات",50,Basic3456[[#This Row],[قيمة الرسوم / العموله]]+Basic3456[[#This Row],[قيمة الشحنه]])</f>
        <v>0</v>
      </c>
      <c r="I91" s="90"/>
      <c r="J91" s="142" t="str">
        <f t="shared" si="1"/>
        <v>27.5.2026</v>
      </c>
      <c r="L91" s="153">
        <v>80</v>
      </c>
      <c r="M91" s="92"/>
    </row>
    <row r="92" spans="1:13" ht="21.6" x14ac:dyDescent="0.65">
      <c r="A92" s="195"/>
      <c r="B92" s="140">
        <v>89</v>
      </c>
      <c r="C92" s="2"/>
      <c r="D92" s="1"/>
      <c r="E92" s="3"/>
      <c r="F92" s="1"/>
      <c r="G92" s="141">
        <f>IF(Basic3456[[#This Row],[نوع الخدمة]]="مخالفات", 50,
IF(Basic3456[[#This Row],[نوع الخدمة]]="كاش ان",
    IF(F92&lt;=100, 18, IF(F92&lt;=250, 23, IF(F92&lt;=500, 35, IF(F92&lt;=1000, 40, F92*0.04)))),
IF(Basic3456[[#This Row],[نوع الخدمة]]="كاش اوت",
    IF(F92&lt;=100, 15, IF(F92&lt;=250, 20, IF(F92&lt;=500, 30, IF(F92&lt;=1000, 35, F92*0.035)))),
0)))</f>
        <v>0</v>
      </c>
      <c r="H92" s="159">
        <f>IF(I92="مخالفات",50,Basic3456[[#This Row],[قيمة الرسوم / العموله]]+Basic3456[[#This Row],[قيمة الشحنه]])</f>
        <v>0</v>
      </c>
      <c r="I92" s="90"/>
      <c r="J92" s="142" t="str">
        <f t="shared" si="1"/>
        <v>27.5.2026</v>
      </c>
      <c r="L92" s="153">
        <v>81</v>
      </c>
      <c r="M92" s="92"/>
    </row>
    <row r="93" spans="1:13" ht="21.6" x14ac:dyDescent="0.65">
      <c r="A93" s="195"/>
      <c r="B93" s="144">
        <v>90</v>
      </c>
      <c r="C93" s="2"/>
      <c r="D93" s="1"/>
      <c r="E93" s="3"/>
      <c r="F93" s="1"/>
      <c r="G93" s="141">
        <f>IF(Basic3456[[#This Row],[نوع الخدمة]]="مخالفات", 50,
IF(Basic3456[[#This Row],[نوع الخدمة]]="كاش ان",
    IF(F93&lt;=100, 18, IF(F93&lt;=250, 23, IF(F93&lt;=500, 35, IF(F93&lt;=1000, 40, F93*0.04)))),
IF(Basic3456[[#This Row],[نوع الخدمة]]="كاش اوت",
    IF(F93&lt;=100, 15, IF(F93&lt;=250, 20, IF(F93&lt;=500, 30, IF(F93&lt;=1000, 35, F93*0.035)))),
0)))</f>
        <v>0</v>
      </c>
      <c r="H93" s="159">
        <f>IF(I93="مخالفات",50,Basic3456[[#This Row],[قيمة الرسوم / العموله]]+Basic3456[[#This Row],[قيمة الشحنه]])</f>
        <v>0</v>
      </c>
      <c r="I93" s="90"/>
      <c r="J93" s="142" t="str">
        <f t="shared" si="1"/>
        <v>27.5.2026</v>
      </c>
      <c r="L93" s="153">
        <v>82</v>
      </c>
      <c r="M93" s="92"/>
    </row>
    <row r="94" spans="1:13" ht="21.6" x14ac:dyDescent="0.65">
      <c r="A94" s="195"/>
      <c r="B94" s="140">
        <v>91</v>
      </c>
      <c r="C94" s="2"/>
      <c r="D94" s="1"/>
      <c r="E94" s="3"/>
      <c r="F94" s="1"/>
      <c r="G94" s="141">
        <f>IF(Basic3456[[#This Row],[نوع الخدمة]]="مخالفات", 50,
IF(Basic3456[[#This Row],[نوع الخدمة]]="كاش ان",
    IF(F94&lt;=100, 18, IF(F94&lt;=250, 23, IF(F94&lt;=500, 35, IF(F94&lt;=1000, 40, F94*0.04)))),
IF(Basic3456[[#This Row],[نوع الخدمة]]="كاش اوت",
    IF(F94&lt;=100, 15, IF(F94&lt;=250, 20, IF(F94&lt;=500, 30, IF(F94&lt;=1000, 35, F94*0.035)))),
0)))</f>
        <v>0</v>
      </c>
      <c r="H94" s="159">
        <f>IF(I94="مخالفات",50,Basic3456[[#This Row],[قيمة الرسوم / العموله]]+Basic3456[[#This Row],[قيمة الشحنه]])</f>
        <v>0</v>
      </c>
      <c r="I94" s="90"/>
      <c r="J94" s="142" t="str">
        <f t="shared" si="1"/>
        <v>27.5.2026</v>
      </c>
      <c r="L94" s="153">
        <v>83</v>
      </c>
      <c r="M94" s="92"/>
    </row>
    <row r="95" spans="1:13" ht="21.6" x14ac:dyDescent="0.65">
      <c r="A95" s="195"/>
      <c r="B95" s="140">
        <v>92</v>
      </c>
      <c r="C95" s="2"/>
      <c r="D95" s="1"/>
      <c r="E95" s="3"/>
      <c r="F95" s="1"/>
      <c r="G95" s="141">
        <f>IF(Basic3456[[#This Row],[نوع الخدمة]]="مخالفات", 50,
IF(Basic3456[[#This Row],[نوع الخدمة]]="كاش ان",
    IF(F95&lt;=100, 18, IF(F95&lt;=250, 23, IF(F95&lt;=500, 35, IF(F95&lt;=1000, 40, F95*0.04)))),
IF(Basic3456[[#This Row],[نوع الخدمة]]="كاش اوت",
    IF(F95&lt;=100, 15, IF(F95&lt;=250, 20, IF(F95&lt;=500, 30, IF(F95&lt;=1000, 35, F95*0.035)))),
0)))</f>
        <v>0</v>
      </c>
      <c r="H95" s="159">
        <f>IF(I95="مخالفات",50,Basic3456[[#This Row],[قيمة الرسوم / العموله]]+Basic3456[[#This Row],[قيمة الشحنه]])</f>
        <v>0</v>
      </c>
      <c r="I95" s="90"/>
      <c r="J95" s="142" t="str">
        <f t="shared" si="1"/>
        <v>27.5.2026</v>
      </c>
      <c r="L95" s="153">
        <v>84</v>
      </c>
      <c r="M95" s="92"/>
    </row>
    <row r="96" spans="1:13" ht="21.6" x14ac:dyDescent="0.65">
      <c r="A96" s="195"/>
      <c r="B96" s="140">
        <v>93</v>
      </c>
      <c r="C96" s="2"/>
      <c r="D96" s="1"/>
      <c r="E96" s="3"/>
      <c r="F96" s="1"/>
      <c r="G96" s="141">
        <f>IF(Basic3456[[#This Row],[نوع الخدمة]]="مخالفات", 50,
IF(Basic3456[[#This Row],[نوع الخدمة]]="كاش ان",
    IF(F96&lt;=100, 18, IF(F96&lt;=250, 23, IF(F96&lt;=500, 35, IF(F96&lt;=1000, 40, F96*0.04)))),
IF(Basic3456[[#This Row],[نوع الخدمة]]="كاش اوت",
    IF(F96&lt;=100, 15, IF(F96&lt;=250, 20, IF(F96&lt;=500, 30, IF(F96&lt;=1000, 35, F96*0.035)))),
0)))</f>
        <v>0</v>
      </c>
      <c r="H96" s="159">
        <f>IF(I96="مخالفات",50,Basic3456[[#This Row],[قيمة الرسوم / العموله]]+Basic3456[[#This Row],[قيمة الشحنه]])</f>
        <v>0</v>
      </c>
      <c r="I96" s="90"/>
      <c r="J96" s="142" t="str">
        <f t="shared" si="1"/>
        <v>27.5.2026</v>
      </c>
      <c r="L96" s="153">
        <v>85</v>
      </c>
      <c r="M96" s="92"/>
    </row>
    <row r="97" spans="1:13" ht="21.6" x14ac:dyDescent="0.65">
      <c r="A97" s="195"/>
      <c r="B97" s="144">
        <v>94</v>
      </c>
      <c r="C97" s="2"/>
      <c r="D97" s="1"/>
      <c r="E97" s="3"/>
      <c r="F97" s="1"/>
      <c r="G97" s="141">
        <f>IF(Basic3456[[#This Row],[نوع الخدمة]]="مخالفات", 50,
IF(Basic3456[[#This Row],[نوع الخدمة]]="كاش ان",
    IF(F97&lt;=100, 18, IF(F97&lt;=250, 23, IF(F97&lt;=500, 35, IF(F97&lt;=1000, 40, F97*0.04)))),
IF(Basic3456[[#This Row],[نوع الخدمة]]="كاش اوت",
    IF(F97&lt;=100, 15, IF(F97&lt;=250, 20, IF(F97&lt;=500, 30, IF(F97&lt;=1000, 35, F97*0.035)))),
0)))</f>
        <v>0</v>
      </c>
      <c r="H97" s="159">
        <f>IF(I97="مخالفات",50,Basic3456[[#This Row],[قيمة الرسوم / العموله]]+Basic3456[[#This Row],[قيمة الشحنه]])</f>
        <v>0</v>
      </c>
      <c r="I97" s="90"/>
      <c r="J97" s="142" t="str">
        <f t="shared" si="1"/>
        <v>27.5.2026</v>
      </c>
      <c r="L97" s="153">
        <v>86</v>
      </c>
      <c r="M97" s="92"/>
    </row>
    <row r="98" spans="1:13" ht="21.6" x14ac:dyDescent="0.65">
      <c r="A98" s="195"/>
      <c r="B98" s="140">
        <v>95</v>
      </c>
      <c r="C98" s="2"/>
      <c r="D98" s="1"/>
      <c r="E98" s="3"/>
      <c r="F98" s="1"/>
      <c r="G98" s="141">
        <f>IF(Basic3456[[#This Row],[نوع الخدمة]]="مخالفات", 50,
IF(Basic3456[[#This Row],[نوع الخدمة]]="كاش ان",
    IF(F98&lt;=100, 18, IF(F98&lt;=250, 23, IF(F98&lt;=500, 35, IF(F98&lt;=1000, 40, F98*0.04)))),
IF(Basic3456[[#This Row],[نوع الخدمة]]="كاش اوت",
    IF(F98&lt;=100, 15, IF(F98&lt;=250, 20, IF(F98&lt;=500, 30, IF(F98&lt;=1000, 35, F98*0.035)))),
0)))</f>
        <v>0</v>
      </c>
      <c r="H98" s="159">
        <f>IF(I98="مخالفات",50,Basic3456[[#This Row],[قيمة الرسوم / العموله]]+Basic3456[[#This Row],[قيمة الشحنه]])</f>
        <v>0</v>
      </c>
      <c r="I98" s="90"/>
      <c r="J98" s="142" t="str">
        <f t="shared" si="1"/>
        <v>27.5.2026</v>
      </c>
      <c r="L98" s="153">
        <v>87</v>
      </c>
      <c r="M98" s="92"/>
    </row>
    <row r="99" spans="1:13" ht="21.6" x14ac:dyDescent="0.65">
      <c r="A99" s="195"/>
      <c r="B99" s="140">
        <v>96</v>
      </c>
      <c r="C99" s="2"/>
      <c r="D99" s="1"/>
      <c r="E99" s="3"/>
      <c r="F99" s="1"/>
      <c r="G99" s="141">
        <f>IF(Basic3456[[#This Row],[نوع الخدمة]]="مخالفات", 50,
IF(Basic3456[[#This Row],[نوع الخدمة]]="كاش ان",
    IF(F99&lt;=100, 18, IF(F99&lt;=250, 23, IF(F99&lt;=500, 35, IF(F99&lt;=1000, 40, F99*0.04)))),
IF(Basic3456[[#This Row],[نوع الخدمة]]="كاش اوت",
    IF(F99&lt;=100, 15, IF(F99&lt;=250, 20, IF(F99&lt;=500, 30, IF(F99&lt;=1000, 35, F99*0.035)))),
0)))</f>
        <v>0</v>
      </c>
      <c r="H99" s="159">
        <f>IF(I99="مخالفات",50,Basic3456[[#This Row],[قيمة الرسوم / العموله]]+Basic3456[[#This Row],[قيمة الشحنه]])</f>
        <v>0</v>
      </c>
      <c r="I99" s="90"/>
      <c r="J99" s="142" t="str">
        <f t="shared" si="1"/>
        <v>27.5.2026</v>
      </c>
      <c r="L99" s="153">
        <v>88</v>
      </c>
      <c r="M99" s="92"/>
    </row>
    <row r="100" spans="1:13" ht="21.6" x14ac:dyDescent="0.65">
      <c r="A100" s="195"/>
      <c r="B100" s="140">
        <v>97</v>
      </c>
      <c r="C100" s="2"/>
      <c r="D100" s="1"/>
      <c r="E100" s="3"/>
      <c r="F100" s="1"/>
      <c r="G100" s="141">
        <f>IF(Basic3456[[#This Row],[نوع الخدمة]]="مخالفات", 50,
IF(Basic3456[[#This Row],[نوع الخدمة]]="كاش ان",
    IF(F100&lt;=100, 18, IF(F100&lt;=250, 23, IF(F100&lt;=500, 35, IF(F100&lt;=1000, 40, F100*0.04)))),
IF(Basic3456[[#This Row],[نوع الخدمة]]="كاش اوت",
    IF(F100&lt;=100, 15, IF(F100&lt;=250, 20, IF(F100&lt;=500, 30, IF(F100&lt;=1000, 35, F100*0.035)))),
0)))</f>
        <v>0</v>
      </c>
      <c r="H100" s="159">
        <f>IF(I100="مخالفات",50,Basic3456[[#This Row],[قيمة الرسوم / العموله]]+Basic3456[[#This Row],[قيمة الشحنه]])</f>
        <v>0</v>
      </c>
      <c r="I100" s="90"/>
      <c r="J100" s="142" t="str">
        <f t="shared" si="1"/>
        <v>27.5.2026</v>
      </c>
      <c r="L100" s="153">
        <v>89</v>
      </c>
      <c r="M100" s="92"/>
    </row>
    <row r="101" spans="1:13" ht="21.6" x14ac:dyDescent="0.65">
      <c r="A101" s="195"/>
      <c r="B101" s="144">
        <v>98</v>
      </c>
      <c r="C101" s="2"/>
      <c r="D101" s="1"/>
      <c r="E101" s="3"/>
      <c r="F101" s="1"/>
      <c r="G101" s="141">
        <f>IF(Basic3456[[#This Row],[نوع الخدمة]]="مخالفات", 50,
IF(Basic3456[[#This Row],[نوع الخدمة]]="كاش ان",
    IF(F101&lt;=100, 18, IF(F101&lt;=250, 23, IF(F101&lt;=500, 35, IF(F101&lt;=1000, 40, F101*0.04)))),
IF(Basic3456[[#This Row],[نوع الخدمة]]="كاش اوت",
    IF(F101&lt;=100, 15, IF(F101&lt;=250, 20, IF(F101&lt;=500, 30, IF(F101&lt;=1000, 35, F101*0.035)))),
0)))</f>
        <v>0</v>
      </c>
      <c r="H101" s="159">
        <f>IF(I101="مخالفات",50,Basic3456[[#This Row],[قيمة الرسوم / العموله]]+Basic3456[[#This Row],[قيمة الشحنه]])</f>
        <v>0</v>
      </c>
      <c r="I101" s="90"/>
      <c r="J101" s="142" t="str">
        <f t="shared" si="1"/>
        <v>27.5.2026</v>
      </c>
      <c r="L101" s="153">
        <v>90</v>
      </c>
      <c r="M101" s="92"/>
    </row>
    <row r="102" spans="1:13" ht="21.6" x14ac:dyDescent="0.65">
      <c r="A102" s="195"/>
      <c r="B102" s="140">
        <v>99</v>
      </c>
      <c r="C102" s="2"/>
      <c r="D102" s="1"/>
      <c r="E102" s="3"/>
      <c r="F102" s="1"/>
      <c r="G102" s="141">
        <f>IF(Basic3456[[#This Row],[نوع الخدمة]]="مخالفات", 50,
IF(Basic3456[[#This Row],[نوع الخدمة]]="كاش ان",
    IF(F102&lt;=100, 18, IF(F102&lt;=250, 23, IF(F102&lt;=500, 35, IF(F102&lt;=1000, 40, F102*0.04)))),
IF(Basic3456[[#This Row],[نوع الخدمة]]="كاش اوت",
    IF(F102&lt;=100, 15, IF(F102&lt;=250, 20, IF(F102&lt;=500, 30, IF(F102&lt;=1000, 35, F102*0.035)))),
0)))</f>
        <v>0</v>
      </c>
      <c r="H102" s="159">
        <f>IF(I102="مخالفات",50,Basic3456[[#This Row],[قيمة الرسوم / العموله]]+Basic3456[[#This Row],[قيمة الشحنه]])</f>
        <v>0</v>
      </c>
      <c r="I102" s="90"/>
      <c r="J102" s="142" t="str">
        <f t="shared" si="1"/>
        <v>27.5.2026</v>
      </c>
      <c r="L102" s="153">
        <v>91</v>
      </c>
      <c r="M102" s="92"/>
    </row>
    <row r="103" spans="1:13" ht="21.6" x14ac:dyDescent="0.65">
      <c r="A103" s="195"/>
      <c r="B103" s="140">
        <v>100</v>
      </c>
      <c r="C103" s="2"/>
      <c r="D103" s="1"/>
      <c r="E103" s="3"/>
      <c r="F103" s="1"/>
      <c r="G103" s="141">
        <f>IF(Basic3456[[#This Row],[نوع الخدمة]]="مخالفات", 50,
IF(Basic3456[[#This Row],[نوع الخدمة]]="كاش ان",
    IF(F103&lt;=100, 18, IF(F103&lt;=250, 23, IF(F103&lt;=500, 35, IF(F103&lt;=1000, 40, F103*0.04)))),
IF(Basic3456[[#This Row],[نوع الخدمة]]="كاش اوت",
    IF(F103&lt;=100, 15, IF(F103&lt;=250, 20, IF(F103&lt;=500, 30, IF(F103&lt;=1000, 35, F103*0.035)))),
0)))</f>
        <v>0</v>
      </c>
      <c r="H103" s="159">
        <f>IF(I103="مخالفات",50,Basic3456[[#This Row],[قيمة الرسوم / العموله]]+Basic3456[[#This Row],[قيمة الشحنه]])</f>
        <v>0</v>
      </c>
      <c r="I103" s="90"/>
      <c r="J103" s="142" t="str">
        <f t="shared" si="1"/>
        <v>27.5.2026</v>
      </c>
      <c r="L103" s="153">
        <v>92</v>
      </c>
      <c r="M103" s="92"/>
    </row>
    <row r="104" spans="1:13" ht="21.6" x14ac:dyDescent="0.65">
      <c r="A104" s="195"/>
      <c r="B104" s="140">
        <v>101</v>
      </c>
      <c r="C104" s="2"/>
      <c r="D104" s="1"/>
      <c r="E104" s="3"/>
      <c r="F104" s="1"/>
      <c r="G104" s="141">
        <f>IF(Basic3456[[#This Row],[نوع الخدمة]]="مخالفات", 50,
IF(Basic3456[[#This Row],[نوع الخدمة]]="كاش ان",
    IF(F104&lt;=100, 18, IF(F104&lt;=250, 23, IF(F104&lt;=500, 35, IF(F104&lt;=1000, 40, F104*0.04)))),
IF(Basic3456[[#This Row],[نوع الخدمة]]="كاش اوت",
    IF(F104&lt;=100, 15, IF(F104&lt;=250, 20, IF(F104&lt;=500, 30, IF(F104&lt;=1000, 35, F104*0.035)))),
0)))</f>
        <v>0</v>
      </c>
      <c r="H104" s="159">
        <f>IF(I104="مخالفات",50,Basic3456[[#This Row],[قيمة الرسوم / العموله]]+Basic3456[[#This Row],[قيمة الشحنه]])</f>
        <v>0</v>
      </c>
      <c r="I104" s="90"/>
      <c r="J104" s="142" t="str">
        <f t="shared" si="1"/>
        <v>27.5.2026</v>
      </c>
      <c r="L104" s="153">
        <v>93</v>
      </c>
      <c r="M104" s="92"/>
    </row>
    <row r="105" spans="1:13" ht="21.6" x14ac:dyDescent="0.65">
      <c r="A105" s="195"/>
      <c r="B105" s="144">
        <v>102</v>
      </c>
      <c r="C105" s="2"/>
      <c r="D105" s="1"/>
      <c r="E105" s="3"/>
      <c r="F105" s="1"/>
      <c r="G105" s="141">
        <f>IF(Basic3456[[#This Row],[نوع الخدمة]]="مخالفات", 50,
IF(Basic3456[[#This Row],[نوع الخدمة]]="كاش ان",
    IF(F105&lt;=100, 18, IF(F105&lt;=250, 23, IF(F105&lt;=500, 35, IF(F105&lt;=1000, 40, F105*0.04)))),
IF(Basic3456[[#This Row],[نوع الخدمة]]="كاش اوت",
    IF(F105&lt;=100, 15, IF(F105&lt;=250, 20, IF(F105&lt;=500, 30, IF(F105&lt;=1000, 35, F105*0.035)))),
0)))</f>
        <v>0</v>
      </c>
      <c r="H105" s="159">
        <f>IF(I105="مخالفات",50,Basic3456[[#This Row],[قيمة الرسوم / العموله]]+Basic3456[[#This Row],[قيمة الشحنه]])</f>
        <v>0</v>
      </c>
      <c r="I105" s="90"/>
      <c r="J105" s="142" t="str">
        <f t="shared" si="1"/>
        <v>27.5.2026</v>
      </c>
      <c r="L105" s="153">
        <v>94</v>
      </c>
      <c r="M105" s="92"/>
    </row>
    <row r="106" spans="1:13" ht="21.6" x14ac:dyDescent="0.65">
      <c r="A106" s="195"/>
      <c r="B106" s="140">
        <v>103</v>
      </c>
      <c r="C106" s="2"/>
      <c r="D106" s="1"/>
      <c r="E106" s="3"/>
      <c r="F106" s="1"/>
      <c r="G106" s="141">
        <f>IF(Basic3456[[#This Row],[نوع الخدمة]]="مخالفات", 50,
IF(Basic3456[[#This Row],[نوع الخدمة]]="كاش ان",
    IF(F106&lt;=100, 18, IF(F106&lt;=250, 23, IF(F106&lt;=500, 35, IF(F106&lt;=1000, 40, F106*0.04)))),
IF(Basic3456[[#This Row],[نوع الخدمة]]="كاش اوت",
    IF(F106&lt;=100, 15, IF(F106&lt;=250, 20, IF(F106&lt;=500, 30, IF(F106&lt;=1000, 35, F106*0.035)))),
0)))</f>
        <v>0</v>
      </c>
      <c r="H106" s="159">
        <f>IF(I106="مخالفات",50,Basic3456[[#This Row],[قيمة الرسوم / العموله]]+Basic3456[[#This Row],[قيمة الشحنه]])</f>
        <v>0</v>
      </c>
      <c r="I106" s="90"/>
      <c r="J106" s="142" t="str">
        <f t="shared" si="1"/>
        <v>27.5.2026</v>
      </c>
      <c r="L106" s="153">
        <v>95</v>
      </c>
      <c r="M106" s="92"/>
    </row>
    <row r="107" spans="1:13" ht="21.6" x14ac:dyDescent="0.65">
      <c r="A107" s="195"/>
      <c r="B107" s="140">
        <v>104</v>
      </c>
      <c r="C107" s="2"/>
      <c r="D107" s="1"/>
      <c r="E107" s="3"/>
      <c r="F107" s="1"/>
      <c r="G107" s="141">
        <f>IF(Basic3456[[#This Row],[نوع الخدمة]]="مخالفات", 50,
IF(Basic3456[[#This Row],[نوع الخدمة]]="كاش ان",
    IF(F107&lt;=100, 18, IF(F107&lt;=250, 23, IF(F107&lt;=500, 35, IF(F107&lt;=1000, 40, F107*0.04)))),
IF(Basic3456[[#This Row],[نوع الخدمة]]="كاش اوت",
    IF(F107&lt;=100, 15, IF(F107&lt;=250, 20, IF(F107&lt;=500, 30, IF(F107&lt;=1000, 35, F107*0.035)))),
0)))</f>
        <v>0</v>
      </c>
      <c r="H107" s="159">
        <f>IF(I107="مخالفات",50,Basic3456[[#This Row],[قيمة الرسوم / العموله]]+Basic3456[[#This Row],[قيمة الشحنه]])</f>
        <v>0</v>
      </c>
      <c r="I107" s="90"/>
      <c r="J107" s="142" t="str">
        <f t="shared" si="1"/>
        <v>27.5.2026</v>
      </c>
      <c r="L107" s="153">
        <v>96</v>
      </c>
      <c r="M107" s="92"/>
    </row>
    <row r="108" spans="1:13" ht="21.6" x14ac:dyDescent="0.65">
      <c r="A108" s="195"/>
      <c r="B108" s="140">
        <v>105</v>
      </c>
      <c r="C108" s="2"/>
      <c r="D108" s="1"/>
      <c r="E108" s="3"/>
      <c r="F108" s="1"/>
      <c r="G108" s="141">
        <f>IF(Basic3456[[#This Row],[نوع الخدمة]]="مخالفات", 50,
IF(Basic3456[[#This Row],[نوع الخدمة]]="كاش ان",
    IF(F108&lt;=100, 18, IF(F108&lt;=250, 23, IF(F108&lt;=500, 35, IF(F108&lt;=1000, 40, F108*0.04)))),
IF(Basic3456[[#This Row],[نوع الخدمة]]="كاش اوت",
    IF(F108&lt;=100, 15, IF(F108&lt;=250, 20, IF(F108&lt;=500, 30, IF(F108&lt;=1000, 35, F108*0.035)))),
0)))</f>
        <v>0</v>
      </c>
      <c r="H108" s="159">
        <f>IF(I108="مخالفات",50,Basic3456[[#This Row],[قيمة الرسوم / العموله]]+Basic3456[[#This Row],[قيمة الشحنه]])</f>
        <v>0</v>
      </c>
      <c r="I108" s="90"/>
      <c r="J108" s="142" t="str">
        <f t="shared" si="1"/>
        <v>27.5.2026</v>
      </c>
      <c r="L108" s="153">
        <v>97</v>
      </c>
      <c r="M108" s="92"/>
    </row>
    <row r="109" spans="1:13" ht="21.6" x14ac:dyDescent="0.65">
      <c r="A109" s="195"/>
      <c r="B109" s="144">
        <v>106</v>
      </c>
      <c r="C109" s="2"/>
      <c r="D109" s="1"/>
      <c r="E109" s="3"/>
      <c r="F109" s="1"/>
      <c r="G109" s="141">
        <f>IF(Basic3456[[#This Row],[نوع الخدمة]]="مخالفات", 50,
IF(Basic3456[[#This Row],[نوع الخدمة]]="كاش ان",
    IF(F109&lt;=100, 18, IF(F109&lt;=250, 23, IF(F109&lt;=500, 35, IF(F109&lt;=1000, 40, F109*0.04)))),
IF(Basic3456[[#This Row],[نوع الخدمة]]="كاش اوت",
    IF(F109&lt;=100, 15, IF(F109&lt;=250, 20, IF(F109&lt;=500, 30, IF(F109&lt;=1000, 35, F109*0.035)))),
0)))</f>
        <v>0</v>
      </c>
      <c r="H109" s="159">
        <f>IF(I109="مخالفات",50,Basic3456[[#This Row],[قيمة الرسوم / العموله]]+Basic3456[[#This Row],[قيمة الشحنه]])</f>
        <v>0</v>
      </c>
      <c r="I109" s="90"/>
      <c r="J109" s="142" t="str">
        <f t="shared" si="1"/>
        <v>27.5.2026</v>
      </c>
      <c r="L109" s="153">
        <v>98</v>
      </c>
      <c r="M109" s="92"/>
    </row>
    <row r="110" spans="1:13" ht="21.6" x14ac:dyDescent="0.65">
      <c r="A110" s="195"/>
      <c r="B110" s="140">
        <v>107</v>
      </c>
      <c r="C110" s="2"/>
      <c r="D110" s="1"/>
      <c r="E110" s="3"/>
      <c r="F110" s="1"/>
      <c r="G110" s="141">
        <f>IF(Basic3456[[#This Row],[نوع الخدمة]]="مخالفات", 50,
IF(Basic3456[[#This Row],[نوع الخدمة]]="كاش ان",
    IF(F110&lt;=100, 18, IF(F110&lt;=250, 23, IF(F110&lt;=500, 35, IF(F110&lt;=1000, 40, F110*0.04)))),
IF(Basic3456[[#This Row],[نوع الخدمة]]="كاش اوت",
    IF(F110&lt;=100, 15, IF(F110&lt;=250, 20, IF(F110&lt;=500, 30, IF(F110&lt;=1000, 35, F110*0.035)))),
0)))</f>
        <v>0</v>
      </c>
      <c r="H110" s="159">
        <f>IF(I110="مخالفات",50,Basic3456[[#This Row],[قيمة الرسوم / العموله]]+Basic3456[[#This Row],[قيمة الشحنه]])</f>
        <v>0</v>
      </c>
      <c r="I110" s="90"/>
      <c r="J110" s="142" t="str">
        <f t="shared" si="1"/>
        <v>27.5.2026</v>
      </c>
      <c r="L110" s="153">
        <v>99</v>
      </c>
      <c r="M110" s="92"/>
    </row>
    <row r="111" spans="1:13" ht="21.6" x14ac:dyDescent="0.65">
      <c r="A111" s="195"/>
      <c r="B111" s="140">
        <v>108</v>
      </c>
      <c r="C111" s="2"/>
      <c r="D111" s="1"/>
      <c r="E111" s="3"/>
      <c r="F111" s="1"/>
      <c r="G111" s="141">
        <f>IF(Basic3456[[#This Row],[نوع الخدمة]]="مخالفات", 50,
IF(Basic3456[[#This Row],[نوع الخدمة]]="كاش ان",
    IF(F111&lt;=100, 18, IF(F111&lt;=250, 23, IF(F111&lt;=500, 35, IF(F111&lt;=1000, 40, F111*0.04)))),
IF(Basic3456[[#This Row],[نوع الخدمة]]="كاش اوت",
    IF(F111&lt;=100, 15, IF(F111&lt;=250, 20, IF(F111&lt;=500, 30, IF(F111&lt;=1000, 35, F111*0.035)))),
0)))</f>
        <v>0</v>
      </c>
      <c r="H111" s="159">
        <f>IF(I111="مخالفات",50,Basic3456[[#This Row],[قيمة الرسوم / العموله]]+Basic3456[[#This Row],[قيمة الشحنه]])</f>
        <v>0</v>
      </c>
      <c r="I111" s="90"/>
      <c r="J111" s="142" t="str">
        <f t="shared" si="1"/>
        <v>27.5.2026</v>
      </c>
      <c r="L111" s="153">
        <v>100</v>
      </c>
      <c r="M111" s="92"/>
    </row>
    <row r="112" spans="1:13" ht="21.6" x14ac:dyDescent="0.65">
      <c r="A112" s="195"/>
      <c r="B112" s="140">
        <v>109</v>
      </c>
      <c r="C112" s="2"/>
      <c r="D112" s="1"/>
      <c r="E112" s="3"/>
      <c r="F112" s="1"/>
      <c r="G112" s="141">
        <f>IF(Basic3456[[#This Row],[نوع الخدمة]]="مخالفات", 50,
IF(Basic3456[[#This Row],[نوع الخدمة]]="كاش ان",
    IF(F112&lt;=100, 18, IF(F112&lt;=250, 23, IF(F112&lt;=500, 35, IF(F112&lt;=1000, 40, F112*0.04)))),
IF(Basic3456[[#This Row],[نوع الخدمة]]="كاش اوت",
    IF(F112&lt;=100, 15, IF(F112&lt;=250, 20, IF(F112&lt;=500, 30, IF(F112&lt;=1000, 35, F112*0.035)))),
0)))</f>
        <v>0</v>
      </c>
      <c r="H112" s="159">
        <f>IF(I112="مخالفات",50,Basic3456[[#This Row],[قيمة الرسوم / العموله]]+Basic3456[[#This Row],[قيمة الشحنه]])</f>
        <v>0</v>
      </c>
      <c r="I112" s="90"/>
      <c r="J112" s="142" t="str">
        <f t="shared" si="1"/>
        <v>27.5.2026</v>
      </c>
      <c r="L112" s="153">
        <v>101</v>
      </c>
      <c r="M112" s="92"/>
    </row>
    <row r="113" spans="1:13" ht="21.6" x14ac:dyDescent="0.65">
      <c r="A113" s="195"/>
      <c r="B113" s="144">
        <v>110</v>
      </c>
      <c r="C113" s="2"/>
      <c r="D113" s="1"/>
      <c r="E113" s="3"/>
      <c r="F113" s="1"/>
      <c r="G113" s="141">
        <f>IF(Basic3456[[#This Row],[نوع الخدمة]]="مخالفات", 50,
IF(Basic3456[[#This Row],[نوع الخدمة]]="كاش ان",
    IF(F113&lt;=100, 18, IF(F113&lt;=250, 23, IF(F113&lt;=500, 35, IF(F113&lt;=1000, 40, F113*0.04)))),
IF(Basic3456[[#This Row],[نوع الخدمة]]="كاش اوت",
    IF(F113&lt;=100, 15, IF(F113&lt;=250, 20, IF(F113&lt;=500, 30, IF(F113&lt;=1000, 35, F113*0.035)))),
0)))</f>
        <v>0</v>
      </c>
      <c r="H113" s="159">
        <f>IF(I113="مخالفات",50,Basic3456[[#This Row],[قيمة الرسوم / العموله]]+Basic3456[[#This Row],[قيمة الشحنه]])</f>
        <v>0</v>
      </c>
      <c r="I113" s="90"/>
      <c r="J113" s="142" t="str">
        <f t="shared" si="1"/>
        <v>27.5.2026</v>
      </c>
      <c r="L113" s="153">
        <v>102</v>
      </c>
      <c r="M113" s="92"/>
    </row>
    <row r="114" spans="1:13" ht="21.6" x14ac:dyDescent="0.65">
      <c r="A114" s="195"/>
      <c r="B114" s="140">
        <v>111</v>
      </c>
      <c r="C114" s="2"/>
      <c r="D114" s="1"/>
      <c r="E114" s="3"/>
      <c r="F114" s="1"/>
      <c r="G114" s="141">
        <f>IF(Basic3456[[#This Row],[نوع الخدمة]]="مخالفات", 50,
IF(Basic3456[[#This Row],[نوع الخدمة]]="كاش ان",
    IF(F114&lt;=100, 18, IF(F114&lt;=250, 23, IF(F114&lt;=500, 35, IF(F114&lt;=1000, 40, F114*0.04)))),
IF(Basic3456[[#This Row],[نوع الخدمة]]="كاش اوت",
    IF(F114&lt;=100, 15, IF(F114&lt;=250, 20, IF(F114&lt;=500, 30, IF(F114&lt;=1000, 35, F114*0.035)))),
0)))</f>
        <v>0</v>
      </c>
      <c r="H114" s="159">
        <f>IF(I114="مخالفات",50,Basic3456[[#This Row],[قيمة الرسوم / العموله]]+Basic3456[[#This Row],[قيمة الشحنه]])</f>
        <v>0</v>
      </c>
      <c r="I114" s="90"/>
      <c r="J114" s="142" t="str">
        <f t="shared" si="1"/>
        <v>27.5.2026</v>
      </c>
      <c r="L114" s="153">
        <v>103</v>
      </c>
      <c r="M114" s="92"/>
    </row>
    <row r="115" spans="1:13" ht="21.6" x14ac:dyDescent="0.65">
      <c r="A115" s="195"/>
      <c r="B115" s="140">
        <v>112</v>
      </c>
      <c r="C115" s="2"/>
      <c r="D115" s="1"/>
      <c r="E115" s="3"/>
      <c r="F115" s="1"/>
      <c r="G115" s="141">
        <f>IF(Basic3456[[#This Row],[نوع الخدمة]]="مخالفات", 50,
IF(Basic3456[[#This Row],[نوع الخدمة]]="كاش ان",
    IF(F115&lt;=100, 18, IF(F115&lt;=250, 23, IF(F115&lt;=500, 35, IF(F115&lt;=1000, 40, F115*0.04)))),
IF(Basic3456[[#This Row],[نوع الخدمة]]="كاش اوت",
    IF(F115&lt;=100, 15, IF(F115&lt;=250, 20, IF(F115&lt;=500, 30, IF(F115&lt;=1000, 35, F115*0.035)))),
0)))</f>
        <v>0</v>
      </c>
      <c r="H115" s="159">
        <f>IF(I115="مخالفات",50,Basic3456[[#This Row],[قيمة الرسوم / العموله]]+Basic3456[[#This Row],[قيمة الشحنه]])</f>
        <v>0</v>
      </c>
      <c r="I115" s="90"/>
      <c r="J115" s="142" t="str">
        <f t="shared" si="1"/>
        <v>27.5.2026</v>
      </c>
      <c r="L115" s="153">
        <v>104</v>
      </c>
      <c r="M115" s="92"/>
    </row>
    <row r="116" spans="1:13" ht="21.6" x14ac:dyDescent="0.65">
      <c r="A116" s="195"/>
      <c r="B116" s="140">
        <v>113</v>
      </c>
      <c r="C116" s="2"/>
      <c r="D116" s="1"/>
      <c r="E116" s="3"/>
      <c r="F116" s="1"/>
      <c r="G116" s="141">
        <f>IF(Basic3456[[#This Row],[نوع الخدمة]]="مخالفات", 50,
IF(Basic3456[[#This Row],[نوع الخدمة]]="كاش ان",
    IF(F116&lt;=100, 18, IF(F116&lt;=250, 23, IF(F116&lt;=500, 35, IF(F116&lt;=1000, 40, F116*0.04)))),
IF(Basic3456[[#This Row],[نوع الخدمة]]="كاش اوت",
    IF(F116&lt;=100, 15, IF(F116&lt;=250, 20, IF(F116&lt;=500, 30, IF(F116&lt;=1000, 35, F116*0.035)))),
0)))</f>
        <v>0</v>
      </c>
      <c r="H116" s="159">
        <f>IF(I116="مخالفات",50,Basic3456[[#This Row],[قيمة الرسوم / العموله]]+Basic3456[[#This Row],[قيمة الشحنه]])</f>
        <v>0</v>
      </c>
      <c r="I116" s="90"/>
      <c r="J116" s="142" t="str">
        <f t="shared" si="1"/>
        <v>27.5.2026</v>
      </c>
      <c r="L116" s="153">
        <v>105</v>
      </c>
      <c r="M116" s="92"/>
    </row>
    <row r="117" spans="1:13" ht="21.6" x14ac:dyDescent="0.65">
      <c r="A117" s="195"/>
      <c r="B117" s="144">
        <v>114</v>
      </c>
      <c r="C117" s="2"/>
      <c r="D117" s="1"/>
      <c r="E117" s="3"/>
      <c r="F117" s="1"/>
      <c r="G117" s="141">
        <f>IF(Basic3456[[#This Row],[نوع الخدمة]]="مخالفات", 50,
IF(Basic3456[[#This Row],[نوع الخدمة]]="كاش ان",
    IF(F117&lt;=100, 18, IF(F117&lt;=250, 23, IF(F117&lt;=500, 35, IF(F117&lt;=1000, 40, F117*0.04)))),
IF(Basic3456[[#This Row],[نوع الخدمة]]="كاش اوت",
    IF(F117&lt;=100, 15, IF(F117&lt;=250, 20, IF(F117&lt;=500, 30, IF(F117&lt;=1000, 35, F117*0.035)))),
0)))</f>
        <v>0</v>
      </c>
      <c r="H117" s="159">
        <f>IF(I117="مخالفات",50,Basic3456[[#This Row],[قيمة الرسوم / العموله]]+Basic3456[[#This Row],[قيمة الشحنه]])</f>
        <v>0</v>
      </c>
      <c r="I117" s="90"/>
      <c r="J117" s="142" t="str">
        <f t="shared" si="1"/>
        <v>27.5.2026</v>
      </c>
      <c r="L117" s="153">
        <v>106</v>
      </c>
      <c r="M117" s="92"/>
    </row>
    <row r="118" spans="1:13" ht="21.6" x14ac:dyDescent="0.65">
      <c r="A118" s="195"/>
      <c r="B118" s="140">
        <v>115</v>
      </c>
      <c r="C118" s="2"/>
      <c r="D118" s="1"/>
      <c r="E118" s="3"/>
      <c r="F118" s="1"/>
      <c r="G118" s="141">
        <f>IF(Basic3456[[#This Row],[نوع الخدمة]]="مخالفات", 50,
IF(Basic3456[[#This Row],[نوع الخدمة]]="كاش ان",
    IF(F118&lt;=100, 18, IF(F118&lt;=250, 23, IF(F118&lt;=500, 35, IF(F118&lt;=1000, 40, F118*0.04)))),
IF(Basic3456[[#This Row],[نوع الخدمة]]="كاش اوت",
    IF(F118&lt;=100, 15, IF(F118&lt;=250, 20, IF(F118&lt;=500, 30, IF(F118&lt;=1000, 35, F118*0.035)))),
0)))</f>
        <v>0</v>
      </c>
      <c r="H118" s="159">
        <f>IF(I118="مخالفات",50,Basic3456[[#This Row],[قيمة الرسوم / العموله]]+Basic3456[[#This Row],[قيمة الشحنه]])</f>
        <v>0</v>
      </c>
      <c r="I118" s="90"/>
      <c r="J118" s="142" t="str">
        <f t="shared" si="1"/>
        <v>27.5.2026</v>
      </c>
      <c r="L118" s="153">
        <v>107</v>
      </c>
      <c r="M118" s="92"/>
    </row>
    <row r="119" spans="1:13" ht="21.6" x14ac:dyDescent="0.65">
      <c r="A119" s="195"/>
      <c r="B119" s="140">
        <v>116</v>
      </c>
      <c r="C119" s="2"/>
      <c r="D119" s="1"/>
      <c r="E119" s="3"/>
      <c r="F119" s="1"/>
      <c r="G119" s="141">
        <f>IF(Basic3456[[#This Row],[نوع الخدمة]]="مخالفات", 50,
IF(Basic3456[[#This Row],[نوع الخدمة]]="كاش ان",
    IF(F119&lt;=100, 18, IF(F119&lt;=250, 23, IF(F119&lt;=500, 35, IF(F119&lt;=1000, 40, F119*0.04)))),
IF(Basic3456[[#This Row],[نوع الخدمة]]="كاش اوت",
    IF(F119&lt;=100, 15, IF(F119&lt;=250, 20, IF(F119&lt;=500, 30, IF(F119&lt;=1000, 35, F119*0.035)))),
0)))</f>
        <v>0</v>
      </c>
      <c r="H119" s="159">
        <f>IF(I119="مخالفات",50,Basic3456[[#This Row],[قيمة الرسوم / العموله]]+Basic3456[[#This Row],[قيمة الشحنه]])</f>
        <v>0</v>
      </c>
      <c r="I119" s="90"/>
      <c r="J119" s="142" t="str">
        <f t="shared" si="1"/>
        <v>27.5.2026</v>
      </c>
      <c r="L119" s="153">
        <v>108</v>
      </c>
      <c r="M119" s="92"/>
    </row>
    <row r="120" spans="1:13" ht="21.6" x14ac:dyDescent="0.65">
      <c r="A120" s="195"/>
      <c r="B120" s="140">
        <v>117</v>
      </c>
      <c r="C120" s="2"/>
      <c r="D120" s="1"/>
      <c r="E120" s="3"/>
      <c r="F120" s="1"/>
      <c r="G120" s="141">
        <f>IF(Basic3456[[#This Row],[نوع الخدمة]]="مخالفات", 50,
IF(Basic3456[[#This Row],[نوع الخدمة]]="كاش ان",
    IF(F120&lt;=100, 18, IF(F120&lt;=250, 23, IF(F120&lt;=500, 35, IF(F120&lt;=1000, 40, F120*0.04)))),
IF(Basic3456[[#This Row],[نوع الخدمة]]="كاش اوت",
    IF(F120&lt;=100, 15, IF(F120&lt;=250, 20, IF(F120&lt;=500, 30, IF(F120&lt;=1000, 35, F120*0.035)))),
0)))</f>
        <v>0</v>
      </c>
      <c r="H120" s="159">
        <f>IF(I120="مخالفات",50,Basic3456[[#This Row],[قيمة الرسوم / العموله]]+Basic3456[[#This Row],[قيمة الشحنه]])</f>
        <v>0</v>
      </c>
      <c r="I120" s="90"/>
      <c r="J120" s="142" t="str">
        <f t="shared" si="1"/>
        <v>27.5.2026</v>
      </c>
      <c r="L120" s="153">
        <v>109</v>
      </c>
      <c r="M120" s="92"/>
    </row>
    <row r="121" spans="1:13" ht="21.6" x14ac:dyDescent="0.65">
      <c r="A121" s="195"/>
      <c r="B121" s="144">
        <v>118</v>
      </c>
      <c r="C121" s="2"/>
      <c r="D121" s="1"/>
      <c r="E121" s="3"/>
      <c r="F121" s="1"/>
      <c r="G121" s="141">
        <f>IF(Basic3456[[#This Row],[نوع الخدمة]]="مخالفات", 50,
IF(Basic3456[[#This Row],[نوع الخدمة]]="كاش ان",
    IF(F121&lt;=100, 18, IF(F121&lt;=250, 23, IF(F121&lt;=500, 35, IF(F121&lt;=1000, 40, F121*0.04)))),
IF(Basic3456[[#This Row],[نوع الخدمة]]="كاش اوت",
    IF(F121&lt;=100, 15, IF(F121&lt;=250, 20, IF(F121&lt;=500, 30, IF(F121&lt;=1000, 35, F121*0.035)))),
0)))</f>
        <v>0</v>
      </c>
      <c r="H121" s="159">
        <f>IF(I121="مخالفات",50,Basic3456[[#This Row],[قيمة الرسوم / العموله]]+Basic3456[[#This Row],[قيمة الشحنه]])</f>
        <v>0</v>
      </c>
      <c r="I121" s="90"/>
      <c r="J121" s="142" t="str">
        <f t="shared" si="1"/>
        <v>27.5.2026</v>
      </c>
      <c r="L121" s="153">
        <v>110</v>
      </c>
      <c r="M121" s="92"/>
    </row>
    <row r="122" spans="1:13" ht="21.6" x14ac:dyDescent="0.65">
      <c r="A122" s="195"/>
      <c r="B122" s="140">
        <v>119</v>
      </c>
      <c r="C122" s="2"/>
      <c r="D122" s="1"/>
      <c r="E122" s="3"/>
      <c r="F122" s="1"/>
      <c r="G122" s="141">
        <f>IF(Basic3456[[#This Row],[نوع الخدمة]]="مخالفات", 50,
IF(Basic3456[[#This Row],[نوع الخدمة]]="كاش ان",
    IF(F122&lt;=100, 18, IF(F122&lt;=250, 23, IF(F122&lt;=500, 35, IF(F122&lt;=1000, 40, F122*0.04)))),
IF(Basic3456[[#This Row],[نوع الخدمة]]="كاش اوت",
    IF(F122&lt;=100, 15, IF(F122&lt;=250, 20, IF(F122&lt;=500, 30, IF(F122&lt;=1000, 35, F122*0.035)))),
0)))</f>
        <v>0</v>
      </c>
      <c r="H122" s="159">
        <f>IF(I122="مخالفات",50,Basic3456[[#This Row],[قيمة الرسوم / العموله]]+Basic3456[[#This Row],[قيمة الشحنه]])</f>
        <v>0</v>
      </c>
      <c r="I122" s="90"/>
      <c r="J122" s="142" t="str">
        <f t="shared" si="1"/>
        <v>27.5.2026</v>
      </c>
      <c r="L122" s="153">
        <v>111</v>
      </c>
      <c r="M122" s="92"/>
    </row>
    <row r="123" spans="1:13" ht="21.6" x14ac:dyDescent="0.65">
      <c r="A123" s="195"/>
      <c r="B123" s="140">
        <v>120</v>
      </c>
      <c r="C123" s="2"/>
      <c r="D123" s="1"/>
      <c r="E123" s="3"/>
      <c r="F123" s="1"/>
      <c r="G123" s="141">
        <f>IF(Basic3456[[#This Row],[نوع الخدمة]]="مخالفات", 50,
IF(Basic3456[[#This Row],[نوع الخدمة]]="كاش ان",
    IF(F123&lt;=100, 18, IF(F123&lt;=250, 23, IF(F123&lt;=500, 35, IF(F123&lt;=1000, 40, F123*0.04)))),
IF(Basic3456[[#This Row],[نوع الخدمة]]="كاش اوت",
    IF(F123&lt;=100, 15, IF(F123&lt;=250, 20, IF(F123&lt;=500, 30, IF(F123&lt;=1000, 35, F123*0.035)))),
0)))</f>
        <v>0</v>
      </c>
      <c r="H123" s="159">
        <f>IF(I123="مخالفات",50,Basic3456[[#This Row],[قيمة الرسوم / العموله]]+Basic3456[[#This Row],[قيمة الشحنه]])</f>
        <v>0</v>
      </c>
      <c r="I123" s="90"/>
      <c r="J123" s="142" t="str">
        <f t="shared" si="1"/>
        <v>27.5.2026</v>
      </c>
      <c r="L123" s="153">
        <v>112</v>
      </c>
      <c r="M123" s="92"/>
    </row>
    <row r="124" spans="1:13" ht="21.6" x14ac:dyDescent="0.65">
      <c r="A124" s="195"/>
      <c r="B124" s="140">
        <v>121</v>
      </c>
      <c r="C124" s="2"/>
      <c r="D124" s="1"/>
      <c r="E124" s="3"/>
      <c r="F124" s="1"/>
      <c r="G124" s="141">
        <f>IF(Basic3456[[#This Row],[نوع الخدمة]]="مخالفات", 50,
IF(Basic3456[[#This Row],[نوع الخدمة]]="كاش ان",
    IF(F124&lt;=100, 18, IF(F124&lt;=250, 23, IF(F124&lt;=500, 35, IF(F124&lt;=1000, 40, F124*0.04)))),
IF(Basic3456[[#This Row],[نوع الخدمة]]="كاش اوت",
    IF(F124&lt;=100, 15, IF(F124&lt;=250, 20, IF(F124&lt;=500, 30, IF(F124&lt;=1000, 35, F124*0.035)))),
0)))</f>
        <v>0</v>
      </c>
      <c r="H124" s="159">
        <f>IF(I124="مخالفات",50,Basic3456[[#This Row],[قيمة الرسوم / العموله]]+Basic3456[[#This Row],[قيمة الشحنه]])</f>
        <v>0</v>
      </c>
      <c r="I124" s="90"/>
      <c r="J124" s="142" t="str">
        <f t="shared" si="1"/>
        <v>27.5.2026</v>
      </c>
      <c r="L124" s="153">
        <v>113</v>
      </c>
      <c r="M124" s="92"/>
    </row>
    <row r="125" spans="1:13" ht="21.6" x14ac:dyDescent="0.65">
      <c r="A125" s="195"/>
      <c r="B125" s="144">
        <v>122</v>
      </c>
      <c r="C125" s="2"/>
      <c r="D125" s="1"/>
      <c r="E125" s="3"/>
      <c r="F125" s="1"/>
      <c r="G125" s="141">
        <f>IF(Basic3456[[#This Row],[نوع الخدمة]]="مخالفات", 50,
IF(Basic3456[[#This Row],[نوع الخدمة]]="كاش ان",
    IF(F125&lt;=100, 18, IF(F125&lt;=250, 23, IF(F125&lt;=500, 35, IF(F125&lt;=1000, 40, F125*0.04)))),
IF(Basic3456[[#This Row],[نوع الخدمة]]="كاش اوت",
    IF(F125&lt;=100, 15, IF(F125&lt;=250, 20, IF(F125&lt;=500, 30, IF(F125&lt;=1000, 35, F125*0.035)))),
0)))</f>
        <v>0</v>
      </c>
      <c r="H125" s="159">
        <f>IF(I125="مخالفات",50,Basic3456[[#This Row],[قيمة الرسوم / العموله]]+Basic3456[[#This Row],[قيمة الشحنه]])</f>
        <v>0</v>
      </c>
      <c r="I125" s="90"/>
      <c r="J125" s="142" t="str">
        <f t="shared" si="1"/>
        <v>27.5.2026</v>
      </c>
      <c r="L125" s="153">
        <v>114</v>
      </c>
      <c r="M125" s="92"/>
    </row>
    <row r="126" spans="1:13" ht="21.6" x14ac:dyDescent="0.65">
      <c r="A126" s="195"/>
      <c r="B126" s="140">
        <v>123</v>
      </c>
      <c r="C126" s="2"/>
      <c r="D126" s="1"/>
      <c r="E126" s="3"/>
      <c r="F126" s="1"/>
      <c r="G126" s="141">
        <f>IF(Basic3456[[#This Row],[نوع الخدمة]]="مخالفات", 50,
IF(Basic3456[[#This Row],[نوع الخدمة]]="كاش ان",
    IF(F126&lt;=100, 18, IF(F126&lt;=250, 23, IF(F126&lt;=500, 35, IF(F126&lt;=1000, 40, F126*0.04)))),
IF(Basic3456[[#This Row],[نوع الخدمة]]="كاش اوت",
    IF(F126&lt;=100, 15, IF(F126&lt;=250, 20, IF(F126&lt;=500, 30, IF(F126&lt;=1000, 35, F126*0.035)))),
0)))</f>
        <v>0</v>
      </c>
      <c r="H126" s="159">
        <f>IF(I126="مخالفات",50,Basic3456[[#This Row],[قيمة الرسوم / العموله]]+Basic3456[[#This Row],[قيمة الشحنه]])</f>
        <v>0</v>
      </c>
      <c r="I126" s="90"/>
      <c r="J126" s="142" t="str">
        <f t="shared" si="1"/>
        <v>27.5.2026</v>
      </c>
      <c r="L126" s="153">
        <v>115</v>
      </c>
      <c r="M126" s="92"/>
    </row>
    <row r="127" spans="1:13" ht="21.6" x14ac:dyDescent="0.65">
      <c r="A127" s="195"/>
      <c r="B127" s="140">
        <v>124</v>
      </c>
      <c r="C127" s="2"/>
      <c r="D127" s="1"/>
      <c r="E127" s="3"/>
      <c r="F127" s="1"/>
      <c r="G127" s="141">
        <f>IF(Basic3456[[#This Row],[نوع الخدمة]]="مخالفات", 50,
IF(Basic3456[[#This Row],[نوع الخدمة]]="كاش ان",
    IF(F127&lt;=100, 18, IF(F127&lt;=250, 23, IF(F127&lt;=500, 35, IF(F127&lt;=1000, 40, F127*0.04)))),
IF(Basic3456[[#This Row],[نوع الخدمة]]="كاش اوت",
    IF(F127&lt;=100, 15, IF(F127&lt;=250, 20, IF(F127&lt;=500, 30, IF(F127&lt;=1000, 35, F127*0.035)))),
0)))</f>
        <v>0</v>
      </c>
      <c r="H127" s="159">
        <f>IF(I127="مخالفات",50,Basic3456[[#This Row],[قيمة الرسوم / العموله]]+Basic3456[[#This Row],[قيمة الشحنه]])</f>
        <v>0</v>
      </c>
      <c r="I127" s="90"/>
      <c r="J127" s="142" t="str">
        <f t="shared" si="1"/>
        <v>27.5.2026</v>
      </c>
      <c r="L127" s="153">
        <v>116</v>
      </c>
      <c r="M127" s="92"/>
    </row>
    <row r="128" spans="1:13" ht="21.6" x14ac:dyDescent="0.65">
      <c r="A128" s="195"/>
      <c r="B128" s="140">
        <v>125</v>
      </c>
      <c r="C128" s="2"/>
      <c r="D128" s="1"/>
      <c r="E128" s="3"/>
      <c r="F128" s="1"/>
      <c r="G128" s="141">
        <f>IF(Basic3456[[#This Row],[نوع الخدمة]]="مخالفات", 50,
IF(Basic3456[[#This Row],[نوع الخدمة]]="كاش ان",
    IF(F128&lt;=100, 18, IF(F128&lt;=250, 23, IF(F128&lt;=500, 35, IF(F128&lt;=1000, 40, F128*0.04)))),
IF(Basic3456[[#This Row],[نوع الخدمة]]="كاش اوت",
    IF(F128&lt;=100, 15, IF(F128&lt;=250, 20, IF(F128&lt;=500, 30, IF(F128&lt;=1000, 35, F128*0.035)))),
0)))</f>
        <v>0</v>
      </c>
      <c r="H128" s="159">
        <f>IF(I128="مخالفات",50,Basic3456[[#This Row],[قيمة الرسوم / العموله]]+Basic3456[[#This Row],[قيمة الشحنه]])</f>
        <v>0</v>
      </c>
      <c r="I128" s="90"/>
      <c r="J128" s="142" t="str">
        <f t="shared" si="1"/>
        <v>27.5.2026</v>
      </c>
      <c r="L128" s="153">
        <v>117</v>
      </c>
      <c r="M128" s="92"/>
    </row>
    <row r="129" spans="1:13" ht="21.6" x14ac:dyDescent="0.65">
      <c r="A129" s="195"/>
      <c r="B129" s="144">
        <v>126</v>
      </c>
      <c r="C129" s="2"/>
      <c r="D129" s="1"/>
      <c r="E129" s="3"/>
      <c r="F129" s="1"/>
      <c r="G129" s="141">
        <f>IF(Basic3456[[#This Row],[نوع الخدمة]]="مخالفات", 50,
IF(Basic3456[[#This Row],[نوع الخدمة]]="كاش ان",
    IF(F129&lt;=100, 18, IF(F129&lt;=250, 23, IF(F129&lt;=500, 35, IF(F129&lt;=1000, 40, F129*0.04)))),
IF(Basic3456[[#This Row],[نوع الخدمة]]="كاش اوت",
    IF(F129&lt;=100, 15, IF(F129&lt;=250, 20, IF(F129&lt;=500, 30, IF(F129&lt;=1000, 35, F129*0.035)))),
0)))</f>
        <v>0</v>
      </c>
      <c r="H129" s="159">
        <f>IF(I129="مخالفات",50,Basic3456[[#This Row],[قيمة الرسوم / العموله]]+Basic3456[[#This Row],[قيمة الشحنه]])</f>
        <v>0</v>
      </c>
      <c r="I129" s="90"/>
      <c r="J129" s="142" t="str">
        <f t="shared" si="1"/>
        <v>27.5.2026</v>
      </c>
      <c r="L129" s="153">
        <v>118</v>
      </c>
      <c r="M129" s="92"/>
    </row>
    <row r="130" spans="1:13" ht="21.6" x14ac:dyDescent="0.65">
      <c r="A130" s="195"/>
      <c r="B130" s="140">
        <v>127</v>
      </c>
      <c r="C130" s="2"/>
      <c r="D130" s="1"/>
      <c r="E130" s="3"/>
      <c r="F130" s="1"/>
      <c r="G130" s="141">
        <f>IF(Basic3456[[#This Row],[نوع الخدمة]]="مخالفات", 50,
IF(Basic3456[[#This Row],[نوع الخدمة]]="كاش ان",
    IF(F130&lt;=100, 18, IF(F130&lt;=250, 23, IF(F130&lt;=500, 35, IF(F130&lt;=1000, 40, F130*0.04)))),
IF(Basic3456[[#This Row],[نوع الخدمة]]="كاش اوت",
    IF(F130&lt;=100, 15, IF(F130&lt;=250, 20, IF(F130&lt;=500, 30, IF(F130&lt;=1000, 35, F130*0.035)))),
0)))</f>
        <v>0</v>
      </c>
      <c r="H130" s="159">
        <f>IF(I130="مخالفات",50,Basic3456[[#This Row],[قيمة الرسوم / العموله]]+Basic3456[[#This Row],[قيمة الشحنه]])</f>
        <v>0</v>
      </c>
      <c r="I130" s="90"/>
      <c r="J130" s="142" t="str">
        <f t="shared" si="1"/>
        <v>27.5.2026</v>
      </c>
      <c r="L130" s="153">
        <v>119</v>
      </c>
      <c r="M130" s="92"/>
    </row>
    <row r="131" spans="1:13" ht="21.6" x14ac:dyDescent="0.65">
      <c r="A131" s="195"/>
      <c r="B131" s="140">
        <v>128</v>
      </c>
      <c r="C131" s="2"/>
      <c r="D131" s="1"/>
      <c r="E131" s="3"/>
      <c r="F131" s="1"/>
      <c r="G131" s="141">
        <f>IF(Basic3456[[#This Row],[نوع الخدمة]]="مخالفات", 50,
IF(Basic3456[[#This Row],[نوع الخدمة]]="كاش ان",
    IF(F131&lt;=100, 18, IF(F131&lt;=250, 23, IF(F131&lt;=500, 35, IF(F131&lt;=1000, 40, F131*0.04)))),
IF(Basic3456[[#This Row],[نوع الخدمة]]="كاش اوت",
    IF(F131&lt;=100, 15, IF(F131&lt;=250, 20, IF(F131&lt;=500, 30, IF(F131&lt;=1000, 35, F131*0.035)))),
0)))</f>
        <v>0</v>
      </c>
      <c r="H131" s="159">
        <f>IF(I131="مخالفات",50,Basic3456[[#This Row],[قيمة الرسوم / العموله]]+Basic3456[[#This Row],[قيمة الشحنه]])</f>
        <v>0</v>
      </c>
      <c r="I131" s="90"/>
      <c r="J131" s="142" t="str">
        <f t="shared" si="1"/>
        <v>27.5.2026</v>
      </c>
      <c r="L131" s="153">
        <v>120</v>
      </c>
      <c r="M131" s="92"/>
    </row>
    <row r="132" spans="1:13" ht="21.6" x14ac:dyDescent="0.65">
      <c r="A132" s="195"/>
      <c r="B132" s="140">
        <v>129</v>
      </c>
      <c r="C132" s="2"/>
      <c r="D132" s="1"/>
      <c r="E132" s="3"/>
      <c r="F132" s="1"/>
      <c r="G132" s="141">
        <f>IF(Basic3456[[#This Row],[نوع الخدمة]]="مخالفات", 50,
IF(Basic3456[[#This Row],[نوع الخدمة]]="كاش ان",
    IF(F132&lt;=100, 18, IF(F132&lt;=250, 23, IF(F132&lt;=500, 35, IF(F132&lt;=1000, 40, F132*0.04)))),
IF(Basic3456[[#This Row],[نوع الخدمة]]="كاش اوت",
    IF(F132&lt;=100, 15, IF(F132&lt;=250, 20, IF(F132&lt;=500, 30, IF(F132&lt;=1000, 35, F132*0.035)))),
0)))</f>
        <v>0</v>
      </c>
      <c r="H132" s="159">
        <f>IF(I132="مخالفات",50,Basic3456[[#This Row],[قيمة الرسوم / العموله]]+Basic3456[[#This Row],[قيمة الشحنه]])</f>
        <v>0</v>
      </c>
      <c r="I132" s="90"/>
      <c r="J132" s="142" t="str">
        <f t="shared" ref="J132:J195" si="2">M$3</f>
        <v>27.5.2026</v>
      </c>
      <c r="L132" s="153">
        <v>121</v>
      </c>
      <c r="M132" s="92"/>
    </row>
    <row r="133" spans="1:13" ht="21.6" x14ac:dyDescent="0.65">
      <c r="A133" s="195"/>
      <c r="B133" s="144">
        <v>130</v>
      </c>
      <c r="C133" s="2"/>
      <c r="D133" s="1"/>
      <c r="E133" s="3"/>
      <c r="F133" s="1"/>
      <c r="G133" s="141">
        <f>IF(Basic3456[[#This Row],[نوع الخدمة]]="مخالفات", 50,
IF(Basic3456[[#This Row],[نوع الخدمة]]="كاش ان",
    IF(F133&lt;=100, 18, IF(F133&lt;=250, 23, IF(F133&lt;=500, 35, IF(F133&lt;=1000, 40, F133*0.04)))),
IF(Basic3456[[#This Row],[نوع الخدمة]]="كاش اوت",
    IF(F133&lt;=100, 15, IF(F133&lt;=250, 20, IF(F133&lt;=500, 30, IF(F133&lt;=1000, 35, F133*0.035)))),
0)))</f>
        <v>0</v>
      </c>
      <c r="H133" s="159">
        <f>IF(I133="مخالفات",50,Basic3456[[#This Row],[قيمة الرسوم / العموله]]+Basic3456[[#This Row],[قيمة الشحنه]])</f>
        <v>0</v>
      </c>
      <c r="I133" s="90"/>
      <c r="J133" s="142" t="str">
        <f t="shared" si="2"/>
        <v>27.5.2026</v>
      </c>
      <c r="L133" s="153">
        <v>122</v>
      </c>
      <c r="M133" s="92"/>
    </row>
    <row r="134" spans="1:13" ht="21.6" x14ac:dyDescent="0.65">
      <c r="A134" s="195"/>
      <c r="B134" s="140">
        <v>131</v>
      </c>
      <c r="C134" s="2"/>
      <c r="D134" s="1"/>
      <c r="E134" s="3"/>
      <c r="F134" s="1"/>
      <c r="G134" s="141">
        <f>IF(Basic3456[[#This Row],[نوع الخدمة]]="مخالفات", 50,
IF(Basic3456[[#This Row],[نوع الخدمة]]="كاش ان",
    IF(F134&lt;=100, 18, IF(F134&lt;=250, 23, IF(F134&lt;=500, 35, IF(F134&lt;=1000, 40, F134*0.04)))),
IF(Basic3456[[#This Row],[نوع الخدمة]]="كاش اوت",
    IF(F134&lt;=100, 15, IF(F134&lt;=250, 20, IF(F134&lt;=500, 30, IF(F134&lt;=1000, 35, F134*0.035)))),
0)))</f>
        <v>0</v>
      </c>
      <c r="H134" s="159">
        <f>IF(I134="مخالفات",50,Basic3456[[#This Row],[قيمة الرسوم / العموله]]+Basic3456[[#This Row],[قيمة الشحنه]])</f>
        <v>0</v>
      </c>
      <c r="I134" s="90"/>
      <c r="J134" s="142" t="str">
        <f t="shared" si="2"/>
        <v>27.5.2026</v>
      </c>
      <c r="L134" s="153">
        <v>123</v>
      </c>
      <c r="M134" s="92"/>
    </row>
    <row r="135" spans="1:13" ht="21.6" x14ac:dyDescent="0.65">
      <c r="A135" s="195"/>
      <c r="B135" s="140">
        <v>132</v>
      </c>
      <c r="C135" s="2"/>
      <c r="D135" s="1"/>
      <c r="E135" s="3"/>
      <c r="F135" s="1"/>
      <c r="G135" s="141">
        <f>IF(Basic3456[[#This Row],[نوع الخدمة]]="مخالفات", 50,
IF(Basic3456[[#This Row],[نوع الخدمة]]="كاش ان",
    IF(F135&lt;=100, 18, IF(F135&lt;=250, 23, IF(F135&lt;=500, 35, IF(F135&lt;=1000, 40, F135*0.04)))),
IF(Basic3456[[#This Row],[نوع الخدمة]]="كاش اوت",
    IF(F135&lt;=100, 15, IF(F135&lt;=250, 20, IF(F135&lt;=500, 30, IF(F135&lt;=1000, 35, F135*0.035)))),
0)))</f>
        <v>0</v>
      </c>
      <c r="H135" s="159">
        <f>IF(I135="مخالفات",50,Basic3456[[#This Row],[قيمة الرسوم / العموله]]+Basic3456[[#This Row],[قيمة الشحنه]])</f>
        <v>0</v>
      </c>
      <c r="I135" s="90"/>
      <c r="J135" s="142" t="str">
        <f t="shared" si="2"/>
        <v>27.5.2026</v>
      </c>
      <c r="L135" s="153">
        <v>124</v>
      </c>
      <c r="M135" s="92"/>
    </row>
    <row r="136" spans="1:13" ht="21.6" x14ac:dyDescent="0.65">
      <c r="A136" s="195"/>
      <c r="B136" s="140">
        <v>133</v>
      </c>
      <c r="C136" s="2"/>
      <c r="D136" s="1"/>
      <c r="E136" s="3"/>
      <c r="F136" s="1"/>
      <c r="G136" s="141">
        <f>IF(Basic3456[[#This Row],[نوع الخدمة]]="مخالفات", 50,
IF(Basic3456[[#This Row],[نوع الخدمة]]="كاش ان",
    IF(F136&lt;=100, 18, IF(F136&lt;=250, 23, IF(F136&lt;=500, 35, IF(F136&lt;=1000, 40, F136*0.04)))),
IF(Basic3456[[#This Row],[نوع الخدمة]]="كاش اوت",
    IF(F136&lt;=100, 15, IF(F136&lt;=250, 20, IF(F136&lt;=500, 30, IF(F136&lt;=1000, 35, F136*0.035)))),
0)))</f>
        <v>0</v>
      </c>
      <c r="H136" s="159">
        <f>IF(I136="مخالفات",50,Basic3456[[#This Row],[قيمة الرسوم / العموله]]+Basic3456[[#This Row],[قيمة الشحنه]])</f>
        <v>0</v>
      </c>
      <c r="I136" s="90"/>
      <c r="J136" s="142" t="str">
        <f t="shared" si="2"/>
        <v>27.5.2026</v>
      </c>
      <c r="L136" s="153">
        <v>125</v>
      </c>
      <c r="M136" s="92"/>
    </row>
    <row r="137" spans="1:13" ht="21.6" x14ac:dyDescent="0.65">
      <c r="A137" s="195"/>
      <c r="B137" s="144">
        <v>134</v>
      </c>
      <c r="C137" s="2"/>
      <c r="D137" s="1"/>
      <c r="E137" s="3"/>
      <c r="F137" s="1"/>
      <c r="G137" s="141">
        <f>IF(Basic3456[[#This Row],[نوع الخدمة]]="مخالفات", 50,
IF(Basic3456[[#This Row],[نوع الخدمة]]="كاش ان",
    IF(F137&lt;=100, 18, IF(F137&lt;=250, 23, IF(F137&lt;=500, 35, IF(F137&lt;=1000, 40, F137*0.04)))),
IF(Basic3456[[#This Row],[نوع الخدمة]]="كاش اوت",
    IF(F137&lt;=100, 15, IF(F137&lt;=250, 20, IF(F137&lt;=500, 30, IF(F137&lt;=1000, 35, F137*0.035)))),
0)))</f>
        <v>0</v>
      </c>
      <c r="H137" s="159">
        <f>IF(I137="مخالفات",50,Basic3456[[#This Row],[قيمة الرسوم / العموله]]+Basic3456[[#This Row],[قيمة الشحنه]])</f>
        <v>0</v>
      </c>
      <c r="I137" s="90"/>
      <c r="J137" s="142" t="str">
        <f t="shared" si="2"/>
        <v>27.5.2026</v>
      </c>
      <c r="L137" s="153">
        <v>126</v>
      </c>
      <c r="M137" s="92"/>
    </row>
    <row r="138" spans="1:13" ht="21.6" x14ac:dyDescent="0.65">
      <c r="A138" s="195"/>
      <c r="B138" s="140">
        <v>135</v>
      </c>
      <c r="C138" s="2"/>
      <c r="D138" s="1"/>
      <c r="E138" s="3"/>
      <c r="F138" s="1"/>
      <c r="G138" s="141">
        <f>IF(Basic3456[[#This Row],[نوع الخدمة]]="مخالفات", 50,
IF(Basic3456[[#This Row],[نوع الخدمة]]="كاش ان",
    IF(F138&lt;=100, 18, IF(F138&lt;=250, 23, IF(F138&lt;=500, 35, IF(F138&lt;=1000, 40, F138*0.04)))),
IF(Basic3456[[#This Row],[نوع الخدمة]]="كاش اوت",
    IF(F138&lt;=100, 15, IF(F138&lt;=250, 20, IF(F138&lt;=500, 30, IF(F138&lt;=1000, 35, F138*0.035)))),
0)))</f>
        <v>0</v>
      </c>
      <c r="H138" s="159">
        <f>IF(I138="مخالفات",50,Basic3456[[#This Row],[قيمة الرسوم / العموله]]+Basic3456[[#This Row],[قيمة الشحنه]])</f>
        <v>0</v>
      </c>
      <c r="I138" s="90"/>
      <c r="J138" s="142" t="str">
        <f t="shared" si="2"/>
        <v>27.5.2026</v>
      </c>
      <c r="L138" s="153">
        <v>127</v>
      </c>
      <c r="M138" s="92"/>
    </row>
    <row r="139" spans="1:13" ht="21.6" x14ac:dyDescent="0.65">
      <c r="A139" s="195"/>
      <c r="B139" s="140">
        <v>136</v>
      </c>
      <c r="C139" s="2"/>
      <c r="D139" s="1"/>
      <c r="E139" s="3"/>
      <c r="F139" s="1"/>
      <c r="G139" s="141">
        <f>IF(Basic3456[[#This Row],[نوع الخدمة]]="مخالفات", 50,
IF(Basic3456[[#This Row],[نوع الخدمة]]="كاش ان",
    IF(F139&lt;=100, 18, IF(F139&lt;=250, 23, IF(F139&lt;=500, 35, IF(F139&lt;=1000, 40, F139*0.04)))),
IF(Basic3456[[#This Row],[نوع الخدمة]]="كاش اوت",
    IF(F139&lt;=100, 15, IF(F139&lt;=250, 20, IF(F139&lt;=500, 30, IF(F139&lt;=1000, 35, F139*0.035)))),
0)))</f>
        <v>0</v>
      </c>
      <c r="H139" s="159">
        <f>IF(I139="مخالفات",50,Basic3456[[#This Row],[قيمة الرسوم / العموله]]+Basic3456[[#This Row],[قيمة الشحنه]])</f>
        <v>0</v>
      </c>
      <c r="I139" s="90"/>
      <c r="J139" s="142" t="str">
        <f t="shared" si="2"/>
        <v>27.5.2026</v>
      </c>
      <c r="L139" s="153">
        <v>128</v>
      </c>
      <c r="M139" s="92"/>
    </row>
    <row r="140" spans="1:13" ht="21.6" x14ac:dyDescent="0.65">
      <c r="A140" s="195"/>
      <c r="B140" s="140">
        <v>137</v>
      </c>
      <c r="C140" s="2"/>
      <c r="D140" s="1"/>
      <c r="E140" s="3"/>
      <c r="F140" s="1"/>
      <c r="G140" s="141">
        <f>IF(Basic3456[[#This Row],[نوع الخدمة]]="مخالفات", 50,
IF(Basic3456[[#This Row],[نوع الخدمة]]="كاش ان",
    IF(F140&lt;=100, 18, IF(F140&lt;=250, 23, IF(F140&lt;=500, 35, IF(F140&lt;=1000, 40, F140*0.04)))),
IF(Basic3456[[#This Row],[نوع الخدمة]]="كاش اوت",
    IF(F140&lt;=100, 15, IF(F140&lt;=250, 20, IF(F140&lt;=500, 30, IF(F140&lt;=1000, 35, F140*0.035)))),
0)))</f>
        <v>0</v>
      </c>
      <c r="H140" s="159">
        <f>IF(I140="مخالفات",50,Basic3456[[#This Row],[قيمة الرسوم / العموله]]+Basic3456[[#This Row],[قيمة الشحنه]])</f>
        <v>0</v>
      </c>
      <c r="I140" s="90"/>
      <c r="J140" s="142" t="str">
        <f t="shared" si="2"/>
        <v>27.5.2026</v>
      </c>
      <c r="L140" s="153">
        <v>129</v>
      </c>
      <c r="M140" s="92"/>
    </row>
    <row r="141" spans="1:13" ht="21.6" x14ac:dyDescent="0.65">
      <c r="A141" s="195"/>
      <c r="B141" s="144">
        <v>138</v>
      </c>
      <c r="C141" s="2"/>
      <c r="D141" s="1"/>
      <c r="E141" s="3"/>
      <c r="F141" s="1"/>
      <c r="G141" s="141">
        <f>IF(Basic3456[[#This Row],[نوع الخدمة]]="مخالفات", 50,
IF(Basic3456[[#This Row],[نوع الخدمة]]="كاش ان",
    IF(F141&lt;=100, 18, IF(F141&lt;=250, 23, IF(F141&lt;=500, 35, IF(F141&lt;=1000, 40, F141*0.04)))),
IF(Basic3456[[#This Row],[نوع الخدمة]]="كاش اوت",
    IF(F141&lt;=100, 15, IF(F141&lt;=250, 20, IF(F141&lt;=500, 30, IF(F141&lt;=1000, 35, F141*0.035)))),
0)))</f>
        <v>0</v>
      </c>
      <c r="H141" s="159">
        <f>IF(I141="مخالفات",50,Basic3456[[#This Row],[قيمة الرسوم / العموله]]+Basic3456[[#This Row],[قيمة الشحنه]])</f>
        <v>0</v>
      </c>
      <c r="I141" s="90"/>
      <c r="J141" s="142" t="str">
        <f t="shared" si="2"/>
        <v>27.5.2026</v>
      </c>
      <c r="L141" s="153">
        <v>130</v>
      </c>
      <c r="M141" s="92"/>
    </row>
    <row r="142" spans="1:13" ht="21.6" x14ac:dyDescent="0.65">
      <c r="A142" s="195"/>
      <c r="B142" s="140">
        <v>139</v>
      </c>
      <c r="C142" s="2"/>
      <c r="D142" s="1"/>
      <c r="E142" s="3"/>
      <c r="F142" s="1"/>
      <c r="G142" s="141">
        <f>IF(Basic3456[[#This Row],[نوع الخدمة]]="مخالفات", 50,
IF(Basic3456[[#This Row],[نوع الخدمة]]="كاش ان",
    IF(F142&lt;=100, 18, IF(F142&lt;=250, 23, IF(F142&lt;=500, 35, IF(F142&lt;=1000, 40, F142*0.04)))),
IF(Basic3456[[#This Row],[نوع الخدمة]]="كاش اوت",
    IF(F142&lt;=100, 15, IF(F142&lt;=250, 20, IF(F142&lt;=500, 30, IF(F142&lt;=1000, 35, F142*0.035)))),
0)))</f>
        <v>0</v>
      </c>
      <c r="H142" s="159">
        <f>IF(I142="مخالفات",50,Basic3456[[#This Row],[قيمة الرسوم / العموله]]+Basic3456[[#This Row],[قيمة الشحنه]])</f>
        <v>0</v>
      </c>
      <c r="I142" s="90"/>
      <c r="J142" s="142" t="str">
        <f t="shared" si="2"/>
        <v>27.5.2026</v>
      </c>
      <c r="L142" s="153">
        <v>131</v>
      </c>
      <c r="M142" s="92"/>
    </row>
    <row r="143" spans="1:13" ht="21.6" x14ac:dyDescent="0.65">
      <c r="A143" s="195"/>
      <c r="B143" s="140">
        <v>140</v>
      </c>
      <c r="C143" s="2"/>
      <c r="D143" s="1"/>
      <c r="E143" s="3"/>
      <c r="F143" s="1"/>
      <c r="G143" s="141">
        <f>IF(Basic3456[[#This Row],[نوع الخدمة]]="مخالفات", 50,
IF(Basic3456[[#This Row],[نوع الخدمة]]="كاش ان",
    IF(F143&lt;=100, 18, IF(F143&lt;=250, 23, IF(F143&lt;=500, 35, IF(F143&lt;=1000, 40, F143*0.04)))),
IF(Basic3456[[#This Row],[نوع الخدمة]]="كاش اوت",
    IF(F143&lt;=100, 15, IF(F143&lt;=250, 20, IF(F143&lt;=500, 30, IF(F143&lt;=1000, 35, F143*0.035)))),
0)))</f>
        <v>0</v>
      </c>
      <c r="H143" s="159">
        <f>IF(I143="مخالفات",50,Basic3456[[#This Row],[قيمة الرسوم / العموله]]+Basic3456[[#This Row],[قيمة الشحنه]])</f>
        <v>0</v>
      </c>
      <c r="I143" s="90"/>
      <c r="J143" s="142" t="str">
        <f t="shared" si="2"/>
        <v>27.5.2026</v>
      </c>
      <c r="L143" s="153">
        <v>132</v>
      </c>
      <c r="M143" s="92"/>
    </row>
    <row r="144" spans="1:13" ht="21.6" x14ac:dyDescent="0.65">
      <c r="A144" s="195"/>
      <c r="B144" s="140">
        <v>141</v>
      </c>
      <c r="C144" s="2"/>
      <c r="D144" s="1"/>
      <c r="E144" s="3"/>
      <c r="F144" s="1"/>
      <c r="G144" s="141">
        <f>IF(Basic3456[[#This Row],[نوع الخدمة]]="مخالفات", 50,
IF(Basic3456[[#This Row],[نوع الخدمة]]="كاش ان",
    IF(F144&lt;=100, 18, IF(F144&lt;=250, 23, IF(F144&lt;=500, 35, IF(F144&lt;=1000, 40, F144*0.04)))),
IF(Basic3456[[#This Row],[نوع الخدمة]]="كاش اوت",
    IF(F144&lt;=100, 15, IF(F144&lt;=250, 20, IF(F144&lt;=500, 30, IF(F144&lt;=1000, 35, F144*0.035)))),
0)))</f>
        <v>0</v>
      </c>
      <c r="H144" s="159">
        <f>IF(I144="مخالفات",50,Basic3456[[#This Row],[قيمة الرسوم / العموله]]+Basic3456[[#This Row],[قيمة الشحنه]])</f>
        <v>0</v>
      </c>
      <c r="I144" s="90"/>
      <c r="J144" s="142" t="str">
        <f t="shared" si="2"/>
        <v>27.5.2026</v>
      </c>
      <c r="L144" s="153">
        <v>133</v>
      </c>
      <c r="M144" s="92"/>
    </row>
    <row r="145" spans="1:13" ht="21.6" x14ac:dyDescent="0.65">
      <c r="A145" s="195"/>
      <c r="B145" s="144">
        <v>142</v>
      </c>
      <c r="C145" s="2"/>
      <c r="D145" s="1"/>
      <c r="E145" s="3"/>
      <c r="F145" s="1"/>
      <c r="G145" s="141">
        <f>IF(Basic3456[[#This Row],[نوع الخدمة]]="مخالفات", 50,
IF(Basic3456[[#This Row],[نوع الخدمة]]="كاش ان",
    IF(F145&lt;=100, 18, IF(F145&lt;=250, 23, IF(F145&lt;=500, 35, IF(F145&lt;=1000, 40, F145*0.04)))),
IF(Basic3456[[#This Row],[نوع الخدمة]]="كاش اوت",
    IF(F145&lt;=100, 15, IF(F145&lt;=250, 20, IF(F145&lt;=500, 30, IF(F145&lt;=1000, 35, F145*0.035)))),
0)))</f>
        <v>0</v>
      </c>
      <c r="H145" s="159">
        <f>IF(I145="مخالفات",50,Basic3456[[#This Row],[قيمة الرسوم / العموله]]+Basic3456[[#This Row],[قيمة الشحنه]])</f>
        <v>0</v>
      </c>
      <c r="I145" s="90"/>
      <c r="J145" s="142" t="str">
        <f t="shared" si="2"/>
        <v>27.5.2026</v>
      </c>
      <c r="L145" s="153">
        <v>134</v>
      </c>
      <c r="M145" s="92"/>
    </row>
    <row r="146" spans="1:13" ht="21.6" x14ac:dyDescent="0.65">
      <c r="A146" s="195"/>
      <c r="B146" s="140">
        <v>143</v>
      </c>
      <c r="C146" s="2"/>
      <c r="D146" s="1"/>
      <c r="E146" s="3"/>
      <c r="F146" s="1"/>
      <c r="G146" s="141">
        <f>IF(Basic3456[[#This Row],[نوع الخدمة]]="مخالفات", 50,
IF(Basic3456[[#This Row],[نوع الخدمة]]="كاش ان",
    IF(F146&lt;=100, 18, IF(F146&lt;=250, 23, IF(F146&lt;=500, 35, IF(F146&lt;=1000, 40, F146*0.04)))),
IF(Basic3456[[#This Row],[نوع الخدمة]]="كاش اوت",
    IF(F146&lt;=100, 15, IF(F146&lt;=250, 20, IF(F146&lt;=500, 30, IF(F146&lt;=1000, 35, F146*0.035)))),
0)))</f>
        <v>0</v>
      </c>
      <c r="H146" s="159">
        <f>IF(I146="مخالفات",50,Basic3456[[#This Row],[قيمة الرسوم / العموله]]+Basic3456[[#This Row],[قيمة الشحنه]])</f>
        <v>0</v>
      </c>
      <c r="I146" s="90"/>
      <c r="J146" s="142" t="str">
        <f t="shared" si="2"/>
        <v>27.5.2026</v>
      </c>
      <c r="L146" s="153">
        <v>135</v>
      </c>
      <c r="M146" s="92"/>
    </row>
    <row r="147" spans="1:13" ht="21.6" x14ac:dyDescent="0.65">
      <c r="A147" s="195"/>
      <c r="B147" s="140">
        <v>144</v>
      </c>
      <c r="C147" s="2"/>
      <c r="D147" s="1"/>
      <c r="E147" s="3"/>
      <c r="F147" s="1"/>
      <c r="G147" s="141">
        <f>IF(Basic3456[[#This Row],[نوع الخدمة]]="مخالفات", 50,
IF(Basic3456[[#This Row],[نوع الخدمة]]="كاش ان",
    IF(F147&lt;=100, 18, IF(F147&lt;=250, 23, IF(F147&lt;=500, 35, IF(F147&lt;=1000, 40, F147*0.04)))),
IF(Basic3456[[#This Row],[نوع الخدمة]]="كاش اوت",
    IF(F147&lt;=100, 15, IF(F147&lt;=250, 20, IF(F147&lt;=500, 30, IF(F147&lt;=1000, 35, F147*0.035)))),
0)))</f>
        <v>0</v>
      </c>
      <c r="H147" s="159">
        <f>IF(I147="مخالفات",50,Basic3456[[#This Row],[قيمة الرسوم / العموله]]+Basic3456[[#This Row],[قيمة الشحنه]])</f>
        <v>0</v>
      </c>
      <c r="I147" s="90"/>
      <c r="J147" s="142" t="str">
        <f t="shared" si="2"/>
        <v>27.5.2026</v>
      </c>
      <c r="L147" s="153">
        <v>136</v>
      </c>
      <c r="M147" s="92"/>
    </row>
    <row r="148" spans="1:13" ht="21.6" x14ac:dyDescent="0.65">
      <c r="A148" s="195"/>
      <c r="B148" s="140">
        <v>145</v>
      </c>
      <c r="C148" s="2"/>
      <c r="D148" s="1"/>
      <c r="E148" s="3"/>
      <c r="F148" s="1"/>
      <c r="G148" s="141">
        <f>IF(Basic3456[[#This Row],[نوع الخدمة]]="مخالفات", 50,
IF(Basic3456[[#This Row],[نوع الخدمة]]="كاش ان",
    IF(F148&lt;=100, 18, IF(F148&lt;=250, 23, IF(F148&lt;=500, 35, IF(F148&lt;=1000, 40, F148*0.04)))),
IF(Basic3456[[#This Row],[نوع الخدمة]]="كاش اوت",
    IF(F148&lt;=100, 15, IF(F148&lt;=250, 20, IF(F148&lt;=500, 30, IF(F148&lt;=1000, 35, F148*0.035)))),
0)))</f>
        <v>0</v>
      </c>
      <c r="H148" s="159">
        <f>IF(I148="مخالفات",50,Basic3456[[#This Row],[قيمة الرسوم / العموله]]+Basic3456[[#This Row],[قيمة الشحنه]])</f>
        <v>0</v>
      </c>
      <c r="I148" s="90"/>
      <c r="J148" s="142" t="str">
        <f t="shared" si="2"/>
        <v>27.5.2026</v>
      </c>
      <c r="L148" s="153">
        <v>137</v>
      </c>
      <c r="M148" s="92"/>
    </row>
    <row r="149" spans="1:13" ht="21.6" x14ac:dyDescent="0.65">
      <c r="A149" s="195"/>
      <c r="B149" s="144">
        <v>146</v>
      </c>
      <c r="C149" s="2"/>
      <c r="D149" s="1"/>
      <c r="E149" s="3"/>
      <c r="F149" s="1"/>
      <c r="G149" s="141">
        <f>IF(Basic3456[[#This Row],[نوع الخدمة]]="مخالفات", 50,
IF(Basic3456[[#This Row],[نوع الخدمة]]="كاش ان",
    IF(F149&lt;=100, 18, IF(F149&lt;=250, 23, IF(F149&lt;=500, 35, IF(F149&lt;=1000, 40, F149*0.04)))),
IF(Basic3456[[#This Row],[نوع الخدمة]]="كاش اوت",
    IF(F149&lt;=100, 15, IF(F149&lt;=250, 20, IF(F149&lt;=500, 30, IF(F149&lt;=1000, 35, F149*0.035)))),
0)))</f>
        <v>0</v>
      </c>
      <c r="H149" s="159">
        <f>IF(I149="مخالفات",50,Basic3456[[#This Row],[قيمة الرسوم / العموله]]+Basic3456[[#This Row],[قيمة الشحنه]])</f>
        <v>0</v>
      </c>
      <c r="I149" s="90"/>
      <c r="J149" s="142" t="str">
        <f t="shared" si="2"/>
        <v>27.5.2026</v>
      </c>
      <c r="L149" s="153">
        <v>138</v>
      </c>
      <c r="M149" s="92"/>
    </row>
    <row r="150" spans="1:13" ht="21.6" x14ac:dyDescent="0.65">
      <c r="A150" s="195"/>
      <c r="B150" s="140">
        <v>147</v>
      </c>
      <c r="C150" s="2"/>
      <c r="D150" s="1"/>
      <c r="E150" s="3"/>
      <c r="F150" s="1"/>
      <c r="G150" s="141">
        <f>IF(Basic3456[[#This Row],[نوع الخدمة]]="مخالفات", 50,
IF(Basic3456[[#This Row],[نوع الخدمة]]="كاش ان",
    IF(F150&lt;=100, 18, IF(F150&lt;=250, 23, IF(F150&lt;=500, 35, IF(F150&lt;=1000, 40, F150*0.04)))),
IF(Basic3456[[#This Row],[نوع الخدمة]]="كاش اوت",
    IF(F150&lt;=100, 15, IF(F150&lt;=250, 20, IF(F150&lt;=500, 30, IF(F150&lt;=1000, 35, F150*0.035)))),
0)))</f>
        <v>0</v>
      </c>
      <c r="H150" s="159">
        <f>IF(I150="مخالفات",50,Basic3456[[#This Row],[قيمة الرسوم / العموله]]+Basic3456[[#This Row],[قيمة الشحنه]])</f>
        <v>0</v>
      </c>
      <c r="I150" s="90"/>
      <c r="J150" s="142" t="str">
        <f t="shared" si="2"/>
        <v>27.5.2026</v>
      </c>
      <c r="L150" s="153">
        <v>139</v>
      </c>
      <c r="M150" s="92"/>
    </row>
    <row r="151" spans="1:13" ht="21.6" x14ac:dyDescent="0.65">
      <c r="A151" s="195"/>
      <c r="B151" s="140">
        <v>148</v>
      </c>
      <c r="C151" s="2"/>
      <c r="D151" s="1"/>
      <c r="E151" s="3"/>
      <c r="F151" s="1"/>
      <c r="G151" s="141">
        <f>IF(Basic3456[[#This Row],[نوع الخدمة]]="مخالفات", 50,
IF(Basic3456[[#This Row],[نوع الخدمة]]="كاش ان",
    IF(F151&lt;=100, 18, IF(F151&lt;=250, 23, IF(F151&lt;=500, 35, IF(F151&lt;=1000, 40, F151*0.04)))),
IF(Basic3456[[#This Row],[نوع الخدمة]]="كاش اوت",
    IF(F151&lt;=100, 15, IF(F151&lt;=250, 20, IF(F151&lt;=500, 30, IF(F151&lt;=1000, 35, F151*0.035)))),
0)))</f>
        <v>0</v>
      </c>
      <c r="H151" s="159">
        <f>IF(I151="مخالفات",50,Basic3456[[#This Row],[قيمة الرسوم / العموله]]+Basic3456[[#This Row],[قيمة الشحنه]])</f>
        <v>0</v>
      </c>
      <c r="I151" s="90"/>
      <c r="J151" s="142" t="str">
        <f t="shared" si="2"/>
        <v>27.5.2026</v>
      </c>
      <c r="L151" s="153">
        <v>140</v>
      </c>
      <c r="M151" s="92"/>
    </row>
    <row r="152" spans="1:13" ht="21.6" x14ac:dyDescent="0.65">
      <c r="A152" s="195"/>
      <c r="B152" s="140">
        <v>149</v>
      </c>
      <c r="C152" s="2"/>
      <c r="D152" s="1"/>
      <c r="E152" s="3"/>
      <c r="F152" s="1"/>
      <c r="G152" s="141">
        <f>IF(Basic3456[[#This Row],[نوع الخدمة]]="مخالفات", 50,
IF(Basic3456[[#This Row],[نوع الخدمة]]="كاش ان",
    IF(F152&lt;=100, 18, IF(F152&lt;=250, 23, IF(F152&lt;=500, 35, IF(F152&lt;=1000, 40, F152*0.04)))),
IF(Basic3456[[#This Row],[نوع الخدمة]]="كاش اوت",
    IF(F152&lt;=100, 15, IF(F152&lt;=250, 20, IF(F152&lt;=500, 30, IF(F152&lt;=1000, 35, F152*0.035)))),
0)))</f>
        <v>0</v>
      </c>
      <c r="H152" s="159">
        <f>IF(I152="مخالفات",50,Basic3456[[#This Row],[قيمة الرسوم / العموله]]+Basic3456[[#This Row],[قيمة الشحنه]])</f>
        <v>0</v>
      </c>
      <c r="I152" s="90"/>
      <c r="J152" s="142" t="str">
        <f t="shared" si="2"/>
        <v>27.5.2026</v>
      </c>
      <c r="L152" s="153">
        <v>141</v>
      </c>
      <c r="M152" s="92"/>
    </row>
    <row r="153" spans="1:13" ht="21.6" x14ac:dyDescent="0.65">
      <c r="A153" s="195"/>
      <c r="B153" s="144">
        <v>150</v>
      </c>
      <c r="C153" s="2"/>
      <c r="D153" s="1"/>
      <c r="E153" s="3"/>
      <c r="F153" s="1"/>
      <c r="G153" s="141">
        <f>IF(Basic3456[[#This Row],[نوع الخدمة]]="مخالفات", 50,
IF(Basic3456[[#This Row],[نوع الخدمة]]="كاش ان",
    IF(F153&lt;=100, 18, IF(F153&lt;=250, 23, IF(F153&lt;=500, 35, IF(F153&lt;=1000, 40, F153*0.04)))),
IF(Basic3456[[#This Row],[نوع الخدمة]]="كاش اوت",
    IF(F153&lt;=100, 15, IF(F153&lt;=250, 20, IF(F153&lt;=500, 30, IF(F153&lt;=1000, 35, F153*0.035)))),
0)))</f>
        <v>0</v>
      </c>
      <c r="H153" s="159">
        <f>IF(I153="مخالفات",50,Basic3456[[#This Row],[قيمة الرسوم / العموله]]+Basic3456[[#This Row],[قيمة الشحنه]])</f>
        <v>0</v>
      </c>
      <c r="I153" s="90"/>
      <c r="J153" s="142" t="str">
        <f t="shared" si="2"/>
        <v>27.5.2026</v>
      </c>
      <c r="L153" s="153">
        <v>142</v>
      </c>
      <c r="M153" s="92"/>
    </row>
    <row r="154" spans="1:13" ht="21.6" x14ac:dyDescent="0.65">
      <c r="A154" s="195"/>
      <c r="B154" s="140">
        <v>151</v>
      </c>
      <c r="C154" s="2"/>
      <c r="D154" s="1"/>
      <c r="E154" s="3"/>
      <c r="F154" s="1"/>
      <c r="G154" s="141">
        <f>IF(Basic3456[[#This Row],[نوع الخدمة]]="مخالفات", 50,
IF(Basic3456[[#This Row],[نوع الخدمة]]="كاش ان",
    IF(F154&lt;=100, 18, IF(F154&lt;=250, 23, IF(F154&lt;=500, 35, IF(F154&lt;=1000, 40, F154*0.04)))),
IF(Basic3456[[#This Row],[نوع الخدمة]]="كاش اوت",
    IF(F154&lt;=100, 15, IF(F154&lt;=250, 20, IF(F154&lt;=500, 30, IF(F154&lt;=1000, 35, F154*0.035)))),
0)))</f>
        <v>0</v>
      </c>
      <c r="H154" s="159">
        <f>IF(I154="مخالفات",50,Basic3456[[#This Row],[قيمة الرسوم / العموله]]+Basic3456[[#This Row],[قيمة الشحنه]])</f>
        <v>0</v>
      </c>
      <c r="I154" s="90"/>
      <c r="J154" s="142" t="str">
        <f t="shared" si="2"/>
        <v>27.5.2026</v>
      </c>
      <c r="L154" s="153">
        <v>143</v>
      </c>
      <c r="M154" s="92"/>
    </row>
    <row r="155" spans="1:13" ht="21.6" x14ac:dyDescent="0.65">
      <c r="A155" s="195"/>
      <c r="B155" s="140">
        <v>152</v>
      </c>
      <c r="C155" s="2"/>
      <c r="D155" s="1"/>
      <c r="E155" s="3"/>
      <c r="F155" s="1"/>
      <c r="G155" s="141">
        <f>IF(Basic3456[[#This Row],[نوع الخدمة]]="مخالفات", 50,
IF(Basic3456[[#This Row],[نوع الخدمة]]="كاش ان",
    IF(F155&lt;=100, 18, IF(F155&lt;=250, 23, IF(F155&lt;=500, 35, IF(F155&lt;=1000, 40, F155*0.04)))),
IF(Basic3456[[#This Row],[نوع الخدمة]]="كاش اوت",
    IF(F155&lt;=100, 15, IF(F155&lt;=250, 20, IF(F155&lt;=500, 30, IF(F155&lt;=1000, 35, F155*0.035)))),
0)))</f>
        <v>0</v>
      </c>
      <c r="H155" s="159">
        <f>IF(I155="مخالفات",50,Basic3456[[#This Row],[قيمة الرسوم / العموله]]+Basic3456[[#This Row],[قيمة الشحنه]])</f>
        <v>0</v>
      </c>
      <c r="I155" s="90"/>
      <c r="J155" s="142" t="str">
        <f t="shared" si="2"/>
        <v>27.5.2026</v>
      </c>
      <c r="L155" s="153">
        <v>144</v>
      </c>
      <c r="M155" s="92"/>
    </row>
    <row r="156" spans="1:13" ht="21.6" x14ac:dyDescent="0.65">
      <c r="A156" s="195"/>
      <c r="B156" s="140">
        <v>153</v>
      </c>
      <c r="C156" s="2"/>
      <c r="D156" s="1"/>
      <c r="E156" s="3"/>
      <c r="F156" s="1"/>
      <c r="G156" s="141">
        <f>IF(Basic3456[[#This Row],[نوع الخدمة]]="مخالفات", 50,
IF(Basic3456[[#This Row],[نوع الخدمة]]="كاش ان",
    IF(F156&lt;=100, 18, IF(F156&lt;=250, 23, IF(F156&lt;=500, 35, IF(F156&lt;=1000, 40, F156*0.04)))),
IF(Basic3456[[#This Row],[نوع الخدمة]]="كاش اوت",
    IF(F156&lt;=100, 15, IF(F156&lt;=250, 20, IF(F156&lt;=500, 30, IF(F156&lt;=1000, 35, F156*0.035)))),
0)))</f>
        <v>0</v>
      </c>
      <c r="H156" s="159">
        <f>IF(I156="مخالفات",50,Basic3456[[#This Row],[قيمة الرسوم / العموله]]+Basic3456[[#This Row],[قيمة الشحنه]])</f>
        <v>0</v>
      </c>
      <c r="I156" s="90"/>
      <c r="J156" s="142" t="str">
        <f t="shared" si="2"/>
        <v>27.5.2026</v>
      </c>
      <c r="L156" s="153">
        <v>145</v>
      </c>
      <c r="M156" s="92"/>
    </row>
    <row r="157" spans="1:13" ht="21.6" x14ac:dyDescent="0.65">
      <c r="A157" s="195"/>
      <c r="B157" s="144">
        <v>154</v>
      </c>
      <c r="C157" s="2"/>
      <c r="D157" s="1"/>
      <c r="E157" s="3"/>
      <c r="F157" s="1"/>
      <c r="G157" s="141">
        <f>IF(Basic3456[[#This Row],[نوع الخدمة]]="مخالفات", 50,
IF(Basic3456[[#This Row],[نوع الخدمة]]="كاش ان",
    IF(F157&lt;=100, 18, IF(F157&lt;=250, 23, IF(F157&lt;=500, 35, IF(F157&lt;=1000, 40, F157*0.04)))),
IF(Basic3456[[#This Row],[نوع الخدمة]]="كاش اوت",
    IF(F157&lt;=100, 15, IF(F157&lt;=250, 20, IF(F157&lt;=500, 30, IF(F157&lt;=1000, 35, F157*0.035)))),
0)))</f>
        <v>0</v>
      </c>
      <c r="H157" s="159">
        <f>IF(I157="مخالفات",50,Basic3456[[#This Row],[قيمة الرسوم / العموله]]+Basic3456[[#This Row],[قيمة الشحنه]])</f>
        <v>0</v>
      </c>
      <c r="I157" s="90"/>
      <c r="J157" s="142" t="str">
        <f t="shared" si="2"/>
        <v>27.5.2026</v>
      </c>
      <c r="L157" s="153">
        <v>146</v>
      </c>
      <c r="M157" s="92"/>
    </row>
    <row r="158" spans="1:13" ht="21.6" x14ac:dyDescent="0.65">
      <c r="A158" s="195"/>
      <c r="B158" s="140">
        <v>155</v>
      </c>
      <c r="C158" s="2"/>
      <c r="D158" s="1"/>
      <c r="E158" s="3"/>
      <c r="F158" s="1"/>
      <c r="G158" s="141">
        <f>IF(Basic3456[[#This Row],[نوع الخدمة]]="مخالفات", 50,
IF(Basic3456[[#This Row],[نوع الخدمة]]="كاش ان",
    IF(F158&lt;=100, 18, IF(F158&lt;=250, 23, IF(F158&lt;=500, 35, IF(F158&lt;=1000, 40, F158*0.04)))),
IF(Basic3456[[#This Row],[نوع الخدمة]]="كاش اوت",
    IF(F158&lt;=100, 15, IF(F158&lt;=250, 20, IF(F158&lt;=500, 30, IF(F158&lt;=1000, 35, F158*0.035)))),
0)))</f>
        <v>0</v>
      </c>
      <c r="H158" s="159">
        <f>IF(I158="مخالفات",50,Basic3456[[#This Row],[قيمة الرسوم / العموله]]+Basic3456[[#This Row],[قيمة الشحنه]])</f>
        <v>0</v>
      </c>
      <c r="I158" s="90"/>
      <c r="J158" s="142" t="str">
        <f t="shared" si="2"/>
        <v>27.5.2026</v>
      </c>
      <c r="L158" s="153">
        <v>147</v>
      </c>
      <c r="M158" s="92"/>
    </row>
    <row r="159" spans="1:13" ht="21.6" x14ac:dyDescent="0.65">
      <c r="A159" s="195"/>
      <c r="B159" s="140">
        <v>156</v>
      </c>
      <c r="C159" s="2"/>
      <c r="D159" s="1"/>
      <c r="E159" s="3"/>
      <c r="F159" s="1"/>
      <c r="G159" s="141">
        <f>IF(Basic3456[[#This Row],[نوع الخدمة]]="مخالفات", 50,
IF(Basic3456[[#This Row],[نوع الخدمة]]="كاش ان",
    IF(F159&lt;=100, 18, IF(F159&lt;=250, 23, IF(F159&lt;=500, 35, IF(F159&lt;=1000, 40, F159*0.04)))),
IF(Basic3456[[#This Row],[نوع الخدمة]]="كاش اوت",
    IF(F159&lt;=100, 15, IF(F159&lt;=250, 20, IF(F159&lt;=500, 30, IF(F159&lt;=1000, 35, F159*0.035)))),
0)))</f>
        <v>0</v>
      </c>
      <c r="H159" s="159">
        <f>IF(I159="مخالفات",50,Basic3456[[#This Row],[قيمة الرسوم / العموله]]+Basic3456[[#This Row],[قيمة الشحنه]])</f>
        <v>0</v>
      </c>
      <c r="I159" s="90"/>
      <c r="J159" s="142" t="str">
        <f t="shared" si="2"/>
        <v>27.5.2026</v>
      </c>
      <c r="L159" s="153">
        <v>148</v>
      </c>
      <c r="M159" s="92"/>
    </row>
    <row r="160" spans="1:13" ht="21.6" x14ac:dyDescent="0.65">
      <c r="A160" s="195"/>
      <c r="B160" s="140">
        <v>157</v>
      </c>
      <c r="C160" s="2"/>
      <c r="D160" s="1"/>
      <c r="E160" s="3"/>
      <c r="F160" s="1"/>
      <c r="G160" s="141">
        <f>IF(Basic3456[[#This Row],[نوع الخدمة]]="مخالفات", 50,
IF(Basic3456[[#This Row],[نوع الخدمة]]="كاش ان",
    IF(F160&lt;=100, 18, IF(F160&lt;=250, 23, IF(F160&lt;=500, 35, IF(F160&lt;=1000, 40, F160*0.04)))),
IF(Basic3456[[#This Row],[نوع الخدمة]]="كاش اوت",
    IF(F160&lt;=100, 15, IF(F160&lt;=250, 20, IF(F160&lt;=500, 30, IF(F160&lt;=1000, 35, F160*0.035)))),
0)))</f>
        <v>0</v>
      </c>
      <c r="H160" s="159">
        <f>IF(I160="مخالفات",50,Basic3456[[#This Row],[قيمة الرسوم / العموله]]+Basic3456[[#This Row],[قيمة الشحنه]])</f>
        <v>0</v>
      </c>
      <c r="I160" s="90"/>
      <c r="J160" s="142" t="str">
        <f t="shared" si="2"/>
        <v>27.5.2026</v>
      </c>
      <c r="L160" s="153">
        <v>149</v>
      </c>
      <c r="M160" s="92"/>
    </row>
    <row r="161" spans="1:13" ht="21.6" x14ac:dyDescent="0.65">
      <c r="A161" s="195"/>
      <c r="B161" s="144">
        <v>158</v>
      </c>
      <c r="C161" s="2"/>
      <c r="D161" s="1"/>
      <c r="E161" s="3"/>
      <c r="F161" s="1"/>
      <c r="G161" s="141">
        <f>IF(Basic3456[[#This Row],[نوع الخدمة]]="مخالفات", 50,
IF(Basic3456[[#This Row],[نوع الخدمة]]="كاش ان",
    IF(F161&lt;=100, 18, IF(F161&lt;=250, 23, IF(F161&lt;=500, 35, IF(F161&lt;=1000, 40, F161*0.04)))),
IF(Basic3456[[#This Row],[نوع الخدمة]]="كاش اوت",
    IF(F161&lt;=100, 15, IF(F161&lt;=250, 20, IF(F161&lt;=500, 30, IF(F161&lt;=1000, 35, F161*0.035)))),
0)))</f>
        <v>0</v>
      </c>
      <c r="H161" s="159">
        <f>IF(I161="مخالفات",50,Basic3456[[#This Row],[قيمة الرسوم / العموله]]+Basic3456[[#This Row],[قيمة الشحنه]])</f>
        <v>0</v>
      </c>
      <c r="I161" s="90"/>
      <c r="J161" s="142" t="str">
        <f t="shared" si="2"/>
        <v>27.5.2026</v>
      </c>
      <c r="L161" s="153">
        <v>150</v>
      </c>
      <c r="M161" s="92"/>
    </row>
    <row r="162" spans="1:13" ht="21.6" x14ac:dyDescent="0.65">
      <c r="A162" s="195"/>
      <c r="B162" s="140">
        <v>159</v>
      </c>
      <c r="C162" s="2"/>
      <c r="D162" s="1"/>
      <c r="E162" s="3"/>
      <c r="F162" s="1"/>
      <c r="G162" s="141">
        <f>IF(Basic3456[[#This Row],[نوع الخدمة]]="مخالفات", 50,
IF(Basic3456[[#This Row],[نوع الخدمة]]="كاش ان",
    IF(F162&lt;=100, 18, IF(F162&lt;=250, 23, IF(F162&lt;=500, 35, IF(F162&lt;=1000, 40, F162*0.04)))),
IF(Basic3456[[#This Row],[نوع الخدمة]]="كاش اوت",
    IF(F162&lt;=100, 15, IF(F162&lt;=250, 20, IF(F162&lt;=500, 30, IF(F162&lt;=1000, 35, F162*0.035)))),
0)))</f>
        <v>0</v>
      </c>
      <c r="H162" s="159">
        <f>IF(I162="مخالفات",50,Basic3456[[#This Row],[قيمة الرسوم / العموله]]+Basic3456[[#This Row],[قيمة الشحنه]])</f>
        <v>0</v>
      </c>
      <c r="I162" s="90"/>
      <c r="J162" s="142" t="str">
        <f t="shared" si="2"/>
        <v>27.5.2026</v>
      </c>
      <c r="L162" s="153">
        <v>151</v>
      </c>
      <c r="M162" s="92"/>
    </row>
    <row r="163" spans="1:13" ht="21.6" x14ac:dyDescent="0.65">
      <c r="A163" s="195"/>
      <c r="B163" s="140">
        <v>160</v>
      </c>
      <c r="C163" s="2"/>
      <c r="D163" s="1"/>
      <c r="E163" s="3"/>
      <c r="F163" s="1"/>
      <c r="G163" s="141">
        <f>IF(Basic3456[[#This Row],[نوع الخدمة]]="مخالفات", 50,
IF(Basic3456[[#This Row],[نوع الخدمة]]="كاش ان",
    IF(F163&lt;=100, 18, IF(F163&lt;=250, 23, IF(F163&lt;=500, 35, IF(F163&lt;=1000, 40, F163*0.04)))),
IF(Basic3456[[#This Row],[نوع الخدمة]]="كاش اوت",
    IF(F163&lt;=100, 15, IF(F163&lt;=250, 20, IF(F163&lt;=500, 30, IF(F163&lt;=1000, 35, F163*0.035)))),
0)))</f>
        <v>0</v>
      </c>
      <c r="H163" s="159">
        <f>IF(I163="مخالفات",50,Basic3456[[#This Row],[قيمة الرسوم / العموله]]+Basic3456[[#This Row],[قيمة الشحنه]])</f>
        <v>0</v>
      </c>
      <c r="I163" s="90"/>
      <c r="J163" s="142" t="str">
        <f t="shared" si="2"/>
        <v>27.5.2026</v>
      </c>
      <c r="L163" s="153">
        <v>152</v>
      </c>
      <c r="M163" s="92"/>
    </row>
    <row r="164" spans="1:13" ht="21.6" x14ac:dyDescent="0.65">
      <c r="A164" s="195"/>
      <c r="B164" s="140">
        <v>161</v>
      </c>
      <c r="C164" s="2"/>
      <c r="D164" s="1"/>
      <c r="E164" s="3"/>
      <c r="F164" s="1"/>
      <c r="G164" s="141">
        <f>IF(Basic3456[[#This Row],[نوع الخدمة]]="مخالفات", 50,
IF(Basic3456[[#This Row],[نوع الخدمة]]="كاش ان",
    IF(F164&lt;=100, 18, IF(F164&lt;=250, 23, IF(F164&lt;=500, 35, IF(F164&lt;=1000, 40, F164*0.04)))),
IF(Basic3456[[#This Row],[نوع الخدمة]]="كاش اوت",
    IF(F164&lt;=100, 15, IF(F164&lt;=250, 20, IF(F164&lt;=500, 30, IF(F164&lt;=1000, 35, F164*0.035)))),
0)))</f>
        <v>0</v>
      </c>
      <c r="H164" s="159">
        <f>IF(I164="مخالفات",50,Basic3456[[#This Row],[قيمة الرسوم / العموله]]+Basic3456[[#This Row],[قيمة الشحنه]])</f>
        <v>0</v>
      </c>
      <c r="I164" s="90"/>
      <c r="J164" s="142" t="str">
        <f t="shared" si="2"/>
        <v>27.5.2026</v>
      </c>
      <c r="L164" s="153">
        <v>153</v>
      </c>
      <c r="M164" s="92"/>
    </row>
    <row r="165" spans="1:13" ht="21.6" x14ac:dyDescent="0.65">
      <c r="A165" s="195"/>
      <c r="B165" s="144">
        <v>162</v>
      </c>
      <c r="C165" s="2"/>
      <c r="D165" s="1"/>
      <c r="E165" s="3"/>
      <c r="F165" s="1"/>
      <c r="G165" s="141">
        <f>IF(Basic3456[[#This Row],[نوع الخدمة]]="مخالفات", 50,
IF(Basic3456[[#This Row],[نوع الخدمة]]="كاش ان",
    IF(F165&lt;=100, 18, IF(F165&lt;=250, 23, IF(F165&lt;=500, 35, IF(F165&lt;=1000, 40, F165*0.04)))),
IF(Basic3456[[#This Row],[نوع الخدمة]]="كاش اوت",
    IF(F165&lt;=100, 15, IF(F165&lt;=250, 20, IF(F165&lt;=500, 30, IF(F165&lt;=1000, 35, F165*0.035)))),
0)))</f>
        <v>0</v>
      </c>
      <c r="H165" s="159">
        <f>IF(I165="مخالفات",50,Basic3456[[#This Row],[قيمة الرسوم / العموله]]+Basic3456[[#This Row],[قيمة الشحنه]])</f>
        <v>0</v>
      </c>
      <c r="I165" s="90"/>
      <c r="J165" s="142" t="str">
        <f t="shared" si="2"/>
        <v>27.5.2026</v>
      </c>
      <c r="L165" s="153">
        <v>154</v>
      </c>
      <c r="M165" s="92"/>
    </row>
    <row r="166" spans="1:13" ht="21.6" x14ac:dyDescent="0.65">
      <c r="A166" s="195"/>
      <c r="B166" s="140">
        <v>163</v>
      </c>
      <c r="C166" s="2"/>
      <c r="D166" s="1"/>
      <c r="E166" s="3"/>
      <c r="F166" s="1"/>
      <c r="G166" s="141">
        <f>IF(Basic3456[[#This Row],[نوع الخدمة]]="مخالفات", 50,
IF(Basic3456[[#This Row],[نوع الخدمة]]="كاش ان",
    IF(F166&lt;=100, 18, IF(F166&lt;=250, 23, IF(F166&lt;=500, 35, IF(F166&lt;=1000, 40, F166*0.04)))),
IF(Basic3456[[#This Row],[نوع الخدمة]]="كاش اوت",
    IF(F166&lt;=100, 15, IF(F166&lt;=250, 20, IF(F166&lt;=500, 30, IF(F166&lt;=1000, 35, F166*0.035)))),
0)))</f>
        <v>0</v>
      </c>
      <c r="H166" s="159">
        <f>IF(I166="مخالفات",50,Basic3456[[#This Row],[قيمة الرسوم / العموله]]+Basic3456[[#This Row],[قيمة الشحنه]])</f>
        <v>0</v>
      </c>
      <c r="I166" s="90"/>
      <c r="J166" s="142" t="str">
        <f t="shared" si="2"/>
        <v>27.5.2026</v>
      </c>
      <c r="L166" s="153">
        <v>155</v>
      </c>
      <c r="M166" s="92"/>
    </row>
    <row r="167" spans="1:13" ht="21.6" x14ac:dyDescent="0.65">
      <c r="A167" s="195"/>
      <c r="B167" s="140">
        <v>164</v>
      </c>
      <c r="C167" s="2"/>
      <c r="D167" s="1"/>
      <c r="E167" s="3"/>
      <c r="F167" s="1"/>
      <c r="G167" s="141">
        <f>IF(Basic3456[[#This Row],[نوع الخدمة]]="مخالفات", 50,
IF(Basic3456[[#This Row],[نوع الخدمة]]="كاش ان",
    IF(F167&lt;=100, 18, IF(F167&lt;=250, 23, IF(F167&lt;=500, 35, IF(F167&lt;=1000, 40, F167*0.04)))),
IF(Basic3456[[#This Row],[نوع الخدمة]]="كاش اوت",
    IF(F167&lt;=100, 15, IF(F167&lt;=250, 20, IF(F167&lt;=500, 30, IF(F167&lt;=1000, 35, F167*0.035)))),
0)))</f>
        <v>0</v>
      </c>
      <c r="H167" s="159">
        <f>IF(I167="مخالفات",50,Basic3456[[#This Row],[قيمة الرسوم / العموله]]+Basic3456[[#This Row],[قيمة الشحنه]])</f>
        <v>0</v>
      </c>
      <c r="I167" s="90"/>
      <c r="J167" s="142" t="str">
        <f t="shared" si="2"/>
        <v>27.5.2026</v>
      </c>
      <c r="L167" s="153">
        <v>156</v>
      </c>
      <c r="M167" s="92"/>
    </row>
    <row r="168" spans="1:13" ht="21.6" x14ac:dyDescent="0.65">
      <c r="A168" s="195"/>
      <c r="B168" s="140">
        <v>165</v>
      </c>
      <c r="C168" s="2"/>
      <c r="D168" s="1"/>
      <c r="E168" s="3"/>
      <c r="F168" s="1"/>
      <c r="G168" s="141">
        <f>IF(Basic3456[[#This Row],[نوع الخدمة]]="مخالفات", 50,
IF(Basic3456[[#This Row],[نوع الخدمة]]="كاش ان",
    IF(F168&lt;=100, 18, IF(F168&lt;=250, 23, IF(F168&lt;=500, 35, IF(F168&lt;=1000, 40, F168*0.04)))),
IF(Basic3456[[#This Row],[نوع الخدمة]]="كاش اوت",
    IF(F168&lt;=100, 15, IF(F168&lt;=250, 20, IF(F168&lt;=500, 30, IF(F168&lt;=1000, 35, F168*0.035)))),
0)))</f>
        <v>0</v>
      </c>
      <c r="H168" s="159">
        <f>IF(I168="مخالفات",50,Basic3456[[#This Row],[قيمة الرسوم / العموله]]+Basic3456[[#This Row],[قيمة الشحنه]])</f>
        <v>0</v>
      </c>
      <c r="I168" s="90"/>
      <c r="J168" s="142" t="str">
        <f t="shared" si="2"/>
        <v>27.5.2026</v>
      </c>
      <c r="L168" s="153">
        <v>157</v>
      </c>
      <c r="M168" s="92"/>
    </row>
    <row r="169" spans="1:13" ht="21.6" x14ac:dyDescent="0.65">
      <c r="A169" s="195"/>
      <c r="B169" s="144">
        <v>166</v>
      </c>
      <c r="C169" s="2"/>
      <c r="D169" s="1"/>
      <c r="E169" s="3"/>
      <c r="F169" s="1"/>
      <c r="G169" s="141">
        <f>IF(Basic3456[[#This Row],[نوع الخدمة]]="مخالفات", 50,
IF(Basic3456[[#This Row],[نوع الخدمة]]="كاش ان",
    IF(F169&lt;=100, 18, IF(F169&lt;=250, 23, IF(F169&lt;=500, 35, IF(F169&lt;=1000, 40, F169*0.04)))),
IF(Basic3456[[#This Row],[نوع الخدمة]]="كاش اوت",
    IF(F169&lt;=100, 15, IF(F169&lt;=250, 20, IF(F169&lt;=500, 30, IF(F169&lt;=1000, 35, F169*0.035)))),
0)))</f>
        <v>0</v>
      </c>
      <c r="H169" s="159">
        <f>IF(I169="مخالفات",50,Basic3456[[#This Row],[قيمة الرسوم / العموله]]+Basic3456[[#This Row],[قيمة الشحنه]])</f>
        <v>0</v>
      </c>
      <c r="I169" s="90"/>
      <c r="J169" s="142" t="str">
        <f t="shared" si="2"/>
        <v>27.5.2026</v>
      </c>
      <c r="L169" s="153">
        <v>158</v>
      </c>
      <c r="M169" s="92"/>
    </row>
    <row r="170" spans="1:13" ht="21.6" x14ac:dyDescent="0.65">
      <c r="A170" s="195"/>
      <c r="B170" s="140">
        <v>167</v>
      </c>
      <c r="C170" s="2"/>
      <c r="D170" s="1"/>
      <c r="E170" s="3"/>
      <c r="F170" s="1"/>
      <c r="G170" s="141">
        <f>IF(Basic3456[[#This Row],[نوع الخدمة]]="مخالفات", 50,
IF(Basic3456[[#This Row],[نوع الخدمة]]="كاش ان",
    IF(F170&lt;=100, 18, IF(F170&lt;=250, 23, IF(F170&lt;=500, 35, IF(F170&lt;=1000, 40, F170*0.04)))),
IF(Basic3456[[#This Row],[نوع الخدمة]]="كاش اوت",
    IF(F170&lt;=100, 15, IF(F170&lt;=250, 20, IF(F170&lt;=500, 30, IF(F170&lt;=1000, 35, F170*0.035)))),
0)))</f>
        <v>0</v>
      </c>
      <c r="H170" s="159">
        <f>IF(I170="مخالفات",50,Basic3456[[#This Row],[قيمة الرسوم / العموله]]+Basic3456[[#This Row],[قيمة الشحنه]])</f>
        <v>0</v>
      </c>
      <c r="I170" s="90"/>
      <c r="J170" s="142" t="str">
        <f t="shared" si="2"/>
        <v>27.5.2026</v>
      </c>
      <c r="L170" s="153">
        <v>159</v>
      </c>
      <c r="M170" s="92"/>
    </row>
    <row r="171" spans="1:13" ht="21.6" x14ac:dyDescent="0.65">
      <c r="A171" s="195"/>
      <c r="B171" s="140">
        <v>168</v>
      </c>
      <c r="C171" s="2"/>
      <c r="D171" s="1"/>
      <c r="E171" s="3"/>
      <c r="F171" s="1"/>
      <c r="G171" s="141">
        <f>IF(Basic3456[[#This Row],[نوع الخدمة]]="مخالفات", 50,
IF(Basic3456[[#This Row],[نوع الخدمة]]="كاش ان",
    IF(F171&lt;=100, 18, IF(F171&lt;=250, 23, IF(F171&lt;=500, 35, IF(F171&lt;=1000, 40, F171*0.04)))),
IF(Basic3456[[#This Row],[نوع الخدمة]]="كاش اوت",
    IF(F171&lt;=100, 15, IF(F171&lt;=250, 20, IF(F171&lt;=500, 30, IF(F171&lt;=1000, 35, F171*0.035)))),
0)))</f>
        <v>0</v>
      </c>
      <c r="H171" s="159">
        <f>IF(I171="مخالفات",50,Basic3456[[#This Row],[قيمة الرسوم / العموله]]+Basic3456[[#This Row],[قيمة الشحنه]])</f>
        <v>0</v>
      </c>
      <c r="I171" s="90"/>
      <c r="J171" s="142" t="str">
        <f t="shared" si="2"/>
        <v>27.5.2026</v>
      </c>
      <c r="L171" s="153">
        <v>160</v>
      </c>
      <c r="M171" s="92"/>
    </row>
    <row r="172" spans="1:13" ht="21.6" x14ac:dyDescent="0.65">
      <c r="A172" s="195"/>
      <c r="B172" s="140">
        <v>169</v>
      </c>
      <c r="C172" s="2"/>
      <c r="D172" s="1"/>
      <c r="E172" s="3"/>
      <c r="F172" s="1"/>
      <c r="G172" s="141">
        <f>IF(Basic3456[[#This Row],[نوع الخدمة]]="مخالفات", 50,
IF(Basic3456[[#This Row],[نوع الخدمة]]="كاش ان",
    IF(F172&lt;=100, 18, IF(F172&lt;=250, 23, IF(F172&lt;=500, 35, IF(F172&lt;=1000, 40, F172*0.04)))),
IF(Basic3456[[#This Row],[نوع الخدمة]]="كاش اوت",
    IF(F172&lt;=100, 15, IF(F172&lt;=250, 20, IF(F172&lt;=500, 30, IF(F172&lt;=1000, 35, F172*0.035)))),
0)))</f>
        <v>0</v>
      </c>
      <c r="H172" s="159">
        <f>IF(I172="مخالفات",50,Basic3456[[#This Row],[قيمة الرسوم / العموله]]+Basic3456[[#This Row],[قيمة الشحنه]])</f>
        <v>0</v>
      </c>
      <c r="I172" s="90"/>
      <c r="J172" s="142" t="str">
        <f t="shared" si="2"/>
        <v>27.5.2026</v>
      </c>
      <c r="L172" s="153">
        <v>161</v>
      </c>
      <c r="M172" s="92"/>
    </row>
    <row r="173" spans="1:13" ht="21.6" x14ac:dyDescent="0.65">
      <c r="A173" s="195"/>
      <c r="B173" s="144">
        <v>170</v>
      </c>
      <c r="C173" s="2"/>
      <c r="D173" s="1"/>
      <c r="E173" s="3"/>
      <c r="F173" s="1"/>
      <c r="G173" s="141">
        <f>IF(Basic3456[[#This Row],[نوع الخدمة]]="مخالفات", 50,
IF(Basic3456[[#This Row],[نوع الخدمة]]="كاش ان",
    IF(F173&lt;=100, 18, IF(F173&lt;=250, 23, IF(F173&lt;=500, 35, IF(F173&lt;=1000, 40, F173*0.04)))),
IF(Basic3456[[#This Row],[نوع الخدمة]]="كاش اوت",
    IF(F173&lt;=100, 15, IF(F173&lt;=250, 20, IF(F173&lt;=500, 30, IF(F173&lt;=1000, 35, F173*0.035)))),
0)))</f>
        <v>0</v>
      </c>
      <c r="H173" s="159">
        <f>IF(I173="مخالفات",50,Basic3456[[#This Row],[قيمة الرسوم / العموله]]+Basic3456[[#This Row],[قيمة الشحنه]])</f>
        <v>0</v>
      </c>
      <c r="I173" s="90"/>
      <c r="J173" s="142" t="str">
        <f t="shared" si="2"/>
        <v>27.5.2026</v>
      </c>
      <c r="L173" s="153">
        <v>162</v>
      </c>
      <c r="M173" s="92"/>
    </row>
    <row r="174" spans="1:13" ht="21.6" x14ac:dyDescent="0.65">
      <c r="A174" s="195"/>
      <c r="B174" s="140">
        <v>171</v>
      </c>
      <c r="C174" s="2"/>
      <c r="D174" s="1"/>
      <c r="E174" s="3"/>
      <c r="F174" s="1"/>
      <c r="G174" s="141">
        <f>IF(Basic3456[[#This Row],[نوع الخدمة]]="مخالفات", 50,
IF(Basic3456[[#This Row],[نوع الخدمة]]="كاش ان",
    IF(F174&lt;=100, 18, IF(F174&lt;=250, 23, IF(F174&lt;=500, 35, IF(F174&lt;=1000, 40, F174*0.04)))),
IF(Basic3456[[#This Row],[نوع الخدمة]]="كاش اوت",
    IF(F174&lt;=100, 15, IF(F174&lt;=250, 20, IF(F174&lt;=500, 30, IF(F174&lt;=1000, 35, F174*0.035)))),
0)))</f>
        <v>0</v>
      </c>
      <c r="H174" s="159">
        <f>IF(I174="مخالفات",50,Basic3456[[#This Row],[قيمة الرسوم / العموله]]+Basic3456[[#This Row],[قيمة الشحنه]])</f>
        <v>0</v>
      </c>
      <c r="I174" s="90"/>
      <c r="J174" s="142" t="str">
        <f t="shared" si="2"/>
        <v>27.5.2026</v>
      </c>
      <c r="L174" s="153">
        <v>163</v>
      </c>
      <c r="M174" s="92"/>
    </row>
    <row r="175" spans="1:13" ht="21.6" x14ac:dyDescent="0.65">
      <c r="A175" s="195"/>
      <c r="B175" s="140">
        <v>172</v>
      </c>
      <c r="C175" s="2"/>
      <c r="D175" s="1"/>
      <c r="E175" s="3"/>
      <c r="F175" s="1"/>
      <c r="G175" s="141">
        <f>IF(Basic3456[[#This Row],[نوع الخدمة]]="مخالفات", 50,
IF(Basic3456[[#This Row],[نوع الخدمة]]="كاش ان",
    IF(F175&lt;=100, 18, IF(F175&lt;=250, 23, IF(F175&lt;=500, 35, IF(F175&lt;=1000, 40, F175*0.04)))),
IF(Basic3456[[#This Row],[نوع الخدمة]]="كاش اوت",
    IF(F175&lt;=100, 15, IF(F175&lt;=250, 20, IF(F175&lt;=500, 30, IF(F175&lt;=1000, 35, F175*0.035)))),
0)))</f>
        <v>0</v>
      </c>
      <c r="H175" s="159">
        <f>IF(I175="مخالفات",50,Basic3456[[#This Row],[قيمة الرسوم / العموله]]+Basic3456[[#This Row],[قيمة الشحنه]])</f>
        <v>0</v>
      </c>
      <c r="I175" s="90"/>
      <c r="J175" s="142" t="str">
        <f t="shared" si="2"/>
        <v>27.5.2026</v>
      </c>
      <c r="L175" s="153">
        <v>164</v>
      </c>
      <c r="M175" s="92"/>
    </row>
    <row r="176" spans="1:13" ht="21.6" x14ac:dyDescent="0.65">
      <c r="A176" s="195"/>
      <c r="B176" s="140">
        <v>173</v>
      </c>
      <c r="C176" s="2"/>
      <c r="D176" s="1"/>
      <c r="E176" s="3"/>
      <c r="F176" s="1"/>
      <c r="G176" s="141">
        <f>IF(Basic3456[[#This Row],[نوع الخدمة]]="مخالفات", 50,
IF(Basic3456[[#This Row],[نوع الخدمة]]="كاش ان",
    IF(F176&lt;=100, 18, IF(F176&lt;=250, 23, IF(F176&lt;=500, 35, IF(F176&lt;=1000, 40, F176*0.04)))),
IF(Basic3456[[#This Row],[نوع الخدمة]]="كاش اوت",
    IF(F176&lt;=100, 15, IF(F176&lt;=250, 20, IF(F176&lt;=500, 30, IF(F176&lt;=1000, 35, F176*0.035)))),
0)))</f>
        <v>0</v>
      </c>
      <c r="H176" s="159">
        <f>IF(I176="مخالفات",50,Basic3456[[#This Row],[قيمة الرسوم / العموله]]+Basic3456[[#This Row],[قيمة الشحنه]])</f>
        <v>0</v>
      </c>
      <c r="I176" s="90"/>
      <c r="J176" s="142" t="str">
        <f t="shared" si="2"/>
        <v>27.5.2026</v>
      </c>
      <c r="L176" s="153">
        <v>165</v>
      </c>
      <c r="M176" s="92"/>
    </row>
    <row r="177" spans="1:13" ht="21.6" x14ac:dyDescent="0.65">
      <c r="A177" s="195"/>
      <c r="B177" s="144">
        <v>174</v>
      </c>
      <c r="C177" s="2"/>
      <c r="D177" s="1"/>
      <c r="E177" s="3"/>
      <c r="F177" s="1"/>
      <c r="G177" s="141">
        <f>IF(Basic3456[[#This Row],[نوع الخدمة]]="مخالفات", 50,
IF(Basic3456[[#This Row],[نوع الخدمة]]="كاش ان",
    IF(F177&lt;=100, 18, IF(F177&lt;=250, 23, IF(F177&lt;=500, 35, IF(F177&lt;=1000, 40, F177*0.04)))),
IF(Basic3456[[#This Row],[نوع الخدمة]]="كاش اوت",
    IF(F177&lt;=100, 15, IF(F177&lt;=250, 20, IF(F177&lt;=500, 30, IF(F177&lt;=1000, 35, F177*0.035)))),
0)))</f>
        <v>0</v>
      </c>
      <c r="H177" s="159">
        <f>IF(I177="مخالفات",50,Basic3456[[#This Row],[قيمة الرسوم / العموله]]+Basic3456[[#This Row],[قيمة الشحنه]])</f>
        <v>0</v>
      </c>
      <c r="I177" s="90"/>
      <c r="J177" s="142" t="str">
        <f t="shared" si="2"/>
        <v>27.5.2026</v>
      </c>
      <c r="L177" s="153">
        <v>166</v>
      </c>
      <c r="M177" s="92"/>
    </row>
    <row r="178" spans="1:13" ht="21.6" x14ac:dyDescent="0.65">
      <c r="A178" s="195"/>
      <c r="B178" s="140">
        <v>175</v>
      </c>
      <c r="C178" s="2"/>
      <c r="D178" s="1"/>
      <c r="E178" s="3"/>
      <c r="F178" s="1"/>
      <c r="G178" s="141">
        <f>IF(Basic3456[[#This Row],[نوع الخدمة]]="مخالفات", 50,
IF(Basic3456[[#This Row],[نوع الخدمة]]="كاش ان",
    IF(F178&lt;=100, 18, IF(F178&lt;=250, 23, IF(F178&lt;=500, 35, IF(F178&lt;=1000, 40, F178*0.04)))),
IF(Basic3456[[#This Row],[نوع الخدمة]]="كاش اوت",
    IF(F178&lt;=100, 15, IF(F178&lt;=250, 20, IF(F178&lt;=500, 30, IF(F178&lt;=1000, 35, F178*0.035)))),
0)))</f>
        <v>0</v>
      </c>
      <c r="H178" s="159">
        <f>IF(I178="مخالفات",50,Basic3456[[#This Row],[قيمة الرسوم / العموله]]+Basic3456[[#This Row],[قيمة الشحنه]])</f>
        <v>0</v>
      </c>
      <c r="I178" s="90"/>
      <c r="J178" s="142" t="str">
        <f t="shared" si="2"/>
        <v>27.5.2026</v>
      </c>
      <c r="L178" s="153">
        <v>167</v>
      </c>
      <c r="M178" s="92"/>
    </row>
    <row r="179" spans="1:13" ht="21.6" x14ac:dyDescent="0.65">
      <c r="A179" s="195"/>
      <c r="B179" s="140">
        <v>176</v>
      </c>
      <c r="C179" s="2"/>
      <c r="D179" s="1"/>
      <c r="E179" s="3"/>
      <c r="F179" s="1"/>
      <c r="G179" s="141">
        <f>IF(Basic3456[[#This Row],[نوع الخدمة]]="مخالفات", 50,
IF(Basic3456[[#This Row],[نوع الخدمة]]="كاش ان",
    IF(F179&lt;=100, 18, IF(F179&lt;=250, 23, IF(F179&lt;=500, 35, IF(F179&lt;=1000, 40, F179*0.04)))),
IF(Basic3456[[#This Row],[نوع الخدمة]]="كاش اوت",
    IF(F179&lt;=100, 15, IF(F179&lt;=250, 20, IF(F179&lt;=500, 30, IF(F179&lt;=1000, 35, F179*0.035)))),
0)))</f>
        <v>0</v>
      </c>
      <c r="H179" s="159">
        <f>IF(I179="مخالفات",50,Basic3456[[#This Row],[قيمة الرسوم / العموله]]+Basic3456[[#This Row],[قيمة الشحنه]])</f>
        <v>0</v>
      </c>
      <c r="I179" s="90"/>
      <c r="J179" s="142" t="str">
        <f t="shared" si="2"/>
        <v>27.5.2026</v>
      </c>
      <c r="L179" s="153">
        <v>168</v>
      </c>
      <c r="M179" s="92"/>
    </row>
    <row r="180" spans="1:13" ht="21.6" x14ac:dyDescent="0.65">
      <c r="A180" s="195"/>
      <c r="B180" s="140">
        <v>177</v>
      </c>
      <c r="C180" s="2"/>
      <c r="D180" s="1"/>
      <c r="E180" s="3"/>
      <c r="F180" s="1"/>
      <c r="G180" s="141">
        <f>IF(Basic3456[[#This Row],[نوع الخدمة]]="مخالفات", 50,
IF(Basic3456[[#This Row],[نوع الخدمة]]="كاش ان",
    IF(F180&lt;=100, 18, IF(F180&lt;=250, 23, IF(F180&lt;=500, 35, IF(F180&lt;=1000, 40, F180*0.04)))),
IF(Basic3456[[#This Row],[نوع الخدمة]]="كاش اوت",
    IF(F180&lt;=100, 15, IF(F180&lt;=250, 20, IF(F180&lt;=500, 30, IF(F180&lt;=1000, 35, F180*0.035)))),
0)))</f>
        <v>0</v>
      </c>
      <c r="H180" s="159">
        <f>IF(I180="مخالفات",50,Basic3456[[#This Row],[قيمة الرسوم / العموله]]+Basic3456[[#This Row],[قيمة الشحنه]])</f>
        <v>0</v>
      </c>
      <c r="I180" s="90"/>
      <c r="J180" s="142" t="str">
        <f t="shared" si="2"/>
        <v>27.5.2026</v>
      </c>
      <c r="L180" s="153">
        <v>169</v>
      </c>
      <c r="M180" s="92"/>
    </row>
    <row r="181" spans="1:13" ht="21.6" x14ac:dyDescent="0.65">
      <c r="A181" s="195"/>
      <c r="B181" s="144">
        <v>178</v>
      </c>
      <c r="C181" s="2"/>
      <c r="D181" s="1"/>
      <c r="E181" s="3"/>
      <c r="F181" s="1"/>
      <c r="G181" s="141">
        <f>IF(Basic3456[[#This Row],[نوع الخدمة]]="مخالفات", 50,
IF(Basic3456[[#This Row],[نوع الخدمة]]="كاش ان",
    IF(F181&lt;=100, 18, IF(F181&lt;=250, 23, IF(F181&lt;=500, 35, IF(F181&lt;=1000, 40, F181*0.04)))),
IF(Basic3456[[#This Row],[نوع الخدمة]]="كاش اوت",
    IF(F181&lt;=100, 15, IF(F181&lt;=250, 20, IF(F181&lt;=500, 30, IF(F181&lt;=1000, 35, F181*0.035)))),
0)))</f>
        <v>0</v>
      </c>
      <c r="H181" s="159">
        <f>IF(I181="مخالفات",50,Basic3456[[#This Row],[قيمة الرسوم / العموله]]+Basic3456[[#This Row],[قيمة الشحنه]])</f>
        <v>0</v>
      </c>
      <c r="I181" s="90"/>
      <c r="J181" s="142" t="str">
        <f t="shared" si="2"/>
        <v>27.5.2026</v>
      </c>
      <c r="L181" s="153">
        <v>170</v>
      </c>
      <c r="M181" s="92"/>
    </row>
    <row r="182" spans="1:13" ht="21.6" x14ac:dyDescent="0.65">
      <c r="A182" s="195"/>
      <c r="B182" s="140">
        <v>179</v>
      </c>
      <c r="C182" s="2"/>
      <c r="D182" s="1"/>
      <c r="E182" s="3"/>
      <c r="F182" s="1"/>
      <c r="G182" s="141">
        <f>IF(Basic3456[[#This Row],[نوع الخدمة]]="مخالفات", 50,
IF(Basic3456[[#This Row],[نوع الخدمة]]="كاش ان",
    IF(F182&lt;=100, 18, IF(F182&lt;=250, 23, IF(F182&lt;=500, 35, IF(F182&lt;=1000, 40, F182*0.04)))),
IF(Basic3456[[#This Row],[نوع الخدمة]]="كاش اوت",
    IF(F182&lt;=100, 15, IF(F182&lt;=250, 20, IF(F182&lt;=500, 30, IF(F182&lt;=1000, 35, F182*0.035)))),
0)))</f>
        <v>0</v>
      </c>
      <c r="H182" s="159">
        <f>IF(I182="مخالفات",50,Basic3456[[#This Row],[قيمة الرسوم / العموله]]+Basic3456[[#This Row],[قيمة الشحنه]])</f>
        <v>0</v>
      </c>
      <c r="I182" s="90"/>
      <c r="J182" s="142" t="str">
        <f t="shared" si="2"/>
        <v>27.5.2026</v>
      </c>
      <c r="L182" s="153">
        <v>171</v>
      </c>
      <c r="M182" s="92"/>
    </row>
    <row r="183" spans="1:13" ht="21.6" x14ac:dyDescent="0.65">
      <c r="A183" s="195"/>
      <c r="B183" s="140">
        <v>180</v>
      </c>
      <c r="C183" s="2"/>
      <c r="D183" s="1"/>
      <c r="E183" s="3"/>
      <c r="F183" s="1"/>
      <c r="G183" s="141">
        <f>IF(Basic3456[[#This Row],[نوع الخدمة]]="مخالفات", 50,
IF(Basic3456[[#This Row],[نوع الخدمة]]="كاش ان",
    IF(F183&lt;=100, 18, IF(F183&lt;=250, 23, IF(F183&lt;=500, 35, IF(F183&lt;=1000, 40, F183*0.04)))),
IF(Basic3456[[#This Row],[نوع الخدمة]]="كاش اوت",
    IF(F183&lt;=100, 15, IF(F183&lt;=250, 20, IF(F183&lt;=500, 30, IF(F183&lt;=1000, 35, F183*0.035)))),
0)))</f>
        <v>0</v>
      </c>
      <c r="H183" s="159">
        <f>IF(I183="مخالفات",50,Basic3456[[#This Row],[قيمة الرسوم / العموله]]+Basic3456[[#This Row],[قيمة الشحنه]])</f>
        <v>0</v>
      </c>
      <c r="I183" s="90"/>
      <c r="J183" s="142" t="str">
        <f t="shared" si="2"/>
        <v>27.5.2026</v>
      </c>
      <c r="L183" s="153">
        <v>172</v>
      </c>
      <c r="M183" s="92"/>
    </row>
    <row r="184" spans="1:13" ht="21.6" x14ac:dyDescent="0.65">
      <c r="A184" s="195"/>
      <c r="B184" s="140">
        <v>181</v>
      </c>
      <c r="C184" s="2"/>
      <c r="D184" s="1"/>
      <c r="E184" s="3"/>
      <c r="F184" s="1"/>
      <c r="G184" s="141">
        <f>IF(Basic3456[[#This Row],[نوع الخدمة]]="مخالفات", 50,
IF(Basic3456[[#This Row],[نوع الخدمة]]="كاش ان",
    IF(F184&lt;=100, 18, IF(F184&lt;=250, 23, IF(F184&lt;=500, 35, IF(F184&lt;=1000, 40, F184*0.04)))),
IF(Basic3456[[#This Row],[نوع الخدمة]]="كاش اوت",
    IF(F184&lt;=100, 15, IF(F184&lt;=250, 20, IF(F184&lt;=500, 30, IF(F184&lt;=1000, 35, F184*0.035)))),
0)))</f>
        <v>0</v>
      </c>
      <c r="H184" s="159">
        <f>IF(I184="مخالفات",50,Basic3456[[#This Row],[قيمة الرسوم / العموله]]+Basic3456[[#This Row],[قيمة الشحنه]])</f>
        <v>0</v>
      </c>
      <c r="I184" s="90"/>
      <c r="J184" s="142" t="str">
        <f t="shared" si="2"/>
        <v>27.5.2026</v>
      </c>
      <c r="L184" s="153">
        <v>173</v>
      </c>
      <c r="M184" s="92"/>
    </row>
    <row r="185" spans="1:13" ht="21.6" x14ac:dyDescent="0.65">
      <c r="A185" s="195"/>
      <c r="B185" s="144">
        <v>182</v>
      </c>
      <c r="C185" s="2"/>
      <c r="D185" s="1"/>
      <c r="E185" s="3"/>
      <c r="F185" s="1"/>
      <c r="G185" s="141">
        <f>IF(Basic3456[[#This Row],[نوع الخدمة]]="مخالفات", 50,
IF(Basic3456[[#This Row],[نوع الخدمة]]="كاش ان",
    IF(F185&lt;=100, 18, IF(F185&lt;=250, 23, IF(F185&lt;=500, 35, IF(F185&lt;=1000, 40, F185*0.04)))),
IF(Basic3456[[#This Row],[نوع الخدمة]]="كاش اوت",
    IF(F185&lt;=100, 15, IF(F185&lt;=250, 20, IF(F185&lt;=500, 30, IF(F185&lt;=1000, 35, F185*0.035)))),
0)))</f>
        <v>0</v>
      </c>
      <c r="H185" s="159">
        <f>IF(I185="مخالفات",50,Basic3456[[#This Row],[قيمة الرسوم / العموله]]+Basic3456[[#This Row],[قيمة الشحنه]])</f>
        <v>0</v>
      </c>
      <c r="I185" s="90"/>
      <c r="J185" s="142" t="str">
        <f t="shared" si="2"/>
        <v>27.5.2026</v>
      </c>
      <c r="L185" s="153">
        <v>174</v>
      </c>
      <c r="M185" s="92"/>
    </row>
    <row r="186" spans="1:13" ht="21.6" x14ac:dyDescent="0.65">
      <c r="A186" s="195"/>
      <c r="B186" s="140">
        <v>183</v>
      </c>
      <c r="C186" s="2"/>
      <c r="D186" s="1"/>
      <c r="E186" s="3"/>
      <c r="F186" s="1"/>
      <c r="G186" s="141">
        <f>IF(Basic3456[[#This Row],[نوع الخدمة]]="مخالفات", 50,
IF(Basic3456[[#This Row],[نوع الخدمة]]="كاش ان",
    IF(F186&lt;=100, 18, IF(F186&lt;=250, 23, IF(F186&lt;=500, 35, IF(F186&lt;=1000, 40, F186*0.04)))),
IF(Basic3456[[#This Row],[نوع الخدمة]]="كاش اوت",
    IF(F186&lt;=100, 15, IF(F186&lt;=250, 20, IF(F186&lt;=500, 30, IF(F186&lt;=1000, 35, F186*0.035)))),
0)))</f>
        <v>0</v>
      </c>
      <c r="H186" s="159">
        <f>IF(I186="مخالفات",50,Basic3456[[#This Row],[قيمة الرسوم / العموله]]+Basic3456[[#This Row],[قيمة الشحنه]])</f>
        <v>0</v>
      </c>
      <c r="I186" s="90"/>
      <c r="J186" s="142" t="str">
        <f t="shared" si="2"/>
        <v>27.5.2026</v>
      </c>
      <c r="L186" s="153">
        <v>175</v>
      </c>
      <c r="M186" s="92"/>
    </row>
    <row r="187" spans="1:13" ht="21.6" x14ac:dyDescent="0.65">
      <c r="A187" s="195"/>
      <c r="B187" s="140">
        <v>184</v>
      </c>
      <c r="C187" s="2"/>
      <c r="D187" s="1"/>
      <c r="E187" s="3"/>
      <c r="F187" s="1"/>
      <c r="G187" s="141">
        <f>IF(Basic3456[[#This Row],[نوع الخدمة]]="مخالفات", 50,
IF(Basic3456[[#This Row],[نوع الخدمة]]="كاش ان",
    IF(F187&lt;=100, 18, IF(F187&lt;=250, 23, IF(F187&lt;=500, 35, IF(F187&lt;=1000, 40, F187*0.04)))),
IF(Basic3456[[#This Row],[نوع الخدمة]]="كاش اوت",
    IF(F187&lt;=100, 15, IF(F187&lt;=250, 20, IF(F187&lt;=500, 30, IF(F187&lt;=1000, 35, F187*0.035)))),
0)))</f>
        <v>0</v>
      </c>
      <c r="H187" s="159">
        <f>IF(I187="مخالفات",50,Basic3456[[#This Row],[قيمة الرسوم / العموله]]+Basic3456[[#This Row],[قيمة الشحنه]])</f>
        <v>0</v>
      </c>
      <c r="I187" s="90"/>
      <c r="J187" s="142" t="str">
        <f t="shared" si="2"/>
        <v>27.5.2026</v>
      </c>
      <c r="L187" s="153">
        <v>176</v>
      </c>
      <c r="M187" s="92"/>
    </row>
    <row r="188" spans="1:13" ht="21.6" x14ac:dyDescent="0.65">
      <c r="A188" s="195"/>
      <c r="B188" s="140">
        <v>185</v>
      </c>
      <c r="C188" s="2"/>
      <c r="D188" s="1"/>
      <c r="E188" s="3"/>
      <c r="F188" s="1"/>
      <c r="G188" s="141">
        <f>IF(Basic3456[[#This Row],[نوع الخدمة]]="مخالفات", 50,
IF(Basic3456[[#This Row],[نوع الخدمة]]="كاش ان",
    IF(F188&lt;=100, 18, IF(F188&lt;=250, 23, IF(F188&lt;=500, 35, IF(F188&lt;=1000, 40, F188*0.04)))),
IF(Basic3456[[#This Row],[نوع الخدمة]]="كاش اوت",
    IF(F188&lt;=100, 15, IF(F188&lt;=250, 20, IF(F188&lt;=500, 30, IF(F188&lt;=1000, 35, F188*0.035)))),
0)))</f>
        <v>0</v>
      </c>
      <c r="H188" s="159">
        <f>IF(I188="مخالفات",50,Basic3456[[#This Row],[قيمة الرسوم / العموله]]+Basic3456[[#This Row],[قيمة الشحنه]])</f>
        <v>0</v>
      </c>
      <c r="I188" s="90"/>
      <c r="J188" s="142" t="str">
        <f t="shared" si="2"/>
        <v>27.5.2026</v>
      </c>
      <c r="L188" s="153">
        <v>177</v>
      </c>
      <c r="M188" s="92"/>
    </row>
    <row r="189" spans="1:13" ht="21.6" x14ac:dyDescent="0.65">
      <c r="A189" s="195"/>
      <c r="B189" s="144">
        <v>186</v>
      </c>
      <c r="C189" s="2"/>
      <c r="D189" s="1"/>
      <c r="E189" s="3"/>
      <c r="F189" s="1"/>
      <c r="G189" s="141">
        <f>IF(Basic3456[[#This Row],[نوع الخدمة]]="مخالفات", 50,
IF(Basic3456[[#This Row],[نوع الخدمة]]="كاش ان",
    IF(F189&lt;=100, 18, IF(F189&lt;=250, 23, IF(F189&lt;=500, 35, IF(F189&lt;=1000, 40, F189*0.04)))),
IF(Basic3456[[#This Row],[نوع الخدمة]]="كاش اوت",
    IF(F189&lt;=100, 15, IF(F189&lt;=250, 20, IF(F189&lt;=500, 30, IF(F189&lt;=1000, 35, F189*0.035)))),
0)))</f>
        <v>0</v>
      </c>
      <c r="H189" s="159">
        <f>IF(I189="مخالفات",50,Basic3456[[#This Row],[قيمة الرسوم / العموله]]+Basic3456[[#This Row],[قيمة الشحنه]])</f>
        <v>0</v>
      </c>
      <c r="I189" s="90"/>
      <c r="J189" s="142" t="str">
        <f t="shared" si="2"/>
        <v>27.5.2026</v>
      </c>
      <c r="L189" s="153">
        <v>178</v>
      </c>
      <c r="M189" s="92"/>
    </row>
    <row r="190" spans="1:13" ht="21.6" x14ac:dyDescent="0.65">
      <c r="A190" s="195"/>
      <c r="B190" s="140">
        <v>187</v>
      </c>
      <c r="C190" s="2"/>
      <c r="D190" s="1"/>
      <c r="E190" s="3"/>
      <c r="F190" s="1"/>
      <c r="G190" s="141">
        <f>IF(Basic3456[[#This Row],[نوع الخدمة]]="مخالفات", 50,
IF(Basic3456[[#This Row],[نوع الخدمة]]="كاش ان",
    IF(F190&lt;=100, 18, IF(F190&lt;=250, 23, IF(F190&lt;=500, 35, IF(F190&lt;=1000, 40, F190*0.04)))),
IF(Basic3456[[#This Row],[نوع الخدمة]]="كاش اوت",
    IF(F190&lt;=100, 15, IF(F190&lt;=250, 20, IF(F190&lt;=500, 30, IF(F190&lt;=1000, 35, F190*0.035)))),
0)))</f>
        <v>0</v>
      </c>
      <c r="H190" s="159">
        <f>IF(I190="مخالفات",50,Basic3456[[#This Row],[قيمة الرسوم / العموله]]+Basic3456[[#This Row],[قيمة الشحنه]])</f>
        <v>0</v>
      </c>
      <c r="I190" s="90"/>
      <c r="J190" s="142" t="str">
        <f t="shared" si="2"/>
        <v>27.5.2026</v>
      </c>
      <c r="L190" s="153">
        <v>179</v>
      </c>
      <c r="M190" s="92"/>
    </row>
    <row r="191" spans="1:13" ht="21.6" x14ac:dyDescent="0.65">
      <c r="A191" s="195"/>
      <c r="B191" s="140">
        <v>188</v>
      </c>
      <c r="C191" s="2"/>
      <c r="D191" s="1"/>
      <c r="E191" s="3"/>
      <c r="F191" s="1"/>
      <c r="G191" s="141">
        <f>IF(Basic3456[[#This Row],[نوع الخدمة]]="مخالفات", 50,
IF(Basic3456[[#This Row],[نوع الخدمة]]="كاش ان",
    IF(F191&lt;=100, 18, IF(F191&lt;=250, 23, IF(F191&lt;=500, 35, IF(F191&lt;=1000, 40, F191*0.04)))),
IF(Basic3456[[#This Row],[نوع الخدمة]]="كاش اوت",
    IF(F191&lt;=100, 15, IF(F191&lt;=250, 20, IF(F191&lt;=500, 30, IF(F191&lt;=1000, 35, F191*0.035)))),
0)))</f>
        <v>0</v>
      </c>
      <c r="H191" s="159">
        <f>IF(I191="مخالفات",50,Basic3456[[#This Row],[قيمة الرسوم / العموله]]+Basic3456[[#This Row],[قيمة الشحنه]])</f>
        <v>0</v>
      </c>
      <c r="I191" s="90"/>
      <c r="J191" s="142" t="str">
        <f t="shared" si="2"/>
        <v>27.5.2026</v>
      </c>
      <c r="L191" s="153">
        <v>180</v>
      </c>
      <c r="M191" s="92"/>
    </row>
    <row r="192" spans="1:13" ht="21.6" x14ac:dyDescent="0.65">
      <c r="A192" s="195"/>
      <c r="B192" s="140">
        <v>189</v>
      </c>
      <c r="C192" s="2"/>
      <c r="D192" s="1"/>
      <c r="E192" s="3"/>
      <c r="F192" s="1"/>
      <c r="G192" s="141">
        <f>IF(Basic3456[[#This Row],[نوع الخدمة]]="مخالفات", 50,
IF(Basic3456[[#This Row],[نوع الخدمة]]="كاش ان",
    IF(F192&lt;=100, 18, IF(F192&lt;=250, 23, IF(F192&lt;=500, 35, IF(F192&lt;=1000, 40, F192*0.04)))),
IF(Basic3456[[#This Row],[نوع الخدمة]]="كاش اوت",
    IF(F192&lt;=100, 15, IF(F192&lt;=250, 20, IF(F192&lt;=500, 30, IF(F192&lt;=1000, 35, F192*0.035)))),
0)))</f>
        <v>0</v>
      </c>
      <c r="H192" s="159">
        <f>IF(I192="مخالفات",50,Basic3456[[#This Row],[قيمة الرسوم / العموله]]+Basic3456[[#This Row],[قيمة الشحنه]])</f>
        <v>0</v>
      </c>
      <c r="I192" s="90"/>
      <c r="J192" s="142" t="str">
        <f t="shared" si="2"/>
        <v>27.5.2026</v>
      </c>
      <c r="L192" s="153">
        <v>181</v>
      </c>
      <c r="M192" s="92"/>
    </row>
    <row r="193" spans="1:13" ht="21.6" x14ac:dyDescent="0.65">
      <c r="A193" s="195"/>
      <c r="B193" s="144">
        <v>190</v>
      </c>
      <c r="C193" s="2"/>
      <c r="D193" s="1"/>
      <c r="E193" s="3"/>
      <c r="F193" s="1"/>
      <c r="G193" s="141">
        <f>IF(Basic3456[[#This Row],[نوع الخدمة]]="مخالفات", 50,
IF(Basic3456[[#This Row],[نوع الخدمة]]="كاش ان",
    IF(F193&lt;=100, 18, IF(F193&lt;=250, 23, IF(F193&lt;=500, 35, IF(F193&lt;=1000, 40, F193*0.04)))),
IF(Basic3456[[#This Row],[نوع الخدمة]]="كاش اوت",
    IF(F193&lt;=100, 15, IF(F193&lt;=250, 20, IF(F193&lt;=500, 30, IF(F193&lt;=1000, 35, F193*0.035)))),
0)))</f>
        <v>0</v>
      </c>
      <c r="H193" s="159">
        <f>IF(I193="مخالفات",50,Basic3456[[#This Row],[قيمة الرسوم / العموله]]+Basic3456[[#This Row],[قيمة الشحنه]])</f>
        <v>0</v>
      </c>
      <c r="I193" s="90"/>
      <c r="J193" s="142" t="str">
        <f t="shared" si="2"/>
        <v>27.5.2026</v>
      </c>
      <c r="L193" s="153">
        <v>182</v>
      </c>
      <c r="M193" s="92"/>
    </row>
    <row r="194" spans="1:13" ht="21.6" x14ac:dyDescent="0.65">
      <c r="A194" s="195"/>
      <c r="B194" s="140">
        <v>191</v>
      </c>
      <c r="C194" s="2"/>
      <c r="D194" s="1"/>
      <c r="E194" s="3"/>
      <c r="F194" s="1"/>
      <c r="G194" s="141">
        <f>IF(Basic3456[[#This Row],[نوع الخدمة]]="مخالفات", 50,
IF(Basic3456[[#This Row],[نوع الخدمة]]="كاش ان",
    IF(F194&lt;=100, 18, IF(F194&lt;=250, 23, IF(F194&lt;=500, 35, IF(F194&lt;=1000, 40, F194*0.04)))),
IF(Basic3456[[#This Row],[نوع الخدمة]]="كاش اوت",
    IF(F194&lt;=100, 15, IF(F194&lt;=250, 20, IF(F194&lt;=500, 30, IF(F194&lt;=1000, 35, F194*0.035)))),
0)))</f>
        <v>0</v>
      </c>
      <c r="H194" s="159">
        <f>IF(I194="مخالفات",50,Basic3456[[#This Row],[قيمة الرسوم / العموله]]+Basic3456[[#This Row],[قيمة الشحنه]])</f>
        <v>0</v>
      </c>
      <c r="I194" s="90"/>
      <c r="J194" s="142" t="str">
        <f t="shared" si="2"/>
        <v>27.5.2026</v>
      </c>
      <c r="L194" s="153">
        <v>183</v>
      </c>
      <c r="M194" s="92"/>
    </row>
    <row r="195" spans="1:13" ht="21.6" x14ac:dyDescent="0.65">
      <c r="A195" s="195"/>
      <c r="B195" s="140">
        <v>192</v>
      </c>
      <c r="C195" s="2"/>
      <c r="D195" s="1"/>
      <c r="E195" s="3"/>
      <c r="F195" s="1"/>
      <c r="G195" s="141">
        <f>IF(Basic3456[[#This Row],[نوع الخدمة]]="مخالفات", 50,
IF(Basic3456[[#This Row],[نوع الخدمة]]="كاش ان",
    IF(F195&lt;=100, 18, IF(F195&lt;=250, 23, IF(F195&lt;=500, 35, IF(F195&lt;=1000, 40, F195*0.04)))),
IF(Basic3456[[#This Row],[نوع الخدمة]]="كاش اوت",
    IF(F195&lt;=100, 15, IF(F195&lt;=250, 20, IF(F195&lt;=500, 30, IF(F195&lt;=1000, 35, F195*0.035)))),
0)))</f>
        <v>0</v>
      </c>
      <c r="H195" s="159">
        <f>IF(I195="مخالفات",50,Basic3456[[#This Row],[قيمة الرسوم / العموله]]+Basic3456[[#This Row],[قيمة الشحنه]])</f>
        <v>0</v>
      </c>
      <c r="I195" s="90"/>
      <c r="J195" s="142" t="str">
        <f t="shared" si="2"/>
        <v>27.5.2026</v>
      </c>
      <c r="L195" s="153">
        <v>184</v>
      </c>
      <c r="M195" s="92"/>
    </row>
    <row r="196" spans="1:13" ht="21.6" x14ac:dyDescent="0.65">
      <c r="A196" s="195"/>
      <c r="B196" s="140">
        <v>193</v>
      </c>
      <c r="C196" s="2"/>
      <c r="D196" s="1"/>
      <c r="E196" s="3"/>
      <c r="F196" s="1"/>
      <c r="G196" s="141">
        <f>IF(Basic3456[[#This Row],[نوع الخدمة]]="مخالفات", 50,
IF(Basic3456[[#This Row],[نوع الخدمة]]="كاش ان",
    IF(F196&lt;=100, 18, IF(F196&lt;=250, 23, IF(F196&lt;=500, 35, IF(F196&lt;=1000, 40, F196*0.04)))),
IF(Basic3456[[#This Row],[نوع الخدمة]]="كاش اوت",
    IF(F196&lt;=100, 15, IF(F196&lt;=250, 20, IF(F196&lt;=500, 30, IF(F196&lt;=1000, 35, F196*0.035)))),
0)))</f>
        <v>0</v>
      </c>
      <c r="H196" s="159">
        <f>IF(I196="مخالفات",50,Basic3456[[#This Row],[قيمة الرسوم / العموله]]+Basic3456[[#This Row],[قيمة الشحنه]])</f>
        <v>0</v>
      </c>
      <c r="I196" s="90"/>
      <c r="J196" s="142" t="str">
        <f t="shared" ref="J196:J226" si="3">M$3</f>
        <v>27.5.2026</v>
      </c>
      <c r="L196" s="153">
        <v>185</v>
      </c>
      <c r="M196" s="92"/>
    </row>
    <row r="197" spans="1:13" ht="21.6" x14ac:dyDescent="0.65">
      <c r="A197" s="195"/>
      <c r="B197" s="144">
        <v>194</v>
      </c>
      <c r="C197" s="2"/>
      <c r="D197" s="1"/>
      <c r="E197" s="3"/>
      <c r="F197" s="1"/>
      <c r="G197" s="141">
        <f>IF(Basic3456[[#This Row],[نوع الخدمة]]="مخالفات", 50,
IF(Basic3456[[#This Row],[نوع الخدمة]]="كاش ان",
    IF(F197&lt;=100, 18, IF(F197&lt;=250, 23, IF(F197&lt;=500, 35, IF(F197&lt;=1000, 40, F197*0.04)))),
IF(Basic3456[[#This Row],[نوع الخدمة]]="كاش اوت",
    IF(F197&lt;=100, 15, IF(F197&lt;=250, 20, IF(F197&lt;=500, 30, IF(F197&lt;=1000, 35, F197*0.035)))),
0)))</f>
        <v>0</v>
      </c>
      <c r="H197" s="159">
        <f>IF(I197="مخالفات",50,Basic3456[[#This Row],[قيمة الرسوم / العموله]]+Basic3456[[#This Row],[قيمة الشحنه]])</f>
        <v>0</v>
      </c>
      <c r="I197" s="90"/>
      <c r="J197" s="142" t="str">
        <f t="shared" si="3"/>
        <v>27.5.2026</v>
      </c>
      <c r="L197" s="153">
        <v>186</v>
      </c>
      <c r="M197" s="92"/>
    </row>
    <row r="198" spans="1:13" ht="21.6" x14ac:dyDescent="0.65">
      <c r="A198" s="195"/>
      <c r="B198" s="140">
        <v>195</v>
      </c>
      <c r="C198" s="2"/>
      <c r="D198" s="1"/>
      <c r="E198" s="3"/>
      <c r="F198" s="1"/>
      <c r="G198" s="141">
        <f>IF(Basic3456[[#This Row],[نوع الخدمة]]="مخالفات", 50,
IF(Basic3456[[#This Row],[نوع الخدمة]]="كاش ان",
    IF(F198&lt;=100, 18, IF(F198&lt;=250, 23, IF(F198&lt;=500, 35, IF(F198&lt;=1000, 40, F198*0.04)))),
IF(Basic3456[[#This Row],[نوع الخدمة]]="كاش اوت",
    IF(F198&lt;=100, 15, IF(F198&lt;=250, 20, IF(F198&lt;=500, 30, IF(F198&lt;=1000, 35, F198*0.035)))),
0)))</f>
        <v>0</v>
      </c>
      <c r="H198" s="159">
        <f>IF(I198="مخالفات",50,Basic3456[[#This Row],[قيمة الرسوم / العموله]]+Basic3456[[#This Row],[قيمة الشحنه]])</f>
        <v>0</v>
      </c>
      <c r="I198" s="90"/>
      <c r="J198" s="142" t="str">
        <f t="shared" si="3"/>
        <v>27.5.2026</v>
      </c>
      <c r="L198" s="153">
        <v>187</v>
      </c>
      <c r="M198" s="92"/>
    </row>
    <row r="199" spans="1:13" ht="21.6" x14ac:dyDescent="0.65">
      <c r="A199" s="195"/>
      <c r="B199" s="140">
        <v>196</v>
      </c>
      <c r="C199" s="2"/>
      <c r="D199" s="1"/>
      <c r="E199" s="3"/>
      <c r="F199" s="1"/>
      <c r="G199" s="141">
        <f>IF(Basic3456[[#This Row],[نوع الخدمة]]="مخالفات", 50,
IF(Basic3456[[#This Row],[نوع الخدمة]]="كاش ان",
    IF(F199&lt;=100, 18, IF(F199&lt;=250, 23, IF(F199&lt;=500, 35, IF(F199&lt;=1000, 40, F199*0.04)))),
IF(Basic3456[[#This Row],[نوع الخدمة]]="كاش اوت",
    IF(F199&lt;=100, 15, IF(F199&lt;=250, 20, IF(F199&lt;=500, 30, IF(F199&lt;=1000, 35, F199*0.035)))),
0)))</f>
        <v>0</v>
      </c>
      <c r="H199" s="159">
        <f>IF(I199="مخالفات",50,Basic3456[[#This Row],[قيمة الرسوم / العموله]]+Basic3456[[#This Row],[قيمة الشحنه]])</f>
        <v>0</v>
      </c>
      <c r="I199" s="90"/>
      <c r="J199" s="142" t="str">
        <f t="shared" si="3"/>
        <v>27.5.2026</v>
      </c>
      <c r="L199" s="153">
        <v>188</v>
      </c>
      <c r="M199" s="92"/>
    </row>
    <row r="200" spans="1:13" ht="21.6" x14ac:dyDescent="0.65">
      <c r="A200" s="195"/>
      <c r="B200" s="140">
        <v>197</v>
      </c>
      <c r="C200" s="2"/>
      <c r="D200" s="1"/>
      <c r="E200" s="3"/>
      <c r="F200" s="1"/>
      <c r="G200" s="141">
        <f>IF(Basic3456[[#This Row],[نوع الخدمة]]="مخالفات", 50,
IF(Basic3456[[#This Row],[نوع الخدمة]]="كاش ان",
    IF(F200&lt;=100, 18, IF(F200&lt;=250, 23, IF(F200&lt;=500, 35, IF(F200&lt;=1000, 40, F200*0.04)))),
IF(Basic3456[[#This Row],[نوع الخدمة]]="كاش اوت",
    IF(F200&lt;=100, 15, IF(F200&lt;=250, 20, IF(F200&lt;=500, 30, IF(F200&lt;=1000, 35, F200*0.035)))),
0)))</f>
        <v>0</v>
      </c>
      <c r="H200" s="159">
        <f>IF(I200="مخالفات",50,Basic3456[[#This Row],[قيمة الرسوم / العموله]]+Basic3456[[#This Row],[قيمة الشحنه]])</f>
        <v>0</v>
      </c>
      <c r="I200" s="90"/>
      <c r="J200" s="142" t="str">
        <f t="shared" si="3"/>
        <v>27.5.2026</v>
      </c>
      <c r="L200" s="153">
        <v>189</v>
      </c>
      <c r="M200" s="92"/>
    </row>
    <row r="201" spans="1:13" ht="21.6" x14ac:dyDescent="0.65">
      <c r="A201" s="195"/>
      <c r="B201" s="144">
        <v>198</v>
      </c>
      <c r="C201" s="2"/>
      <c r="D201" s="1"/>
      <c r="E201" s="3"/>
      <c r="F201" s="1"/>
      <c r="G201" s="141">
        <f>IF(Basic3456[[#This Row],[نوع الخدمة]]="مخالفات", 50,
IF(Basic3456[[#This Row],[نوع الخدمة]]="كاش ان",
    IF(F201&lt;=100, 18, IF(F201&lt;=250, 23, IF(F201&lt;=500, 35, IF(F201&lt;=1000, 40, F201*0.04)))),
IF(Basic3456[[#This Row],[نوع الخدمة]]="كاش اوت",
    IF(F201&lt;=100, 15, IF(F201&lt;=250, 20, IF(F201&lt;=500, 30, IF(F201&lt;=1000, 35, F201*0.035)))),
0)))</f>
        <v>0</v>
      </c>
      <c r="H201" s="159">
        <f>IF(I201="مخالفات",50,Basic3456[[#This Row],[قيمة الرسوم / العموله]]+Basic3456[[#This Row],[قيمة الشحنه]])</f>
        <v>0</v>
      </c>
      <c r="I201" s="90"/>
      <c r="J201" s="142" t="str">
        <f t="shared" si="3"/>
        <v>27.5.2026</v>
      </c>
      <c r="L201" s="153">
        <v>190</v>
      </c>
      <c r="M201" s="92"/>
    </row>
    <row r="202" spans="1:13" ht="21.6" x14ac:dyDescent="0.65">
      <c r="A202" s="195"/>
      <c r="B202" s="140">
        <v>199</v>
      </c>
      <c r="C202" s="2"/>
      <c r="D202" s="1"/>
      <c r="E202" s="3"/>
      <c r="F202" s="1"/>
      <c r="G202" s="141">
        <f>IF(Basic3456[[#This Row],[نوع الخدمة]]="مخالفات", 50,
IF(Basic3456[[#This Row],[نوع الخدمة]]="كاش ان",
    IF(F202&lt;=100, 18, IF(F202&lt;=250, 23, IF(F202&lt;=500, 35, IF(F202&lt;=1000, 40, F202*0.04)))),
IF(Basic3456[[#This Row],[نوع الخدمة]]="كاش اوت",
    IF(F202&lt;=100, 15, IF(F202&lt;=250, 20, IF(F202&lt;=500, 30, IF(F202&lt;=1000, 35, F202*0.035)))),
0)))</f>
        <v>0</v>
      </c>
      <c r="H202" s="159">
        <f>IF(I202="مخالفات",50,Basic3456[[#This Row],[قيمة الرسوم / العموله]]+Basic3456[[#This Row],[قيمة الشحنه]])</f>
        <v>0</v>
      </c>
      <c r="I202" s="90"/>
      <c r="J202" s="142" t="str">
        <f t="shared" si="3"/>
        <v>27.5.2026</v>
      </c>
      <c r="L202" s="153">
        <v>191</v>
      </c>
      <c r="M202" s="92"/>
    </row>
    <row r="203" spans="1:13" ht="21.6" x14ac:dyDescent="0.65">
      <c r="A203" s="195"/>
      <c r="B203" s="140">
        <v>200</v>
      </c>
      <c r="C203" s="2"/>
      <c r="D203" s="1"/>
      <c r="E203" s="3"/>
      <c r="F203" s="1"/>
      <c r="G203" s="141">
        <f>IF(Basic3456[[#This Row],[نوع الخدمة]]="مخالفات", 50,
IF(Basic3456[[#This Row],[نوع الخدمة]]="كاش ان",
    IF(F203&lt;=100, 18, IF(F203&lt;=250, 23, IF(F203&lt;=500, 35, IF(F203&lt;=1000, 40, F203*0.04)))),
IF(Basic3456[[#This Row],[نوع الخدمة]]="كاش اوت",
    IF(F203&lt;=100, 15, IF(F203&lt;=250, 20, IF(F203&lt;=500, 30, IF(F203&lt;=1000, 35, F203*0.035)))),
0)))</f>
        <v>0</v>
      </c>
      <c r="H203" s="159">
        <f>IF(I203="مخالفات",50,Basic3456[[#This Row],[قيمة الرسوم / العموله]]+Basic3456[[#This Row],[قيمة الشحنه]])</f>
        <v>0</v>
      </c>
      <c r="I203" s="90"/>
      <c r="J203" s="142" t="str">
        <f t="shared" si="3"/>
        <v>27.5.2026</v>
      </c>
      <c r="L203" s="153">
        <v>192</v>
      </c>
      <c r="M203" s="92"/>
    </row>
    <row r="204" spans="1:13" ht="21.6" x14ac:dyDescent="0.65">
      <c r="A204" s="195"/>
      <c r="B204" s="140">
        <v>201</v>
      </c>
      <c r="C204" s="2"/>
      <c r="D204" s="1"/>
      <c r="E204" s="3"/>
      <c r="F204" s="1"/>
      <c r="G204" s="141">
        <f>IF(Basic3456[[#This Row],[نوع الخدمة]]="مخالفات", 50,
IF(Basic3456[[#This Row],[نوع الخدمة]]="كاش ان",
    IF(F204&lt;=100, 18, IF(F204&lt;=250, 23, IF(F204&lt;=500, 35, IF(F204&lt;=1000, 40, F204*0.04)))),
IF(Basic3456[[#This Row],[نوع الخدمة]]="كاش اوت",
    IF(F204&lt;=100, 15, IF(F204&lt;=250, 20, IF(F204&lt;=500, 30, IF(F204&lt;=1000, 35, F204*0.035)))),
0)))</f>
        <v>0</v>
      </c>
      <c r="H204" s="159">
        <f>IF(I204="مخالفات",50,Basic3456[[#This Row],[قيمة الرسوم / العموله]]+Basic3456[[#This Row],[قيمة الشحنه]])</f>
        <v>0</v>
      </c>
      <c r="I204" s="90"/>
      <c r="J204" s="142" t="str">
        <f t="shared" si="3"/>
        <v>27.5.2026</v>
      </c>
      <c r="L204" s="153">
        <v>193</v>
      </c>
      <c r="M204" s="92"/>
    </row>
    <row r="205" spans="1:13" ht="21.6" x14ac:dyDescent="0.65">
      <c r="A205" s="195"/>
      <c r="B205" s="144">
        <v>202</v>
      </c>
      <c r="C205" s="2"/>
      <c r="D205" s="1"/>
      <c r="E205" s="3"/>
      <c r="F205" s="1"/>
      <c r="G205" s="141">
        <f>IF(Basic3456[[#This Row],[نوع الخدمة]]="مخالفات", 50,
IF(Basic3456[[#This Row],[نوع الخدمة]]="كاش ان",
    IF(F205&lt;=100, 18, IF(F205&lt;=250, 23, IF(F205&lt;=500, 35, IF(F205&lt;=1000, 40, F205*0.04)))),
IF(Basic3456[[#This Row],[نوع الخدمة]]="كاش اوت",
    IF(F205&lt;=100, 15, IF(F205&lt;=250, 20, IF(F205&lt;=500, 30, IF(F205&lt;=1000, 35, F205*0.035)))),
0)))</f>
        <v>0</v>
      </c>
      <c r="H205" s="159">
        <f>IF(I205="مخالفات",50,Basic3456[[#This Row],[قيمة الرسوم / العموله]]+Basic3456[[#This Row],[قيمة الشحنه]])</f>
        <v>0</v>
      </c>
      <c r="I205" s="90"/>
      <c r="J205" s="142" t="str">
        <f t="shared" si="3"/>
        <v>27.5.2026</v>
      </c>
      <c r="L205" s="153">
        <v>194</v>
      </c>
      <c r="M205" s="92"/>
    </row>
    <row r="206" spans="1:13" ht="21.6" x14ac:dyDescent="0.65">
      <c r="A206" s="195"/>
      <c r="B206" s="140">
        <v>203</v>
      </c>
      <c r="C206" s="2"/>
      <c r="D206" s="1"/>
      <c r="E206" s="3"/>
      <c r="F206" s="1"/>
      <c r="G206" s="141">
        <f>IF(Basic3456[[#This Row],[نوع الخدمة]]="مخالفات", 50,
IF(Basic3456[[#This Row],[نوع الخدمة]]="كاش ان",
    IF(F206&lt;=100, 18, IF(F206&lt;=250, 23, IF(F206&lt;=500, 35, IF(F206&lt;=1000, 40, F206*0.04)))),
IF(Basic3456[[#This Row],[نوع الخدمة]]="كاش اوت",
    IF(F206&lt;=100, 15, IF(F206&lt;=250, 20, IF(F206&lt;=500, 30, IF(F206&lt;=1000, 35, F206*0.035)))),
0)))</f>
        <v>0</v>
      </c>
      <c r="H206" s="159">
        <f>IF(I206="مخالفات",50,Basic3456[[#This Row],[قيمة الرسوم / العموله]]+Basic3456[[#This Row],[قيمة الشحنه]])</f>
        <v>0</v>
      </c>
      <c r="I206" s="90"/>
      <c r="J206" s="142" t="str">
        <f t="shared" si="3"/>
        <v>27.5.2026</v>
      </c>
      <c r="L206" s="153">
        <v>195</v>
      </c>
      <c r="M206" s="92"/>
    </row>
    <row r="207" spans="1:13" ht="21.6" x14ac:dyDescent="0.65">
      <c r="A207" s="195"/>
      <c r="B207" s="140">
        <v>204</v>
      </c>
      <c r="C207" s="2"/>
      <c r="D207" s="1"/>
      <c r="E207" s="3"/>
      <c r="F207" s="1"/>
      <c r="G207" s="141">
        <f>IF(Basic3456[[#This Row],[نوع الخدمة]]="مخالفات", 50,
IF(Basic3456[[#This Row],[نوع الخدمة]]="كاش ان",
    IF(F207&lt;=100, 18, IF(F207&lt;=250, 23, IF(F207&lt;=500, 35, IF(F207&lt;=1000, 40, F207*0.04)))),
IF(Basic3456[[#This Row],[نوع الخدمة]]="كاش اوت",
    IF(F207&lt;=100, 15, IF(F207&lt;=250, 20, IF(F207&lt;=500, 30, IF(F207&lt;=1000, 35, F207*0.035)))),
0)))</f>
        <v>0</v>
      </c>
      <c r="H207" s="159">
        <f>IF(I207="مخالفات",50,Basic3456[[#This Row],[قيمة الرسوم / العموله]]+Basic3456[[#This Row],[قيمة الشحنه]])</f>
        <v>0</v>
      </c>
      <c r="I207" s="90"/>
      <c r="J207" s="142" t="str">
        <f t="shared" si="3"/>
        <v>27.5.2026</v>
      </c>
      <c r="L207" s="153">
        <v>196</v>
      </c>
      <c r="M207" s="92"/>
    </row>
    <row r="208" spans="1:13" ht="21.6" x14ac:dyDescent="0.65">
      <c r="A208" s="195"/>
      <c r="B208" s="140">
        <v>205</v>
      </c>
      <c r="C208" s="2"/>
      <c r="D208" s="1"/>
      <c r="E208" s="3"/>
      <c r="F208" s="1"/>
      <c r="G208" s="141">
        <f>IF(Basic3456[[#This Row],[نوع الخدمة]]="مخالفات", 50,
IF(Basic3456[[#This Row],[نوع الخدمة]]="كاش ان",
    IF(F208&lt;=100, 18, IF(F208&lt;=250, 23, IF(F208&lt;=500, 35, IF(F208&lt;=1000, 40, F208*0.04)))),
IF(Basic3456[[#This Row],[نوع الخدمة]]="كاش اوت",
    IF(F208&lt;=100, 15, IF(F208&lt;=250, 20, IF(F208&lt;=500, 30, IF(F208&lt;=1000, 35, F208*0.035)))),
0)))</f>
        <v>0</v>
      </c>
      <c r="H208" s="159">
        <f>IF(I208="مخالفات",50,Basic3456[[#This Row],[قيمة الرسوم / العموله]]+Basic3456[[#This Row],[قيمة الشحنه]])</f>
        <v>0</v>
      </c>
      <c r="I208" s="90"/>
      <c r="J208" s="142" t="str">
        <f t="shared" si="3"/>
        <v>27.5.2026</v>
      </c>
      <c r="L208" s="153">
        <v>197</v>
      </c>
      <c r="M208" s="92"/>
    </row>
    <row r="209" spans="1:13" ht="21.6" x14ac:dyDescent="0.65">
      <c r="A209" s="195"/>
      <c r="B209" s="144">
        <v>206</v>
      </c>
      <c r="C209" s="2"/>
      <c r="D209" s="1"/>
      <c r="E209" s="3"/>
      <c r="F209" s="1"/>
      <c r="G209" s="141">
        <f>IF(Basic3456[[#This Row],[نوع الخدمة]]="مخالفات", 50,
IF(Basic3456[[#This Row],[نوع الخدمة]]="كاش ان",
    IF(F209&lt;=100, 18, IF(F209&lt;=250, 23, IF(F209&lt;=500, 35, IF(F209&lt;=1000, 40, F209*0.04)))),
IF(Basic3456[[#This Row],[نوع الخدمة]]="كاش اوت",
    IF(F209&lt;=100, 15, IF(F209&lt;=250, 20, IF(F209&lt;=500, 30, IF(F209&lt;=1000, 35, F209*0.035)))),
0)))</f>
        <v>0</v>
      </c>
      <c r="H209" s="159">
        <f>IF(I209="مخالفات",50,Basic3456[[#This Row],[قيمة الرسوم / العموله]]+Basic3456[[#This Row],[قيمة الشحنه]])</f>
        <v>0</v>
      </c>
      <c r="I209" s="90"/>
      <c r="J209" s="142" t="str">
        <f t="shared" si="3"/>
        <v>27.5.2026</v>
      </c>
      <c r="L209" s="153">
        <v>198</v>
      </c>
      <c r="M209" s="92"/>
    </row>
    <row r="210" spans="1:13" ht="21.6" x14ac:dyDescent="0.65">
      <c r="A210" s="195"/>
      <c r="B210" s="140">
        <v>207</v>
      </c>
      <c r="C210" s="2"/>
      <c r="D210" s="1"/>
      <c r="E210" s="3"/>
      <c r="F210" s="1"/>
      <c r="G210" s="141">
        <f>IF(Basic3456[[#This Row],[نوع الخدمة]]="مخالفات", 50,
IF(Basic3456[[#This Row],[نوع الخدمة]]="كاش ان",
    IF(F210&lt;=100, 18, IF(F210&lt;=250, 23, IF(F210&lt;=500, 35, IF(F210&lt;=1000, 40, F210*0.04)))),
IF(Basic3456[[#This Row],[نوع الخدمة]]="كاش اوت",
    IF(F210&lt;=100, 15, IF(F210&lt;=250, 20, IF(F210&lt;=500, 30, IF(F210&lt;=1000, 35, F210*0.035)))),
0)))</f>
        <v>0</v>
      </c>
      <c r="H210" s="159">
        <f>IF(I210="مخالفات",50,Basic3456[[#This Row],[قيمة الرسوم / العموله]]+Basic3456[[#This Row],[قيمة الشحنه]])</f>
        <v>0</v>
      </c>
      <c r="I210" s="90"/>
      <c r="J210" s="142" t="str">
        <f t="shared" si="3"/>
        <v>27.5.2026</v>
      </c>
      <c r="L210" s="153">
        <v>199</v>
      </c>
      <c r="M210" s="92"/>
    </row>
    <row r="211" spans="1:13" ht="21.6" x14ac:dyDescent="0.65">
      <c r="A211" s="195"/>
      <c r="B211" s="140">
        <v>208</v>
      </c>
      <c r="C211" s="2"/>
      <c r="D211" s="1"/>
      <c r="E211" s="3"/>
      <c r="F211" s="1"/>
      <c r="G211" s="141">
        <f>IF(Basic3456[[#This Row],[نوع الخدمة]]="مخالفات", 50,
IF(Basic3456[[#This Row],[نوع الخدمة]]="كاش ان",
    IF(F211&lt;=100, 18, IF(F211&lt;=250, 23, IF(F211&lt;=500, 35, IF(F211&lt;=1000, 40, F211*0.04)))),
IF(Basic3456[[#This Row],[نوع الخدمة]]="كاش اوت",
    IF(F211&lt;=100, 15, IF(F211&lt;=250, 20, IF(F211&lt;=500, 30, IF(F211&lt;=1000, 35, F211*0.035)))),
0)))</f>
        <v>0</v>
      </c>
      <c r="H211" s="159">
        <f>IF(I211="مخالفات",50,Basic3456[[#This Row],[قيمة الرسوم / العموله]]+Basic3456[[#This Row],[قيمة الشحنه]])</f>
        <v>0</v>
      </c>
      <c r="I211" s="90"/>
      <c r="J211" s="142" t="str">
        <f t="shared" si="3"/>
        <v>27.5.2026</v>
      </c>
      <c r="L211" s="153">
        <v>200</v>
      </c>
      <c r="M211" s="92"/>
    </row>
    <row r="212" spans="1:13" ht="21.6" x14ac:dyDescent="0.65">
      <c r="A212" s="195"/>
      <c r="B212" s="140">
        <v>209</v>
      </c>
      <c r="C212" s="2"/>
      <c r="D212" s="1"/>
      <c r="E212" s="3"/>
      <c r="F212" s="1"/>
      <c r="G212" s="141">
        <f>IF(Basic3456[[#This Row],[نوع الخدمة]]="مخالفات", 50,
IF(Basic3456[[#This Row],[نوع الخدمة]]="كاش ان",
    IF(F212&lt;=100, 18, IF(F212&lt;=250, 23, IF(F212&lt;=500, 35, IF(F212&lt;=1000, 40, F212*0.04)))),
IF(Basic3456[[#This Row],[نوع الخدمة]]="كاش اوت",
    IF(F212&lt;=100, 15, IF(F212&lt;=250, 20, IF(F212&lt;=500, 30, IF(F212&lt;=1000, 35, F212*0.035)))),
0)))</f>
        <v>0</v>
      </c>
      <c r="H212" s="159">
        <f>IF(I212="مخالفات",50,Basic3456[[#This Row],[قيمة الرسوم / العموله]]+Basic3456[[#This Row],[قيمة الشحنه]])</f>
        <v>0</v>
      </c>
      <c r="I212" s="90"/>
      <c r="J212" s="142" t="str">
        <f t="shared" si="3"/>
        <v>27.5.2026</v>
      </c>
      <c r="L212" s="153">
        <v>201</v>
      </c>
      <c r="M212" s="92"/>
    </row>
    <row r="213" spans="1:13" ht="21.6" x14ac:dyDescent="0.65">
      <c r="A213" s="195"/>
      <c r="B213" s="144">
        <v>210</v>
      </c>
      <c r="C213" s="2"/>
      <c r="D213" s="1"/>
      <c r="E213" s="3"/>
      <c r="F213" s="1"/>
      <c r="G213" s="141">
        <f>IF(Basic3456[[#This Row],[نوع الخدمة]]="مخالفات", 50,
IF(Basic3456[[#This Row],[نوع الخدمة]]="كاش ان",
    IF(F213&lt;=100, 18, IF(F213&lt;=250, 23, IF(F213&lt;=500, 35, IF(F213&lt;=1000, 40, F213*0.04)))),
IF(Basic3456[[#This Row],[نوع الخدمة]]="كاش اوت",
    IF(F213&lt;=100, 15, IF(F213&lt;=250, 20, IF(F213&lt;=500, 30, IF(F213&lt;=1000, 35, F213*0.035)))),
0)))</f>
        <v>0</v>
      </c>
      <c r="H213" s="159">
        <f>IF(I213="مخالفات",50,Basic3456[[#This Row],[قيمة الرسوم / العموله]]+Basic3456[[#This Row],[قيمة الشحنه]])</f>
        <v>0</v>
      </c>
      <c r="I213" s="90"/>
      <c r="J213" s="142" t="str">
        <f t="shared" si="3"/>
        <v>27.5.2026</v>
      </c>
      <c r="L213" s="153">
        <v>202</v>
      </c>
      <c r="M213" s="92"/>
    </row>
    <row r="214" spans="1:13" ht="21.6" x14ac:dyDescent="0.65">
      <c r="A214" s="195"/>
      <c r="B214" s="140">
        <v>211</v>
      </c>
      <c r="C214" s="2"/>
      <c r="D214" s="1"/>
      <c r="E214" s="3"/>
      <c r="F214" s="1"/>
      <c r="G214" s="141">
        <f>IF(Basic3456[[#This Row],[نوع الخدمة]]="مخالفات", 50,
IF(Basic3456[[#This Row],[نوع الخدمة]]="كاش ان",
    IF(F214&lt;=100, 18, IF(F214&lt;=250, 23, IF(F214&lt;=500, 35, IF(F214&lt;=1000, 40, F214*0.04)))),
IF(Basic3456[[#This Row],[نوع الخدمة]]="كاش اوت",
    IF(F214&lt;=100, 15, IF(F214&lt;=250, 20, IF(F214&lt;=500, 30, IF(F214&lt;=1000, 35, F214*0.035)))),
0)))</f>
        <v>0</v>
      </c>
      <c r="H214" s="159">
        <f>IF(I214="مخالفات",50,Basic3456[[#This Row],[قيمة الرسوم / العموله]]+Basic3456[[#This Row],[قيمة الشحنه]])</f>
        <v>0</v>
      </c>
      <c r="I214" s="90"/>
      <c r="J214" s="142" t="str">
        <f t="shared" si="3"/>
        <v>27.5.2026</v>
      </c>
      <c r="L214" s="153">
        <v>203</v>
      </c>
      <c r="M214" s="92"/>
    </row>
    <row r="215" spans="1:13" ht="21.6" x14ac:dyDescent="0.65">
      <c r="A215" s="195"/>
      <c r="B215" s="140">
        <v>212</v>
      </c>
      <c r="C215" s="2"/>
      <c r="D215" s="1"/>
      <c r="E215" s="3"/>
      <c r="F215" s="1"/>
      <c r="G215" s="141">
        <f>IF(Basic3456[[#This Row],[نوع الخدمة]]="مخالفات", 50,
IF(Basic3456[[#This Row],[نوع الخدمة]]="كاش ان",
    IF(F215&lt;=100, 18, IF(F215&lt;=250, 23, IF(F215&lt;=500, 35, IF(F215&lt;=1000, 40, F215*0.04)))),
IF(Basic3456[[#This Row],[نوع الخدمة]]="كاش اوت",
    IF(F215&lt;=100, 15, IF(F215&lt;=250, 20, IF(F215&lt;=500, 30, IF(F215&lt;=1000, 35, F215*0.035)))),
0)))</f>
        <v>0</v>
      </c>
      <c r="H215" s="159">
        <f>IF(I215="مخالفات",50,Basic3456[[#This Row],[قيمة الرسوم / العموله]]+Basic3456[[#This Row],[قيمة الشحنه]])</f>
        <v>0</v>
      </c>
      <c r="I215" s="90"/>
      <c r="J215" s="142" t="str">
        <f t="shared" si="3"/>
        <v>27.5.2026</v>
      </c>
      <c r="L215" s="153">
        <v>204</v>
      </c>
      <c r="M215" s="92"/>
    </row>
    <row r="216" spans="1:13" ht="21.6" x14ac:dyDescent="0.65">
      <c r="A216" s="195"/>
      <c r="B216" s="140">
        <v>213</v>
      </c>
      <c r="C216" s="2"/>
      <c r="D216" s="1"/>
      <c r="E216" s="3"/>
      <c r="F216" s="1"/>
      <c r="G216" s="141">
        <f>IF(Basic3456[[#This Row],[نوع الخدمة]]="مخالفات", 50,
IF(Basic3456[[#This Row],[نوع الخدمة]]="كاش ان",
    IF(F216&lt;=100, 18, IF(F216&lt;=250, 23, IF(F216&lt;=500, 35, IF(F216&lt;=1000, 40, F216*0.04)))),
IF(Basic3456[[#This Row],[نوع الخدمة]]="كاش اوت",
    IF(F216&lt;=100, 15, IF(F216&lt;=250, 20, IF(F216&lt;=500, 30, IF(F216&lt;=1000, 35, F216*0.035)))),
0)))</f>
        <v>0</v>
      </c>
      <c r="H216" s="159">
        <f>IF(I216="مخالفات",50,Basic3456[[#This Row],[قيمة الرسوم / العموله]]+Basic3456[[#This Row],[قيمة الشحنه]])</f>
        <v>0</v>
      </c>
      <c r="I216" s="90"/>
      <c r="J216" s="142" t="str">
        <f t="shared" si="3"/>
        <v>27.5.2026</v>
      </c>
      <c r="L216" s="153">
        <v>205</v>
      </c>
      <c r="M216" s="92"/>
    </row>
    <row r="217" spans="1:13" ht="21.6" x14ac:dyDescent="0.65">
      <c r="A217" s="195"/>
      <c r="B217" s="144">
        <v>214</v>
      </c>
      <c r="C217" s="2"/>
      <c r="D217" s="1"/>
      <c r="E217" s="3"/>
      <c r="F217" s="1"/>
      <c r="G217" s="141">
        <f>IF(Basic3456[[#This Row],[نوع الخدمة]]="مخالفات", 50,
IF(Basic3456[[#This Row],[نوع الخدمة]]="كاش ان",
    IF(F217&lt;=100, 18, IF(F217&lt;=250, 23, IF(F217&lt;=500, 35, IF(F217&lt;=1000, 40, F217*0.04)))),
IF(Basic3456[[#This Row],[نوع الخدمة]]="كاش اوت",
    IF(F217&lt;=100, 15, IF(F217&lt;=250, 20, IF(F217&lt;=500, 30, IF(F217&lt;=1000, 35, F217*0.035)))),
0)))</f>
        <v>0</v>
      </c>
      <c r="H217" s="159">
        <f>IF(I217="مخالفات",50,Basic3456[[#This Row],[قيمة الرسوم / العموله]]+Basic3456[[#This Row],[قيمة الشحنه]])</f>
        <v>0</v>
      </c>
      <c r="I217" s="90"/>
      <c r="J217" s="142" t="str">
        <f t="shared" si="3"/>
        <v>27.5.2026</v>
      </c>
      <c r="L217" s="153">
        <v>206</v>
      </c>
      <c r="M217" s="92"/>
    </row>
    <row r="218" spans="1:13" ht="21.6" x14ac:dyDescent="0.65">
      <c r="A218" s="195"/>
      <c r="B218" s="140">
        <v>215</v>
      </c>
      <c r="C218" s="2"/>
      <c r="D218" s="1"/>
      <c r="E218" s="3"/>
      <c r="F218" s="1"/>
      <c r="G218" s="141">
        <f>IF(Basic3456[[#This Row],[نوع الخدمة]]="مخالفات", 50,
IF(Basic3456[[#This Row],[نوع الخدمة]]="كاش ان",
    IF(F218&lt;=100, 18, IF(F218&lt;=250, 23, IF(F218&lt;=500, 35, IF(F218&lt;=1000, 40, F218*0.04)))),
IF(Basic3456[[#This Row],[نوع الخدمة]]="كاش اوت",
    IF(F218&lt;=100, 15, IF(F218&lt;=250, 20, IF(F218&lt;=500, 30, IF(F218&lt;=1000, 35, F218*0.035)))),
0)))</f>
        <v>0</v>
      </c>
      <c r="H218" s="159">
        <f>IF(I218="مخالفات",50,Basic3456[[#This Row],[قيمة الرسوم / العموله]]+Basic3456[[#This Row],[قيمة الشحنه]])</f>
        <v>0</v>
      </c>
      <c r="I218" s="90"/>
      <c r="J218" s="142" t="str">
        <f t="shared" si="3"/>
        <v>27.5.2026</v>
      </c>
      <c r="L218" s="153">
        <v>207</v>
      </c>
      <c r="M218" s="92"/>
    </row>
    <row r="219" spans="1:13" ht="21.6" x14ac:dyDescent="0.65">
      <c r="A219" s="195"/>
      <c r="B219" s="140">
        <v>216</v>
      </c>
      <c r="C219" s="2"/>
      <c r="D219" s="1"/>
      <c r="E219" s="3"/>
      <c r="F219" s="1"/>
      <c r="G219" s="141">
        <f>IF(Basic3456[[#This Row],[نوع الخدمة]]="مخالفات", 50,
IF(Basic3456[[#This Row],[نوع الخدمة]]="كاش ان",
    IF(F219&lt;=100, 18, IF(F219&lt;=250, 23, IF(F219&lt;=500, 35, IF(F219&lt;=1000, 40, F219*0.04)))),
IF(Basic3456[[#This Row],[نوع الخدمة]]="كاش اوت",
    IF(F219&lt;=100, 15, IF(F219&lt;=250, 20, IF(F219&lt;=500, 30, IF(F219&lt;=1000, 35, F219*0.035)))),
0)))</f>
        <v>0</v>
      </c>
      <c r="H219" s="159">
        <f>IF(I219="مخالفات",50,Basic3456[[#This Row],[قيمة الرسوم / العموله]]+Basic3456[[#This Row],[قيمة الشحنه]])</f>
        <v>0</v>
      </c>
      <c r="I219" s="90"/>
      <c r="J219" s="142" t="str">
        <f t="shared" si="3"/>
        <v>27.5.2026</v>
      </c>
      <c r="L219" s="153">
        <v>208</v>
      </c>
      <c r="M219" s="92"/>
    </row>
    <row r="220" spans="1:13" ht="21.6" x14ac:dyDescent="0.65">
      <c r="A220" s="195"/>
      <c r="B220" s="140">
        <v>217</v>
      </c>
      <c r="C220" s="2"/>
      <c r="D220" s="1"/>
      <c r="E220" s="3"/>
      <c r="F220" s="1"/>
      <c r="G220" s="141">
        <f>IF(Basic3456[[#This Row],[نوع الخدمة]]="مخالفات", 50,
IF(Basic3456[[#This Row],[نوع الخدمة]]="كاش ان",
    IF(F220&lt;=100, 18, IF(F220&lt;=250, 23, IF(F220&lt;=500, 35, IF(F220&lt;=1000, 40, F220*0.04)))),
IF(Basic3456[[#This Row],[نوع الخدمة]]="كاش اوت",
    IF(F220&lt;=100, 15, IF(F220&lt;=250, 20, IF(F220&lt;=500, 30, IF(F220&lt;=1000, 35, F220*0.035)))),
0)))</f>
        <v>0</v>
      </c>
      <c r="H220" s="159">
        <f>IF(I220="مخالفات",50,Basic3456[[#This Row],[قيمة الرسوم / العموله]]+Basic3456[[#This Row],[قيمة الشحنه]])</f>
        <v>0</v>
      </c>
      <c r="I220" s="90"/>
      <c r="J220" s="142" t="str">
        <f t="shared" si="3"/>
        <v>27.5.2026</v>
      </c>
      <c r="L220" s="153">
        <v>209</v>
      </c>
      <c r="M220" s="92"/>
    </row>
    <row r="221" spans="1:13" ht="21.6" x14ac:dyDescent="0.65">
      <c r="A221" s="195"/>
      <c r="B221" s="144">
        <v>218</v>
      </c>
      <c r="C221" s="2"/>
      <c r="D221" s="1"/>
      <c r="E221" s="3"/>
      <c r="F221" s="1"/>
      <c r="G221" s="141">
        <f>IF(Basic3456[[#This Row],[نوع الخدمة]]="مخالفات", 50,
IF(Basic3456[[#This Row],[نوع الخدمة]]="كاش ان",
    IF(F221&lt;=100, 18, IF(F221&lt;=250, 23, IF(F221&lt;=500, 35, IF(F221&lt;=1000, 40, F221*0.04)))),
IF(Basic3456[[#This Row],[نوع الخدمة]]="كاش اوت",
    IF(F221&lt;=100, 15, IF(F221&lt;=250, 20, IF(F221&lt;=500, 30, IF(F221&lt;=1000, 35, F221*0.035)))),
0)))</f>
        <v>0</v>
      </c>
      <c r="H221" s="159">
        <f>IF(I221="مخالفات",50,Basic3456[[#This Row],[قيمة الرسوم / العموله]]+Basic3456[[#This Row],[قيمة الشحنه]])</f>
        <v>0</v>
      </c>
      <c r="I221" s="90"/>
      <c r="J221" s="142" t="str">
        <f t="shared" si="3"/>
        <v>27.5.2026</v>
      </c>
      <c r="L221" s="153">
        <v>210</v>
      </c>
      <c r="M221" s="92"/>
    </row>
    <row r="222" spans="1:13" ht="21.6" x14ac:dyDescent="0.65">
      <c r="A222" s="195"/>
      <c r="B222" s="140">
        <v>219</v>
      </c>
      <c r="C222" s="2"/>
      <c r="D222" s="1"/>
      <c r="E222" s="3"/>
      <c r="F222" s="1"/>
      <c r="G222" s="141">
        <f>IF(Basic3456[[#This Row],[نوع الخدمة]]="مخالفات", 50,
IF(Basic3456[[#This Row],[نوع الخدمة]]="كاش ان",
    IF(F222&lt;=100, 18, IF(F222&lt;=250, 23, IF(F222&lt;=500, 35, IF(F222&lt;=1000, 40, F222*0.04)))),
IF(Basic3456[[#This Row],[نوع الخدمة]]="كاش اوت",
    IF(F222&lt;=100, 15, IF(F222&lt;=250, 20, IF(F222&lt;=500, 30, IF(F222&lt;=1000, 35, F222*0.035)))),
0)))</f>
        <v>0</v>
      </c>
      <c r="H222" s="159">
        <f>IF(I222="مخالفات",50,Basic3456[[#This Row],[قيمة الرسوم / العموله]]+Basic3456[[#This Row],[قيمة الشحنه]])</f>
        <v>0</v>
      </c>
      <c r="I222" s="90"/>
      <c r="J222" s="142" t="str">
        <f t="shared" si="3"/>
        <v>27.5.2026</v>
      </c>
      <c r="L222" s="153">
        <v>211</v>
      </c>
      <c r="M222" s="92"/>
    </row>
    <row r="223" spans="1:13" ht="21.6" x14ac:dyDescent="0.65">
      <c r="A223" s="195"/>
      <c r="B223" s="140">
        <v>220</v>
      </c>
      <c r="C223" s="2"/>
      <c r="D223" s="1"/>
      <c r="E223" s="3"/>
      <c r="F223" s="1"/>
      <c r="G223" s="141">
        <f>IF(Basic3456[[#This Row],[نوع الخدمة]]="مخالفات", 50,
IF(Basic3456[[#This Row],[نوع الخدمة]]="كاش ان",
    IF(F223&lt;=100, 18, IF(F223&lt;=250, 23, IF(F223&lt;=500, 35, IF(F223&lt;=1000, 40, F223*0.04)))),
IF(Basic3456[[#This Row],[نوع الخدمة]]="كاش اوت",
    IF(F223&lt;=100, 15, IF(F223&lt;=250, 20, IF(F223&lt;=500, 30, IF(F223&lt;=1000, 35, F223*0.035)))),
0)))</f>
        <v>0</v>
      </c>
      <c r="H223" s="159">
        <f>IF(I223="مخالفات",50,Basic3456[[#This Row],[قيمة الرسوم / العموله]]+Basic3456[[#This Row],[قيمة الشحنه]])</f>
        <v>0</v>
      </c>
      <c r="I223" s="90"/>
      <c r="J223" s="142" t="str">
        <f t="shared" si="3"/>
        <v>27.5.2026</v>
      </c>
      <c r="L223" s="153">
        <v>212</v>
      </c>
      <c r="M223" s="92"/>
    </row>
    <row r="224" spans="1:13" ht="21.6" x14ac:dyDescent="0.65">
      <c r="A224" s="195"/>
      <c r="B224" s="140">
        <v>221</v>
      </c>
      <c r="C224" s="2"/>
      <c r="D224" s="1"/>
      <c r="E224" s="3"/>
      <c r="F224" s="1"/>
      <c r="G224" s="141">
        <f>IF(Basic3456[[#This Row],[نوع الخدمة]]="مخالفات", 50,
IF(Basic3456[[#This Row],[نوع الخدمة]]="كاش ان",
    IF(F224&lt;=100, 18, IF(F224&lt;=250, 23, IF(F224&lt;=500, 35, IF(F224&lt;=1000, 40, F224*0.04)))),
IF(Basic3456[[#This Row],[نوع الخدمة]]="كاش اوت",
    IF(F224&lt;=100, 15, IF(F224&lt;=250, 20, IF(F224&lt;=500, 30, IF(F224&lt;=1000, 35, F224*0.035)))),
0)))</f>
        <v>0</v>
      </c>
      <c r="H224" s="159">
        <f>IF(I224="مخالفات",50,Basic3456[[#This Row],[قيمة الرسوم / العموله]]+Basic3456[[#This Row],[قيمة الشحنه]])</f>
        <v>0</v>
      </c>
      <c r="I224" s="90"/>
      <c r="J224" s="142" t="str">
        <f t="shared" si="3"/>
        <v>27.5.2026</v>
      </c>
      <c r="L224" s="153">
        <v>213</v>
      </c>
      <c r="M224" s="92"/>
    </row>
    <row r="225" spans="1:13" ht="21.6" x14ac:dyDescent="0.65">
      <c r="A225" s="195"/>
      <c r="B225" s="144">
        <v>222</v>
      </c>
      <c r="C225" s="2"/>
      <c r="D225" s="1"/>
      <c r="E225" s="3"/>
      <c r="F225" s="1"/>
      <c r="G225" s="141">
        <f>IF(Basic3456[[#This Row],[نوع الخدمة]]="مخالفات", 50,
IF(Basic3456[[#This Row],[نوع الخدمة]]="كاش ان",
    IF(F225&lt;=100, 18, IF(F225&lt;=250, 23, IF(F225&lt;=500, 35, IF(F225&lt;=1000, 40, F225*0.04)))),
IF(Basic3456[[#This Row],[نوع الخدمة]]="كاش اوت",
    IF(F225&lt;=100, 15, IF(F225&lt;=250, 20, IF(F225&lt;=500, 30, IF(F225&lt;=1000, 35, F225*0.035)))),
0)))</f>
        <v>0</v>
      </c>
      <c r="H225" s="159">
        <f>IF(I225="مخالفات",50,Basic3456[[#This Row],[قيمة الرسوم / العموله]]+Basic3456[[#This Row],[قيمة الشحنه]])</f>
        <v>0</v>
      </c>
      <c r="I225" s="90"/>
      <c r="J225" s="142" t="str">
        <f t="shared" si="3"/>
        <v>27.5.2026</v>
      </c>
      <c r="L225" s="153">
        <v>214</v>
      </c>
      <c r="M225" s="92"/>
    </row>
    <row r="226" spans="1:13" ht="21.6" x14ac:dyDescent="0.65">
      <c r="A226" s="195"/>
      <c r="B226" s="140">
        <v>223</v>
      </c>
      <c r="C226" s="4"/>
      <c r="D226" s="5"/>
      <c r="E226" s="6"/>
      <c r="F226" s="5"/>
      <c r="G226" s="141">
        <f>IF(Basic3456[[#This Row],[نوع الخدمة]]="مخالفات", 50,
IF(Basic3456[[#This Row],[نوع الخدمة]]="كاش ان",
    IF(F226&lt;=100, 18, IF(F226&lt;=250, 23, IF(F226&lt;=500, 35, IF(F226&lt;=1000, 40, F226*0.04)))),
IF(Basic3456[[#This Row],[نوع الخدمة]]="كاش اوت",
    IF(F226&lt;=100, 15, IF(F226&lt;=250, 20, IF(F226&lt;=500, 30, IF(F226&lt;=1000, 35, F226*0.035)))),
0)))</f>
        <v>0</v>
      </c>
      <c r="H226" s="160">
        <f>IF(I226="مخالفات",50,Basic3456[[#This Row],[قيمة الرسوم / العموله]]+Basic3456[[#This Row],[قيمة الشحنه]])</f>
        <v>0</v>
      </c>
      <c r="I226" s="90"/>
      <c r="J226" s="142" t="str">
        <f t="shared" si="3"/>
        <v>27.5.2026</v>
      </c>
      <c r="L226" s="156">
        <v>215</v>
      </c>
      <c r="M226" s="93"/>
    </row>
  </sheetData>
  <sheetProtection algorithmName="SHA-512" hashValue="KULs5ulQWQgmADJQpbxiVG9EkHDiCiNgUMsvp927F66yLia3O+GxUKuOGRe0zuyEEnvNqXa4b9MJMG46X+ySig==" saltValue="M4pUENGJmJAeqZdcm6NaMQ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19" priority="12" operator="equal">
      <formula>$BH$10</formula>
    </cfRule>
    <cfRule type="cellIs" dxfId="18" priority="13" operator="equal">
      <formula>$BH$9</formula>
    </cfRule>
    <cfRule type="cellIs" dxfId="17" priority="14" operator="equal">
      <formula>$BH$8</formula>
    </cfRule>
  </conditionalFormatting>
  <conditionalFormatting sqref="P11">
    <cfRule type="cellIs" dxfId="16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{CC2A036F-A527-4555-847B-F732F65784B9}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{D817EA81-A89E-46B7-9483-C14B5B3769AD}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{D286B250-DE7A-4309-A93B-E1A1B8F453DC}</x14:id>
        </ext>
      </extLst>
    </cfRule>
  </conditionalFormatting>
  <dataValidations count="2">
    <dataValidation type="list" allowBlank="1" showInputMessage="1" showErrorMessage="1" sqref="I4:I226" xr:uid="{00000000-0002-0000-1A00-000000000000}">
      <formula1>$BH$8:$BH$10</formula1>
    </dataValidation>
    <dataValidation type="textLength" operator="equal" allowBlank="1" showInputMessage="1" showErrorMessage="1" errorTitle="يجب إخال رقم IPN صحيح 13 رقم" sqref="C1:C1048576" xr:uid="{00000000-0002-0000-1A00-000001000000}">
      <formula1>13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C2A036F-A527-4555-847B-F732F65784B9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D817EA81-A89E-46B7-9483-C14B5B3769AD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D286B250-DE7A-4309-A93B-E1A1B8F453DC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BH226"/>
  <sheetViews>
    <sheetView showGridLines="0" showRowColHeaders="0" rightToLeft="1" topLeftCell="D1" zoomScale="80" zoomScaleNormal="80" workbookViewId="0">
      <selection activeCell="M4" sqref="M4"/>
    </sheetView>
  </sheetViews>
  <sheetFormatPr defaultColWidth="9.109375" defaultRowHeight="14.4" x14ac:dyDescent="0.3"/>
  <cols>
    <col min="1" max="1" width="4.109375" style="124" customWidth="1"/>
    <col min="2" max="2" width="6.5546875" style="125" bestFit="1" customWidth="1"/>
    <col min="3" max="3" width="24.88671875" style="126" customWidth="1"/>
    <col min="4" max="4" width="15.6640625" style="124" customWidth="1"/>
    <col min="5" max="5" width="17.5546875" style="157" customWidth="1"/>
    <col min="6" max="6" width="12.88671875" style="124" bestFit="1" customWidth="1"/>
    <col min="7" max="7" width="19" style="124" bestFit="1" customWidth="1"/>
    <col min="8" max="8" width="19" style="124" customWidth="1"/>
    <col min="9" max="9" width="12.44140625" style="128" bestFit="1" customWidth="1"/>
    <col min="10" max="10" width="14.109375" style="129" customWidth="1"/>
    <col min="11" max="11" width="3.5546875" style="124" customWidth="1"/>
    <col min="12" max="12" width="9.6640625" style="124" customWidth="1"/>
    <col min="13" max="13" width="23" style="124" customWidth="1"/>
    <col min="14" max="14" width="8.33203125" style="124" bestFit="1" customWidth="1"/>
    <col min="15" max="15" width="26.5546875" style="124" bestFit="1" customWidth="1"/>
    <col min="16" max="16" width="15" style="124" customWidth="1"/>
    <col min="17" max="17" width="3.5546875" style="124" customWidth="1"/>
    <col min="18" max="18" width="16.5546875" style="124" customWidth="1"/>
    <col min="19" max="19" width="15.5546875" style="124" customWidth="1"/>
    <col min="20" max="20" width="13.6640625" style="124" customWidth="1"/>
    <col min="21" max="21" width="13.5546875" style="124" customWidth="1"/>
    <col min="22" max="22" width="11.88671875" style="124" customWidth="1"/>
    <col min="23" max="23" width="10.6640625" style="124" customWidth="1"/>
    <col min="24" max="24" width="12.6640625" style="124" customWidth="1"/>
    <col min="25" max="16384" width="9.109375" style="124"/>
  </cols>
  <sheetData>
    <row r="1" spans="1:60" x14ac:dyDescent="0.3">
      <c r="A1" s="128"/>
      <c r="E1" s="127">
        <f>Total!F5</f>
        <v>69</v>
      </c>
      <c r="F1" s="192" t="str">
        <f>Total!G5</f>
        <v>العبور</v>
      </c>
      <c r="G1" s="192"/>
      <c r="H1" s="192"/>
    </row>
    <row r="3" spans="1:60" ht="21" customHeight="1" x14ac:dyDescent="0.3">
      <c r="B3" s="130" t="s">
        <v>0</v>
      </c>
      <c r="C3" s="131" t="s">
        <v>1</v>
      </c>
      <c r="D3" s="132" t="s">
        <v>2</v>
      </c>
      <c r="E3" s="133" t="s">
        <v>3</v>
      </c>
      <c r="F3" s="132" t="s">
        <v>4</v>
      </c>
      <c r="G3" s="132" t="s">
        <v>5</v>
      </c>
      <c r="H3" s="132" t="s">
        <v>76</v>
      </c>
      <c r="I3" s="132" t="s">
        <v>6</v>
      </c>
      <c r="J3" s="134" t="s">
        <v>7</v>
      </c>
      <c r="L3" s="135" t="s">
        <v>7</v>
      </c>
      <c r="M3" s="136" t="s">
        <v>84</v>
      </c>
      <c r="O3" s="137" t="s">
        <v>17</v>
      </c>
      <c r="P3" s="138">
        <f>M5+M6</f>
        <v>0</v>
      </c>
      <c r="T3" s="139"/>
      <c r="U3" s="139"/>
      <c r="V3" s="139"/>
      <c r="W3" s="139"/>
    </row>
    <row r="4" spans="1:60" ht="21.6" x14ac:dyDescent="0.65">
      <c r="A4" s="195"/>
      <c r="B4" s="140">
        <v>1</v>
      </c>
      <c r="C4" s="8"/>
      <c r="D4" s="9"/>
      <c r="E4" s="10"/>
      <c r="F4" s="9"/>
      <c r="G4" s="141">
        <f>IF(Basic345[[#This Row],[نوع الخدمة]]="مخالفات", 50,
IF(Basic345[[#This Row],[نوع الخدمة]]="كاش ان",
    IF(F4&lt;=100, 18, IF(F4&lt;=250, 23, IF(F4&lt;=500, 35, IF(F4&lt;=1000, 40, F4*0.04)))),
IF(Basic345[[#This Row],[نوع الخدمة]]="كاش اوت",
    IF(F4&lt;=100, 15, IF(F4&lt;=250, 20, IF(F4&lt;=500, 30, IF(F4&lt;=1000, 35, F4*0.035)))),
0)))</f>
        <v>0</v>
      </c>
      <c r="H4" s="141">
        <f>IF(I4="مخالفات",50,Basic345[[#This Row],[قيمة الرسوم / العموله]]+Basic345[[#This Row],[قيمة الشحنه]])</f>
        <v>0</v>
      </c>
      <c r="I4" s="90"/>
      <c r="J4" s="142" t="str">
        <f t="shared" ref="J4:J67" si="0">M$3</f>
        <v>28.5.2026</v>
      </c>
      <c r="L4" s="135" t="s">
        <v>26</v>
      </c>
      <c r="M4" s="90">
        <v>0</v>
      </c>
      <c r="O4" s="137" t="s">
        <v>18</v>
      </c>
      <c r="P4" s="138">
        <f>M4</f>
        <v>0</v>
      </c>
      <c r="S4" s="143" t="s">
        <v>22</v>
      </c>
      <c r="T4" s="143" t="s">
        <v>23</v>
      </c>
      <c r="U4" s="139"/>
      <c r="V4" s="139"/>
      <c r="W4" s="139"/>
    </row>
    <row r="5" spans="1:60" ht="21.6" x14ac:dyDescent="0.65">
      <c r="A5" s="195"/>
      <c r="B5" s="144">
        <v>2</v>
      </c>
      <c r="C5" s="8"/>
      <c r="D5" s="9"/>
      <c r="E5" s="10"/>
      <c r="F5" s="9"/>
      <c r="G5" s="141">
        <f>IF(Basic345[[#This Row],[نوع الخدمة]]="مخالفات", 50,
IF(Basic345[[#This Row],[نوع الخدمة]]="كاش ان",
    IF(F5&lt;=100, 18, IF(F5&lt;=250, 23, IF(F5&lt;=500, 35, IF(F5&lt;=1000, 40, F5*0.04)))),
IF(Basic345[[#This Row],[نوع الخدمة]]="كاش اوت",
    IF(F5&lt;=100, 15, IF(F5&lt;=250, 20, IF(F5&lt;=500, 30, IF(F5&lt;=1000, 35, F5*0.035)))),
0)))</f>
        <v>0</v>
      </c>
      <c r="H5" s="141">
        <f>IF(I5="مخالفات",50,Basic345[[#This Row],[قيمة الرسوم / العموله]]+Basic345[[#This Row],[قيمة الشحنه]])</f>
        <v>0</v>
      </c>
      <c r="I5" s="90"/>
      <c r="J5" s="142" t="str">
        <f t="shared" si="0"/>
        <v>28.5.2026</v>
      </c>
      <c r="L5" s="135" t="s">
        <v>27</v>
      </c>
      <c r="M5" s="90"/>
      <c r="O5" s="137" t="s">
        <v>19</v>
      </c>
      <c r="P5" s="138">
        <f>SUMIF(Basic345[نوع الخدمة],"كاش ان",Basic345[قيمة الشحنه])</f>
        <v>0</v>
      </c>
      <c r="S5" s="145">
        <f>P5+P9+P12+P7</f>
        <v>0</v>
      </c>
      <c r="T5" s="145">
        <f>P3</f>
        <v>0</v>
      </c>
    </row>
    <row r="6" spans="1:60" ht="21.6" x14ac:dyDescent="0.65">
      <c r="A6" s="195"/>
      <c r="B6" s="140">
        <v>3</v>
      </c>
      <c r="C6" s="8"/>
      <c r="D6" s="9"/>
      <c r="E6" s="10"/>
      <c r="F6" s="9"/>
      <c r="G6" s="141">
        <f>IF(Basic345[[#This Row],[نوع الخدمة]]="مخالفات", 50,
IF(Basic345[[#This Row],[نوع الخدمة]]="كاش ان",
    IF(F6&lt;=100, 18, IF(F6&lt;=250, 23, IF(F6&lt;=500, 35, IF(F6&lt;=1000, 40, F6*0.04)))),
IF(Basic345[[#This Row],[نوع الخدمة]]="كاش اوت",
    IF(F6&lt;=100, 15, IF(F6&lt;=250, 20, IF(F6&lt;=500, 30, IF(F6&lt;=1000, 35, F6*0.035)))),
0)))</f>
        <v>0</v>
      </c>
      <c r="H6" s="141">
        <f>IF(I6="مخالفات",50,Basic345[[#This Row],[قيمة الرسوم / العموله]]+Basic345[[#This Row],[قيمة الشحنه]])</f>
        <v>0</v>
      </c>
      <c r="I6" s="90"/>
      <c r="J6" s="142" t="str">
        <f t="shared" si="0"/>
        <v>28.5.2026</v>
      </c>
      <c r="L6" s="135" t="s">
        <v>28</v>
      </c>
      <c r="M6" s="90"/>
      <c r="O6" s="146" t="s">
        <v>12</v>
      </c>
      <c r="P6" s="138">
        <f>P3*150</f>
        <v>0</v>
      </c>
    </row>
    <row r="7" spans="1:60" ht="21.6" x14ac:dyDescent="0.65">
      <c r="A7" s="195"/>
      <c r="B7" s="140">
        <v>4</v>
      </c>
      <c r="C7" s="8"/>
      <c r="D7" s="9"/>
      <c r="E7" s="10"/>
      <c r="F7" s="9"/>
      <c r="G7" s="141">
        <f>IF(Basic345[[#This Row],[نوع الخدمة]]="مخالفات", 50,
IF(Basic345[[#This Row],[نوع الخدمة]]="كاش ان",
    IF(F7&lt;=100, 18, IF(F7&lt;=250, 23, IF(F7&lt;=500, 35, IF(F7&lt;=1000, 40, F7*0.04)))),
IF(Basic345[[#This Row],[نوع الخدمة]]="كاش اوت",
    IF(F7&lt;=100, 15, IF(F7&lt;=250, 20, IF(F7&lt;=500, 30, IF(F7&lt;=1000, 35, F7*0.035)))),
0)))</f>
        <v>0</v>
      </c>
      <c r="H7" s="141">
        <f>IF(I7="مخالفات",50,Basic345[[#This Row],[قيمة الرسوم / العموله]]+Basic345[[#This Row],[قيمة الشحنه]])</f>
        <v>0</v>
      </c>
      <c r="I7" s="90"/>
      <c r="J7" s="142" t="str">
        <f t="shared" si="0"/>
        <v>28.5.2026</v>
      </c>
      <c r="L7" s="137" t="s">
        <v>11</v>
      </c>
      <c r="M7" s="165"/>
      <c r="O7" s="146" t="s">
        <v>75</v>
      </c>
      <c r="P7" s="138">
        <f>SUMIF(Basic345[نوع الخدمة],"مخالفات",Basic345[الاجمــــــــــالي])</f>
        <v>0</v>
      </c>
      <c r="R7" s="139"/>
      <c r="S7" s="139"/>
    </row>
    <row r="8" spans="1:60" ht="21.6" x14ac:dyDescent="0.65">
      <c r="A8" s="195"/>
      <c r="B8" s="140">
        <v>5</v>
      </c>
      <c r="C8" s="8"/>
      <c r="D8" s="9"/>
      <c r="E8" s="10"/>
      <c r="F8" s="9"/>
      <c r="G8" s="141">
        <f>IF(Basic345[[#This Row],[نوع الخدمة]]="مخالفات", 50,
IF(Basic345[[#This Row],[نوع الخدمة]]="كاش ان",
    IF(F8&lt;=100, 18, IF(F8&lt;=250, 23, IF(F8&lt;=500, 35, IF(F8&lt;=1000, 40, F8*0.04)))),
IF(Basic345[[#This Row],[نوع الخدمة]]="كاش اوت",
    IF(F8&lt;=100, 15, IF(F8&lt;=250, 20, IF(F8&lt;=500, 30, IF(F8&lt;=1000, 35, F8*0.035)))),
0)))</f>
        <v>0</v>
      </c>
      <c r="H8" s="141">
        <f>IF(I8="مخالفات",50,Basic345[[#This Row],[قيمة الرسوم / العموله]]+Basic345[[#This Row],[قيمة الشحنه]])</f>
        <v>0</v>
      </c>
      <c r="I8" s="90"/>
      <c r="J8" s="142" t="str">
        <f t="shared" si="0"/>
        <v>28.5.2026</v>
      </c>
      <c r="L8" s="166" t="s">
        <v>79</v>
      </c>
      <c r="M8" s="167">
        <v>0</v>
      </c>
      <c r="O8" s="137" t="s">
        <v>11</v>
      </c>
      <c r="P8" s="138">
        <f>M7</f>
        <v>0</v>
      </c>
      <c r="R8" s="143" t="s">
        <v>72</v>
      </c>
      <c r="S8" s="143" t="s">
        <v>25</v>
      </c>
      <c r="T8" s="143" t="s">
        <v>24</v>
      </c>
      <c r="U8" s="143" t="s">
        <v>73</v>
      </c>
      <c r="V8" s="143" t="s">
        <v>25</v>
      </c>
      <c r="W8" s="143" t="s">
        <v>24</v>
      </c>
      <c r="BH8" s="148" t="s">
        <v>8</v>
      </c>
    </row>
    <row r="9" spans="1:60" ht="18" customHeight="1" x14ac:dyDescent="0.65">
      <c r="A9" s="195"/>
      <c r="B9" s="144">
        <v>6</v>
      </c>
      <c r="C9" s="8"/>
      <c r="D9" s="9"/>
      <c r="E9" s="10"/>
      <c r="F9" s="9"/>
      <c r="G9" s="141">
        <f>IF(Basic345[[#This Row],[نوع الخدمة]]="مخالفات", 50,
IF(Basic345[[#This Row],[نوع الخدمة]]="كاش ان",
    IF(F9&lt;=100, 18, IF(F9&lt;=250, 23, IF(F9&lt;=500, 35, IF(F9&lt;=1000, 40, F9*0.04)))),
IF(Basic345[[#This Row],[نوع الخدمة]]="كاش اوت",
    IF(F9&lt;=100, 15, IF(F9&lt;=250, 20, IF(F9&lt;=500, 30, IF(F9&lt;=1000, 35, F9*0.035)))),
0)))</f>
        <v>0</v>
      </c>
      <c r="H9" s="141">
        <f>IF(I9="مخالفات",50,Basic345[[#This Row],[قيمة الرسوم / العموله]]+Basic345[[#This Row],[قيمة الشحنه]])</f>
        <v>0</v>
      </c>
      <c r="I9" s="90"/>
      <c r="J9" s="142" t="str">
        <f t="shared" si="0"/>
        <v>28.5.2026</v>
      </c>
      <c r="L9" s="166" t="s">
        <v>80</v>
      </c>
      <c r="M9" s="167">
        <v>0</v>
      </c>
      <c r="O9" s="137" t="s">
        <v>20</v>
      </c>
      <c r="P9" s="138">
        <f>SUMIF(Basic345[نوع الخدمة],"كاش ان",Basic345[قيمة الرسوم / العموله])</f>
        <v>0</v>
      </c>
      <c r="R9" s="149">
        <f>Total!H5/24</f>
        <v>29166.666666666668</v>
      </c>
      <c r="S9" s="149">
        <f>S5</f>
        <v>0</v>
      </c>
      <c r="T9" s="150">
        <f>S9/R9</f>
        <v>0</v>
      </c>
      <c r="U9" s="149">
        <f>Total!K5/24</f>
        <v>2.9166666666666665</v>
      </c>
      <c r="V9" s="149">
        <f>T5</f>
        <v>0</v>
      </c>
      <c r="W9" s="150">
        <f>V9/U9</f>
        <v>0</v>
      </c>
      <c r="BH9" s="148" t="s">
        <v>9</v>
      </c>
    </row>
    <row r="10" spans="1:60" ht="21.6" x14ac:dyDescent="0.65">
      <c r="A10" s="195"/>
      <c r="B10" s="140">
        <v>7</v>
      </c>
      <c r="C10" s="8"/>
      <c r="D10" s="9"/>
      <c r="E10" s="10"/>
      <c r="F10" s="9"/>
      <c r="G10" s="141">
        <f>IF(Basic345[[#This Row],[نوع الخدمة]]="مخالفات", 50,
IF(Basic345[[#This Row],[نوع الخدمة]]="كاش ان",
    IF(F10&lt;=100, 18, IF(F10&lt;=250, 23, IF(F10&lt;=500, 35, IF(F10&lt;=1000, 40, F10*0.04)))),
IF(Basic345[[#This Row],[نوع الخدمة]]="كاش اوت",
    IF(F10&lt;=100, 15, IF(F10&lt;=250, 20, IF(F10&lt;=500, 30, IF(F10&lt;=1000, 35, F10*0.035)))),
0)))</f>
        <v>0</v>
      </c>
      <c r="H10" s="141">
        <f>IF(I10="مخالفات",50,Basic345[[#This Row],[قيمة الرسوم / العموله]]+Basic345[[#This Row],[قيمة الشحنه]])</f>
        <v>0</v>
      </c>
      <c r="I10" s="90"/>
      <c r="J10" s="142" t="str">
        <f t="shared" si="0"/>
        <v>28.5.2026</v>
      </c>
      <c r="O10" s="137" t="s">
        <v>16</v>
      </c>
      <c r="P10" s="138">
        <f>SUMIF(Basic345[نوع الخدمة],"كاش اوت",Basic345[قيمة الشحنه])</f>
        <v>0</v>
      </c>
      <c r="R10" s="191">
        <f>(W9+T9)/2</f>
        <v>0</v>
      </c>
      <c r="S10" s="191"/>
      <c r="T10" s="191"/>
      <c r="U10" s="191"/>
      <c r="V10" s="191"/>
      <c r="W10" s="191"/>
      <c r="BH10" s="148" t="s">
        <v>10</v>
      </c>
    </row>
    <row r="11" spans="1:60" ht="21.6" x14ac:dyDescent="0.65">
      <c r="A11" s="195"/>
      <c r="B11" s="140">
        <v>8</v>
      </c>
      <c r="C11" s="8"/>
      <c r="D11" s="9"/>
      <c r="E11" s="10"/>
      <c r="F11" s="9"/>
      <c r="G11" s="141">
        <f>IF(Basic345[[#This Row],[نوع الخدمة]]="مخالفات", 50,
IF(Basic345[[#This Row],[نوع الخدمة]]="كاش ان",
    IF(F11&lt;=100, 18, IF(F11&lt;=250, 23, IF(F11&lt;=500, 35, IF(F11&lt;=1000, 40, F11*0.04)))),
IF(Basic345[[#This Row],[نوع الخدمة]]="كاش اوت",
    IF(F11&lt;=100, 15, IF(F11&lt;=250, 20, IF(F11&lt;=500, 30, IF(F11&lt;=1000, 35, F11*0.035)))),
0)))</f>
        <v>0</v>
      </c>
      <c r="H11" s="141">
        <f>IF(I11="مخالفات",50,Basic345[[#This Row],[قيمة الرسوم / العموله]]+Basic345[[#This Row],[قيمة الشحنه]])</f>
        <v>0</v>
      </c>
      <c r="I11" s="90"/>
      <c r="J11" s="142" t="str">
        <f t="shared" si="0"/>
        <v>28.5.2026</v>
      </c>
      <c r="L11" s="169" t="s">
        <v>77</v>
      </c>
      <c r="M11" s="168" t="s">
        <v>78</v>
      </c>
      <c r="O11" s="151" t="s">
        <v>21</v>
      </c>
      <c r="P11" s="152">
        <f>(P5+P6+P9+P7+P4)-P10-P8</f>
        <v>0</v>
      </c>
      <c r="T11" s="139"/>
    </row>
    <row r="12" spans="1:60" ht="21.6" x14ac:dyDescent="0.65">
      <c r="A12" s="195"/>
      <c r="B12" s="140">
        <v>9</v>
      </c>
      <c r="C12" s="8"/>
      <c r="D12" s="9"/>
      <c r="E12" s="10"/>
      <c r="F12" s="9"/>
      <c r="G12" s="141">
        <f>IF(Basic345[[#This Row],[نوع الخدمة]]="مخالفات", 50,
IF(Basic345[[#This Row],[نوع الخدمة]]="كاش ان",
    IF(F12&lt;=100, 18, IF(F12&lt;=250, 23, IF(F12&lt;=500, 35, IF(F12&lt;=1000, 40, F12*0.04)))),
IF(Basic345[[#This Row],[نوع الخدمة]]="كاش اوت",
    IF(F12&lt;=100, 15, IF(F12&lt;=250, 20, IF(F12&lt;=500, 30, IF(F12&lt;=1000, 35, F12*0.035)))),
0)))</f>
        <v>0</v>
      </c>
      <c r="H12" s="141">
        <f>IF(I12="مخالفات",50,Basic345[[#This Row],[قيمة الرسوم / العموله]]+Basic345[[#This Row],[قيمة الشحنه]])</f>
        <v>0</v>
      </c>
      <c r="I12" s="90"/>
      <c r="J12" s="142" t="str">
        <f t="shared" si="0"/>
        <v>28.5.2026</v>
      </c>
      <c r="L12" s="153">
        <v>1</v>
      </c>
      <c r="M12" s="91"/>
      <c r="O12" s="137" t="s">
        <v>29</v>
      </c>
      <c r="P12" s="138">
        <f>SUMIF(Basic345[نوع الخدمة],"كاش اوت",Basic345[الاجمــــــــــالي])</f>
        <v>0</v>
      </c>
    </row>
    <row r="13" spans="1:60" ht="21.6" x14ac:dyDescent="0.65">
      <c r="A13" s="195"/>
      <c r="B13" s="144">
        <v>10</v>
      </c>
      <c r="C13" s="8"/>
      <c r="D13" s="9"/>
      <c r="E13" s="10"/>
      <c r="F13" s="9"/>
      <c r="G13" s="141">
        <f>IF(Basic345[[#This Row],[نوع الخدمة]]="مخالفات", 50,
IF(Basic345[[#This Row],[نوع الخدمة]]="كاش ان",
    IF(F13&lt;=100, 18, IF(F13&lt;=250, 23, IF(F13&lt;=500, 35, IF(F13&lt;=1000, 40, F13*0.04)))),
IF(Basic345[[#This Row],[نوع الخدمة]]="كاش اوت",
    IF(F13&lt;=100, 15, IF(F13&lt;=250, 20, IF(F13&lt;=500, 30, IF(F13&lt;=1000, 35, F13*0.035)))),
0)))</f>
        <v>0</v>
      </c>
      <c r="H13" s="141">
        <f>IF(I13="مخالفات",50,Basic345[[#This Row],[قيمة الرسوم / العموله]]+Basic345[[#This Row],[قيمة الشحنه]])</f>
        <v>0</v>
      </c>
      <c r="I13" s="90"/>
      <c r="J13" s="142" t="str">
        <f t="shared" si="0"/>
        <v>28.5.2026</v>
      </c>
      <c r="L13" s="153">
        <v>2</v>
      </c>
      <c r="M13" s="92"/>
    </row>
    <row r="14" spans="1:60" ht="21.6" x14ac:dyDescent="0.65">
      <c r="A14" s="195"/>
      <c r="B14" s="140">
        <v>11</v>
      </c>
      <c r="C14" s="2"/>
      <c r="D14" s="1"/>
      <c r="E14" s="3"/>
      <c r="F14" s="1"/>
      <c r="G14" s="141">
        <f>IF(Basic345[[#This Row],[نوع الخدمة]]="مخالفات", 50,
IF(Basic345[[#This Row],[نوع الخدمة]]="كاش ان",
    IF(F14&lt;=100, 18, IF(F14&lt;=250, 23, IF(F14&lt;=500, 35, IF(F14&lt;=1000, 40, F14*0.04)))),
IF(Basic345[[#This Row],[نوع الخدمة]]="كاش اوت",
    IF(F14&lt;=100, 15, IF(F14&lt;=250, 20, IF(F14&lt;=500, 30, IF(F14&lt;=1000, 35, F14*0.035)))),
0)))</f>
        <v>0</v>
      </c>
      <c r="H14" s="159">
        <f>IF(I14="مخالفات",50,Basic345[[#This Row],[قيمة الرسوم / العموله]]+Basic345[[#This Row],[قيمة الشحنه]])</f>
        <v>0</v>
      </c>
      <c r="I14" s="90"/>
      <c r="J14" s="142" t="str">
        <f t="shared" si="0"/>
        <v>28.5.2026</v>
      </c>
      <c r="L14" s="153">
        <v>3</v>
      </c>
      <c r="M14" s="92"/>
    </row>
    <row r="15" spans="1:60" ht="21.6" x14ac:dyDescent="0.65">
      <c r="A15" s="195"/>
      <c r="B15" s="140">
        <v>12</v>
      </c>
      <c r="C15" s="2"/>
      <c r="D15" s="1"/>
      <c r="E15" s="3"/>
      <c r="F15" s="1"/>
      <c r="G15" s="141">
        <f>IF(Basic345[[#This Row],[نوع الخدمة]]="مخالفات", 50,
IF(Basic345[[#This Row],[نوع الخدمة]]="كاش ان",
    IF(F15&lt;=100, 18, IF(F15&lt;=250, 23, IF(F15&lt;=500, 35, IF(F15&lt;=1000, 40, F15*0.04)))),
IF(Basic345[[#This Row],[نوع الخدمة]]="كاش اوت",
    IF(F15&lt;=100, 15, IF(F15&lt;=250, 20, IF(F15&lt;=500, 30, IF(F15&lt;=1000, 35, F15*0.035)))),
0)))</f>
        <v>0</v>
      </c>
      <c r="H15" s="159">
        <f>IF(I15="مخالفات",50,Basic345[[#This Row],[قيمة الرسوم / العموله]]+Basic345[[#This Row],[قيمة الشحنه]])</f>
        <v>0</v>
      </c>
      <c r="I15" s="90"/>
      <c r="J15" s="142" t="str">
        <f t="shared" si="0"/>
        <v>28.5.2026</v>
      </c>
      <c r="L15" s="153">
        <v>4</v>
      </c>
      <c r="M15" s="92"/>
      <c r="O15" s="154" t="s">
        <v>10</v>
      </c>
      <c r="P15" s="155">
        <f>COUNTIF(Basic345[نوع الخدمة],"مخالفات")</f>
        <v>0</v>
      </c>
    </row>
    <row r="16" spans="1:60" ht="21.6" x14ac:dyDescent="0.65">
      <c r="A16" s="195"/>
      <c r="B16" s="140">
        <v>13</v>
      </c>
      <c r="C16" s="2"/>
      <c r="D16" s="1"/>
      <c r="E16" s="3"/>
      <c r="F16" s="1"/>
      <c r="G16" s="141">
        <f>IF(Basic345[[#This Row],[نوع الخدمة]]="مخالفات", 50,
IF(Basic345[[#This Row],[نوع الخدمة]]="كاش ان",
    IF(F16&lt;=100, 18, IF(F16&lt;=250, 23, IF(F16&lt;=500, 35, IF(F16&lt;=1000, 40, F16*0.04)))),
IF(Basic345[[#This Row],[نوع الخدمة]]="كاش اوت",
    IF(F16&lt;=100, 15, IF(F16&lt;=250, 20, IF(F16&lt;=500, 30, IF(F16&lt;=1000, 35, F16*0.035)))),
0)))</f>
        <v>0</v>
      </c>
      <c r="H16" s="159">
        <f>IF(I16="مخالفات",50,Basic345[[#This Row],[قيمة الرسوم / العموله]]+Basic345[[#This Row],[قيمة الشحنه]])</f>
        <v>0</v>
      </c>
      <c r="I16" s="90"/>
      <c r="J16" s="142" t="str">
        <f t="shared" si="0"/>
        <v>28.5.2026</v>
      </c>
      <c r="L16" s="153">
        <v>5</v>
      </c>
      <c r="M16" s="92"/>
      <c r="O16" s="154" t="s">
        <v>13</v>
      </c>
      <c r="P16" s="155">
        <f>COUNTIF(Basic345[نوع الخدمة],"كاش ان")</f>
        <v>0</v>
      </c>
    </row>
    <row r="17" spans="1:21" ht="21.6" x14ac:dyDescent="0.65">
      <c r="A17" s="195"/>
      <c r="B17" s="144">
        <v>14</v>
      </c>
      <c r="C17" s="2"/>
      <c r="D17" s="1"/>
      <c r="E17" s="3"/>
      <c r="F17" s="1"/>
      <c r="G17" s="141">
        <f>IF(Basic345[[#This Row],[نوع الخدمة]]="مخالفات", 50,
IF(Basic345[[#This Row],[نوع الخدمة]]="كاش ان",
    IF(F17&lt;=100, 18, IF(F17&lt;=250, 23, IF(F17&lt;=500, 35, IF(F17&lt;=1000, 40, F17*0.04)))),
IF(Basic345[[#This Row],[نوع الخدمة]]="كاش اوت",
    IF(F17&lt;=100, 15, IF(F17&lt;=250, 20, IF(F17&lt;=500, 30, IF(F17&lt;=1000, 35, F17*0.035)))),
0)))</f>
        <v>0</v>
      </c>
      <c r="H17" s="159">
        <f>IF(I17="مخالفات",50,Basic345[[#This Row],[قيمة الرسوم / العموله]]+Basic345[[#This Row],[قيمة الشحنه]])</f>
        <v>0</v>
      </c>
      <c r="I17" s="90"/>
      <c r="J17" s="142" t="str">
        <f t="shared" si="0"/>
        <v>28.5.2026</v>
      </c>
      <c r="L17" s="153">
        <v>6</v>
      </c>
      <c r="M17" s="92"/>
      <c r="O17" s="154" t="s">
        <v>14</v>
      </c>
      <c r="P17" s="155">
        <f>COUNTIF(Basic345[نوع الخدمة],"كاش اوت")</f>
        <v>0</v>
      </c>
    </row>
    <row r="18" spans="1:21" ht="21.6" x14ac:dyDescent="0.65">
      <c r="A18" s="195"/>
      <c r="B18" s="140">
        <v>15</v>
      </c>
      <c r="C18" s="2"/>
      <c r="D18" s="1"/>
      <c r="E18" s="3"/>
      <c r="F18" s="1"/>
      <c r="G18" s="141">
        <f>IF(Basic345[[#This Row],[نوع الخدمة]]="مخالفات", 50,
IF(Basic345[[#This Row],[نوع الخدمة]]="كاش ان",
    IF(F18&lt;=100, 18, IF(F18&lt;=250, 23, IF(F18&lt;=500, 35, IF(F18&lt;=1000, 40, F18*0.04)))),
IF(Basic345[[#This Row],[نوع الخدمة]]="كاش اوت",
    IF(F18&lt;=100, 15, IF(F18&lt;=250, 20, IF(F18&lt;=500, 30, IF(F18&lt;=1000, 35, F18*0.035)))),
0)))</f>
        <v>0</v>
      </c>
      <c r="H18" s="159">
        <f>IF(I18="مخالفات",50,Basic345[[#This Row],[قيمة الرسوم / العموله]]+Basic345[[#This Row],[قيمة الشحنه]])</f>
        <v>0</v>
      </c>
      <c r="I18" s="90"/>
      <c r="J18" s="142" t="str">
        <f t="shared" si="0"/>
        <v>28.5.2026</v>
      </c>
      <c r="L18" s="153">
        <v>7</v>
      </c>
      <c r="M18" s="92"/>
      <c r="O18" s="154" t="s">
        <v>15</v>
      </c>
      <c r="P18" s="155">
        <f>P16+P17</f>
        <v>0</v>
      </c>
    </row>
    <row r="19" spans="1:21" ht="21.6" x14ac:dyDescent="0.65">
      <c r="A19" s="195"/>
      <c r="B19" s="140">
        <v>16</v>
      </c>
      <c r="C19" s="2"/>
      <c r="D19" s="1"/>
      <c r="E19" s="3"/>
      <c r="F19" s="1"/>
      <c r="G19" s="141">
        <f>IF(Basic345[[#This Row],[نوع الخدمة]]="مخالفات", 50,
IF(Basic345[[#This Row],[نوع الخدمة]]="كاش ان",
    IF(F19&lt;=100, 18, IF(F19&lt;=250, 23, IF(F19&lt;=500, 35, IF(F19&lt;=1000, 40, F19*0.04)))),
IF(Basic345[[#This Row],[نوع الخدمة]]="كاش اوت",
    IF(F19&lt;=100, 15, IF(F19&lt;=250, 20, IF(F19&lt;=500, 30, IF(F19&lt;=1000, 35, F19*0.035)))),
0)))</f>
        <v>0</v>
      </c>
      <c r="H19" s="159">
        <f>IF(I19="مخالفات",50,Basic345[[#This Row],[قيمة الرسوم / العموله]]+Basic345[[#This Row],[قيمة الشحنه]])</f>
        <v>0</v>
      </c>
      <c r="I19" s="90"/>
      <c r="J19" s="142" t="str">
        <f t="shared" si="0"/>
        <v>28.5.2026</v>
      </c>
      <c r="L19" s="153">
        <v>8</v>
      </c>
      <c r="M19" s="92"/>
    </row>
    <row r="20" spans="1:21" ht="21.6" x14ac:dyDescent="0.65">
      <c r="A20" s="195"/>
      <c r="B20" s="140">
        <v>17</v>
      </c>
      <c r="C20" s="2"/>
      <c r="D20" s="1"/>
      <c r="E20" s="3"/>
      <c r="F20" s="1"/>
      <c r="G20" s="141">
        <f>IF(Basic345[[#This Row],[نوع الخدمة]]="مخالفات", 50,
IF(Basic345[[#This Row],[نوع الخدمة]]="كاش ان",
    IF(F20&lt;=100, 18, IF(F20&lt;=250, 23, IF(F20&lt;=500, 35, IF(F20&lt;=1000, 40, F20*0.04)))),
IF(Basic345[[#This Row],[نوع الخدمة]]="كاش اوت",
    IF(F20&lt;=100, 15, IF(F20&lt;=250, 20, IF(F20&lt;=500, 30, IF(F20&lt;=1000, 35, F20*0.035)))),
0)))</f>
        <v>0</v>
      </c>
      <c r="H20" s="159">
        <f>IF(I20="مخالفات",50,Basic345[[#This Row],[قيمة الرسوم / العموله]]+Basic345[[#This Row],[قيمة الشحنه]])</f>
        <v>0</v>
      </c>
      <c r="I20" s="90"/>
      <c r="J20" s="142" t="str">
        <f t="shared" si="0"/>
        <v>28.5.2026</v>
      </c>
      <c r="L20" s="153">
        <v>9</v>
      </c>
      <c r="M20" s="92"/>
      <c r="O20" s="193" t="s">
        <v>30</v>
      </c>
      <c r="P20" s="194"/>
    </row>
    <row r="21" spans="1:21" ht="21.6" x14ac:dyDescent="0.65">
      <c r="A21" s="195"/>
      <c r="B21" s="144">
        <v>18</v>
      </c>
      <c r="C21" s="2"/>
      <c r="D21" s="1"/>
      <c r="E21" s="3"/>
      <c r="F21" s="1"/>
      <c r="G21" s="141">
        <f>IF(Basic345[[#This Row],[نوع الخدمة]]="مخالفات", 50,
IF(Basic345[[#This Row],[نوع الخدمة]]="كاش ان",
    IF(F21&lt;=100, 18, IF(F21&lt;=250, 23, IF(F21&lt;=500, 35, IF(F21&lt;=1000, 40, F21*0.04)))),
IF(Basic345[[#This Row],[نوع الخدمة]]="كاش اوت",
    IF(F21&lt;=100, 15, IF(F21&lt;=250, 20, IF(F21&lt;=500, 30, IF(F21&lt;=1000, 35, F21*0.035)))),
0)))</f>
        <v>0</v>
      </c>
      <c r="H21" s="159">
        <f>IF(I21="مخالفات",50,Basic345[[#This Row],[قيمة الرسوم / العموله]]+Basic345[[#This Row],[قيمة الشحنه]])</f>
        <v>0</v>
      </c>
      <c r="I21" s="90"/>
      <c r="J21" s="142" t="str">
        <f t="shared" si="0"/>
        <v>28.5.2026</v>
      </c>
      <c r="L21" s="153">
        <v>10</v>
      </c>
      <c r="M21" s="92"/>
      <c r="O21" s="196" t="s">
        <v>31</v>
      </c>
      <c r="P21" s="197"/>
    </row>
    <row r="22" spans="1:21" ht="21.6" x14ac:dyDescent="0.65">
      <c r="A22" s="195"/>
      <c r="B22" s="140">
        <v>19</v>
      </c>
      <c r="C22" s="2"/>
      <c r="D22" s="1"/>
      <c r="E22" s="3"/>
      <c r="F22" s="1"/>
      <c r="G22" s="141">
        <f>IF(Basic345[[#This Row],[نوع الخدمة]]="مخالفات", 50,
IF(Basic345[[#This Row],[نوع الخدمة]]="كاش ان",
    IF(F22&lt;=100, 18, IF(F22&lt;=250, 23, IF(F22&lt;=500, 35, IF(F22&lt;=1000, 40, F22*0.04)))),
IF(Basic345[[#This Row],[نوع الخدمة]]="كاش اوت",
    IF(F22&lt;=100, 15, IF(F22&lt;=250, 20, IF(F22&lt;=500, 30, IF(F22&lt;=1000, 35, F22*0.035)))),
0)))</f>
        <v>0</v>
      </c>
      <c r="H22" s="159">
        <f>IF(I22="مخالفات",50,Basic345[[#This Row],[قيمة الرسوم / العموله]]+Basic345[[#This Row],[قيمة الشحنه]])</f>
        <v>0</v>
      </c>
      <c r="I22" s="90"/>
      <c r="J22" s="142" t="str">
        <f t="shared" si="0"/>
        <v>28.5.2026</v>
      </c>
      <c r="L22" s="153">
        <v>11</v>
      </c>
      <c r="M22" s="92"/>
      <c r="O22" s="147" t="s">
        <v>27</v>
      </c>
      <c r="P22" s="135">
        <f>M8+'27'!P28</f>
        <v>-4</v>
      </c>
    </row>
    <row r="23" spans="1:21" ht="21.6" x14ac:dyDescent="0.65">
      <c r="A23" s="195"/>
      <c r="B23" s="140">
        <v>20</v>
      </c>
      <c r="C23" s="2"/>
      <c r="D23" s="1"/>
      <c r="E23" s="3"/>
      <c r="F23" s="1"/>
      <c r="G23" s="141">
        <f>IF(Basic345[[#This Row],[نوع الخدمة]]="مخالفات", 50,
IF(Basic345[[#This Row],[نوع الخدمة]]="كاش ان",
    IF(F23&lt;=100, 18, IF(F23&lt;=250, 23, IF(F23&lt;=500, 35, IF(F23&lt;=1000, 40, F23*0.04)))),
IF(Basic345[[#This Row],[نوع الخدمة]]="كاش اوت",
    IF(F23&lt;=100, 15, IF(F23&lt;=250, 20, IF(F23&lt;=500, 30, IF(F23&lt;=1000, 35, F23*0.035)))),
0)))</f>
        <v>0</v>
      </c>
      <c r="H23" s="159">
        <f>IF(I23="مخالفات",50,Basic345[[#This Row],[قيمة الرسوم / العموله]]+Basic345[[#This Row],[قيمة الشحنه]])</f>
        <v>0</v>
      </c>
      <c r="I23" s="90"/>
      <c r="J23" s="142" t="str">
        <f t="shared" si="0"/>
        <v>28.5.2026</v>
      </c>
      <c r="L23" s="153">
        <v>12</v>
      </c>
      <c r="M23" s="92"/>
      <c r="O23" s="147" t="s">
        <v>28</v>
      </c>
      <c r="P23" s="135">
        <f>M9+'27'!P29</f>
        <v>0</v>
      </c>
      <c r="T23" s="139"/>
      <c r="U23" s="139"/>
    </row>
    <row r="24" spans="1:21" ht="21.6" x14ac:dyDescent="0.65">
      <c r="A24" s="195"/>
      <c r="B24" s="140">
        <v>21</v>
      </c>
      <c r="C24" s="2"/>
      <c r="D24" s="1"/>
      <c r="E24" s="3"/>
      <c r="F24" s="1"/>
      <c r="G24" s="141">
        <f>IF(Basic345[[#This Row],[نوع الخدمة]]="مخالفات", 50,
IF(Basic345[[#This Row],[نوع الخدمة]]="كاش ان",
    IF(F24&lt;=100, 18, IF(F24&lt;=250, 23, IF(F24&lt;=500, 35, IF(F24&lt;=1000, 40, F24*0.04)))),
IF(Basic345[[#This Row],[نوع الخدمة]]="كاش اوت",
    IF(F24&lt;=100, 15, IF(F24&lt;=250, 20, IF(F24&lt;=500, 30, IF(F24&lt;=1000, 35, F24*0.035)))),
0)))</f>
        <v>0</v>
      </c>
      <c r="H24" s="159">
        <f>IF(I24="مخالفات",50,Basic345[[#This Row],[قيمة الرسوم / العموله]]+Basic345[[#This Row],[قيمة الشحنه]])</f>
        <v>0</v>
      </c>
      <c r="I24" s="90"/>
      <c r="J24" s="142" t="str">
        <f t="shared" si="0"/>
        <v>28.5.2026</v>
      </c>
      <c r="L24" s="153">
        <v>13</v>
      </c>
      <c r="M24" s="92"/>
      <c r="O24" s="196" t="s">
        <v>32</v>
      </c>
      <c r="P24" s="197"/>
    </row>
    <row r="25" spans="1:21" ht="21.6" x14ac:dyDescent="0.65">
      <c r="A25" s="195"/>
      <c r="B25" s="144">
        <v>22</v>
      </c>
      <c r="C25" s="2"/>
      <c r="D25" s="1"/>
      <c r="E25" s="3"/>
      <c r="F25" s="1"/>
      <c r="G25" s="141">
        <f>IF(Basic345[[#This Row],[نوع الخدمة]]="مخالفات", 50,
IF(Basic345[[#This Row],[نوع الخدمة]]="كاش ان",
    IF(F25&lt;=100, 18, IF(F25&lt;=250, 23, IF(F25&lt;=500, 35, IF(F25&lt;=1000, 40, F25*0.04)))),
IF(Basic345[[#This Row],[نوع الخدمة]]="كاش اوت",
    IF(F25&lt;=100, 15, IF(F25&lt;=250, 20, IF(F25&lt;=500, 30, IF(F25&lt;=1000, 35, F25*0.035)))),
0)))</f>
        <v>0</v>
      </c>
      <c r="H25" s="159">
        <f>IF(I25="مخالفات",50,Basic345[[#This Row],[قيمة الرسوم / العموله]]+Basic345[[#This Row],[قيمة الشحنه]])</f>
        <v>0</v>
      </c>
      <c r="I25" s="90"/>
      <c r="J25" s="142" t="str">
        <f t="shared" si="0"/>
        <v>28.5.2026</v>
      </c>
      <c r="L25" s="153">
        <v>14</v>
      </c>
      <c r="M25" s="92"/>
      <c r="O25" s="147" t="s">
        <v>27</v>
      </c>
      <c r="P25" s="135">
        <f>M5</f>
        <v>0</v>
      </c>
    </row>
    <row r="26" spans="1:21" ht="21.6" x14ac:dyDescent="0.65">
      <c r="A26" s="195"/>
      <c r="B26" s="140">
        <v>23</v>
      </c>
      <c r="C26" s="2"/>
      <c r="D26" s="1"/>
      <c r="E26" s="3"/>
      <c r="F26" s="1"/>
      <c r="G26" s="141">
        <f>IF(Basic345[[#This Row],[نوع الخدمة]]="مخالفات", 50,
IF(Basic345[[#This Row],[نوع الخدمة]]="كاش ان",
    IF(F26&lt;=100, 18, IF(F26&lt;=250, 23, IF(F26&lt;=500, 35, IF(F26&lt;=1000, 40, F26*0.04)))),
IF(Basic345[[#This Row],[نوع الخدمة]]="كاش اوت",
    IF(F26&lt;=100, 15, IF(F26&lt;=250, 20, IF(F26&lt;=500, 30, IF(F26&lt;=1000, 35, F26*0.035)))),
0)))</f>
        <v>0</v>
      </c>
      <c r="H26" s="159">
        <f>IF(I26="مخالفات",50,Basic345[[#This Row],[قيمة الرسوم / العموله]]+Basic345[[#This Row],[قيمة الشحنه]])</f>
        <v>0</v>
      </c>
      <c r="I26" s="90"/>
      <c r="J26" s="142" t="str">
        <f t="shared" si="0"/>
        <v>28.5.2026</v>
      </c>
      <c r="L26" s="153">
        <v>15</v>
      </c>
      <c r="M26" s="92"/>
      <c r="O26" s="147" t="s">
        <v>28</v>
      </c>
      <c r="P26" s="135">
        <f>M6</f>
        <v>0</v>
      </c>
    </row>
    <row r="27" spans="1:21" ht="21.6" x14ac:dyDescent="0.65">
      <c r="A27" s="195"/>
      <c r="B27" s="140">
        <v>24</v>
      </c>
      <c r="C27" s="2"/>
      <c r="D27" s="1"/>
      <c r="E27" s="3"/>
      <c r="F27" s="1"/>
      <c r="G27" s="141">
        <f>IF(Basic345[[#This Row],[نوع الخدمة]]="مخالفات", 50,
IF(Basic345[[#This Row],[نوع الخدمة]]="كاش ان",
    IF(F27&lt;=100, 18, IF(F27&lt;=250, 23, IF(F27&lt;=500, 35, IF(F27&lt;=1000, 40, F27*0.04)))),
IF(Basic345[[#This Row],[نوع الخدمة]]="كاش اوت",
    IF(F27&lt;=100, 15, IF(F27&lt;=250, 20, IF(F27&lt;=500, 30, IF(F27&lt;=1000, 35, F27*0.035)))),
0)))</f>
        <v>0</v>
      </c>
      <c r="H27" s="159">
        <f>IF(I27="مخالفات",50,Basic345[[#This Row],[قيمة الرسوم / العموله]]+Basic345[[#This Row],[قيمة الشحنه]])</f>
        <v>0</v>
      </c>
      <c r="I27" s="90"/>
      <c r="J27" s="142" t="str">
        <f t="shared" si="0"/>
        <v>28.5.2026</v>
      </c>
      <c r="L27" s="153">
        <v>16</v>
      </c>
      <c r="M27" s="92"/>
      <c r="O27" s="196" t="s">
        <v>33</v>
      </c>
      <c r="P27" s="197"/>
    </row>
    <row r="28" spans="1:21" ht="21.6" x14ac:dyDescent="0.65">
      <c r="A28" s="195"/>
      <c r="B28" s="140">
        <v>25</v>
      </c>
      <c r="C28" s="2"/>
      <c r="D28" s="1"/>
      <c r="E28" s="3"/>
      <c r="F28" s="1"/>
      <c r="G28" s="141">
        <f>IF(Basic345[[#This Row],[نوع الخدمة]]="مخالفات", 50,
IF(Basic345[[#This Row],[نوع الخدمة]]="كاش ان",
    IF(F28&lt;=100, 18, IF(F28&lt;=250, 23, IF(F28&lt;=500, 35, IF(F28&lt;=1000, 40, F28*0.04)))),
IF(Basic345[[#This Row],[نوع الخدمة]]="كاش اوت",
    IF(F28&lt;=100, 15, IF(F28&lt;=250, 20, IF(F28&lt;=500, 30, IF(F28&lt;=1000, 35, F28*0.035)))),
0)))</f>
        <v>0</v>
      </c>
      <c r="H28" s="159">
        <f>IF(I28="مخالفات",50,Basic345[[#This Row],[قيمة الرسوم / العموله]]+Basic345[[#This Row],[قيمة الشحنه]])</f>
        <v>0</v>
      </c>
      <c r="I28" s="90"/>
      <c r="J28" s="142" t="str">
        <f t="shared" si="0"/>
        <v>28.5.2026</v>
      </c>
      <c r="L28" s="153">
        <v>17</v>
      </c>
      <c r="M28" s="92"/>
      <c r="O28" s="147" t="s">
        <v>27</v>
      </c>
      <c r="P28" s="135">
        <f>P22-P25</f>
        <v>-4</v>
      </c>
    </row>
    <row r="29" spans="1:21" ht="21.6" x14ac:dyDescent="0.65">
      <c r="A29" s="195"/>
      <c r="B29" s="144">
        <v>26</v>
      </c>
      <c r="C29" s="2"/>
      <c r="D29" s="1"/>
      <c r="E29" s="3"/>
      <c r="F29" s="1"/>
      <c r="G29" s="141">
        <f>IF(Basic345[[#This Row],[نوع الخدمة]]="مخالفات", 50,
IF(Basic345[[#This Row],[نوع الخدمة]]="كاش ان",
    IF(F29&lt;=100, 18, IF(F29&lt;=250, 23, IF(F29&lt;=500, 35, IF(F29&lt;=1000, 40, F29*0.04)))),
IF(Basic345[[#This Row],[نوع الخدمة]]="كاش اوت",
    IF(F29&lt;=100, 15, IF(F29&lt;=250, 20, IF(F29&lt;=500, 30, IF(F29&lt;=1000, 35, F29*0.035)))),
0)))</f>
        <v>0</v>
      </c>
      <c r="H29" s="159">
        <f>IF(I29="مخالفات",50,Basic345[[#This Row],[قيمة الرسوم / العموله]]+Basic345[[#This Row],[قيمة الشحنه]])</f>
        <v>0</v>
      </c>
      <c r="I29" s="90"/>
      <c r="J29" s="142" t="str">
        <f t="shared" si="0"/>
        <v>28.5.2026</v>
      </c>
      <c r="L29" s="153">
        <v>18</v>
      </c>
      <c r="M29" s="92"/>
      <c r="O29" s="147" t="s">
        <v>28</v>
      </c>
      <c r="P29" s="135">
        <f>P23-P26</f>
        <v>0</v>
      </c>
    </row>
    <row r="30" spans="1:21" ht="21.6" x14ac:dyDescent="0.65">
      <c r="A30" s="195"/>
      <c r="B30" s="140">
        <v>27</v>
      </c>
      <c r="C30" s="2"/>
      <c r="D30" s="1"/>
      <c r="E30" s="3"/>
      <c r="F30" s="1"/>
      <c r="G30" s="141">
        <f>IF(Basic345[[#This Row],[نوع الخدمة]]="مخالفات", 50,
IF(Basic345[[#This Row],[نوع الخدمة]]="كاش ان",
    IF(F30&lt;=100, 18, IF(F30&lt;=250, 23, IF(F30&lt;=500, 35, IF(F30&lt;=1000, 40, F30*0.04)))),
IF(Basic345[[#This Row],[نوع الخدمة]]="كاش اوت",
    IF(F30&lt;=100, 15, IF(F30&lt;=250, 20, IF(F30&lt;=500, 30, IF(F30&lt;=1000, 35, F30*0.035)))),
0)))</f>
        <v>0</v>
      </c>
      <c r="H30" s="159">
        <f>IF(I30="مخالفات",50,Basic345[[#This Row],[قيمة الرسوم / العموله]]+Basic345[[#This Row],[قيمة الشحنه]])</f>
        <v>0</v>
      </c>
      <c r="I30" s="90"/>
      <c r="J30" s="142" t="str">
        <f t="shared" si="0"/>
        <v>28.5.2026</v>
      </c>
      <c r="L30" s="153">
        <v>19</v>
      </c>
      <c r="M30" s="92"/>
    </row>
    <row r="31" spans="1:21" ht="21.6" x14ac:dyDescent="0.65">
      <c r="A31" s="195"/>
      <c r="B31" s="140">
        <v>28</v>
      </c>
      <c r="C31" s="2"/>
      <c r="D31" s="1"/>
      <c r="E31" s="3"/>
      <c r="F31" s="1"/>
      <c r="G31" s="141">
        <f>IF(Basic345[[#This Row],[نوع الخدمة]]="مخالفات", 50,
IF(Basic345[[#This Row],[نوع الخدمة]]="كاش ان",
    IF(F31&lt;=100, 18, IF(F31&lt;=250, 23, IF(F31&lt;=500, 35, IF(F31&lt;=1000, 40, F31*0.04)))),
IF(Basic345[[#This Row],[نوع الخدمة]]="كاش اوت",
    IF(F31&lt;=100, 15, IF(F31&lt;=250, 20, IF(F31&lt;=500, 30, IF(F31&lt;=1000, 35, F31*0.035)))),
0)))</f>
        <v>0</v>
      </c>
      <c r="H31" s="159">
        <f>IF(I31="مخالفات",50,Basic345[[#This Row],[قيمة الرسوم / العموله]]+Basic345[[#This Row],[قيمة الشحنه]])</f>
        <v>0</v>
      </c>
      <c r="I31" s="90"/>
      <c r="J31" s="142" t="str">
        <f t="shared" si="0"/>
        <v>28.5.2026</v>
      </c>
      <c r="L31" s="153">
        <v>20</v>
      </c>
      <c r="M31" s="92"/>
    </row>
    <row r="32" spans="1:21" ht="21.6" x14ac:dyDescent="0.65">
      <c r="A32" s="195"/>
      <c r="B32" s="140">
        <v>29</v>
      </c>
      <c r="C32" s="2"/>
      <c r="D32" s="1"/>
      <c r="E32" s="3"/>
      <c r="F32" s="1"/>
      <c r="G32" s="141">
        <f>IF(Basic345[[#This Row],[نوع الخدمة]]="مخالفات", 50,
IF(Basic345[[#This Row],[نوع الخدمة]]="كاش ان",
    IF(F32&lt;=100, 18, IF(F32&lt;=250, 23, IF(F32&lt;=500, 35, IF(F32&lt;=1000, 40, F32*0.04)))),
IF(Basic345[[#This Row],[نوع الخدمة]]="كاش اوت",
    IF(F32&lt;=100, 15, IF(F32&lt;=250, 20, IF(F32&lt;=500, 30, IF(F32&lt;=1000, 35, F32*0.035)))),
0)))</f>
        <v>0</v>
      </c>
      <c r="H32" s="159">
        <f>IF(I32="مخالفات",50,Basic345[[#This Row],[قيمة الرسوم / العموله]]+Basic345[[#This Row],[قيمة الشحنه]])</f>
        <v>0</v>
      </c>
      <c r="I32" s="90"/>
      <c r="J32" s="142" t="str">
        <f t="shared" si="0"/>
        <v>28.5.2026</v>
      </c>
      <c r="L32" s="153">
        <v>21</v>
      </c>
      <c r="M32" s="92"/>
    </row>
    <row r="33" spans="1:13" ht="21.6" x14ac:dyDescent="0.65">
      <c r="A33" s="195"/>
      <c r="B33" s="144">
        <v>30</v>
      </c>
      <c r="C33" s="2"/>
      <c r="D33" s="1"/>
      <c r="E33" s="3"/>
      <c r="F33" s="1"/>
      <c r="G33" s="141">
        <f>IF(Basic345[[#This Row],[نوع الخدمة]]="مخالفات", 50,
IF(Basic345[[#This Row],[نوع الخدمة]]="كاش ان",
    IF(F33&lt;=100, 18, IF(F33&lt;=250, 23, IF(F33&lt;=500, 35, IF(F33&lt;=1000, 40, F33*0.04)))),
IF(Basic345[[#This Row],[نوع الخدمة]]="كاش اوت",
    IF(F33&lt;=100, 15, IF(F33&lt;=250, 20, IF(F33&lt;=500, 30, IF(F33&lt;=1000, 35, F33*0.035)))),
0)))</f>
        <v>0</v>
      </c>
      <c r="H33" s="159">
        <f>IF(I33="مخالفات",50,Basic345[[#This Row],[قيمة الرسوم / العموله]]+Basic345[[#This Row],[قيمة الشحنه]])</f>
        <v>0</v>
      </c>
      <c r="I33" s="90"/>
      <c r="J33" s="142" t="str">
        <f t="shared" si="0"/>
        <v>28.5.2026</v>
      </c>
      <c r="L33" s="153">
        <v>22</v>
      </c>
      <c r="M33" s="92"/>
    </row>
    <row r="34" spans="1:13" ht="21.6" x14ac:dyDescent="0.65">
      <c r="A34" s="195"/>
      <c r="B34" s="140">
        <v>31</v>
      </c>
      <c r="C34" s="2"/>
      <c r="D34" s="1"/>
      <c r="E34" s="3"/>
      <c r="F34" s="1"/>
      <c r="G34" s="141">
        <f>IF(Basic345[[#This Row],[نوع الخدمة]]="مخالفات", 50,
IF(Basic345[[#This Row],[نوع الخدمة]]="كاش ان",
    IF(F34&lt;=100, 18, IF(F34&lt;=250, 23, IF(F34&lt;=500, 35, IF(F34&lt;=1000, 40, F34*0.04)))),
IF(Basic345[[#This Row],[نوع الخدمة]]="كاش اوت",
    IF(F34&lt;=100, 15, IF(F34&lt;=250, 20, IF(F34&lt;=500, 30, IF(F34&lt;=1000, 35, F34*0.035)))),
0)))</f>
        <v>0</v>
      </c>
      <c r="H34" s="159">
        <f>IF(I34="مخالفات",50,Basic345[[#This Row],[قيمة الرسوم / العموله]]+Basic345[[#This Row],[قيمة الشحنه]])</f>
        <v>0</v>
      </c>
      <c r="I34" s="90"/>
      <c r="J34" s="142" t="str">
        <f t="shared" si="0"/>
        <v>28.5.2026</v>
      </c>
      <c r="L34" s="153">
        <v>23</v>
      </c>
      <c r="M34" s="92"/>
    </row>
    <row r="35" spans="1:13" ht="21.6" x14ac:dyDescent="0.65">
      <c r="A35" s="195"/>
      <c r="B35" s="140">
        <v>32</v>
      </c>
      <c r="C35" s="2"/>
      <c r="D35" s="1"/>
      <c r="E35" s="3"/>
      <c r="F35" s="1"/>
      <c r="G35" s="141">
        <f>IF(Basic345[[#This Row],[نوع الخدمة]]="مخالفات", 50,
IF(Basic345[[#This Row],[نوع الخدمة]]="كاش ان",
    IF(F35&lt;=100, 18, IF(F35&lt;=250, 23, IF(F35&lt;=500, 35, IF(F35&lt;=1000, 40, F35*0.04)))),
IF(Basic345[[#This Row],[نوع الخدمة]]="كاش اوت",
    IF(F35&lt;=100, 15, IF(F35&lt;=250, 20, IF(F35&lt;=500, 30, IF(F35&lt;=1000, 35, F35*0.035)))),
0)))</f>
        <v>0</v>
      </c>
      <c r="H35" s="159">
        <f>IF(I35="مخالفات",50,Basic345[[#This Row],[قيمة الرسوم / العموله]]+Basic345[[#This Row],[قيمة الشحنه]])</f>
        <v>0</v>
      </c>
      <c r="I35" s="90"/>
      <c r="J35" s="142" t="str">
        <f t="shared" si="0"/>
        <v>28.5.2026</v>
      </c>
      <c r="L35" s="153">
        <v>24</v>
      </c>
      <c r="M35" s="92"/>
    </row>
    <row r="36" spans="1:13" ht="21.6" x14ac:dyDescent="0.65">
      <c r="A36" s="195"/>
      <c r="B36" s="140">
        <v>33</v>
      </c>
      <c r="C36" s="2"/>
      <c r="D36" s="1"/>
      <c r="E36" s="3"/>
      <c r="F36" s="1"/>
      <c r="G36" s="141">
        <f>IF(Basic345[[#This Row],[نوع الخدمة]]="مخالفات", 50,
IF(Basic345[[#This Row],[نوع الخدمة]]="كاش ان",
    IF(F36&lt;=100, 18, IF(F36&lt;=250, 23, IF(F36&lt;=500, 35, IF(F36&lt;=1000, 40, F36*0.04)))),
IF(Basic345[[#This Row],[نوع الخدمة]]="كاش اوت",
    IF(F36&lt;=100, 15, IF(F36&lt;=250, 20, IF(F36&lt;=500, 30, IF(F36&lt;=1000, 35, F36*0.035)))),
0)))</f>
        <v>0</v>
      </c>
      <c r="H36" s="159">
        <f>IF(I36="مخالفات",50,Basic345[[#This Row],[قيمة الرسوم / العموله]]+Basic345[[#This Row],[قيمة الشحنه]])</f>
        <v>0</v>
      </c>
      <c r="I36" s="90"/>
      <c r="J36" s="142" t="str">
        <f t="shared" si="0"/>
        <v>28.5.2026</v>
      </c>
      <c r="L36" s="153">
        <v>25</v>
      </c>
      <c r="M36" s="92"/>
    </row>
    <row r="37" spans="1:13" ht="21.6" x14ac:dyDescent="0.65">
      <c r="A37" s="195"/>
      <c r="B37" s="144">
        <v>34</v>
      </c>
      <c r="C37" s="2"/>
      <c r="D37" s="1"/>
      <c r="E37" s="3"/>
      <c r="F37" s="1"/>
      <c r="G37" s="141">
        <f>IF(Basic345[[#This Row],[نوع الخدمة]]="مخالفات", 50,
IF(Basic345[[#This Row],[نوع الخدمة]]="كاش ان",
    IF(F37&lt;=100, 18, IF(F37&lt;=250, 23, IF(F37&lt;=500, 35, IF(F37&lt;=1000, 40, F37*0.04)))),
IF(Basic345[[#This Row],[نوع الخدمة]]="كاش اوت",
    IF(F37&lt;=100, 15, IF(F37&lt;=250, 20, IF(F37&lt;=500, 30, IF(F37&lt;=1000, 35, F37*0.035)))),
0)))</f>
        <v>0</v>
      </c>
      <c r="H37" s="159">
        <f>IF(I37="مخالفات",50,Basic345[[#This Row],[قيمة الرسوم / العموله]]+Basic345[[#This Row],[قيمة الشحنه]])</f>
        <v>0</v>
      </c>
      <c r="I37" s="90"/>
      <c r="J37" s="142" t="str">
        <f t="shared" si="0"/>
        <v>28.5.2026</v>
      </c>
      <c r="L37" s="153">
        <v>26</v>
      </c>
      <c r="M37" s="92"/>
    </row>
    <row r="38" spans="1:13" ht="21.6" x14ac:dyDescent="0.65">
      <c r="A38" s="195"/>
      <c r="B38" s="140">
        <v>35</v>
      </c>
      <c r="C38" s="2"/>
      <c r="D38" s="1"/>
      <c r="E38" s="3"/>
      <c r="F38" s="1"/>
      <c r="G38" s="141">
        <f>IF(Basic345[[#This Row],[نوع الخدمة]]="مخالفات", 50,
IF(Basic345[[#This Row],[نوع الخدمة]]="كاش ان",
    IF(F38&lt;=100, 18, IF(F38&lt;=250, 23, IF(F38&lt;=500, 35, IF(F38&lt;=1000, 40, F38*0.04)))),
IF(Basic345[[#This Row],[نوع الخدمة]]="كاش اوت",
    IF(F38&lt;=100, 15, IF(F38&lt;=250, 20, IF(F38&lt;=500, 30, IF(F38&lt;=1000, 35, F38*0.035)))),
0)))</f>
        <v>0</v>
      </c>
      <c r="H38" s="159">
        <f>IF(I38="مخالفات",50,Basic345[[#This Row],[قيمة الرسوم / العموله]]+Basic345[[#This Row],[قيمة الشحنه]])</f>
        <v>0</v>
      </c>
      <c r="I38" s="90"/>
      <c r="J38" s="142" t="str">
        <f t="shared" si="0"/>
        <v>28.5.2026</v>
      </c>
      <c r="L38" s="153">
        <v>27</v>
      </c>
      <c r="M38" s="92"/>
    </row>
    <row r="39" spans="1:13" ht="21.6" x14ac:dyDescent="0.65">
      <c r="A39" s="195"/>
      <c r="B39" s="140">
        <v>36</v>
      </c>
      <c r="C39" s="2"/>
      <c r="D39" s="1"/>
      <c r="E39" s="3"/>
      <c r="F39" s="1"/>
      <c r="G39" s="141">
        <f>IF(Basic345[[#This Row],[نوع الخدمة]]="مخالفات", 50,
IF(Basic345[[#This Row],[نوع الخدمة]]="كاش ان",
    IF(F39&lt;=100, 18, IF(F39&lt;=250, 23, IF(F39&lt;=500, 35, IF(F39&lt;=1000, 40, F39*0.04)))),
IF(Basic345[[#This Row],[نوع الخدمة]]="كاش اوت",
    IF(F39&lt;=100, 15, IF(F39&lt;=250, 20, IF(F39&lt;=500, 30, IF(F39&lt;=1000, 35, F39*0.035)))),
0)))</f>
        <v>0</v>
      </c>
      <c r="H39" s="159">
        <f>IF(I39="مخالفات",50,Basic345[[#This Row],[قيمة الرسوم / العموله]]+Basic345[[#This Row],[قيمة الشحنه]])</f>
        <v>0</v>
      </c>
      <c r="I39" s="90"/>
      <c r="J39" s="142" t="str">
        <f t="shared" si="0"/>
        <v>28.5.2026</v>
      </c>
      <c r="L39" s="153">
        <v>28</v>
      </c>
      <c r="M39" s="92"/>
    </row>
    <row r="40" spans="1:13" ht="21.6" x14ac:dyDescent="0.65">
      <c r="A40" s="195"/>
      <c r="B40" s="140">
        <v>37</v>
      </c>
      <c r="C40" s="2"/>
      <c r="D40" s="1"/>
      <c r="E40" s="3"/>
      <c r="F40" s="1"/>
      <c r="G40" s="141">
        <f>IF(Basic345[[#This Row],[نوع الخدمة]]="مخالفات", 50,
IF(Basic345[[#This Row],[نوع الخدمة]]="كاش ان",
    IF(F40&lt;=100, 18, IF(F40&lt;=250, 23, IF(F40&lt;=500, 35, IF(F40&lt;=1000, 40, F40*0.04)))),
IF(Basic345[[#This Row],[نوع الخدمة]]="كاش اوت",
    IF(F40&lt;=100, 15, IF(F40&lt;=250, 20, IF(F40&lt;=500, 30, IF(F40&lt;=1000, 35, F40*0.035)))),
0)))</f>
        <v>0</v>
      </c>
      <c r="H40" s="159">
        <f>IF(I40="مخالفات",50,Basic345[[#This Row],[قيمة الرسوم / العموله]]+Basic345[[#This Row],[قيمة الشحنه]])</f>
        <v>0</v>
      </c>
      <c r="I40" s="90"/>
      <c r="J40" s="142" t="str">
        <f t="shared" si="0"/>
        <v>28.5.2026</v>
      </c>
      <c r="L40" s="153">
        <v>29</v>
      </c>
      <c r="M40" s="92"/>
    </row>
    <row r="41" spans="1:13" ht="21.6" x14ac:dyDescent="0.65">
      <c r="A41" s="195"/>
      <c r="B41" s="144">
        <v>38</v>
      </c>
      <c r="C41" s="2"/>
      <c r="D41" s="1"/>
      <c r="E41" s="3"/>
      <c r="F41" s="1"/>
      <c r="G41" s="141">
        <f>IF(Basic345[[#This Row],[نوع الخدمة]]="مخالفات", 50,
IF(Basic345[[#This Row],[نوع الخدمة]]="كاش ان",
    IF(F41&lt;=100, 18, IF(F41&lt;=250, 23, IF(F41&lt;=500, 35, IF(F41&lt;=1000, 40, F41*0.04)))),
IF(Basic345[[#This Row],[نوع الخدمة]]="كاش اوت",
    IF(F41&lt;=100, 15, IF(F41&lt;=250, 20, IF(F41&lt;=500, 30, IF(F41&lt;=1000, 35, F41*0.035)))),
0)))</f>
        <v>0</v>
      </c>
      <c r="H41" s="159">
        <f>IF(I41="مخالفات",50,Basic345[[#This Row],[قيمة الرسوم / العموله]]+Basic345[[#This Row],[قيمة الشحنه]])</f>
        <v>0</v>
      </c>
      <c r="I41" s="90"/>
      <c r="J41" s="142" t="str">
        <f t="shared" si="0"/>
        <v>28.5.2026</v>
      </c>
      <c r="L41" s="153">
        <v>30</v>
      </c>
      <c r="M41" s="92"/>
    </row>
    <row r="42" spans="1:13" ht="21.6" x14ac:dyDescent="0.65">
      <c r="A42" s="195"/>
      <c r="B42" s="140">
        <v>39</v>
      </c>
      <c r="C42" s="2"/>
      <c r="D42" s="1"/>
      <c r="E42" s="3"/>
      <c r="F42" s="1"/>
      <c r="G42" s="141">
        <f>IF(Basic345[[#This Row],[نوع الخدمة]]="مخالفات", 50,
IF(Basic345[[#This Row],[نوع الخدمة]]="كاش ان",
    IF(F42&lt;=100, 18, IF(F42&lt;=250, 23, IF(F42&lt;=500, 35, IF(F42&lt;=1000, 40, F42*0.04)))),
IF(Basic345[[#This Row],[نوع الخدمة]]="كاش اوت",
    IF(F42&lt;=100, 15, IF(F42&lt;=250, 20, IF(F42&lt;=500, 30, IF(F42&lt;=1000, 35, F42*0.035)))),
0)))</f>
        <v>0</v>
      </c>
      <c r="H42" s="159">
        <f>IF(I42="مخالفات",50,Basic345[[#This Row],[قيمة الرسوم / العموله]]+Basic345[[#This Row],[قيمة الشحنه]])</f>
        <v>0</v>
      </c>
      <c r="I42" s="90"/>
      <c r="J42" s="142" t="str">
        <f t="shared" si="0"/>
        <v>28.5.2026</v>
      </c>
      <c r="L42" s="153">
        <v>31</v>
      </c>
      <c r="M42" s="92"/>
    </row>
    <row r="43" spans="1:13" ht="21.6" x14ac:dyDescent="0.65">
      <c r="A43" s="195"/>
      <c r="B43" s="140">
        <v>40</v>
      </c>
      <c r="C43" s="2"/>
      <c r="D43" s="1"/>
      <c r="E43" s="3"/>
      <c r="F43" s="1"/>
      <c r="G43" s="141">
        <f>IF(Basic345[[#This Row],[نوع الخدمة]]="مخالفات", 50,
IF(Basic345[[#This Row],[نوع الخدمة]]="كاش ان",
    IF(F43&lt;=100, 18, IF(F43&lt;=250, 23, IF(F43&lt;=500, 35, IF(F43&lt;=1000, 40, F43*0.04)))),
IF(Basic345[[#This Row],[نوع الخدمة]]="كاش اوت",
    IF(F43&lt;=100, 15, IF(F43&lt;=250, 20, IF(F43&lt;=500, 30, IF(F43&lt;=1000, 35, F43*0.035)))),
0)))</f>
        <v>0</v>
      </c>
      <c r="H43" s="159">
        <f>IF(I43="مخالفات",50,Basic345[[#This Row],[قيمة الرسوم / العموله]]+Basic345[[#This Row],[قيمة الشحنه]])</f>
        <v>0</v>
      </c>
      <c r="I43" s="90"/>
      <c r="J43" s="142" t="str">
        <f t="shared" si="0"/>
        <v>28.5.2026</v>
      </c>
      <c r="L43" s="153">
        <v>32</v>
      </c>
      <c r="M43" s="92"/>
    </row>
    <row r="44" spans="1:13" ht="21.6" x14ac:dyDescent="0.65">
      <c r="A44" s="195"/>
      <c r="B44" s="140">
        <v>41</v>
      </c>
      <c r="C44" s="2"/>
      <c r="D44" s="1"/>
      <c r="E44" s="3"/>
      <c r="F44" s="1"/>
      <c r="G44" s="141">
        <f>IF(Basic345[[#This Row],[نوع الخدمة]]="مخالفات", 50,
IF(Basic345[[#This Row],[نوع الخدمة]]="كاش ان",
    IF(F44&lt;=100, 18, IF(F44&lt;=250, 23, IF(F44&lt;=500, 35, IF(F44&lt;=1000, 40, F44*0.04)))),
IF(Basic345[[#This Row],[نوع الخدمة]]="كاش اوت",
    IF(F44&lt;=100, 15, IF(F44&lt;=250, 20, IF(F44&lt;=500, 30, IF(F44&lt;=1000, 35, F44*0.035)))),
0)))</f>
        <v>0</v>
      </c>
      <c r="H44" s="159">
        <f>IF(I44="مخالفات",50,Basic345[[#This Row],[قيمة الرسوم / العموله]]+Basic345[[#This Row],[قيمة الشحنه]])</f>
        <v>0</v>
      </c>
      <c r="I44" s="90"/>
      <c r="J44" s="142" t="str">
        <f t="shared" si="0"/>
        <v>28.5.2026</v>
      </c>
      <c r="L44" s="153">
        <v>33</v>
      </c>
      <c r="M44" s="92"/>
    </row>
    <row r="45" spans="1:13" ht="21.6" x14ac:dyDescent="0.65">
      <c r="A45" s="195"/>
      <c r="B45" s="144">
        <v>42</v>
      </c>
      <c r="C45" s="2"/>
      <c r="D45" s="1"/>
      <c r="E45" s="3"/>
      <c r="F45" s="1"/>
      <c r="G45" s="141">
        <f>IF(Basic345[[#This Row],[نوع الخدمة]]="مخالفات", 50,
IF(Basic345[[#This Row],[نوع الخدمة]]="كاش ان",
    IF(F45&lt;=100, 18, IF(F45&lt;=250, 23, IF(F45&lt;=500, 35, IF(F45&lt;=1000, 40, F45*0.04)))),
IF(Basic345[[#This Row],[نوع الخدمة]]="كاش اوت",
    IF(F45&lt;=100, 15, IF(F45&lt;=250, 20, IF(F45&lt;=500, 30, IF(F45&lt;=1000, 35, F45*0.035)))),
0)))</f>
        <v>0</v>
      </c>
      <c r="H45" s="159">
        <f>IF(I45="مخالفات",50,Basic345[[#This Row],[قيمة الرسوم / العموله]]+Basic345[[#This Row],[قيمة الشحنه]])</f>
        <v>0</v>
      </c>
      <c r="I45" s="90"/>
      <c r="J45" s="142" t="str">
        <f t="shared" si="0"/>
        <v>28.5.2026</v>
      </c>
      <c r="L45" s="153">
        <v>34</v>
      </c>
      <c r="M45" s="92"/>
    </row>
    <row r="46" spans="1:13" ht="21.6" x14ac:dyDescent="0.65">
      <c r="A46" s="195"/>
      <c r="B46" s="140">
        <v>43</v>
      </c>
      <c r="C46" s="2"/>
      <c r="D46" s="1"/>
      <c r="E46" s="3"/>
      <c r="F46" s="1"/>
      <c r="G46" s="141">
        <f>IF(Basic345[[#This Row],[نوع الخدمة]]="مخالفات", 50,
IF(Basic345[[#This Row],[نوع الخدمة]]="كاش ان",
    IF(F46&lt;=100, 18, IF(F46&lt;=250, 23, IF(F46&lt;=500, 35, IF(F46&lt;=1000, 40, F46*0.04)))),
IF(Basic345[[#This Row],[نوع الخدمة]]="كاش اوت",
    IF(F46&lt;=100, 15, IF(F46&lt;=250, 20, IF(F46&lt;=500, 30, IF(F46&lt;=1000, 35, F46*0.035)))),
0)))</f>
        <v>0</v>
      </c>
      <c r="H46" s="159">
        <f>IF(I46="مخالفات",50,Basic345[[#This Row],[قيمة الرسوم / العموله]]+Basic345[[#This Row],[قيمة الشحنه]])</f>
        <v>0</v>
      </c>
      <c r="I46" s="90"/>
      <c r="J46" s="142" t="str">
        <f t="shared" si="0"/>
        <v>28.5.2026</v>
      </c>
      <c r="L46" s="153">
        <v>35</v>
      </c>
      <c r="M46" s="92"/>
    </row>
    <row r="47" spans="1:13" ht="21.6" x14ac:dyDescent="0.65">
      <c r="A47" s="195"/>
      <c r="B47" s="140">
        <v>44</v>
      </c>
      <c r="C47" s="2"/>
      <c r="D47" s="1"/>
      <c r="E47" s="3"/>
      <c r="F47" s="1"/>
      <c r="G47" s="141">
        <f>IF(Basic345[[#This Row],[نوع الخدمة]]="مخالفات", 50,
IF(Basic345[[#This Row],[نوع الخدمة]]="كاش ان",
    IF(F47&lt;=100, 18, IF(F47&lt;=250, 23, IF(F47&lt;=500, 35, IF(F47&lt;=1000, 40, F47*0.04)))),
IF(Basic345[[#This Row],[نوع الخدمة]]="كاش اوت",
    IF(F47&lt;=100, 15, IF(F47&lt;=250, 20, IF(F47&lt;=500, 30, IF(F47&lt;=1000, 35, F47*0.035)))),
0)))</f>
        <v>0</v>
      </c>
      <c r="H47" s="159">
        <f>IF(I47="مخالفات",50,Basic345[[#This Row],[قيمة الرسوم / العموله]]+Basic345[[#This Row],[قيمة الشحنه]])</f>
        <v>0</v>
      </c>
      <c r="I47" s="90"/>
      <c r="J47" s="142" t="str">
        <f t="shared" si="0"/>
        <v>28.5.2026</v>
      </c>
      <c r="L47" s="153">
        <v>36</v>
      </c>
      <c r="M47" s="92"/>
    </row>
    <row r="48" spans="1:13" ht="21.6" x14ac:dyDescent="0.65">
      <c r="A48" s="195"/>
      <c r="B48" s="140">
        <v>45</v>
      </c>
      <c r="C48" s="2"/>
      <c r="D48" s="1"/>
      <c r="E48" s="3"/>
      <c r="F48" s="1"/>
      <c r="G48" s="141">
        <f>IF(Basic345[[#This Row],[نوع الخدمة]]="مخالفات", 50,
IF(Basic345[[#This Row],[نوع الخدمة]]="كاش ان",
    IF(F48&lt;=100, 18, IF(F48&lt;=250, 23, IF(F48&lt;=500, 35, IF(F48&lt;=1000, 40, F48*0.04)))),
IF(Basic345[[#This Row],[نوع الخدمة]]="كاش اوت",
    IF(F48&lt;=100, 15, IF(F48&lt;=250, 20, IF(F48&lt;=500, 30, IF(F48&lt;=1000, 35, F48*0.035)))),
0)))</f>
        <v>0</v>
      </c>
      <c r="H48" s="159">
        <f>IF(I48="مخالفات",50,Basic345[[#This Row],[قيمة الرسوم / العموله]]+Basic345[[#This Row],[قيمة الشحنه]])</f>
        <v>0</v>
      </c>
      <c r="I48" s="90"/>
      <c r="J48" s="142" t="str">
        <f t="shared" si="0"/>
        <v>28.5.2026</v>
      </c>
      <c r="L48" s="153">
        <v>37</v>
      </c>
      <c r="M48" s="92"/>
    </row>
    <row r="49" spans="1:13" ht="21.6" x14ac:dyDescent="0.65">
      <c r="A49" s="195"/>
      <c r="B49" s="144">
        <v>46</v>
      </c>
      <c r="C49" s="2"/>
      <c r="D49" s="1"/>
      <c r="E49" s="3"/>
      <c r="F49" s="1"/>
      <c r="G49" s="141">
        <f>IF(Basic345[[#This Row],[نوع الخدمة]]="مخالفات", 50,
IF(Basic345[[#This Row],[نوع الخدمة]]="كاش ان",
    IF(F49&lt;=100, 18, IF(F49&lt;=250, 23, IF(F49&lt;=500, 35, IF(F49&lt;=1000, 40, F49*0.04)))),
IF(Basic345[[#This Row],[نوع الخدمة]]="كاش اوت",
    IF(F49&lt;=100, 15, IF(F49&lt;=250, 20, IF(F49&lt;=500, 30, IF(F49&lt;=1000, 35, F49*0.035)))),
0)))</f>
        <v>0</v>
      </c>
      <c r="H49" s="159">
        <f>IF(I49="مخالفات",50,Basic345[[#This Row],[قيمة الرسوم / العموله]]+Basic345[[#This Row],[قيمة الشحنه]])</f>
        <v>0</v>
      </c>
      <c r="I49" s="90"/>
      <c r="J49" s="142" t="str">
        <f t="shared" si="0"/>
        <v>28.5.2026</v>
      </c>
      <c r="L49" s="153">
        <v>38</v>
      </c>
      <c r="M49" s="92"/>
    </row>
    <row r="50" spans="1:13" ht="21.6" x14ac:dyDescent="0.65">
      <c r="A50" s="195"/>
      <c r="B50" s="140">
        <v>47</v>
      </c>
      <c r="C50" s="2"/>
      <c r="D50" s="1"/>
      <c r="E50" s="3"/>
      <c r="F50" s="1"/>
      <c r="G50" s="141">
        <f>IF(Basic345[[#This Row],[نوع الخدمة]]="مخالفات", 50,
IF(Basic345[[#This Row],[نوع الخدمة]]="كاش ان",
    IF(F50&lt;=100, 18, IF(F50&lt;=250, 23, IF(F50&lt;=500, 35, IF(F50&lt;=1000, 40, F50*0.04)))),
IF(Basic345[[#This Row],[نوع الخدمة]]="كاش اوت",
    IF(F50&lt;=100, 15, IF(F50&lt;=250, 20, IF(F50&lt;=500, 30, IF(F50&lt;=1000, 35, F50*0.035)))),
0)))</f>
        <v>0</v>
      </c>
      <c r="H50" s="159">
        <f>IF(I50="مخالفات",50,Basic345[[#This Row],[قيمة الرسوم / العموله]]+Basic345[[#This Row],[قيمة الشحنه]])</f>
        <v>0</v>
      </c>
      <c r="I50" s="90"/>
      <c r="J50" s="142" t="str">
        <f t="shared" si="0"/>
        <v>28.5.2026</v>
      </c>
      <c r="L50" s="153">
        <v>39</v>
      </c>
      <c r="M50" s="92"/>
    </row>
    <row r="51" spans="1:13" ht="21.6" x14ac:dyDescent="0.65">
      <c r="A51" s="195"/>
      <c r="B51" s="140">
        <v>48</v>
      </c>
      <c r="C51" s="2"/>
      <c r="D51" s="1"/>
      <c r="E51" s="3"/>
      <c r="F51" s="1"/>
      <c r="G51" s="141">
        <f>IF(Basic345[[#This Row],[نوع الخدمة]]="مخالفات", 50,
IF(Basic345[[#This Row],[نوع الخدمة]]="كاش ان",
    IF(F51&lt;=100, 18, IF(F51&lt;=250, 23, IF(F51&lt;=500, 35, IF(F51&lt;=1000, 40, F51*0.04)))),
IF(Basic345[[#This Row],[نوع الخدمة]]="كاش اوت",
    IF(F51&lt;=100, 15, IF(F51&lt;=250, 20, IF(F51&lt;=500, 30, IF(F51&lt;=1000, 35, F51*0.035)))),
0)))</f>
        <v>0</v>
      </c>
      <c r="H51" s="159">
        <f>IF(I51="مخالفات",50,Basic345[[#This Row],[قيمة الرسوم / العموله]]+Basic345[[#This Row],[قيمة الشحنه]])</f>
        <v>0</v>
      </c>
      <c r="I51" s="90"/>
      <c r="J51" s="142" t="str">
        <f t="shared" si="0"/>
        <v>28.5.2026</v>
      </c>
      <c r="L51" s="153">
        <v>40</v>
      </c>
      <c r="M51" s="92"/>
    </row>
    <row r="52" spans="1:13" ht="21.6" x14ac:dyDescent="0.65">
      <c r="A52" s="195"/>
      <c r="B52" s="140">
        <v>49</v>
      </c>
      <c r="C52" s="2"/>
      <c r="D52" s="1"/>
      <c r="E52" s="3"/>
      <c r="F52" s="1"/>
      <c r="G52" s="141">
        <f>IF(Basic345[[#This Row],[نوع الخدمة]]="مخالفات", 50,
IF(Basic345[[#This Row],[نوع الخدمة]]="كاش ان",
    IF(F52&lt;=100, 18, IF(F52&lt;=250, 23, IF(F52&lt;=500, 35, IF(F52&lt;=1000, 40, F52*0.04)))),
IF(Basic345[[#This Row],[نوع الخدمة]]="كاش اوت",
    IF(F52&lt;=100, 15, IF(F52&lt;=250, 20, IF(F52&lt;=500, 30, IF(F52&lt;=1000, 35, F52*0.035)))),
0)))</f>
        <v>0</v>
      </c>
      <c r="H52" s="159">
        <f>IF(I52="مخالفات",50,Basic345[[#This Row],[قيمة الرسوم / العموله]]+Basic345[[#This Row],[قيمة الشحنه]])</f>
        <v>0</v>
      </c>
      <c r="I52" s="90"/>
      <c r="J52" s="142" t="str">
        <f t="shared" si="0"/>
        <v>28.5.2026</v>
      </c>
      <c r="L52" s="153">
        <v>41</v>
      </c>
      <c r="M52" s="92"/>
    </row>
    <row r="53" spans="1:13" ht="21.6" x14ac:dyDescent="0.65">
      <c r="A53" s="195"/>
      <c r="B53" s="144">
        <v>50</v>
      </c>
      <c r="C53" s="2"/>
      <c r="D53" s="1"/>
      <c r="E53" s="3"/>
      <c r="F53" s="1"/>
      <c r="G53" s="141">
        <f>IF(Basic345[[#This Row],[نوع الخدمة]]="مخالفات", 50,
IF(Basic345[[#This Row],[نوع الخدمة]]="كاش ان",
    IF(F53&lt;=100, 18, IF(F53&lt;=250, 23, IF(F53&lt;=500, 35, IF(F53&lt;=1000, 40, F53*0.04)))),
IF(Basic345[[#This Row],[نوع الخدمة]]="كاش اوت",
    IF(F53&lt;=100, 15, IF(F53&lt;=250, 20, IF(F53&lt;=500, 30, IF(F53&lt;=1000, 35, F53*0.035)))),
0)))</f>
        <v>0</v>
      </c>
      <c r="H53" s="159">
        <f>IF(I53="مخالفات",50,Basic345[[#This Row],[قيمة الرسوم / العموله]]+Basic345[[#This Row],[قيمة الشحنه]])</f>
        <v>0</v>
      </c>
      <c r="I53" s="90"/>
      <c r="J53" s="142" t="str">
        <f t="shared" si="0"/>
        <v>28.5.2026</v>
      </c>
      <c r="L53" s="153">
        <v>42</v>
      </c>
      <c r="M53" s="92"/>
    </row>
    <row r="54" spans="1:13" ht="21.6" x14ac:dyDescent="0.65">
      <c r="A54" s="195"/>
      <c r="B54" s="140">
        <v>51</v>
      </c>
      <c r="C54" s="2"/>
      <c r="D54" s="1"/>
      <c r="E54" s="3"/>
      <c r="F54" s="1"/>
      <c r="G54" s="141">
        <f>IF(Basic345[[#This Row],[نوع الخدمة]]="مخالفات", 50,
IF(Basic345[[#This Row],[نوع الخدمة]]="كاش ان",
    IF(F54&lt;=100, 18, IF(F54&lt;=250, 23, IF(F54&lt;=500, 35, IF(F54&lt;=1000, 40, F54*0.04)))),
IF(Basic345[[#This Row],[نوع الخدمة]]="كاش اوت",
    IF(F54&lt;=100, 15, IF(F54&lt;=250, 20, IF(F54&lt;=500, 30, IF(F54&lt;=1000, 35, F54*0.035)))),
0)))</f>
        <v>0</v>
      </c>
      <c r="H54" s="159">
        <f>IF(I54="مخالفات",50,Basic345[[#This Row],[قيمة الرسوم / العموله]]+Basic345[[#This Row],[قيمة الشحنه]])</f>
        <v>0</v>
      </c>
      <c r="I54" s="90"/>
      <c r="J54" s="142" t="str">
        <f t="shared" si="0"/>
        <v>28.5.2026</v>
      </c>
      <c r="L54" s="153">
        <v>43</v>
      </c>
      <c r="M54" s="92"/>
    </row>
    <row r="55" spans="1:13" ht="21.6" x14ac:dyDescent="0.65">
      <c r="A55" s="195"/>
      <c r="B55" s="140">
        <v>52</v>
      </c>
      <c r="C55" s="2"/>
      <c r="D55" s="1"/>
      <c r="E55" s="3"/>
      <c r="F55" s="1"/>
      <c r="G55" s="141">
        <f>IF(Basic345[[#This Row],[نوع الخدمة]]="مخالفات", 50,
IF(Basic345[[#This Row],[نوع الخدمة]]="كاش ان",
    IF(F55&lt;=100, 18, IF(F55&lt;=250, 23, IF(F55&lt;=500, 35, IF(F55&lt;=1000, 40, F55*0.04)))),
IF(Basic345[[#This Row],[نوع الخدمة]]="كاش اوت",
    IF(F55&lt;=100, 15, IF(F55&lt;=250, 20, IF(F55&lt;=500, 30, IF(F55&lt;=1000, 35, F55*0.035)))),
0)))</f>
        <v>0</v>
      </c>
      <c r="H55" s="159">
        <f>IF(I55="مخالفات",50,Basic345[[#This Row],[قيمة الرسوم / العموله]]+Basic345[[#This Row],[قيمة الشحنه]])</f>
        <v>0</v>
      </c>
      <c r="I55" s="90"/>
      <c r="J55" s="142" t="str">
        <f t="shared" si="0"/>
        <v>28.5.2026</v>
      </c>
      <c r="L55" s="153">
        <v>44</v>
      </c>
      <c r="M55" s="92"/>
    </row>
    <row r="56" spans="1:13" ht="21.6" x14ac:dyDescent="0.65">
      <c r="A56" s="195"/>
      <c r="B56" s="140">
        <v>53</v>
      </c>
      <c r="C56" s="2"/>
      <c r="D56" s="1"/>
      <c r="E56" s="3"/>
      <c r="F56" s="1"/>
      <c r="G56" s="141">
        <f>IF(Basic345[[#This Row],[نوع الخدمة]]="مخالفات", 50,
IF(Basic345[[#This Row],[نوع الخدمة]]="كاش ان",
    IF(F56&lt;=100, 18, IF(F56&lt;=250, 23, IF(F56&lt;=500, 35, IF(F56&lt;=1000, 40, F56*0.04)))),
IF(Basic345[[#This Row],[نوع الخدمة]]="كاش اوت",
    IF(F56&lt;=100, 15, IF(F56&lt;=250, 20, IF(F56&lt;=500, 30, IF(F56&lt;=1000, 35, F56*0.035)))),
0)))</f>
        <v>0</v>
      </c>
      <c r="H56" s="159">
        <f>IF(I56="مخالفات",50,Basic345[[#This Row],[قيمة الرسوم / العموله]]+Basic345[[#This Row],[قيمة الشحنه]])</f>
        <v>0</v>
      </c>
      <c r="I56" s="90"/>
      <c r="J56" s="142" t="str">
        <f t="shared" si="0"/>
        <v>28.5.2026</v>
      </c>
      <c r="L56" s="153">
        <v>45</v>
      </c>
      <c r="M56" s="92"/>
    </row>
    <row r="57" spans="1:13" ht="21.6" x14ac:dyDescent="0.65">
      <c r="A57" s="195"/>
      <c r="B57" s="144">
        <v>54</v>
      </c>
      <c r="C57" s="2"/>
      <c r="D57" s="1"/>
      <c r="E57" s="3"/>
      <c r="F57" s="1"/>
      <c r="G57" s="141">
        <f>IF(Basic345[[#This Row],[نوع الخدمة]]="مخالفات", 50,
IF(Basic345[[#This Row],[نوع الخدمة]]="كاش ان",
    IF(F57&lt;=100, 18, IF(F57&lt;=250, 23, IF(F57&lt;=500, 35, IF(F57&lt;=1000, 40, F57*0.04)))),
IF(Basic345[[#This Row],[نوع الخدمة]]="كاش اوت",
    IF(F57&lt;=100, 15, IF(F57&lt;=250, 20, IF(F57&lt;=500, 30, IF(F57&lt;=1000, 35, F57*0.035)))),
0)))</f>
        <v>0</v>
      </c>
      <c r="H57" s="159">
        <f>IF(I57="مخالفات",50,Basic345[[#This Row],[قيمة الرسوم / العموله]]+Basic345[[#This Row],[قيمة الشحنه]])</f>
        <v>0</v>
      </c>
      <c r="I57" s="90"/>
      <c r="J57" s="142" t="str">
        <f t="shared" si="0"/>
        <v>28.5.2026</v>
      </c>
      <c r="L57" s="153">
        <v>46</v>
      </c>
      <c r="M57" s="92"/>
    </row>
    <row r="58" spans="1:13" ht="21.6" x14ac:dyDescent="0.65">
      <c r="A58" s="195"/>
      <c r="B58" s="140">
        <v>55</v>
      </c>
      <c r="C58" s="2"/>
      <c r="D58" s="1"/>
      <c r="E58" s="3"/>
      <c r="F58" s="1"/>
      <c r="G58" s="141">
        <f>IF(Basic345[[#This Row],[نوع الخدمة]]="مخالفات", 50,
IF(Basic345[[#This Row],[نوع الخدمة]]="كاش ان",
    IF(F58&lt;=100, 18, IF(F58&lt;=250, 23, IF(F58&lt;=500, 35, IF(F58&lt;=1000, 40, F58*0.04)))),
IF(Basic345[[#This Row],[نوع الخدمة]]="كاش اوت",
    IF(F58&lt;=100, 15, IF(F58&lt;=250, 20, IF(F58&lt;=500, 30, IF(F58&lt;=1000, 35, F58*0.035)))),
0)))</f>
        <v>0</v>
      </c>
      <c r="H58" s="159">
        <f>IF(I58="مخالفات",50,Basic345[[#This Row],[قيمة الرسوم / العموله]]+Basic345[[#This Row],[قيمة الشحنه]])</f>
        <v>0</v>
      </c>
      <c r="I58" s="90"/>
      <c r="J58" s="142" t="str">
        <f t="shared" si="0"/>
        <v>28.5.2026</v>
      </c>
      <c r="L58" s="153">
        <v>47</v>
      </c>
      <c r="M58" s="92"/>
    </row>
    <row r="59" spans="1:13" ht="21.6" x14ac:dyDescent="0.65">
      <c r="A59" s="195"/>
      <c r="B59" s="140">
        <v>56</v>
      </c>
      <c r="C59" s="2"/>
      <c r="D59" s="1"/>
      <c r="E59" s="3"/>
      <c r="F59" s="1"/>
      <c r="G59" s="141">
        <f>IF(Basic345[[#This Row],[نوع الخدمة]]="مخالفات", 50,
IF(Basic345[[#This Row],[نوع الخدمة]]="كاش ان",
    IF(F59&lt;=100, 18, IF(F59&lt;=250, 23, IF(F59&lt;=500, 35, IF(F59&lt;=1000, 40, F59*0.04)))),
IF(Basic345[[#This Row],[نوع الخدمة]]="كاش اوت",
    IF(F59&lt;=100, 15, IF(F59&lt;=250, 20, IF(F59&lt;=500, 30, IF(F59&lt;=1000, 35, F59*0.035)))),
0)))</f>
        <v>0</v>
      </c>
      <c r="H59" s="159">
        <f>IF(I59="مخالفات",50,Basic345[[#This Row],[قيمة الرسوم / العموله]]+Basic345[[#This Row],[قيمة الشحنه]])</f>
        <v>0</v>
      </c>
      <c r="I59" s="90"/>
      <c r="J59" s="142" t="str">
        <f t="shared" si="0"/>
        <v>28.5.2026</v>
      </c>
      <c r="L59" s="153">
        <v>48</v>
      </c>
      <c r="M59" s="92"/>
    </row>
    <row r="60" spans="1:13" ht="21.6" x14ac:dyDescent="0.65">
      <c r="A60" s="195"/>
      <c r="B60" s="140">
        <v>57</v>
      </c>
      <c r="C60" s="2"/>
      <c r="D60" s="1"/>
      <c r="E60" s="3"/>
      <c r="F60" s="1"/>
      <c r="G60" s="141">
        <f>IF(Basic345[[#This Row],[نوع الخدمة]]="مخالفات", 50,
IF(Basic345[[#This Row],[نوع الخدمة]]="كاش ان",
    IF(F60&lt;=100, 18, IF(F60&lt;=250, 23, IF(F60&lt;=500, 35, IF(F60&lt;=1000, 40, F60*0.04)))),
IF(Basic345[[#This Row],[نوع الخدمة]]="كاش اوت",
    IF(F60&lt;=100, 15, IF(F60&lt;=250, 20, IF(F60&lt;=500, 30, IF(F60&lt;=1000, 35, F60*0.035)))),
0)))</f>
        <v>0</v>
      </c>
      <c r="H60" s="159">
        <f>IF(I60="مخالفات",50,Basic345[[#This Row],[قيمة الرسوم / العموله]]+Basic345[[#This Row],[قيمة الشحنه]])</f>
        <v>0</v>
      </c>
      <c r="I60" s="90"/>
      <c r="J60" s="142" t="str">
        <f t="shared" si="0"/>
        <v>28.5.2026</v>
      </c>
      <c r="L60" s="153">
        <v>49</v>
      </c>
      <c r="M60" s="92"/>
    </row>
    <row r="61" spans="1:13" ht="21.6" x14ac:dyDescent="0.65">
      <c r="A61" s="195"/>
      <c r="B61" s="144">
        <v>58</v>
      </c>
      <c r="C61" s="2"/>
      <c r="D61" s="1"/>
      <c r="E61" s="3"/>
      <c r="F61" s="1"/>
      <c r="G61" s="141">
        <f>IF(Basic345[[#This Row],[نوع الخدمة]]="مخالفات", 50,
IF(Basic345[[#This Row],[نوع الخدمة]]="كاش ان",
    IF(F61&lt;=100, 18, IF(F61&lt;=250, 23, IF(F61&lt;=500, 35, IF(F61&lt;=1000, 40, F61*0.04)))),
IF(Basic345[[#This Row],[نوع الخدمة]]="كاش اوت",
    IF(F61&lt;=100, 15, IF(F61&lt;=250, 20, IF(F61&lt;=500, 30, IF(F61&lt;=1000, 35, F61*0.035)))),
0)))</f>
        <v>0</v>
      </c>
      <c r="H61" s="159">
        <f>IF(I61="مخالفات",50,Basic345[[#This Row],[قيمة الرسوم / العموله]]+Basic345[[#This Row],[قيمة الشحنه]])</f>
        <v>0</v>
      </c>
      <c r="I61" s="90"/>
      <c r="J61" s="142" t="str">
        <f t="shared" si="0"/>
        <v>28.5.2026</v>
      </c>
      <c r="L61" s="153">
        <v>50</v>
      </c>
      <c r="M61" s="92"/>
    </row>
    <row r="62" spans="1:13" ht="21.6" x14ac:dyDescent="0.65">
      <c r="A62" s="195"/>
      <c r="B62" s="140">
        <v>59</v>
      </c>
      <c r="C62" s="2"/>
      <c r="D62" s="1"/>
      <c r="E62" s="3"/>
      <c r="F62" s="1"/>
      <c r="G62" s="141">
        <f>IF(Basic345[[#This Row],[نوع الخدمة]]="مخالفات", 50,
IF(Basic345[[#This Row],[نوع الخدمة]]="كاش ان",
    IF(F62&lt;=100, 18, IF(F62&lt;=250, 23, IF(F62&lt;=500, 35, IF(F62&lt;=1000, 40, F62*0.04)))),
IF(Basic345[[#This Row],[نوع الخدمة]]="كاش اوت",
    IF(F62&lt;=100, 15, IF(F62&lt;=250, 20, IF(F62&lt;=500, 30, IF(F62&lt;=1000, 35, F62*0.035)))),
0)))</f>
        <v>0</v>
      </c>
      <c r="H62" s="159">
        <f>IF(I62="مخالفات",50,Basic345[[#This Row],[قيمة الرسوم / العموله]]+Basic345[[#This Row],[قيمة الشحنه]])</f>
        <v>0</v>
      </c>
      <c r="I62" s="90"/>
      <c r="J62" s="142" t="str">
        <f t="shared" si="0"/>
        <v>28.5.2026</v>
      </c>
      <c r="L62" s="153">
        <v>51</v>
      </c>
      <c r="M62" s="92"/>
    </row>
    <row r="63" spans="1:13" ht="21.6" x14ac:dyDescent="0.65">
      <c r="A63" s="195"/>
      <c r="B63" s="140">
        <v>60</v>
      </c>
      <c r="C63" s="2"/>
      <c r="D63" s="1"/>
      <c r="E63" s="3"/>
      <c r="F63" s="1"/>
      <c r="G63" s="141">
        <f>IF(Basic345[[#This Row],[نوع الخدمة]]="مخالفات", 50,
IF(Basic345[[#This Row],[نوع الخدمة]]="كاش ان",
    IF(F63&lt;=100, 18, IF(F63&lt;=250, 23, IF(F63&lt;=500, 35, IF(F63&lt;=1000, 40, F63*0.04)))),
IF(Basic345[[#This Row],[نوع الخدمة]]="كاش اوت",
    IF(F63&lt;=100, 15, IF(F63&lt;=250, 20, IF(F63&lt;=500, 30, IF(F63&lt;=1000, 35, F63*0.035)))),
0)))</f>
        <v>0</v>
      </c>
      <c r="H63" s="159">
        <f>IF(I63="مخالفات",50,Basic345[[#This Row],[قيمة الرسوم / العموله]]+Basic345[[#This Row],[قيمة الشحنه]])</f>
        <v>0</v>
      </c>
      <c r="I63" s="90"/>
      <c r="J63" s="142" t="str">
        <f t="shared" si="0"/>
        <v>28.5.2026</v>
      </c>
      <c r="L63" s="153">
        <v>52</v>
      </c>
      <c r="M63" s="92"/>
    </row>
    <row r="64" spans="1:13" ht="21.6" x14ac:dyDescent="0.65">
      <c r="A64" s="195"/>
      <c r="B64" s="140">
        <v>61</v>
      </c>
      <c r="C64" s="2"/>
      <c r="D64" s="1"/>
      <c r="E64" s="3"/>
      <c r="F64" s="1"/>
      <c r="G64" s="141">
        <f>IF(Basic345[[#This Row],[نوع الخدمة]]="مخالفات", 50,
IF(Basic345[[#This Row],[نوع الخدمة]]="كاش ان",
    IF(F64&lt;=100, 18, IF(F64&lt;=250, 23, IF(F64&lt;=500, 35, IF(F64&lt;=1000, 40, F64*0.04)))),
IF(Basic345[[#This Row],[نوع الخدمة]]="كاش اوت",
    IF(F64&lt;=100, 15, IF(F64&lt;=250, 20, IF(F64&lt;=500, 30, IF(F64&lt;=1000, 35, F64*0.035)))),
0)))</f>
        <v>0</v>
      </c>
      <c r="H64" s="159">
        <f>IF(I64="مخالفات",50,Basic345[[#This Row],[قيمة الرسوم / العموله]]+Basic345[[#This Row],[قيمة الشحنه]])</f>
        <v>0</v>
      </c>
      <c r="I64" s="90"/>
      <c r="J64" s="142" t="str">
        <f t="shared" si="0"/>
        <v>28.5.2026</v>
      </c>
      <c r="L64" s="153">
        <v>53</v>
      </c>
      <c r="M64" s="92"/>
    </row>
    <row r="65" spans="1:13" ht="21.6" x14ac:dyDescent="0.65">
      <c r="A65" s="195"/>
      <c r="B65" s="144">
        <v>62</v>
      </c>
      <c r="C65" s="2"/>
      <c r="D65" s="1"/>
      <c r="E65" s="3"/>
      <c r="F65" s="1"/>
      <c r="G65" s="141">
        <f>IF(Basic345[[#This Row],[نوع الخدمة]]="مخالفات", 50,
IF(Basic345[[#This Row],[نوع الخدمة]]="كاش ان",
    IF(F65&lt;=100, 18, IF(F65&lt;=250, 23, IF(F65&lt;=500, 35, IF(F65&lt;=1000, 40, F65*0.04)))),
IF(Basic345[[#This Row],[نوع الخدمة]]="كاش اوت",
    IF(F65&lt;=100, 15, IF(F65&lt;=250, 20, IF(F65&lt;=500, 30, IF(F65&lt;=1000, 35, F65*0.035)))),
0)))</f>
        <v>0</v>
      </c>
      <c r="H65" s="159">
        <f>IF(I65="مخالفات",50,Basic345[[#This Row],[قيمة الرسوم / العموله]]+Basic345[[#This Row],[قيمة الشحنه]])</f>
        <v>0</v>
      </c>
      <c r="I65" s="90"/>
      <c r="J65" s="142" t="str">
        <f t="shared" si="0"/>
        <v>28.5.2026</v>
      </c>
      <c r="L65" s="153">
        <v>54</v>
      </c>
      <c r="M65" s="92"/>
    </row>
    <row r="66" spans="1:13" ht="21.6" x14ac:dyDescent="0.65">
      <c r="A66" s="195"/>
      <c r="B66" s="140">
        <v>63</v>
      </c>
      <c r="C66" s="2"/>
      <c r="D66" s="1"/>
      <c r="E66" s="3"/>
      <c r="F66" s="1"/>
      <c r="G66" s="141">
        <f>IF(Basic345[[#This Row],[نوع الخدمة]]="مخالفات", 50,
IF(Basic345[[#This Row],[نوع الخدمة]]="كاش ان",
    IF(F66&lt;=100, 18, IF(F66&lt;=250, 23, IF(F66&lt;=500, 35, IF(F66&lt;=1000, 40, F66*0.04)))),
IF(Basic345[[#This Row],[نوع الخدمة]]="كاش اوت",
    IF(F66&lt;=100, 15, IF(F66&lt;=250, 20, IF(F66&lt;=500, 30, IF(F66&lt;=1000, 35, F66*0.035)))),
0)))</f>
        <v>0</v>
      </c>
      <c r="H66" s="159">
        <f>IF(I66="مخالفات",50,Basic345[[#This Row],[قيمة الرسوم / العموله]]+Basic345[[#This Row],[قيمة الشحنه]])</f>
        <v>0</v>
      </c>
      <c r="I66" s="90"/>
      <c r="J66" s="142" t="str">
        <f t="shared" si="0"/>
        <v>28.5.2026</v>
      </c>
      <c r="L66" s="153">
        <v>55</v>
      </c>
      <c r="M66" s="92"/>
    </row>
    <row r="67" spans="1:13" ht="21.6" x14ac:dyDescent="0.65">
      <c r="A67" s="195"/>
      <c r="B67" s="140">
        <v>64</v>
      </c>
      <c r="C67" s="2"/>
      <c r="D67" s="1"/>
      <c r="E67" s="3"/>
      <c r="F67" s="1"/>
      <c r="G67" s="141">
        <f>IF(Basic345[[#This Row],[نوع الخدمة]]="مخالفات", 50,
IF(Basic345[[#This Row],[نوع الخدمة]]="كاش ان",
    IF(F67&lt;=100, 18, IF(F67&lt;=250, 23, IF(F67&lt;=500, 35, IF(F67&lt;=1000, 40, F67*0.04)))),
IF(Basic345[[#This Row],[نوع الخدمة]]="كاش اوت",
    IF(F67&lt;=100, 15, IF(F67&lt;=250, 20, IF(F67&lt;=500, 30, IF(F67&lt;=1000, 35, F67*0.035)))),
0)))</f>
        <v>0</v>
      </c>
      <c r="H67" s="159">
        <f>IF(I67="مخالفات",50,Basic345[[#This Row],[قيمة الرسوم / العموله]]+Basic345[[#This Row],[قيمة الشحنه]])</f>
        <v>0</v>
      </c>
      <c r="I67" s="90"/>
      <c r="J67" s="142" t="str">
        <f t="shared" si="0"/>
        <v>28.5.2026</v>
      </c>
      <c r="L67" s="153">
        <v>56</v>
      </c>
      <c r="M67" s="92"/>
    </row>
    <row r="68" spans="1:13" ht="21.6" x14ac:dyDescent="0.65">
      <c r="A68" s="195"/>
      <c r="B68" s="140">
        <v>65</v>
      </c>
      <c r="C68" s="2"/>
      <c r="D68" s="1"/>
      <c r="E68" s="3"/>
      <c r="F68" s="1"/>
      <c r="G68" s="141">
        <f>IF(Basic345[[#This Row],[نوع الخدمة]]="مخالفات", 50,
IF(Basic345[[#This Row],[نوع الخدمة]]="كاش ان",
    IF(F68&lt;=100, 18, IF(F68&lt;=250, 23, IF(F68&lt;=500, 35, IF(F68&lt;=1000, 40, F68*0.04)))),
IF(Basic345[[#This Row],[نوع الخدمة]]="كاش اوت",
    IF(F68&lt;=100, 15, IF(F68&lt;=250, 20, IF(F68&lt;=500, 30, IF(F68&lt;=1000, 35, F68*0.035)))),
0)))</f>
        <v>0</v>
      </c>
      <c r="H68" s="159">
        <f>IF(I68="مخالفات",50,Basic345[[#This Row],[قيمة الرسوم / العموله]]+Basic345[[#This Row],[قيمة الشحنه]])</f>
        <v>0</v>
      </c>
      <c r="I68" s="90"/>
      <c r="J68" s="142" t="str">
        <f t="shared" ref="J68:J131" si="1">M$3</f>
        <v>28.5.2026</v>
      </c>
      <c r="L68" s="153">
        <v>57</v>
      </c>
      <c r="M68" s="92"/>
    </row>
    <row r="69" spans="1:13" ht="21.6" x14ac:dyDescent="0.65">
      <c r="A69" s="195"/>
      <c r="B69" s="144">
        <v>66</v>
      </c>
      <c r="C69" s="2"/>
      <c r="D69" s="1"/>
      <c r="E69" s="3"/>
      <c r="F69" s="1"/>
      <c r="G69" s="141">
        <f>IF(Basic345[[#This Row],[نوع الخدمة]]="مخالفات", 50,
IF(Basic345[[#This Row],[نوع الخدمة]]="كاش ان",
    IF(F69&lt;=100, 18, IF(F69&lt;=250, 23, IF(F69&lt;=500, 35, IF(F69&lt;=1000, 40, F69*0.04)))),
IF(Basic345[[#This Row],[نوع الخدمة]]="كاش اوت",
    IF(F69&lt;=100, 15, IF(F69&lt;=250, 20, IF(F69&lt;=500, 30, IF(F69&lt;=1000, 35, F69*0.035)))),
0)))</f>
        <v>0</v>
      </c>
      <c r="H69" s="159">
        <f>IF(I69="مخالفات",50,Basic345[[#This Row],[قيمة الرسوم / العموله]]+Basic345[[#This Row],[قيمة الشحنه]])</f>
        <v>0</v>
      </c>
      <c r="I69" s="90"/>
      <c r="J69" s="142" t="str">
        <f t="shared" si="1"/>
        <v>28.5.2026</v>
      </c>
      <c r="L69" s="153">
        <v>58</v>
      </c>
      <c r="M69" s="92"/>
    </row>
    <row r="70" spans="1:13" ht="21.6" x14ac:dyDescent="0.65">
      <c r="A70" s="195"/>
      <c r="B70" s="140">
        <v>67</v>
      </c>
      <c r="C70" s="2"/>
      <c r="D70" s="1"/>
      <c r="E70" s="3"/>
      <c r="F70" s="1"/>
      <c r="G70" s="141">
        <f>IF(Basic345[[#This Row],[نوع الخدمة]]="مخالفات", 50,
IF(Basic345[[#This Row],[نوع الخدمة]]="كاش ان",
    IF(F70&lt;=100, 18, IF(F70&lt;=250, 23, IF(F70&lt;=500, 35, IF(F70&lt;=1000, 40, F70*0.04)))),
IF(Basic345[[#This Row],[نوع الخدمة]]="كاش اوت",
    IF(F70&lt;=100, 15, IF(F70&lt;=250, 20, IF(F70&lt;=500, 30, IF(F70&lt;=1000, 35, F70*0.035)))),
0)))</f>
        <v>0</v>
      </c>
      <c r="H70" s="159">
        <f>IF(I70="مخالفات",50,Basic345[[#This Row],[قيمة الرسوم / العموله]]+Basic345[[#This Row],[قيمة الشحنه]])</f>
        <v>0</v>
      </c>
      <c r="I70" s="90"/>
      <c r="J70" s="142" t="str">
        <f t="shared" si="1"/>
        <v>28.5.2026</v>
      </c>
      <c r="L70" s="153">
        <v>59</v>
      </c>
      <c r="M70" s="92"/>
    </row>
    <row r="71" spans="1:13" ht="21.6" x14ac:dyDescent="0.65">
      <c r="A71" s="195"/>
      <c r="B71" s="140">
        <v>68</v>
      </c>
      <c r="C71" s="2"/>
      <c r="D71" s="1"/>
      <c r="E71" s="3"/>
      <c r="F71" s="1"/>
      <c r="G71" s="141">
        <f>IF(Basic345[[#This Row],[نوع الخدمة]]="مخالفات", 50,
IF(Basic345[[#This Row],[نوع الخدمة]]="كاش ان",
    IF(F71&lt;=100, 18, IF(F71&lt;=250, 23, IF(F71&lt;=500, 35, IF(F71&lt;=1000, 40, F71*0.04)))),
IF(Basic345[[#This Row],[نوع الخدمة]]="كاش اوت",
    IF(F71&lt;=100, 15, IF(F71&lt;=250, 20, IF(F71&lt;=500, 30, IF(F71&lt;=1000, 35, F71*0.035)))),
0)))</f>
        <v>0</v>
      </c>
      <c r="H71" s="159">
        <f>IF(I71="مخالفات",50,Basic345[[#This Row],[قيمة الرسوم / العموله]]+Basic345[[#This Row],[قيمة الشحنه]])</f>
        <v>0</v>
      </c>
      <c r="I71" s="90"/>
      <c r="J71" s="142" t="str">
        <f t="shared" si="1"/>
        <v>28.5.2026</v>
      </c>
      <c r="L71" s="153">
        <v>60</v>
      </c>
      <c r="M71" s="92"/>
    </row>
    <row r="72" spans="1:13" ht="21.6" x14ac:dyDescent="0.65">
      <c r="A72" s="195"/>
      <c r="B72" s="140">
        <v>69</v>
      </c>
      <c r="C72" s="2"/>
      <c r="D72" s="1"/>
      <c r="E72" s="3"/>
      <c r="F72" s="1"/>
      <c r="G72" s="141">
        <f>IF(Basic345[[#This Row],[نوع الخدمة]]="مخالفات", 50,
IF(Basic345[[#This Row],[نوع الخدمة]]="كاش ان",
    IF(F72&lt;=100, 18, IF(F72&lt;=250, 23, IF(F72&lt;=500, 35, IF(F72&lt;=1000, 40, F72*0.04)))),
IF(Basic345[[#This Row],[نوع الخدمة]]="كاش اوت",
    IF(F72&lt;=100, 15, IF(F72&lt;=250, 20, IF(F72&lt;=500, 30, IF(F72&lt;=1000, 35, F72*0.035)))),
0)))</f>
        <v>0</v>
      </c>
      <c r="H72" s="159">
        <f>IF(I72="مخالفات",50,Basic345[[#This Row],[قيمة الرسوم / العموله]]+Basic345[[#This Row],[قيمة الشحنه]])</f>
        <v>0</v>
      </c>
      <c r="I72" s="90"/>
      <c r="J72" s="142" t="str">
        <f t="shared" si="1"/>
        <v>28.5.2026</v>
      </c>
      <c r="L72" s="153">
        <v>61</v>
      </c>
      <c r="M72" s="92"/>
    </row>
    <row r="73" spans="1:13" ht="21.6" x14ac:dyDescent="0.65">
      <c r="A73" s="195"/>
      <c r="B73" s="144">
        <v>70</v>
      </c>
      <c r="C73" s="2"/>
      <c r="D73" s="1"/>
      <c r="E73" s="3"/>
      <c r="F73" s="1"/>
      <c r="G73" s="141">
        <f>IF(Basic345[[#This Row],[نوع الخدمة]]="مخالفات", 50,
IF(Basic345[[#This Row],[نوع الخدمة]]="كاش ان",
    IF(F73&lt;=100, 18, IF(F73&lt;=250, 23, IF(F73&lt;=500, 35, IF(F73&lt;=1000, 40, F73*0.04)))),
IF(Basic345[[#This Row],[نوع الخدمة]]="كاش اوت",
    IF(F73&lt;=100, 15, IF(F73&lt;=250, 20, IF(F73&lt;=500, 30, IF(F73&lt;=1000, 35, F73*0.035)))),
0)))</f>
        <v>0</v>
      </c>
      <c r="H73" s="159">
        <f>IF(I73="مخالفات",50,Basic345[[#This Row],[قيمة الرسوم / العموله]]+Basic345[[#This Row],[قيمة الشحنه]])</f>
        <v>0</v>
      </c>
      <c r="I73" s="90"/>
      <c r="J73" s="142" t="str">
        <f t="shared" si="1"/>
        <v>28.5.2026</v>
      </c>
      <c r="L73" s="153">
        <v>62</v>
      </c>
      <c r="M73" s="92"/>
    </row>
    <row r="74" spans="1:13" ht="21.6" x14ac:dyDescent="0.65">
      <c r="A74" s="195"/>
      <c r="B74" s="140">
        <v>71</v>
      </c>
      <c r="C74" s="2"/>
      <c r="D74" s="1"/>
      <c r="E74" s="3"/>
      <c r="F74" s="1"/>
      <c r="G74" s="141">
        <f>IF(Basic345[[#This Row],[نوع الخدمة]]="مخالفات", 50,
IF(Basic345[[#This Row],[نوع الخدمة]]="كاش ان",
    IF(F74&lt;=100, 18, IF(F74&lt;=250, 23, IF(F74&lt;=500, 35, IF(F74&lt;=1000, 40, F74*0.04)))),
IF(Basic345[[#This Row],[نوع الخدمة]]="كاش اوت",
    IF(F74&lt;=100, 15, IF(F74&lt;=250, 20, IF(F74&lt;=500, 30, IF(F74&lt;=1000, 35, F74*0.035)))),
0)))</f>
        <v>0</v>
      </c>
      <c r="H74" s="159">
        <f>IF(I74="مخالفات",50,Basic345[[#This Row],[قيمة الرسوم / العموله]]+Basic345[[#This Row],[قيمة الشحنه]])</f>
        <v>0</v>
      </c>
      <c r="I74" s="90"/>
      <c r="J74" s="142" t="str">
        <f t="shared" si="1"/>
        <v>28.5.2026</v>
      </c>
      <c r="L74" s="153">
        <v>63</v>
      </c>
      <c r="M74" s="92"/>
    </row>
    <row r="75" spans="1:13" ht="21.6" x14ac:dyDescent="0.65">
      <c r="A75" s="195"/>
      <c r="B75" s="140">
        <v>72</v>
      </c>
      <c r="C75" s="2"/>
      <c r="D75" s="1"/>
      <c r="E75" s="3"/>
      <c r="F75" s="1"/>
      <c r="G75" s="141">
        <f>IF(Basic345[[#This Row],[نوع الخدمة]]="مخالفات", 50,
IF(Basic345[[#This Row],[نوع الخدمة]]="كاش ان",
    IF(F75&lt;=100, 18, IF(F75&lt;=250, 23, IF(F75&lt;=500, 35, IF(F75&lt;=1000, 40, F75*0.04)))),
IF(Basic345[[#This Row],[نوع الخدمة]]="كاش اوت",
    IF(F75&lt;=100, 15, IF(F75&lt;=250, 20, IF(F75&lt;=500, 30, IF(F75&lt;=1000, 35, F75*0.035)))),
0)))</f>
        <v>0</v>
      </c>
      <c r="H75" s="159">
        <f>IF(I75="مخالفات",50,Basic345[[#This Row],[قيمة الرسوم / العموله]]+Basic345[[#This Row],[قيمة الشحنه]])</f>
        <v>0</v>
      </c>
      <c r="I75" s="90"/>
      <c r="J75" s="142" t="str">
        <f t="shared" si="1"/>
        <v>28.5.2026</v>
      </c>
      <c r="L75" s="153">
        <v>64</v>
      </c>
      <c r="M75" s="92"/>
    </row>
    <row r="76" spans="1:13" ht="21.6" x14ac:dyDescent="0.65">
      <c r="A76" s="195"/>
      <c r="B76" s="140">
        <v>73</v>
      </c>
      <c r="C76" s="2"/>
      <c r="D76" s="1"/>
      <c r="E76" s="3"/>
      <c r="F76" s="1"/>
      <c r="G76" s="141">
        <f>IF(Basic345[[#This Row],[نوع الخدمة]]="مخالفات", 50,
IF(Basic345[[#This Row],[نوع الخدمة]]="كاش ان",
    IF(F76&lt;=100, 18, IF(F76&lt;=250, 23, IF(F76&lt;=500, 35, IF(F76&lt;=1000, 40, F76*0.04)))),
IF(Basic345[[#This Row],[نوع الخدمة]]="كاش اوت",
    IF(F76&lt;=100, 15, IF(F76&lt;=250, 20, IF(F76&lt;=500, 30, IF(F76&lt;=1000, 35, F76*0.035)))),
0)))</f>
        <v>0</v>
      </c>
      <c r="H76" s="159">
        <f>IF(I76="مخالفات",50,Basic345[[#This Row],[قيمة الرسوم / العموله]]+Basic345[[#This Row],[قيمة الشحنه]])</f>
        <v>0</v>
      </c>
      <c r="I76" s="90"/>
      <c r="J76" s="142" t="str">
        <f t="shared" si="1"/>
        <v>28.5.2026</v>
      </c>
      <c r="L76" s="153">
        <v>65</v>
      </c>
      <c r="M76" s="92"/>
    </row>
    <row r="77" spans="1:13" ht="21.6" x14ac:dyDescent="0.65">
      <c r="A77" s="195"/>
      <c r="B77" s="144">
        <v>74</v>
      </c>
      <c r="C77" s="2"/>
      <c r="D77" s="1"/>
      <c r="E77" s="3"/>
      <c r="F77" s="1"/>
      <c r="G77" s="141">
        <f>IF(Basic345[[#This Row],[نوع الخدمة]]="مخالفات", 50,
IF(Basic345[[#This Row],[نوع الخدمة]]="كاش ان",
    IF(F77&lt;=100, 18, IF(F77&lt;=250, 23, IF(F77&lt;=500, 35, IF(F77&lt;=1000, 40, F77*0.04)))),
IF(Basic345[[#This Row],[نوع الخدمة]]="كاش اوت",
    IF(F77&lt;=100, 15, IF(F77&lt;=250, 20, IF(F77&lt;=500, 30, IF(F77&lt;=1000, 35, F77*0.035)))),
0)))</f>
        <v>0</v>
      </c>
      <c r="H77" s="159">
        <f>IF(I77="مخالفات",50,Basic345[[#This Row],[قيمة الرسوم / العموله]]+Basic345[[#This Row],[قيمة الشحنه]])</f>
        <v>0</v>
      </c>
      <c r="I77" s="90"/>
      <c r="J77" s="142" t="str">
        <f t="shared" si="1"/>
        <v>28.5.2026</v>
      </c>
      <c r="L77" s="153">
        <v>66</v>
      </c>
      <c r="M77" s="92"/>
    </row>
    <row r="78" spans="1:13" ht="21.6" x14ac:dyDescent="0.65">
      <c r="A78" s="195"/>
      <c r="B78" s="140">
        <v>75</v>
      </c>
      <c r="C78" s="2"/>
      <c r="D78" s="1"/>
      <c r="E78" s="3"/>
      <c r="F78" s="1"/>
      <c r="G78" s="141">
        <f>IF(Basic345[[#This Row],[نوع الخدمة]]="مخالفات", 50,
IF(Basic345[[#This Row],[نوع الخدمة]]="كاش ان",
    IF(F78&lt;=100, 18, IF(F78&lt;=250, 23, IF(F78&lt;=500, 35, IF(F78&lt;=1000, 40, F78*0.04)))),
IF(Basic345[[#This Row],[نوع الخدمة]]="كاش اوت",
    IF(F78&lt;=100, 15, IF(F78&lt;=250, 20, IF(F78&lt;=500, 30, IF(F78&lt;=1000, 35, F78*0.035)))),
0)))</f>
        <v>0</v>
      </c>
      <c r="H78" s="159">
        <f>IF(I78="مخالفات",50,Basic345[[#This Row],[قيمة الرسوم / العموله]]+Basic345[[#This Row],[قيمة الشحنه]])</f>
        <v>0</v>
      </c>
      <c r="I78" s="90"/>
      <c r="J78" s="142" t="str">
        <f t="shared" si="1"/>
        <v>28.5.2026</v>
      </c>
      <c r="L78" s="153">
        <v>67</v>
      </c>
      <c r="M78" s="92"/>
    </row>
    <row r="79" spans="1:13" ht="21.6" x14ac:dyDescent="0.65">
      <c r="A79" s="195"/>
      <c r="B79" s="140">
        <v>76</v>
      </c>
      <c r="C79" s="2"/>
      <c r="D79" s="1"/>
      <c r="E79" s="3"/>
      <c r="F79" s="1"/>
      <c r="G79" s="141">
        <f>IF(Basic345[[#This Row],[نوع الخدمة]]="مخالفات", 50,
IF(Basic345[[#This Row],[نوع الخدمة]]="كاش ان",
    IF(F79&lt;=100, 18, IF(F79&lt;=250, 23, IF(F79&lt;=500, 35, IF(F79&lt;=1000, 40, F79*0.04)))),
IF(Basic345[[#This Row],[نوع الخدمة]]="كاش اوت",
    IF(F79&lt;=100, 15, IF(F79&lt;=250, 20, IF(F79&lt;=500, 30, IF(F79&lt;=1000, 35, F79*0.035)))),
0)))</f>
        <v>0</v>
      </c>
      <c r="H79" s="159">
        <f>IF(I79="مخالفات",50,Basic345[[#This Row],[قيمة الرسوم / العموله]]+Basic345[[#This Row],[قيمة الشحنه]])</f>
        <v>0</v>
      </c>
      <c r="I79" s="90"/>
      <c r="J79" s="142" t="str">
        <f t="shared" si="1"/>
        <v>28.5.2026</v>
      </c>
      <c r="L79" s="153">
        <v>68</v>
      </c>
      <c r="M79" s="92"/>
    </row>
    <row r="80" spans="1:13" ht="21.6" x14ac:dyDescent="0.65">
      <c r="A80" s="195"/>
      <c r="B80" s="140">
        <v>77</v>
      </c>
      <c r="C80" s="2"/>
      <c r="D80" s="1"/>
      <c r="E80" s="3"/>
      <c r="F80" s="1"/>
      <c r="G80" s="141">
        <f>IF(Basic345[[#This Row],[نوع الخدمة]]="مخالفات", 50,
IF(Basic345[[#This Row],[نوع الخدمة]]="كاش ان",
    IF(F80&lt;=100, 18, IF(F80&lt;=250, 23, IF(F80&lt;=500, 35, IF(F80&lt;=1000, 40, F80*0.04)))),
IF(Basic345[[#This Row],[نوع الخدمة]]="كاش اوت",
    IF(F80&lt;=100, 15, IF(F80&lt;=250, 20, IF(F80&lt;=500, 30, IF(F80&lt;=1000, 35, F80*0.035)))),
0)))</f>
        <v>0</v>
      </c>
      <c r="H80" s="159">
        <f>IF(I80="مخالفات",50,Basic345[[#This Row],[قيمة الرسوم / العموله]]+Basic345[[#This Row],[قيمة الشحنه]])</f>
        <v>0</v>
      </c>
      <c r="I80" s="90"/>
      <c r="J80" s="142" t="str">
        <f t="shared" si="1"/>
        <v>28.5.2026</v>
      </c>
      <c r="L80" s="153">
        <v>69</v>
      </c>
      <c r="M80" s="92"/>
    </row>
    <row r="81" spans="1:13" ht="21.6" x14ac:dyDescent="0.65">
      <c r="A81" s="195"/>
      <c r="B81" s="144">
        <v>78</v>
      </c>
      <c r="C81" s="2"/>
      <c r="D81" s="1"/>
      <c r="E81" s="3"/>
      <c r="F81" s="1"/>
      <c r="G81" s="141">
        <f>IF(Basic345[[#This Row],[نوع الخدمة]]="مخالفات", 50,
IF(Basic345[[#This Row],[نوع الخدمة]]="كاش ان",
    IF(F81&lt;=100, 18, IF(F81&lt;=250, 23, IF(F81&lt;=500, 35, IF(F81&lt;=1000, 40, F81*0.04)))),
IF(Basic345[[#This Row],[نوع الخدمة]]="كاش اوت",
    IF(F81&lt;=100, 15, IF(F81&lt;=250, 20, IF(F81&lt;=500, 30, IF(F81&lt;=1000, 35, F81*0.035)))),
0)))</f>
        <v>0</v>
      </c>
      <c r="H81" s="159">
        <f>IF(I81="مخالفات",50,Basic345[[#This Row],[قيمة الرسوم / العموله]]+Basic345[[#This Row],[قيمة الشحنه]])</f>
        <v>0</v>
      </c>
      <c r="I81" s="90"/>
      <c r="J81" s="142" t="str">
        <f t="shared" si="1"/>
        <v>28.5.2026</v>
      </c>
      <c r="L81" s="153">
        <v>70</v>
      </c>
      <c r="M81" s="92"/>
    </row>
    <row r="82" spans="1:13" ht="21.6" x14ac:dyDescent="0.65">
      <c r="A82" s="195"/>
      <c r="B82" s="140">
        <v>79</v>
      </c>
      <c r="C82" s="2"/>
      <c r="D82" s="1"/>
      <c r="E82" s="3"/>
      <c r="F82" s="1"/>
      <c r="G82" s="141">
        <f>IF(Basic345[[#This Row],[نوع الخدمة]]="مخالفات", 50,
IF(Basic345[[#This Row],[نوع الخدمة]]="كاش ان",
    IF(F82&lt;=100, 18, IF(F82&lt;=250, 23, IF(F82&lt;=500, 35, IF(F82&lt;=1000, 40, F82*0.04)))),
IF(Basic345[[#This Row],[نوع الخدمة]]="كاش اوت",
    IF(F82&lt;=100, 15, IF(F82&lt;=250, 20, IF(F82&lt;=500, 30, IF(F82&lt;=1000, 35, F82*0.035)))),
0)))</f>
        <v>0</v>
      </c>
      <c r="H82" s="159">
        <f>IF(I82="مخالفات",50,Basic345[[#This Row],[قيمة الرسوم / العموله]]+Basic345[[#This Row],[قيمة الشحنه]])</f>
        <v>0</v>
      </c>
      <c r="I82" s="90"/>
      <c r="J82" s="142" t="str">
        <f t="shared" si="1"/>
        <v>28.5.2026</v>
      </c>
      <c r="L82" s="153">
        <v>71</v>
      </c>
      <c r="M82" s="92"/>
    </row>
    <row r="83" spans="1:13" ht="21.6" x14ac:dyDescent="0.65">
      <c r="A83" s="195"/>
      <c r="B83" s="140">
        <v>80</v>
      </c>
      <c r="C83" s="2"/>
      <c r="D83" s="1"/>
      <c r="E83" s="3"/>
      <c r="F83" s="1"/>
      <c r="G83" s="141">
        <f>IF(Basic345[[#This Row],[نوع الخدمة]]="مخالفات", 50,
IF(Basic345[[#This Row],[نوع الخدمة]]="كاش ان",
    IF(F83&lt;=100, 18, IF(F83&lt;=250, 23, IF(F83&lt;=500, 35, IF(F83&lt;=1000, 40, F83*0.04)))),
IF(Basic345[[#This Row],[نوع الخدمة]]="كاش اوت",
    IF(F83&lt;=100, 15, IF(F83&lt;=250, 20, IF(F83&lt;=500, 30, IF(F83&lt;=1000, 35, F83*0.035)))),
0)))</f>
        <v>0</v>
      </c>
      <c r="H83" s="159">
        <f>IF(I83="مخالفات",50,Basic345[[#This Row],[قيمة الرسوم / العموله]]+Basic345[[#This Row],[قيمة الشحنه]])</f>
        <v>0</v>
      </c>
      <c r="I83" s="90"/>
      <c r="J83" s="142" t="str">
        <f t="shared" si="1"/>
        <v>28.5.2026</v>
      </c>
      <c r="L83" s="153">
        <v>72</v>
      </c>
      <c r="M83" s="92"/>
    </row>
    <row r="84" spans="1:13" ht="21.6" x14ac:dyDescent="0.65">
      <c r="A84" s="195"/>
      <c r="B84" s="140">
        <v>81</v>
      </c>
      <c r="C84" s="2"/>
      <c r="D84" s="1"/>
      <c r="E84" s="3"/>
      <c r="F84" s="1"/>
      <c r="G84" s="141">
        <f>IF(Basic345[[#This Row],[نوع الخدمة]]="مخالفات", 50,
IF(Basic345[[#This Row],[نوع الخدمة]]="كاش ان",
    IF(F84&lt;=100, 18, IF(F84&lt;=250, 23, IF(F84&lt;=500, 35, IF(F84&lt;=1000, 40, F84*0.04)))),
IF(Basic345[[#This Row],[نوع الخدمة]]="كاش اوت",
    IF(F84&lt;=100, 15, IF(F84&lt;=250, 20, IF(F84&lt;=500, 30, IF(F84&lt;=1000, 35, F84*0.035)))),
0)))</f>
        <v>0</v>
      </c>
      <c r="H84" s="159">
        <f>IF(I84="مخالفات",50,Basic345[[#This Row],[قيمة الرسوم / العموله]]+Basic345[[#This Row],[قيمة الشحنه]])</f>
        <v>0</v>
      </c>
      <c r="I84" s="90"/>
      <c r="J84" s="142" t="str">
        <f t="shared" si="1"/>
        <v>28.5.2026</v>
      </c>
      <c r="L84" s="153">
        <v>73</v>
      </c>
      <c r="M84" s="92"/>
    </row>
    <row r="85" spans="1:13" ht="21.6" x14ac:dyDescent="0.65">
      <c r="A85" s="195"/>
      <c r="B85" s="144">
        <v>82</v>
      </c>
      <c r="C85" s="2"/>
      <c r="D85" s="1"/>
      <c r="E85" s="3"/>
      <c r="F85" s="1"/>
      <c r="G85" s="141">
        <f>IF(Basic345[[#This Row],[نوع الخدمة]]="مخالفات", 50,
IF(Basic345[[#This Row],[نوع الخدمة]]="كاش ان",
    IF(F85&lt;=100, 18, IF(F85&lt;=250, 23, IF(F85&lt;=500, 35, IF(F85&lt;=1000, 40, F85*0.04)))),
IF(Basic345[[#This Row],[نوع الخدمة]]="كاش اوت",
    IF(F85&lt;=100, 15, IF(F85&lt;=250, 20, IF(F85&lt;=500, 30, IF(F85&lt;=1000, 35, F85*0.035)))),
0)))</f>
        <v>0</v>
      </c>
      <c r="H85" s="159">
        <f>IF(I85="مخالفات",50,Basic345[[#This Row],[قيمة الرسوم / العموله]]+Basic345[[#This Row],[قيمة الشحنه]])</f>
        <v>0</v>
      </c>
      <c r="I85" s="90"/>
      <c r="J85" s="142" t="str">
        <f t="shared" si="1"/>
        <v>28.5.2026</v>
      </c>
      <c r="L85" s="153">
        <v>74</v>
      </c>
      <c r="M85" s="92"/>
    </row>
    <row r="86" spans="1:13" ht="21.6" x14ac:dyDescent="0.65">
      <c r="A86" s="195"/>
      <c r="B86" s="140">
        <v>83</v>
      </c>
      <c r="C86" s="2"/>
      <c r="D86" s="1"/>
      <c r="E86" s="3"/>
      <c r="F86" s="1"/>
      <c r="G86" s="141">
        <f>IF(Basic345[[#This Row],[نوع الخدمة]]="مخالفات", 50,
IF(Basic345[[#This Row],[نوع الخدمة]]="كاش ان",
    IF(F86&lt;=100, 18, IF(F86&lt;=250, 23, IF(F86&lt;=500, 35, IF(F86&lt;=1000, 40, F86*0.04)))),
IF(Basic345[[#This Row],[نوع الخدمة]]="كاش اوت",
    IF(F86&lt;=100, 15, IF(F86&lt;=250, 20, IF(F86&lt;=500, 30, IF(F86&lt;=1000, 35, F86*0.035)))),
0)))</f>
        <v>0</v>
      </c>
      <c r="H86" s="159">
        <f>IF(I86="مخالفات",50,Basic345[[#This Row],[قيمة الرسوم / العموله]]+Basic345[[#This Row],[قيمة الشحنه]])</f>
        <v>0</v>
      </c>
      <c r="I86" s="90"/>
      <c r="J86" s="142" t="str">
        <f t="shared" si="1"/>
        <v>28.5.2026</v>
      </c>
      <c r="L86" s="153">
        <v>75</v>
      </c>
      <c r="M86" s="92"/>
    </row>
    <row r="87" spans="1:13" ht="21.6" x14ac:dyDescent="0.65">
      <c r="A87" s="195"/>
      <c r="B87" s="140">
        <v>84</v>
      </c>
      <c r="C87" s="2"/>
      <c r="D87" s="1"/>
      <c r="E87" s="3"/>
      <c r="F87" s="1"/>
      <c r="G87" s="141">
        <f>IF(Basic345[[#This Row],[نوع الخدمة]]="مخالفات", 50,
IF(Basic345[[#This Row],[نوع الخدمة]]="كاش ان",
    IF(F87&lt;=100, 18, IF(F87&lt;=250, 23, IF(F87&lt;=500, 35, IF(F87&lt;=1000, 40, F87*0.04)))),
IF(Basic345[[#This Row],[نوع الخدمة]]="كاش اوت",
    IF(F87&lt;=100, 15, IF(F87&lt;=250, 20, IF(F87&lt;=500, 30, IF(F87&lt;=1000, 35, F87*0.035)))),
0)))</f>
        <v>0</v>
      </c>
      <c r="H87" s="159">
        <f>IF(I87="مخالفات",50,Basic345[[#This Row],[قيمة الرسوم / العموله]]+Basic345[[#This Row],[قيمة الشحنه]])</f>
        <v>0</v>
      </c>
      <c r="I87" s="90"/>
      <c r="J87" s="142" t="str">
        <f t="shared" si="1"/>
        <v>28.5.2026</v>
      </c>
      <c r="L87" s="153">
        <v>76</v>
      </c>
      <c r="M87" s="92"/>
    </row>
    <row r="88" spans="1:13" ht="21.6" x14ac:dyDescent="0.65">
      <c r="A88" s="195"/>
      <c r="B88" s="140">
        <v>85</v>
      </c>
      <c r="C88" s="2"/>
      <c r="D88" s="1"/>
      <c r="E88" s="3"/>
      <c r="F88" s="1"/>
      <c r="G88" s="141">
        <f>IF(Basic345[[#This Row],[نوع الخدمة]]="مخالفات", 50,
IF(Basic345[[#This Row],[نوع الخدمة]]="كاش ان",
    IF(F88&lt;=100, 18, IF(F88&lt;=250, 23, IF(F88&lt;=500, 35, IF(F88&lt;=1000, 40, F88*0.04)))),
IF(Basic345[[#This Row],[نوع الخدمة]]="كاش اوت",
    IF(F88&lt;=100, 15, IF(F88&lt;=250, 20, IF(F88&lt;=500, 30, IF(F88&lt;=1000, 35, F88*0.035)))),
0)))</f>
        <v>0</v>
      </c>
      <c r="H88" s="159">
        <f>IF(I88="مخالفات",50,Basic345[[#This Row],[قيمة الرسوم / العموله]]+Basic345[[#This Row],[قيمة الشحنه]])</f>
        <v>0</v>
      </c>
      <c r="I88" s="90"/>
      <c r="J88" s="142" t="str">
        <f t="shared" si="1"/>
        <v>28.5.2026</v>
      </c>
      <c r="L88" s="153">
        <v>77</v>
      </c>
      <c r="M88" s="92"/>
    </row>
    <row r="89" spans="1:13" ht="21.6" x14ac:dyDescent="0.65">
      <c r="A89" s="195"/>
      <c r="B89" s="144">
        <v>86</v>
      </c>
      <c r="C89" s="2"/>
      <c r="D89" s="1"/>
      <c r="E89" s="3"/>
      <c r="F89" s="1"/>
      <c r="G89" s="141">
        <f>IF(Basic345[[#This Row],[نوع الخدمة]]="مخالفات", 50,
IF(Basic345[[#This Row],[نوع الخدمة]]="كاش ان",
    IF(F89&lt;=100, 18, IF(F89&lt;=250, 23, IF(F89&lt;=500, 35, IF(F89&lt;=1000, 40, F89*0.04)))),
IF(Basic345[[#This Row],[نوع الخدمة]]="كاش اوت",
    IF(F89&lt;=100, 15, IF(F89&lt;=250, 20, IF(F89&lt;=500, 30, IF(F89&lt;=1000, 35, F89*0.035)))),
0)))</f>
        <v>0</v>
      </c>
      <c r="H89" s="159">
        <f>IF(I89="مخالفات",50,Basic345[[#This Row],[قيمة الرسوم / العموله]]+Basic345[[#This Row],[قيمة الشحنه]])</f>
        <v>0</v>
      </c>
      <c r="I89" s="90"/>
      <c r="J89" s="142" t="str">
        <f t="shared" si="1"/>
        <v>28.5.2026</v>
      </c>
      <c r="L89" s="153">
        <v>78</v>
      </c>
      <c r="M89" s="92"/>
    </row>
    <row r="90" spans="1:13" ht="21.6" x14ac:dyDescent="0.65">
      <c r="A90" s="195"/>
      <c r="B90" s="140">
        <v>87</v>
      </c>
      <c r="C90" s="2"/>
      <c r="D90" s="1"/>
      <c r="E90" s="3"/>
      <c r="F90" s="1"/>
      <c r="G90" s="141">
        <f>IF(Basic345[[#This Row],[نوع الخدمة]]="مخالفات", 50,
IF(Basic345[[#This Row],[نوع الخدمة]]="كاش ان",
    IF(F90&lt;=100, 18, IF(F90&lt;=250, 23, IF(F90&lt;=500, 35, IF(F90&lt;=1000, 40, F90*0.04)))),
IF(Basic345[[#This Row],[نوع الخدمة]]="كاش اوت",
    IF(F90&lt;=100, 15, IF(F90&lt;=250, 20, IF(F90&lt;=500, 30, IF(F90&lt;=1000, 35, F90*0.035)))),
0)))</f>
        <v>0</v>
      </c>
      <c r="H90" s="159">
        <f>IF(I90="مخالفات",50,Basic345[[#This Row],[قيمة الرسوم / العموله]]+Basic345[[#This Row],[قيمة الشحنه]])</f>
        <v>0</v>
      </c>
      <c r="I90" s="90"/>
      <c r="J90" s="142" t="str">
        <f t="shared" si="1"/>
        <v>28.5.2026</v>
      </c>
      <c r="L90" s="153">
        <v>79</v>
      </c>
      <c r="M90" s="92"/>
    </row>
    <row r="91" spans="1:13" ht="21.6" x14ac:dyDescent="0.65">
      <c r="A91" s="195"/>
      <c r="B91" s="140">
        <v>88</v>
      </c>
      <c r="C91" s="2"/>
      <c r="D91" s="1"/>
      <c r="E91" s="3"/>
      <c r="F91" s="1"/>
      <c r="G91" s="141">
        <f>IF(Basic345[[#This Row],[نوع الخدمة]]="مخالفات", 50,
IF(Basic345[[#This Row],[نوع الخدمة]]="كاش ان",
    IF(F91&lt;=100, 18, IF(F91&lt;=250, 23, IF(F91&lt;=500, 35, IF(F91&lt;=1000, 40, F91*0.04)))),
IF(Basic345[[#This Row],[نوع الخدمة]]="كاش اوت",
    IF(F91&lt;=100, 15, IF(F91&lt;=250, 20, IF(F91&lt;=500, 30, IF(F91&lt;=1000, 35, F91*0.035)))),
0)))</f>
        <v>0</v>
      </c>
      <c r="H91" s="159">
        <f>IF(I91="مخالفات",50,Basic345[[#This Row],[قيمة الرسوم / العموله]]+Basic345[[#This Row],[قيمة الشحنه]])</f>
        <v>0</v>
      </c>
      <c r="I91" s="90"/>
      <c r="J91" s="142" t="str">
        <f t="shared" si="1"/>
        <v>28.5.2026</v>
      </c>
      <c r="L91" s="153">
        <v>80</v>
      </c>
      <c r="M91" s="92"/>
    </row>
    <row r="92" spans="1:13" ht="21.6" x14ac:dyDescent="0.65">
      <c r="A92" s="195"/>
      <c r="B92" s="140">
        <v>89</v>
      </c>
      <c r="C92" s="2"/>
      <c r="D92" s="1"/>
      <c r="E92" s="3"/>
      <c r="F92" s="1"/>
      <c r="G92" s="141">
        <f>IF(Basic345[[#This Row],[نوع الخدمة]]="مخالفات", 50,
IF(Basic345[[#This Row],[نوع الخدمة]]="كاش ان",
    IF(F92&lt;=100, 18, IF(F92&lt;=250, 23, IF(F92&lt;=500, 35, IF(F92&lt;=1000, 40, F92*0.04)))),
IF(Basic345[[#This Row],[نوع الخدمة]]="كاش اوت",
    IF(F92&lt;=100, 15, IF(F92&lt;=250, 20, IF(F92&lt;=500, 30, IF(F92&lt;=1000, 35, F92*0.035)))),
0)))</f>
        <v>0</v>
      </c>
      <c r="H92" s="159">
        <f>IF(I92="مخالفات",50,Basic345[[#This Row],[قيمة الرسوم / العموله]]+Basic345[[#This Row],[قيمة الشحنه]])</f>
        <v>0</v>
      </c>
      <c r="I92" s="90"/>
      <c r="J92" s="142" t="str">
        <f t="shared" si="1"/>
        <v>28.5.2026</v>
      </c>
      <c r="L92" s="153">
        <v>81</v>
      </c>
      <c r="M92" s="92"/>
    </row>
    <row r="93" spans="1:13" ht="21.6" x14ac:dyDescent="0.65">
      <c r="A93" s="195"/>
      <c r="B93" s="144">
        <v>90</v>
      </c>
      <c r="C93" s="2"/>
      <c r="D93" s="1"/>
      <c r="E93" s="3"/>
      <c r="F93" s="1"/>
      <c r="G93" s="141">
        <f>IF(Basic345[[#This Row],[نوع الخدمة]]="مخالفات", 50,
IF(Basic345[[#This Row],[نوع الخدمة]]="كاش ان",
    IF(F93&lt;=100, 18, IF(F93&lt;=250, 23, IF(F93&lt;=500, 35, IF(F93&lt;=1000, 40, F93*0.04)))),
IF(Basic345[[#This Row],[نوع الخدمة]]="كاش اوت",
    IF(F93&lt;=100, 15, IF(F93&lt;=250, 20, IF(F93&lt;=500, 30, IF(F93&lt;=1000, 35, F93*0.035)))),
0)))</f>
        <v>0</v>
      </c>
      <c r="H93" s="159">
        <f>IF(I93="مخالفات",50,Basic345[[#This Row],[قيمة الرسوم / العموله]]+Basic345[[#This Row],[قيمة الشحنه]])</f>
        <v>0</v>
      </c>
      <c r="I93" s="90"/>
      <c r="J93" s="142" t="str">
        <f t="shared" si="1"/>
        <v>28.5.2026</v>
      </c>
      <c r="L93" s="153">
        <v>82</v>
      </c>
      <c r="M93" s="92"/>
    </row>
    <row r="94" spans="1:13" ht="21.6" x14ac:dyDescent="0.65">
      <c r="A94" s="195"/>
      <c r="B94" s="140">
        <v>91</v>
      </c>
      <c r="C94" s="2"/>
      <c r="D94" s="1"/>
      <c r="E94" s="3"/>
      <c r="F94" s="1"/>
      <c r="G94" s="141">
        <f>IF(Basic345[[#This Row],[نوع الخدمة]]="مخالفات", 50,
IF(Basic345[[#This Row],[نوع الخدمة]]="كاش ان",
    IF(F94&lt;=100, 18, IF(F94&lt;=250, 23, IF(F94&lt;=500, 35, IF(F94&lt;=1000, 40, F94*0.04)))),
IF(Basic345[[#This Row],[نوع الخدمة]]="كاش اوت",
    IF(F94&lt;=100, 15, IF(F94&lt;=250, 20, IF(F94&lt;=500, 30, IF(F94&lt;=1000, 35, F94*0.035)))),
0)))</f>
        <v>0</v>
      </c>
      <c r="H94" s="159">
        <f>IF(I94="مخالفات",50,Basic345[[#This Row],[قيمة الرسوم / العموله]]+Basic345[[#This Row],[قيمة الشحنه]])</f>
        <v>0</v>
      </c>
      <c r="I94" s="90"/>
      <c r="J94" s="142" t="str">
        <f t="shared" si="1"/>
        <v>28.5.2026</v>
      </c>
      <c r="L94" s="153">
        <v>83</v>
      </c>
      <c r="M94" s="92"/>
    </row>
    <row r="95" spans="1:13" ht="21.6" x14ac:dyDescent="0.65">
      <c r="A95" s="195"/>
      <c r="B95" s="140">
        <v>92</v>
      </c>
      <c r="C95" s="2"/>
      <c r="D95" s="1"/>
      <c r="E95" s="3"/>
      <c r="F95" s="1"/>
      <c r="G95" s="141">
        <f>IF(Basic345[[#This Row],[نوع الخدمة]]="مخالفات", 50,
IF(Basic345[[#This Row],[نوع الخدمة]]="كاش ان",
    IF(F95&lt;=100, 18, IF(F95&lt;=250, 23, IF(F95&lt;=500, 35, IF(F95&lt;=1000, 40, F95*0.04)))),
IF(Basic345[[#This Row],[نوع الخدمة]]="كاش اوت",
    IF(F95&lt;=100, 15, IF(F95&lt;=250, 20, IF(F95&lt;=500, 30, IF(F95&lt;=1000, 35, F95*0.035)))),
0)))</f>
        <v>0</v>
      </c>
      <c r="H95" s="159">
        <f>IF(I95="مخالفات",50,Basic345[[#This Row],[قيمة الرسوم / العموله]]+Basic345[[#This Row],[قيمة الشحنه]])</f>
        <v>0</v>
      </c>
      <c r="I95" s="90"/>
      <c r="J95" s="142" t="str">
        <f t="shared" si="1"/>
        <v>28.5.2026</v>
      </c>
      <c r="L95" s="153">
        <v>84</v>
      </c>
      <c r="M95" s="92"/>
    </row>
    <row r="96" spans="1:13" ht="21.6" x14ac:dyDescent="0.65">
      <c r="A96" s="195"/>
      <c r="B96" s="140">
        <v>93</v>
      </c>
      <c r="C96" s="2"/>
      <c r="D96" s="1"/>
      <c r="E96" s="3"/>
      <c r="F96" s="1"/>
      <c r="G96" s="141">
        <f>IF(Basic345[[#This Row],[نوع الخدمة]]="مخالفات", 50,
IF(Basic345[[#This Row],[نوع الخدمة]]="كاش ان",
    IF(F96&lt;=100, 18, IF(F96&lt;=250, 23, IF(F96&lt;=500, 35, IF(F96&lt;=1000, 40, F96*0.04)))),
IF(Basic345[[#This Row],[نوع الخدمة]]="كاش اوت",
    IF(F96&lt;=100, 15, IF(F96&lt;=250, 20, IF(F96&lt;=500, 30, IF(F96&lt;=1000, 35, F96*0.035)))),
0)))</f>
        <v>0</v>
      </c>
      <c r="H96" s="159">
        <f>IF(I96="مخالفات",50,Basic345[[#This Row],[قيمة الرسوم / العموله]]+Basic345[[#This Row],[قيمة الشحنه]])</f>
        <v>0</v>
      </c>
      <c r="I96" s="90"/>
      <c r="J96" s="142" t="str">
        <f t="shared" si="1"/>
        <v>28.5.2026</v>
      </c>
      <c r="L96" s="153">
        <v>85</v>
      </c>
      <c r="M96" s="92"/>
    </row>
    <row r="97" spans="1:13" ht="21.6" x14ac:dyDescent="0.65">
      <c r="A97" s="195"/>
      <c r="B97" s="144">
        <v>94</v>
      </c>
      <c r="C97" s="2"/>
      <c r="D97" s="1"/>
      <c r="E97" s="3"/>
      <c r="F97" s="1"/>
      <c r="G97" s="141">
        <f>IF(Basic345[[#This Row],[نوع الخدمة]]="مخالفات", 50,
IF(Basic345[[#This Row],[نوع الخدمة]]="كاش ان",
    IF(F97&lt;=100, 18, IF(F97&lt;=250, 23, IF(F97&lt;=500, 35, IF(F97&lt;=1000, 40, F97*0.04)))),
IF(Basic345[[#This Row],[نوع الخدمة]]="كاش اوت",
    IF(F97&lt;=100, 15, IF(F97&lt;=250, 20, IF(F97&lt;=500, 30, IF(F97&lt;=1000, 35, F97*0.035)))),
0)))</f>
        <v>0</v>
      </c>
      <c r="H97" s="159">
        <f>IF(I97="مخالفات",50,Basic345[[#This Row],[قيمة الرسوم / العموله]]+Basic345[[#This Row],[قيمة الشحنه]])</f>
        <v>0</v>
      </c>
      <c r="I97" s="90"/>
      <c r="J97" s="142" t="str">
        <f t="shared" si="1"/>
        <v>28.5.2026</v>
      </c>
      <c r="L97" s="153">
        <v>86</v>
      </c>
      <c r="M97" s="92"/>
    </row>
    <row r="98" spans="1:13" ht="21.6" x14ac:dyDescent="0.65">
      <c r="A98" s="195"/>
      <c r="B98" s="140">
        <v>95</v>
      </c>
      <c r="C98" s="2"/>
      <c r="D98" s="1"/>
      <c r="E98" s="3"/>
      <c r="F98" s="1"/>
      <c r="G98" s="141">
        <f>IF(Basic345[[#This Row],[نوع الخدمة]]="مخالفات", 50,
IF(Basic345[[#This Row],[نوع الخدمة]]="كاش ان",
    IF(F98&lt;=100, 18, IF(F98&lt;=250, 23, IF(F98&lt;=500, 35, IF(F98&lt;=1000, 40, F98*0.04)))),
IF(Basic345[[#This Row],[نوع الخدمة]]="كاش اوت",
    IF(F98&lt;=100, 15, IF(F98&lt;=250, 20, IF(F98&lt;=500, 30, IF(F98&lt;=1000, 35, F98*0.035)))),
0)))</f>
        <v>0</v>
      </c>
      <c r="H98" s="159">
        <f>IF(I98="مخالفات",50,Basic345[[#This Row],[قيمة الرسوم / العموله]]+Basic345[[#This Row],[قيمة الشحنه]])</f>
        <v>0</v>
      </c>
      <c r="I98" s="90"/>
      <c r="J98" s="142" t="str">
        <f t="shared" si="1"/>
        <v>28.5.2026</v>
      </c>
      <c r="L98" s="153">
        <v>87</v>
      </c>
      <c r="M98" s="92"/>
    </row>
    <row r="99" spans="1:13" ht="21.6" x14ac:dyDescent="0.65">
      <c r="A99" s="195"/>
      <c r="B99" s="140">
        <v>96</v>
      </c>
      <c r="C99" s="2"/>
      <c r="D99" s="1"/>
      <c r="E99" s="3"/>
      <c r="F99" s="1"/>
      <c r="G99" s="141">
        <f>IF(Basic345[[#This Row],[نوع الخدمة]]="مخالفات", 50,
IF(Basic345[[#This Row],[نوع الخدمة]]="كاش ان",
    IF(F99&lt;=100, 18, IF(F99&lt;=250, 23, IF(F99&lt;=500, 35, IF(F99&lt;=1000, 40, F99*0.04)))),
IF(Basic345[[#This Row],[نوع الخدمة]]="كاش اوت",
    IF(F99&lt;=100, 15, IF(F99&lt;=250, 20, IF(F99&lt;=500, 30, IF(F99&lt;=1000, 35, F99*0.035)))),
0)))</f>
        <v>0</v>
      </c>
      <c r="H99" s="159">
        <f>IF(I99="مخالفات",50,Basic345[[#This Row],[قيمة الرسوم / العموله]]+Basic345[[#This Row],[قيمة الشحنه]])</f>
        <v>0</v>
      </c>
      <c r="I99" s="90"/>
      <c r="J99" s="142" t="str">
        <f t="shared" si="1"/>
        <v>28.5.2026</v>
      </c>
      <c r="L99" s="153">
        <v>88</v>
      </c>
      <c r="M99" s="92"/>
    </row>
    <row r="100" spans="1:13" ht="21.6" x14ac:dyDescent="0.65">
      <c r="A100" s="195"/>
      <c r="B100" s="140">
        <v>97</v>
      </c>
      <c r="C100" s="2"/>
      <c r="D100" s="1"/>
      <c r="E100" s="3"/>
      <c r="F100" s="1"/>
      <c r="G100" s="141">
        <f>IF(Basic345[[#This Row],[نوع الخدمة]]="مخالفات", 50,
IF(Basic345[[#This Row],[نوع الخدمة]]="كاش ان",
    IF(F100&lt;=100, 18, IF(F100&lt;=250, 23, IF(F100&lt;=500, 35, IF(F100&lt;=1000, 40, F100*0.04)))),
IF(Basic345[[#This Row],[نوع الخدمة]]="كاش اوت",
    IF(F100&lt;=100, 15, IF(F100&lt;=250, 20, IF(F100&lt;=500, 30, IF(F100&lt;=1000, 35, F100*0.035)))),
0)))</f>
        <v>0</v>
      </c>
      <c r="H100" s="159">
        <f>IF(I100="مخالفات",50,Basic345[[#This Row],[قيمة الرسوم / العموله]]+Basic345[[#This Row],[قيمة الشحنه]])</f>
        <v>0</v>
      </c>
      <c r="I100" s="90"/>
      <c r="J100" s="142" t="str">
        <f t="shared" si="1"/>
        <v>28.5.2026</v>
      </c>
      <c r="L100" s="153">
        <v>89</v>
      </c>
      <c r="M100" s="92"/>
    </row>
    <row r="101" spans="1:13" ht="21.6" x14ac:dyDescent="0.65">
      <c r="A101" s="195"/>
      <c r="B101" s="144">
        <v>98</v>
      </c>
      <c r="C101" s="2"/>
      <c r="D101" s="1"/>
      <c r="E101" s="3"/>
      <c r="F101" s="1"/>
      <c r="G101" s="141">
        <f>IF(Basic345[[#This Row],[نوع الخدمة]]="مخالفات", 50,
IF(Basic345[[#This Row],[نوع الخدمة]]="كاش ان",
    IF(F101&lt;=100, 18, IF(F101&lt;=250, 23, IF(F101&lt;=500, 35, IF(F101&lt;=1000, 40, F101*0.04)))),
IF(Basic345[[#This Row],[نوع الخدمة]]="كاش اوت",
    IF(F101&lt;=100, 15, IF(F101&lt;=250, 20, IF(F101&lt;=500, 30, IF(F101&lt;=1000, 35, F101*0.035)))),
0)))</f>
        <v>0</v>
      </c>
      <c r="H101" s="159">
        <f>IF(I101="مخالفات",50,Basic345[[#This Row],[قيمة الرسوم / العموله]]+Basic345[[#This Row],[قيمة الشحنه]])</f>
        <v>0</v>
      </c>
      <c r="I101" s="90"/>
      <c r="J101" s="142" t="str">
        <f t="shared" si="1"/>
        <v>28.5.2026</v>
      </c>
      <c r="L101" s="153">
        <v>90</v>
      </c>
      <c r="M101" s="92"/>
    </row>
    <row r="102" spans="1:13" ht="21.6" x14ac:dyDescent="0.65">
      <c r="A102" s="195"/>
      <c r="B102" s="140">
        <v>99</v>
      </c>
      <c r="C102" s="2"/>
      <c r="D102" s="1"/>
      <c r="E102" s="3"/>
      <c r="F102" s="1"/>
      <c r="G102" s="141">
        <f>IF(Basic345[[#This Row],[نوع الخدمة]]="مخالفات", 50,
IF(Basic345[[#This Row],[نوع الخدمة]]="كاش ان",
    IF(F102&lt;=100, 18, IF(F102&lt;=250, 23, IF(F102&lt;=500, 35, IF(F102&lt;=1000, 40, F102*0.04)))),
IF(Basic345[[#This Row],[نوع الخدمة]]="كاش اوت",
    IF(F102&lt;=100, 15, IF(F102&lt;=250, 20, IF(F102&lt;=500, 30, IF(F102&lt;=1000, 35, F102*0.035)))),
0)))</f>
        <v>0</v>
      </c>
      <c r="H102" s="159">
        <f>IF(I102="مخالفات",50,Basic345[[#This Row],[قيمة الرسوم / العموله]]+Basic345[[#This Row],[قيمة الشحنه]])</f>
        <v>0</v>
      </c>
      <c r="I102" s="90"/>
      <c r="J102" s="142" t="str">
        <f t="shared" si="1"/>
        <v>28.5.2026</v>
      </c>
      <c r="L102" s="153">
        <v>91</v>
      </c>
      <c r="M102" s="92"/>
    </row>
    <row r="103" spans="1:13" ht="21.6" x14ac:dyDescent="0.65">
      <c r="A103" s="195"/>
      <c r="B103" s="140">
        <v>100</v>
      </c>
      <c r="C103" s="2"/>
      <c r="D103" s="1"/>
      <c r="E103" s="3"/>
      <c r="F103" s="1"/>
      <c r="G103" s="141">
        <f>IF(Basic345[[#This Row],[نوع الخدمة]]="مخالفات", 50,
IF(Basic345[[#This Row],[نوع الخدمة]]="كاش ان",
    IF(F103&lt;=100, 18, IF(F103&lt;=250, 23, IF(F103&lt;=500, 35, IF(F103&lt;=1000, 40, F103*0.04)))),
IF(Basic345[[#This Row],[نوع الخدمة]]="كاش اوت",
    IF(F103&lt;=100, 15, IF(F103&lt;=250, 20, IF(F103&lt;=500, 30, IF(F103&lt;=1000, 35, F103*0.035)))),
0)))</f>
        <v>0</v>
      </c>
      <c r="H103" s="159">
        <f>IF(I103="مخالفات",50,Basic345[[#This Row],[قيمة الرسوم / العموله]]+Basic345[[#This Row],[قيمة الشحنه]])</f>
        <v>0</v>
      </c>
      <c r="I103" s="90"/>
      <c r="J103" s="142" t="str">
        <f t="shared" si="1"/>
        <v>28.5.2026</v>
      </c>
      <c r="L103" s="153">
        <v>92</v>
      </c>
      <c r="M103" s="92"/>
    </row>
    <row r="104" spans="1:13" ht="21.6" x14ac:dyDescent="0.65">
      <c r="A104" s="195"/>
      <c r="B104" s="140">
        <v>101</v>
      </c>
      <c r="C104" s="2"/>
      <c r="D104" s="1"/>
      <c r="E104" s="3"/>
      <c r="F104" s="1"/>
      <c r="G104" s="141">
        <f>IF(Basic345[[#This Row],[نوع الخدمة]]="مخالفات", 50,
IF(Basic345[[#This Row],[نوع الخدمة]]="كاش ان",
    IF(F104&lt;=100, 18, IF(F104&lt;=250, 23, IF(F104&lt;=500, 35, IF(F104&lt;=1000, 40, F104*0.04)))),
IF(Basic345[[#This Row],[نوع الخدمة]]="كاش اوت",
    IF(F104&lt;=100, 15, IF(F104&lt;=250, 20, IF(F104&lt;=500, 30, IF(F104&lt;=1000, 35, F104*0.035)))),
0)))</f>
        <v>0</v>
      </c>
      <c r="H104" s="159">
        <f>IF(I104="مخالفات",50,Basic345[[#This Row],[قيمة الرسوم / العموله]]+Basic345[[#This Row],[قيمة الشحنه]])</f>
        <v>0</v>
      </c>
      <c r="I104" s="90"/>
      <c r="J104" s="142" t="str">
        <f t="shared" si="1"/>
        <v>28.5.2026</v>
      </c>
      <c r="L104" s="153">
        <v>93</v>
      </c>
      <c r="M104" s="92"/>
    </row>
    <row r="105" spans="1:13" ht="21.6" x14ac:dyDescent="0.65">
      <c r="A105" s="195"/>
      <c r="B105" s="144">
        <v>102</v>
      </c>
      <c r="C105" s="2"/>
      <c r="D105" s="1"/>
      <c r="E105" s="3"/>
      <c r="F105" s="1"/>
      <c r="G105" s="141">
        <f>IF(Basic345[[#This Row],[نوع الخدمة]]="مخالفات", 50,
IF(Basic345[[#This Row],[نوع الخدمة]]="كاش ان",
    IF(F105&lt;=100, 18, IF(F105&lt;=250, 23, IF(F105&lt;=500, 35, IF(F105&lt;=1000, 40, F105*0.04)))),
IF(Basic345[[#This Row],[نوع الخدمة]]="كاش اوت",
    IF(F105&lt;=100, 15, IF(F105&lt;=250, 20, IF(F105&lt;=500, 30, IF(F105&lt;=1000, 35, F105*0.035)))),
0)))</f>
        <v>0</v>
      </c>
      <c r="H105" s="159">
        <f>IF(I105="مخالفات",50,Basic345[[#This Row],[قيمة الرسوم / العموله]]+Basic345[[#This Row],[قيمة الشحنه]])</f>
        <v>0</v>
      </c>
      <c r="I105" s="90"/>
      <c r="J105" s="142" t="str">
        <f t="shared" si="1"/>
        <v>28.5.2026</v>
      </c>
      <c r="L105" s="153">
        <v>94</v>
      </c>
      <c r="M105" s="92"/>
    </row>
    <row r="106" spans="1:13" ht="21.6" x14ac:dyDescent="0.65">
      <c r="A106" s="195"/>
      <c r="B106" s="140">
        <v>103</v>
      </c>
      <c r="C106" s="2"/>
      <c r="D106" s="1"/>
      <c r="E106" s="3"/>
      <c r="F106" s="1"/>
      <c r="G106" s="141">
        <f>IF(Basic345[[#This Row],[نوع الخدمة]]="مخالفات", 50,
IF(Basic345[[#This Row],[نوع الخدمة]]="كاش ان",
    IF(F106&lt;=100, 18, IF(F106&lt;=250, 23, IF(F106&lt;=500, 35, IF(F106&lt;=1000, 40, F106*0.04)))),
IF(Basic345[[#This Row],[نوع الخدمة]]="كاش اوت",
    IF(F106&lt;=100, 15, IF(F106&lt;=250, 20, IF(F106&lt;=500, 30, IF(F106&lt;=1000, 35, F106*0.035)))),
0)))</f>
        <v>0</v>
      </c>
      <c r="H106" s="159">
        <f>IF(I106="مخالفات",50,Basic345[[#This Row],[قيمة الرسوم / العموله]]+Basic345[[#This Row],[قيمة الشحنه]])</f>
        <v>0</v>
      </c>
      <c r="I106" s="90"/>
      <c r="J106" s="142" t="str">
        <f t="shared" si="1"/>
        <v>28.5.2026</v>
      </c>
      <c r="L106" s="153">
        <v>95</v>
      </c>
      <c r="M106" s="92"/>
    </row>
    <row r="107" spans="1:13" ht="21.6" x14ac:dyDescent="0.65">
      <c r="A107" s="195"/>
      <c r="B107" s="140">
        <v>104</v>
      </c>
      <c r="C107" s="2"/>
      <c r="D107" s="1"/>
      <c r="E107" s="3"/>
      <c r="F107" s="1"/>
      <c r="G107" s="141">
        <f>IF(Basic345[[#This Row],[نوع الخدمة]]="مخالفات", 50,
IF(Basic345[[#This Row],[نوع الخدمة]]="كاش ان",
    IF(F107&lt;=100, 18, IF(F107&lt;=250, 23, IF(F107&lt;=500, 35, IF(F107&lt;=1000, 40, F107*0.04)))),
IF(Basic345[[#This Row],[نوع الخدمة]]="كاش اوت",
    IF(F107&lt;=100, 15, IF(F107&lt;=250, 20, IF(F107&lt;=500, 30, IF(F107&lt;=1000, 35, F107*0.035)))),
0)))</f>
        <v>0</v>
      </c>
      <c r="H107" s="159">
        <f>IF(I107="مخالفات",50,Basic345[[#This Row],[قيمة الرسوم / العموله]]+Basic345[[#This Row],[قيمة الشحنه]])</f>
        <v>0</v>
      </c>
      <c r="I107" s="90"/>
      <c r="J107" s="142" t="str">
        <f t="shared" si="1"/>
        <v>28.5.2026</v>
      </c>
      <c r="L107" s="153">
        <v>96</v>
      </c>
      <c r="M107" s="92"/>
    </row>
    <row r="108" spans="1:13" ht="21.6" x14ac:dyDescent="0.65">
      <c r="A108" s="195"/>
      <c r="B108" s="140">
        <v>105</v>
      </c>
      <c r="C108" s="2"/>
      <c r="D108" s="1"/>
      <c r="E108" s="3"/>
      <c r="F108" s="1"/>
      <c r="G108" s="141">
        <f>IF(Basic345[[#This Row],[نوع الخدمة]]="مخالفات", 50,
IF(Basic345[[#This Row],[نوع الخدمة]]="كاش ان",
    IF(F108&lt;=100, 18, IF(F108&lt;=250, 23, IF(F108&lt;=500, 35, IF(F108&lt;=1000, 40, F108*0.04)))),
IF(Basic345[[#This Row],[نوع الخدمة]]="كاش اوت",
    IF(F108&lt;=100, 15, IF(F108&lt;=250, 20, IF(F108&lt;=500, 30, IF(F108&lt;=1000, 35, F108*0.035)))),
0)))</f>
        <v>0</v>
      </c>
      <c r="H108" s="159">
        <f>IF(I108="مخالفات",50,Basic345[[#This Row],[قيمة الرسوم / العموله]]+Basic345[[#This Row],[قيمة الشحنه]])</f>
        <v>0</v>
      </c>
      <c r="I108" s="90"/>
      <c r="J108" s="142" t="str">
        <f t="shared" si="1"/>
        <v>28.5.2026</v>
      </c>
      <c r="L108" s="153">
        <v>97</v>
      </c>
      <c r="M108" s="92"/>
    </row>
    <row r="109" spans="1:13" ht="21.6" x14ac:dyDescent="0.65">
      <c r="A109" s="195"/>
      <c r="B109" s="144">
        <v>106</v>
      </c>
      <c r="C109" s="2"/>
      <c r="D109" s="1"/>
      <c r="E109" s="3"/>
      <c r="F109" s="1"/>
      <c r="G109" s="141">
        <f>IF(Basic345[[#This Row],[نوع الخدمة]]="مخالفات", 50,
IF(Basic345[[#This Row],[نوع الخدمة]]="كاش ان",
    IF(F109&lt;=100, 18, IF(F109&lt;=250, 23, IF(F109&lt;=500, 35, IF(F109&lt;=1000, 40, F109*0.04)))),
IF(Basic345[[#This Row],[نوع الخدمة]]="كاش اوت",
    IF(F109&lt;=100, 15, IF(F109&lt;=250, 20, IF(F109&lt;=500, 30, IF(F109&lt;=1000, 35, F109*0.035)))),
0)))</f>
        <v>0</v>
      </c>
      <c r="H109" s="159">
        <f>IF(I109="مخالفات",50,Basic345[[#This Row],[قيمة الرسوم / العموله]]+Basic345[[#This Row],[قيمة الشحنه]])</f>
        <v>0</v>
      </c>
      <c r="I109" s="90"/>
      <c r="J109" s="142" t="str">
        <f t="shared" si="1"/>
        <v>28.5.2026</v>
      </c>
      <c r="L109" s="153">
        <v>98</v>
      </c>
      <c r="M109" s="92"/>
    </row>
    <row r="110" spans="1:13" ht="21.6" x14ac:dyDescent="0.65">
      <c r="A110" s="195"/>
      <c r="B110" s="140">
        <v>107</v>
      </c>
      <c r="C110" s="2"/>
      <c r="D110" s="1"/>
      <c r="E110" s="3"/>
      <c r="F110" s="1"/>
      <c r="G110" s="141">
        <f>IF(Basic345[[#This Row],[نوع الخدمة]]="مخالفات", 50,
IF(Basic345[[#This Row],[نوع الخدمة]]="كاش ان",
    IF(F110&lt;=100, 18, IF(F110&lt;=250, 23, IF(F110&lt;=500, 35, IF(F110&lt;=1000, 40, F110*0.04)))),
IF(Basic345[[#This Row],[نوع الخدمة]]="كاش اوت",
    IF(F110&lt;=100, 15, IF(F110&lt;=250, 20, IF(F110&lt;=500, 30, IF(F110&lt;=1000, 35, F110*0.035)))),
0)))</f>
        <v>0</v>
      </c>
      <c r="H110" s="159">
        <f>IF(I110="مخالفات",50,Basic345[[#This Row],[قيمة الرسوم / العموله]]+Basic345[[#This Row],[قيمة الشحنه]])</f>
        <v>0</v>
      </c>
      <c r="I110" s="90"/>
      <c r="J110" s="142" t="str">
        <f t="shared" si="1"/>
        <v>28.5.2026</v>
      </c>
      <c r="L110" s="153">
        <v>99</v>
      </c>
      <c r="M110" s="92"/>
    </row>
    <row r="111" spans="1:13" ht="21.6" x14ac:dyDescent="0.65">
      <c r="A111" s="195"/>
      <c r="B111" s="140">
        <v>108</v>
      </c>
      <c r="C111" s="2"/>
      <c r="D111" s="1"/>
      <c r="E111" s="3"/>
      <c r="F111" s="1"/>
      <c r="G111" s="141">
        <f>IF(Basic345[[#This Row],[نوع الخدمة]]="مخالفات", 50,
IF(Basic345[[#This Row],[نوع الخدمة]]="كاش ان",
    IF(F111&lt;=100, 18, IF(F111&lt;=250, 23, IF(F111&lt;=500, 35, IF(F111&lt;=1000, 40, F111*0.04)))),
IF(Basic345[[#This Row],[نوع الخدمة]]="كاش اوت",
    IF(F111&lt;=100, 15, IF(F111&lt;=250, 20, IF(F111&lt;=500, 30, IF(F111&lt;=1000, 35, F111*0.035)))),
0)))</f>
        <v>0</v>
      </c>
      <c r="H111" s="159">
        <f>IF(I111="مخالفات",50,Basic345[[#This Row],[قيمة الرسوم / العموله]]+Basic345[[#This Row],[قيمة الشحنه]])</f>
        <v>0</v>
      </c>
      <c r="I111" s="90"/>
      <c r="J111" s="142" t="str">
        <f t="shared" si="1"/>
        <v>28.5.2026</v>
      </c>
      <c r="L111" s="153">
        <v>100</v>
      </c>
      <c r="M111" s="92"/>
    </row>
    <row r="112" spans="1:13" ht="21.6" x14ac:dyDescent="0.65">
      <c r="A112" s="195"/>
      <c r="B112" s="140">
        <v>109</v>
      </c>
      <c r="C112" s="2"/>
      <c r="D112" s="1"/>
      <c r="E112" s="3"/>
      <c r="F112" s="1"/>
      <c r="G112" s="141">
        <f>IF(Basic345[[#This Row],[نوع الخدمة]]="مخالفات", 50,
IF(Basic345[[#This Row],[نوع الخدمة]]="كاش ان",
    IF(F112&lt;=100, 18, IF(F112&lt;=250, 23, IF(F112&lt;=500, 35, IF(F112&lt;=1000, 40, F112*0.04)))),
IF(Basic345[[#This Row],[نوع الخدمة]]="كاش اوت",
    IF(F112&lt;=100, 15, IF(F112&lt;=250, 20, IF(F112&lt;=500, 30, IF(F112&lt;=1000, 35, F112*0.035)))),
0)))</f>
        <v>0</v>
      </c>
      <c r="H112" s="159">
        <f>IF(I112="مخالفات",50,Basic345[[#This Row],[قيمة الرسوم / العموله]]+Basic345[[#This Row],[قيمة الشحنه]])</f>
        <v>0</v>
      </c>
      <c r="I112" s="90"/>
      <c r="J112" s="142" t="str">
        <f t="shared" si="1"/>
        <v>28.5.2026</v>
      </c>
      <c r="L112" s="153">
        <v>101</v>
      </c>
      <c r="M112" s="92"/>
    </row>
    <row r="113" spans="1:13" ht="21.6" x14ac:dyDescent="0.65">
      <c r="A113" s="195"/>
      <c r="B113" s="144">
        <v>110</v>
      </c>
      <c r="C113" s="2"/>
      <c r="D113" s="1"/>
      <c r="E113" s="3"/>
      <c r="F113" s="1"/>
      <c r="G113" s="141">
        <f>IF(Basic345[[#This Row],[نوع الخدمة]]="مخالفات", 50,
IF(Basic345[[#This Row],[نوع الخدمة]]="كاش ان",
    IF(F113&lt;=100, 18, IF(F113&lt;=250, 23, IF(F113&lt;=500, 35, IF(F113&lt;=1000, 40, F113*0.04)))),
IF(Basic345[[#This Row],[نوع الخدمة]]="كاش اوت",
    IF(F113&lt;=100, 15, IF(F113&lt;=250, 20, IF(F113&lt;=500, 30, IF(F113&lt;=1000, 35, F113*0.035)))),
0)))</f>
        <v>0</v>
      </c>
      <c r="H113" s="159">
        <f>IF(I113="مخالفات",50,Basic345[[#This Row],[قيمة الرسوم / العموله]]+Basic345[[#This Row],[قيمة الشحنه]])</f>
        <v>0</v>
      </c>
      <c r="I113" s="90"/>
      <c r="J113" s="142" t="str">
        <f t="shared" si="1"/>
        <v>28.5.2026</v>
      </c>
      <c r="L113" s="153">
        <v>102</v>
      </c>
      <c r="M113" s="92"/>
    </row>
    <row r="114" spans="1:13" ht="21.6" x14ac:dyDescent="0.65">
      <c r="A114" s="195"/>
      <c r="B114" s="140">
        <v>111</v>
      </c>
      <c r="C114" s="2"/>
      <c r="D114" s="1"/>
      <c r="E114" s="3"/>
      <c r="F114" s="1"/>
      <c r="G114" s="141">
        <f>IF(Basic345[[#This Row],[نوع الخدمة]]="مخالفات", 50,
IF(Basic345[[#This Row],[نوع الخدمة]]="كاش ان",
    IF(F114&lt;=100, 18, IF(F114&lt;=250, 23, IF(F114&lt;=500, 35, IF(F114&lt;=1000, 40, F114*0.04)))),
IF(Basic345[[#This Row],[نوع الخدمة]]="كاش اوت",
    IF(F114&lt;=100, 15, IF(F114&lt;=250, 20, IF(F114&lt;=500, 30, IF(F114&lt;=1000, 35, F114*0.035)))),
0)))</f>
        <v>0</v>
      </c>
      <c r="H114" s="159">
        <f>IF(I114="مخالفات",50,Basic345[[#This Row],[قيمة الرسوم / العموله]]+Basic345[[#This Row],[قيمة الشحنه]])</f>
        <v>0</v>
      </c>
      <c r="I114" s="90"/>
      <c r="J114" s="142" t="str">
        <f t="shared" si="1"/>
        <v>28.5.2026</v>
      </c>
      <c r="L114" s="153">
        <v>103</v>
      </c>
      <c r="M114" s="92"/>
    </row>
    <row r="115" spans="1:13" ht="21.6" x14ac:dyDescent="0.65">
      <c r="A115" s="195"/>
      <c r="B115" s="140">
        <v>112</v>
      </c>
      <c r="C115" s="2"/>
      <c r="D115" s="1"/>
      <c r="E115" s="3"/>
      <c r="F115" s="1"/>
      <c r="G115" s="141">
        <f>IF(Basic345[[#This Row],[نوع الخدمة]]="مخالفات", 50,
IF(Basic345[[#This Row],[نوع الخدمة]]="كاش ان",
    IF(F115&lt;=100, 18, IF(F115&lt;=250, 23, IF(F115&lt;=500, 35, IF(F115&lt;=1000, 40, F115*0.04)))),
IF(Basic345[[#This Row],[نوع الخدمة]]="كاش اوت",
    IF(F115&lt;=100, 15, IF(F115&lt;=250, 20, IF(F115&lt;=500, 30, IF(F115&lt;=1000, 35, F115*0.035)))),
0)))</f>
        <v>0</v>
      </c>
      <c r="H115" s="159">
        <f>IF(I115="مخالفات",50,Basic345[[#This Row],[قيمة الرسوم / العموله]]+Basic345[[#This Row],[قيمة الشحنه]])</f>
        <v>0</v>
      </c>
      <c r="I115" s="90"/>
      <c r="J115" s="142" t="str">
        <f t="shared" si="1"/>
        <v>28.5.2026</v>
      </c>
      <c r="L115" s="153">
        <v>104</v>
      </c>
      <c r="M115" s="92"/>
    </row>
    <row r="116" spans="1:13" ht="21.6" x14ac:dyDescent="0.65">
      <c r="A116" s="195"/>
      <c r="B116" s="140">
        <v>113</v>
      </c>
      <c r="C116" s="2"/>
      <c r="D116" s="1"/>
      <c r="E116" s="3"/>
      <c r="F116" s="1"/>
      <c r="G116" s="141">
        <f>IF(Basic345[[#This Row],[نوع الخدمة]]="مخالفات", 50,
IF(Basic345[[#This Row],[نوع الخدمة]]="كاش ان",
    IF(F116&lt;=100, 18, IF(F116&lt;=250, 23, IF(F116&lt;=500, 35, IF(F116&lt;=1000, 40, F116*0.04)))),
IF(Basic345[[#This Row],[نوع الخدمة]]="كاش اوت",
    IF(F116&lt;=100, 15, IF(F116&lt;=250, 20, IF(F116&lt;=500, 30, IF(F116&lt;=1000, 35, F116*0.035)))),
0)))</f>
        <v>0</v>
      </c>
      <c r="H116" s="159">
        <f>IF(I116="مخالفات",50,Basic345[[#This Row],[قيمة الرسوم / العموله]]+Basic345[[#This Row],[قيمة الشحنه]])</f>
        <v>0</v>
      </c>
      <c r="I116" s="90"/>
      <c r="J116" s="142" t="str">
        <f t="shared" si="1"/>
        <v>28.5.2026</v>
      </c>
      <c r="L116" s="153">
        <v>105</v>
      </c>
      <c r="M116" s="92"/>
    </row>
    <row r="117" spans="1:13" ht="21.6" x14ac:dyDescent="0.65">
      <c r="A117" s="195"/>
      <c r="B117" s="144">
        <v>114</v>
      </c>
      <c r="C117" s="2"/>
      <c r="D117" s="1"/>
      <c r="E117" s="3"/>
      <c r="F117" s="1"/>
      <c r="G117" s="141">
        <f>IF(Basic345[[#This Row],[نوع الخدمة]]="مخالفات", 50,
IF(Basic345[[#This Row],[نوع الخدمة]]="كاش ان",
    IF(F117&lt;=100, 18, IF(F117&lt;=250, 23, IF(F117&lt;=500, 35, IF(F117&lt;=1000, 40, F117*0.04)))),
IF(Basic345[[#This Row],[نوع الخدمة]]="كاش اوت",
    IF(F117&lt;=100, 15, IF(F117&lt;=250, 20, IF(F117&lt;=500, 30, IF(F117&lt;=1000, 35, F117*0.035)))),
0)))</f>
        <v>0</v>
      </c>
      <c r="H117" s="159">
        <f>IF(I117="مخالفات",50,Basic345[[#This Row],[قيمة الرسوم / العموله]]+Basic345[[#This Row],[قيمة الشحنه]])</f>
        <v>0</v>
      </c>
      <c r="I117" s="90"/>
      <c r="J117" s="142" t="str">
        <f t="shared" si="1"/>
        <v>28.5.2026</v>
      </c>
      <c r="L117" s="153">
        <v>106</v>
      </c>
      <c r="M117" s="92"/>
    </row>
    <row r="118" spans="1:13" ht="21.6" x14ac:dyDescent="0.65">
      <c r="A118" s="195"/>
      <c r="B118" s="140">
        <v>115</v>
      </c>
      <c r="C118" s="2"/>
      <c r="D118" s="1"/>
      <c r="E118" s="3"/>
      <c r="F118" s="1"/>
      <c r="G118" s="141">
        <f>IF(Basic345[[#This Row],[نوع الخدمة]]="مخالفات", 50,
IF(Basic345[[#This Row],[نوع الخدمة]]="كاش ان",
    IF(F118&lt;=100, 18, IF(F118&lt;=250, 23, IF(F118&lt;=500, 35, IF(F118&lt;=1000, 40, F118*0.04)))),
IF(Basic345[[#This Row],[نوع الخدمة]]="كاش اوت",
    IF(F118&lt;=100, 15, IF(F118&lt;=250, 20, IF(F118&lt;=500, 30, IF(F118&lt;=1000, 35, F118*0.035)))),
0)))</f>
        <v>0</v>
      </c>
      <c r="H118" s="159">
        <f>IF(I118="مخالفات",50,Basic345[[#This Row],[قيمة الرسوم / العموله]]+Basic345[[#This Row],[قيمة الشحنه]])</f>
        <v>0</v>
      </c>
      <c r="I118" s="90"/>
      <c r="J118" s="142" t="str">
        <f t="shared" si="1"/>
        <v>28.5.2026</v>
      </c>
      <c r="L118" s="153">
        <v>107</v>
      </c>
      <c r="M118" s="92"/>
    </row>
    <row r="119" spans="1:13" ht="21.6" x14ac:dyDescent="0.65">
      <c r="A119" s="195"/>
      <c r="B119" s="140">
        <v>116</v>
      </c>
      <c r="C119" s="2"/>
      <c r="D119" s="1"/>
      <c r="E119" s="3"/>
      <c r="F119" s="1"/>
      <c r="G119" s="141">
        <f>IF(Basic345[[#This Row],[نوع الخدمة]]="مخالفات", 50,
IF(Basic345[[#This Row],[نوع الخدمة]]="كاش ان",
    IF(F119&lt;=100, 18, IF(F119&lt;=250, 23, IF(F119&lt;=500, 35, IF(F119&lt;=1000, 40, F119*0.04)))),
IF(Basic345[[#This Row],[نوع الخدمة]]="كاش اوت",
    IF(F119&lt;=100, 15, IF(F119&lt;=250, 20, IF(F119&lt;=500, 30, IF(F119&lt;=1000, 35, F119*0.035)))),
0)))</f>
        <v>0</v>
      </c>
      <c r="H119" s="159">
        <f>IF(I119="مخالفات",50,Basic345[[#This Row],[قيمة الرسوم / العموله]]+Basic345[[#This Row],[قيمة الشحنه]])</f>
        <v>0</v>
      </c>
      <c r="I119" s="90"/>
      <c r="J119" s="142" t="str">
        <f t="shared" si="1"/>
        <v>28.5.2026</v>
      </c>
      <c r="L119" s="153">
        <v>108</v>
      </c>
      <c r="M119" s="92"/>
    </row>
    <row r="120" spans="1:13" ht="21.6" x14ac:dyDescent="0.65">
      <c r="A120" s="195"/>
      <c r="B120" s="140">
        <v>117</v>
      </c>
      <c r="C120" s="2"/>
      <c r="D120" s="1"/>
      <c r="E120" s="3"/>
      <c r="F120" s="1"/>
      <c r="G120" s="141">
        <f>IF(Basic345[[#This Row],[نوع الخدمة]]="مخالفات", 50,
IF(Basic345[[#This Row],[نوع الخدمة]]="كاش ان",
    IF(F120&lt;=100, 18, IF(F120&lt;=250, 23, IF(F120&lt;=500, 35, IF(F120&lt;=1000, 40, F120*0.04)))),
IF(Basic345[[#This Row],[نوع الخدمة]]="كاش اوت",
    IF(F120&lt;=100, 15, IF(F120&lt;=250, 20, IF(F120&lt;=500, 30, IF(F120&lt;=1000, 35, F120*0.035)))),
0)))</f>
        <v>0</v>
      </c>
      <c r="H120" s="159">
        <f>IF(I120="مخالفات",50,Basic345[[#This Row],[قيمة الرسوم / العموله]]+Basic345[[#This Row],[قيمة الشحنه]])</f>
        <v>0</v>
      </c>
      <c r="I120" s="90"/>
      <c r="J120" s="142" t="str">
        <f t="shared" si="1"/>
        <v>28.5.2026</v>
      </c>
      <c r="L120" s="153">
        <v>109</v>
      </c>
      <c r="M120" s="92"/>
    </row>
    <row r="121" spans="1:13" ht="21.6" x14ac:dyDescent="0.65">
      <c r="A121" s="195"/>
      <c r="B121" s="144">
        <v>118</v>
      </c>
      <c r="C121" s="2"/>
      <c r="D121" s="1"/>
      <c r="E121" s="3"/>
      <c r="F121" s="1"/>
      <c r="G121" s="141">
        <f>IF(Basic345[[#This Row],[نوع الخدمة]]="مخالفات", 50,
IF(Basic345[[#This Row],[نوع الخدمة]]="كاش ان",
    IF(F121&lt;=100, 18, IF(F121&lt;=250, 23, IF(F121&lt;=500, 35, IF(F121&lt;=1000, 40, F121*0.04)))),
IF(Basic345[[#This Row],[نوع الخدمة]]="كاش اوت",
    IF(F121&lt;=100, 15, IF(F121&lt;=250, 20, IF(F121&lt;=500, 30, IF(F121&lt;=1000, 35, F121*0.035)))),
0)))</f>
        <v>0</v>
      </c>
      <c r="H121" s="159">
        <f>IF(I121="مخالفات",50,Basic345[[#This Row],[قيمة الرسوم / العموله]]+Basic345[[#This Row],[قيمة الشحنه]])</f>
        <v>0</v>
      </c>
      <c r="I121" s="90"/>
      <c r="J121" s="142" t="str">
        <f t="shared" si="1"/>
        <v>28.5.2026</v>
      </c>
      <c r="L121" s="153">
        <v>110</v>
      </c>
      <c r="M121" s="92"/>
    </row>
    <row r="122" spans="1:13" ht="21.6" x14ac:dyDescent="0.65">
      <c r="A122" s="195"/>
      <c r="B122" s="140">
        <v>119</v>
      </c>
      <c r="C122" s="2"/>
      <c r="D122" s="1"/>
      <c r="E122" s="3"/>
      <c r="F122" s="1"/>
      <c r="G122" s="141">
        <f>IF(Basic345[[#This Row],[نوع الخدمة]]="مخالفات", 50,
IF(Basic345[[#This Row],[نوع الخدمة]]="كاش ان",
    IF(F122&lt;=100, 18, IF(F122&lt;=250, 23, IF(F122&lt;=500, 35, IF(F122&lt;=1000, 40, F122*0.04)))),
IF(Basic345[[#This Row],[نوع الخدمة]]="كاش اوت",
    IF(F122&lt;=100, 15, IF(F122&lt;=250, 20, IF(F122&lt;=500, 30, IF(F122&lt;=1000, 35, F122*0.035)))),
0)))</f>
        <v>0</v>
      </c>
      <c r="H122" s="159">
        <f>IF(I122="مخالفات",50,Basic345[[#This Row],[قيمة الرسوم / العموله]]+Basic345[[#This Row],[قيمة الشحنه]])</f>
        <v>0</v>
      </c>
      <c r="I122" s="90"/>
      <c r="J122" s="142" t="str">
        <f t="shared" si="1"/>
        <v>28.5.2026</v>
      </c>
      <c r="L122" s="153">
        <v>111</v>
      </c>
      <c r="M122" s="92"/>
    </row>
    <row r="123" spans="1:13" ht="21.6" x14ac:dyDescent="0.65">
      <c r="A123" s="195"/>
      <c r="B123" s="140">
        <v>120</v>
      </c>
      <c r="C123" s="2"/>
      <c r="D123" s="1"/>
      <c r="E123" s="3"/>
      <c r="F123" s="1"/>
      <c r="G123" s="141">
        <f>IF(Basic345[[#This Row],[نوع الخدمة]]="مخالفات", 50,
IF(Basic345[[#This Row],[نوع الخدمة]]="كاش ان",
    IF(F123&lt;=100, 18, IF(F123&lt;=250, 23, IF(F123&lt;=500, 35, IF(F123&lt;=1000, 40, F123*0.04)))),
IF(Basic345[[#This Row],[نوع الخدمة]]="كاش اوت",
    IF(F123&lt;=100, 15, IF(F123&lt;=250, 20, IF(F123&lt;=500, 30, IF(F123&lt;=1000, 35, F123*0.035)))),
0)))</f>
        <v>0</v>
      </c>
      <c r="H123" s="159">
        <f>IF(I123="مخالفات",50,Basic345[[#This Row],[قيمة الرسوم / العموله]]+Basic345[[#This Row],[قيمة الشحنه]])</f>
        <v>0</v>
      </c>
      <c r="I123" s="90"/>
      <c r="J123" s="142" t="str">
        <f t="shared" si="1"/>
        <v>28.5.2026</v>
      </c>
      <c r="L123" s="153">
        <v>112</v>
      </c>
      <c r="M123" s="92"/>
    </row>
    <row r="124" spans="1:13" ht="21.6" x14ac:dyDescent="0.65">
      <c r="A124" s="195"/>
      <c r="B124" s="140">
        <v>121</v>
      </c>
      <c r="C124" s="2"/>
      <c r="D124" s="1"/>
      <c r="E124" s="3"/>
      <c r="F124" s="1"/>
      <c r="G124" s="141">
        <f>IF(Basic345[[#This Row],[نوع الخدمة]]="مخالفات", 50,
IF(Basic345[[#This Row],[نوع الخدمة]]="كاش ان",
    IF(F124&lt;=100, 18, IF(F124&lt;=250, 23, IF(F124&lt;=500, 35, IF(F124&lt;=1000, 40, F124*0.04)))),
IF(Basic345[[#This Row],[نوع الخدمة]]="كاش اوت",
    IF(F124&lt;=100, 15, IF(F124&lt;=250, 20, IF(F124&lt;=500, 30, IF(F124&lt;=1000, 35, F124*0.035)))),
0)))</f>
        <v>0</v>
      </c>
      <c r="H124" s="159">
        <f>IF(I124="مخالفات",50,Basic345[[#This Row],[قيمة الرسوم / العموله]]+Basic345[[#This Row],[قيمة الشحنه]])</f>
        <v>0</v>
      </c>
      <c r="I124" s="90"/>
      <c r="J124" s="142" t="str">
        <f t="shared" si="1"/>
        <v>28.5.2026</v>
      </c>
      <c r="L124" s="153">
        <v>113</v>
      </c>
      <c r="M124" s="92"/>
    </row>
    <row r="125" spans="1:13" ht="21.6" x14ac:dyDescent="0.65">
      <c r="A125" s="195"/>
      <c r="B125" s="144">
        <v>122</v>
      </c>
      <c r="C125" s="2"/>
      <c r="D125" s="1"/>
      <c r="E125" s="3"/>
      <c r="F125" s="1"/>
      <c r="G125" s="141">
        <f>IF(Basic345[[#This Row],[نوع الخدمة]]="مخالفات", 50,
IF(Basic345[[#This Row],[نوع الخدمة]]="كاش ان",
    IF(F125&lt;=100, 18, IF(F125&lt;=250, 23, IF(F125&lt;=500, 35, IF(F125&lt;=1000, 40, F125*0.04)))),
IF(Basic345[[#This Row],[نوع الخدمة]]="كاش اوت",
    IF(F125&lt;=100, 15, IF(F125&lt;=250, 20, IF(F125&lt;=500, 30, IF(F125&lt;=1000, 35, F125*0.035)))),
0)))</f>
        <v>0</v>
      </c>
      <c r="H125" s="159">
        <f>IF(I125="مخالفات",50,Basic345[[#This Row],[قيمة الرسوم / العموله]]+Basic345[[#This Row],[قيمة الشحنه]])</f>
        <v>0</v>
      </c>
      <c r="I125" s="90"/>
      <c r="J125" s="142" t="str">
        <f t="shared" si="1"/>
        <v>28.5.2026</v>
      </c>
      <c r="L125" s="153">
        <v>114</v>
      </c>
      <c r="M125" s="92"/>
    </row>
    <row r="126" spans="1:13" ht="21.6" x14ac:dyDescent="0.65">
      <c r="A126" s="195"/>
      <c r="B126" s="140">
        <v>123</v>
      </c>
      <c r="C126" s="2"/>
      <c r="D126" s="1"/>
      <c r="E126" s="3"/>
      <c r="F126" s="1"/>
      <c r="G126" s="141">
        <f>IF(Basic345[[#This Row],[نوع الخدمة]]="مخالفات", 50,
IF(Basic345[[#This Row],[نوع الخدمة]]="كاش ان",
    IF(F126&lt;=100, 18, IF(F126&lt;=250, 23, IF(F126&lt;=500, 35, IF(F126&lt;=1000, 40, F126*0.04)))),
IF(Basic345[[#This Row],[نوع الخدمة]]="كاش اوت",
    IF(F126&lt;=100, 15, IF(F126&lt;=250, 20, IF(F126&lt;=500, 30, IF(F126&lt;=1000, 35, F126*0.035)))),
0)))</f>
        <v>0</v>
      </c>
      <c r="H126" s="159">
        <f>IF(I126="مخالفات",50,Basic345[[#This Row],[قيمة الرسوم / العموله]]+Basic345[[#This Row],[قيمة الشحنه]])</f>
        <v>0</v>
      </c>
      <c r="I126" s="90"/>
      <c r="J126" s="142" t="str">
        <f t="shared" si="1"/>
        <v>28.5.2026</v>
      </c>
      <c r="L126" s="153">
        <v>115</v>
      </c>
      <c r="M126" s="92"/>
    </row>
    <row r="127" spans="1:13" ht="21.6" x14ac:dyDescent="0.65">
      <c r="A127" s="195"/>
      <c r="B127" s="140">
        <v>124</v>
      </c>
      <c r="C127" s="2"/>
      <c r="D127" s="1"/>
      <c r="E127" s="3"/>
      <c r="F127" s="1"/>
      <c r="G127" s="141">
        <f>IF(Basic345[[#This Row],[نوع الخدمة]]="مخالفات", 50,
IF(Basic345[[#This Row],[نوع الخدمة]]="كاش ان",
    IF(F127&lt;=100, 18, IF(F127&lt;=250, 23, IF(F127&lt;=500, 35, IF(F127&lt;=1000, 40, F127*0.04)))),
IF(Basic345[[#This Row],[نوع الخدمة]]="كاش اوت",
    IF(F127&lt;=100, 15, IF(F127&lt;=250, 20, IF(F127&lt;=500, 30, IF(F127&lt;=1000, 35, F127*0.035)))),
0)))</f>
        <v>0</v>
      </c>
      <c r="H127" s="159">
        <f>IF(I127="مخالفات",50,Basic345[[#This Row],[قيمة الرسوم / العموله]]+Basic345[[#This Row],[قيمة الشحنه]])</f>
        <v>0</v>
      </c>
      <c r="I127" s="90"/>
      <c r="J127" s="142" t="str">
        <f t="shared" si="1"/>
        <v>28.5.2026</v>
      </c>
      <c r="L127" s="153">
        <v>116</v>
      </c>
      <c r="M127" s="92"/>
    </row>
    <row r="128" spans="1:13" ht="21.6" x14ac:dyDescent="0.65">
      <c r="A128" s="195"/>
      <c r="B128" s="140">
        <v>125</v>
      </c>
      <c r="C128" s="2"/>
      <c r="D128" s="1"/>
      <c r="E128" s="3"/>
      <c r="F128" s="1"/>
      <c r="G128" s="141">
        <f>IF(Basic345[[#This Row],[نوع الخدمة]]="مخالفات", 50,
IF(Basic345[[#This Row],[نوع الخدمة]]="كاش ان",
    IF(F128&lt;=100, 18, IF(F128&lt;=250, 23, IF(F128&lt;=500, 35, IF(F128&lt;=1000, 40, F128*0.04)))),
IF(Basic345[[#This Row],[نوع الخدمة]]="كاش اوت",
    IF(F128&lt;=100, 15, IF(F128&lt;=250, 20, IF(F128&lt;=500, 30, IF(F128&lt;=1000, 35, F128*0.035)))),
0)))</f>
        <v>0</v>
      </c>
      <c r="H128" s="159">
        <f>IF(I128="مخالفات",50,Basic345[[#This Row],[قيمة الرسوم / العموله]]+Basic345[[#This Row],[قيمة الشحنه]])</f>
        <v>0</v>
      </c>
      <c r="I128" s="90"/>
      <c r="J128" s="142" t="str">
        <f t="shared" si="1"/>
        <v>28.5.2026</v>
      </c>
      <c r="L128" s="153">
        <v>117</v>
      </c>
      <c r="M128" s="92"/>
    </row>
    <row r="129" spans="1:13" ht="21.6" x14ac:dyDescent="0.65">
      <c r="A129" s="195"/>
      <c r="B129" s="144">
        <v>126</v>
      </c>
      <c r="C129" s="2"/>
      <c r="D129" s="1"/>
      <c r="E129" s="3"/>
      <c r="F129" s="1"/>
      <c r="G129" s="141">
        <f>IF(Basic345[[#This Row],[نوع الخدمة]]="مخالفات", 50,
IF(Basic345[[#This Row],[نوع الخدمة]]="كاش ان",
    IF(F129&lt;=100, 18, IF(F129&lt;=250, 23, IF(F129&lt;=500, 35, IF(F129&lt;=1000, 40, F129*0.04)))),
IF(Basic345[[#This Row],[نوع الخدمة]]="كاش اوت",
    IF(F129&lt;=100, 15, IF(F129&lt;=250, 20, IF(F129&lt;=500, 30, IF(F129&lt;=1000, 35, F129*0.035)))),
0)))</f>
        <v>0</v>
      </c>
      <c r="H129" s="159">
        <f>IF(I129="مخالفات",50,Basic345[[#This Row],[قيمة الرسوم / العموله]]+Basic345[[#This Row],[قيمة الشحنه]])</f>
        <v>0</v>
      </c>
      <c r="I129" s="90"/>
      <c r="J129" s="142" t="str">
        <f t="shared" si="1"/>
        <v>28.5.2026</v>
      </c>
      <c r="L129" s="153">
        <v>118</v>
      </c>
      <c r="M129" s="92"/>
    </row>
    <row r="130" spans="1:13" ht="21.6" x14ac:dyDescent="0.65">
      <c r="A130" s="195"/>
      <c r="B130" s="140">
        <v>127</v>
      </c>
      <c r="C130" s="2"/>
      <c r="D130" s="1"/>
      <c r="E130" s="3"/>
      <c r="F130" s="1"/>
      <c r="G130" s="141">
        <f>IF(Basic345[[#This Row],[نوع الخدمة]]="مخالفات", 50,
IF(Basic345[[#This Row],[نوع الخدمة]]="كاش ان",
    IF(F130&lt;=100, 18, IF(F130&lt;=250, 23, IF(F130&lt;=500, 35, IF(F130&lt;=1000, 40, F130*0.04)))),
IF(Basic345[[#This Row],[نوع الخدمة]]="كاش اوت",
    IF(F130&lt;=100, 15, IF(F130&lt;=250, 20, IF(F130&lt;=500, 30, IF(F130&lt;=1000, 35, F130*0.035)))),
0)))</f>
        <v>0</v>
      </c>
      <c r="H130" s="159">
        <f>IF(I130="مخالفات",50,Basic345[[#This Row],[قيمة الرسوم / العموله]]+Basic345[[#This Row],[قيمة الشحنه]])</f>
        <v>0</v>
      </c>
      <c r="I130" s="90"/>
      <c r="J130" s="142" t="str">
        <f t="shared" si="1"/>
        <v>28.5.2026</v>
      </c>
      <c r="L130" s="153">
        <v>119</v>
      </c>
      <c r="M130" s="92"/>
    </row>
    <row r="131" spans="1:13" ht="21.6" x14ac:dyDescent="0.65">
      <c r="A131" s="195"/>
      <c r="B131" s="140">
        <v>128</v>
      </c>
      <c r="C131" s="2"/>
      <c r="D131" s="1"/>
      <c r="E131" s="3"/>
      <c r="F131" s="1"/>
      <c r="G131" s="141">
        <f>IF(Basic345[[#This Row],[نوع الخدمة]]="مخالفات", 50,
IF(Basic345[[#This Row],[نوع الخدمة]]="كاش ان",
    IF(F131&lt;=100, 18, IF(F131&lt;=250, 23, IF(F131&lt;=500, 35, IF(F131&lt;=1000, 40, F131*0.04)))),
IF(Basic345[[#This Row],[نوع الخدمة]]="كاش اوت",
    IF(F131&lt;=100, 15, IF(F131&lt;=250, 20, IF(F131&lt;=500, 30, IF(F131&lt;=1000, 35, F131*0.035)))),
0)))</f>
        <v>0</v>
      </c>
      <c r="H131" s="159">
        <f>IF(I131="مخالفات",50,Basic345[[#This Row],[قيمة الرسوم / العموله]]+Basic345[[#This Row],[قيمة الشحنه]])</f>
        <v>0</v>
      </c>
      <c r="I131" s="90"/>
      <c r="J131" s="142" t="str">
        <f t="shared" si="1"/>
        <v>28.5.2026</v>
      </c>
      <c r="L131" s="153">
        <v>120</v>
      </c>
      <c r="M131" s="92"/>
    </row>
    <row r="132" spans="1:13" ht="21.6" x14ac:dyDescent="0.65">
      <c r="A132" s="195"/>
      <c r="B132" s="140">
        <v>129</v>
      </c>
      <c r="C132" s="2"/>
      <c r="D132" s="1"/>
      <c r="E132" s="3"/>
      <c r="F132" s="1"/>
      <c r="G132" s="141">
        <f>IF(Basic345[[#This Row],[نوع الخدمة]]="مخالفات", 50,
IF(Basic345[[#This Row],[نوع الخدمة]]="كاش ان",
    IF(F132&lt;=100, 18, IF(F132&lt;=250, 23, IF(F132&lt;=500, 35, IF(F132&lt;=1000, 40, F132*0.04)))),
IF(Basic345[[#This Row],[نوع الخدمة]]="كاش اوت",
    IF(F132&lt;=100, 15, IF(F132&lt;=250, 20, IF(F132&lt;=500, 30, IF(F132&lt;=1000, 35, F132*0.035)))),
0)))</f>
        <v>0</v>
      </c>
      <c r="H132" s="159">
        <f>IF(I132="مخالفات",50,Basic345[[#This Row],[قيمة الرسوم / العموله]]+Basic345[[#This Row],[قيمة الشحنه]])</f>
        <v>0</v>
      </c>
      <c r="I132" s="90"/>
      <c r="J132" s="142" t="str">
        <f t="shared" ref="J132:J195" si="2">M$3</f>
        <v>28.5.2026</v>
      </c>
      <c r="L132" s="153">
        <v>121</v>
      </c>
      <c r="M132" s="92"/>
    </row>
    <row r="133" spans="1:13" ht="21.6" x14ac:dyDescent="0.65">
      <c r="A133" s="195"/>
      <c r="B133" s="144">
        <v>130</v>
      </c>
      <c r="C133" s="2"/>
      <c r="D133" s="1"/>
      <c r="E133" s="3"/>
      <c r="F133" s="1"/>
      <c r="G133" s="141">
        <f>IF(Basic345[[#This Row],[نوع الخدمة]]="مخالفات", 50,
IF(Basic345[[#This Row],[نوع الخدمة]]="كاش ان",
    IF(F133&lt;=100, 18, IF(F133&lt;=250, 23, IF(F133&lt;=500, 35, IF(F133&lt;=1000, 40, F133*0.04)))),
IF(Basic345[[#This Row],[نوع الخدمة]]="كاش اوت",
    IF(F133&lt;=100, 15, IF(F133&lt;=250, 20, IF(F133&lt;=500, 30, IF(F133&lt;=1000, 35, F133*0.035)))),
0)))</f>
        <v>0</v>
      </c>
      <c r="H133" s="159">
        <f>IF(I133="مخالفات",50,Basic345[[#This Row],[قيمة الرسوم / العموله]]+Basic345[[#This Row],[قيمة الشحنه]])</f>
        <v>0</v>
      </c>
      <c r="I133" s="90"/>
      <c r="J133" s="142" t="str">
        <f t="shared" si="2"/>
        <v>28.5.2026</v>
      </c>
      <c r="L133" s="153">
        <v>122</v>
      </c>
      <c r="M133" s="92"/>
    </row>
    <row r="134" spans="1:13" ht="21.6" x14ac:dyDescent="0.65">
      <c r="A134" s="195"/>
      <c r="B134" s="140">
        <v>131</v>
      </c>
      <c r="C134" s="2"/>
      <c r="D134" s="1"/>
      <c r="E134" s="3"/>
      <c r="F134" s="1"/>
      <c r="G134" s="141">
        <f>IF(Basic345[[#This Row],[نوع الخدمة]]="مخالفات", 50,
IF(Basic345[[#This Row],[نوع الخدمة]]="كاش ان",
    IF(F134&lt;=100, 18, IF(F134&lt;=250, 23, IF(F134&lt;=500, 35, IF(F134&lt;=1000, 40, F134*0.04)))),
IF(Basic345[[#This Row],[نوع الخدمة]]="كاش اوت",
    IF(F134&lt;=100, 15, IF(F134&lt;=250, 20, IF(F134&lt;=500, 30, IF(F134&lt;=1000, 35, F134*0.035)))),
0)))</f>
        <v>0</v>
      </c>
      <c r="H134" s="159">
        <f>IF(I134="مخالفات",50,Basic345[[#This Row],[قيمة الرسوم / العموله]]+Basic345[[#This Row],[قيمة الشحنه]])</f>
        <v>0</v>
      </c>
      <c r="I134" s="90"/>
      <c r="J134" s="142" t="str">
        <f t="shared" si="2"/>
        <v>28.5.2026</v>
      </c>
      <c r="L134" s="153">
        <v>123</v>
      </c>
      <c r="M134" s="92"/>
    </row>
    <row r="135" spans="1:13" ht="21.6" x14ac:dyDescent="0.65">
      <c r="A135" s="195"/>
      <c r="B135" s="140">
        <v>132</v>
      </c>
      <c r="C135" s="2"/>
      <c r="D135" s="1"/>
      <c r="E135" s="3"/>
      <c r="F135" s="1"/>
      <c r="G135" s="141">
        <f>IF(Basic345[[#This Row],[نوع الخدمة]]="مخالفات", 50,
IF(Basic345[[#This Row],[نوع الخدمة]]="كاش ان",
    IF(F135&lt;=100, 18, IF(F135&lt;=250, 23, IF(F135&lt;=500, 35, IF(F135&lt;=1000, 40, F135*0.04)))),
IF(Basic345[[#This Row],[نوع الخدمة]]="كاش اوت",
    IF(F135&lt;=100, 15, IF(F135&lt;=250, 20, IF(F135&lt;=500, 30, IF(F135&lt;=1000, 35, F135*0.035)))),
0)))</f>
        <v>0</v>
      </c>
      <c r="H135" s="159">
        <f>IF(I135="مخالفات",50,Basic345[[#This Row],[قيمة الرسوم / العموله]]+Basic345[[#This Row],[قيمة الشحنه]])</f>
        <v>0</v>
      </c>
      <c r="I135" s="90"/>
      <c r="J135" s="142" t="str">
        <f t="shared" si="2"/>
        <v>28.5.2026</v>
      </c>
      <c r="L135" s="153">
        <v>124</v>
      </c>
      <c r="M135" s="92"/>
    </row>
    <row r="136" spans="1:13" ht="21.6" x14ac:dyDescent="0.65">
      <c r="A136" s="195"/>
      <c r="B136" s="140">
        <v>133</v>
      </c>
      <c r="C136" s="2"/>
      <c r="D136" s="1"/>
      <c r="E136" s="3"/>
      <c r="F136" s="1"/>
      <c r="G136" s="141">
        <f>IF(Basic345[[#This Row],[نوع الخدمة]]="مخالفات", 50,
IF(Basic345[[#This Row],[نوع الخدمة]]="كاش ان",
    IF(F136&lt;=100, 18, IF(F136&lt;=250, 23, IF(F136&lt;=500, 35, IF(F136&lt;=1000, 40, F136*0.04)))),
IF(Basic345[[#This Row],[نوع الخدمة]]="كاش اوت",
    IF(F136&lt;=100, 15, IF(F136&lt;=250, 20, IF(F136&lt;=500, 30, IF(F136&lt;=1000, 35, F136*0.035)))),
0)))</f>
        <v>0</v>
      </c>
      <c r="H136" s="159">
        <f>IF(I136="مخالفات",50,Basic345[[#This Row],[قيمة الرسوم / العموله]]+Basic345[[#This Row],[قيمة الشحنه]])</f>
        <v>0</v>
      </c>
      <c r="I136" s="90"/>
      <c r="J136" s="142" t="str">
        <f t="shared" si="2"/>
        <v>28.5.2026</v>
      </c>
      <c r="L136" s="153">
        <v>125</v>
      </c>
      <c r="M136" s="92"/>
    </row>
    <row r="137" spans="1:13" ht="21.6" x14ac:dyDescent="0.65">
      <c r="A137" s="195"/>
      <c r="B137" s="144">
        <v>134</v>
      </c>
      <c r="C137" s="2"/>
      <c r="D137" s="1"/>
      <c r="E137" s="3"/>
      <c r="F137" s="1"/>
      <c r="G137" s="141">
        <f>IF(Basic345[[#This Row],[نوع الخدمة]]="مخالفات", 50,
IF(Basic345[[#This Row],[نوع الخدمة]]="كاش ان",
    IF(F137&lt;=100, 18, IF(F137&lt;=250, 23, IF(F137&lt;=500, 35, IF(F137&lt;=1000, 40, F137*0.04)))),
IF(Basic345[[#This Row],[نوع الخدمة]]="كاش اوت",
    IF(F137&lt;=100, 15, IF(F137&lt;=250, 20, IF(F137&lt;=500, 30, IF(F137&lt;=1000, 35, F137*0.035)))),
0)))</f>
        <v>0</v>
      </c>
      <c r="H137" s="159">
        <f>IF(I137="مخالفات",50,Basic345[[#This Row],[قيمة الرسوم / العموله]]+Basic345[[#This Row],[قيمة الشحنه]])</f>
        <v>0</v>
      </c>
      <c r="I137" s="90"/>
      <c r="J137" s="142" t="str">
        <f t="shared" si="2"/>
        <v>28.5.2026</v>
      </c>
      <c r="L137" s="153">
        <v>126</v>
      </c>
      <c r="M137" s="92"/>
    </row>
    <row r="138" spans="1:13" ht="21.6" x14ac:dyDescent="0.65">
      <c r="A138" s="195"/>
      <c r="B138" s="140">
        <v>135</v>
      </c>
      <c r="C138" s="2"/>
      <c r="D138" s="1"/>
      <c r="E138" s="3"/>
      <c r="F138" s="1"/>
      <c r="G138" s="141">
        <f>IF(Basic345[[#This Row],[نوع الخدمة]]="مخالفات", 50,
IF(Basic345[[#This Row],[نوع الخدمة]]="كاش ان",
    IF(F138&lt;=100, 18, IF(F138&lt;=250, 23, IF(F138&lt;=500, 35, IF(F138&lt;=1000, 40, F138*0.04)))),
IF(Basic345[[#This Row],[نوع الخدمة]]="كاش اوت",
    IF(F138&lt;=100, 15, IF(F138&lt;=250, 20, IF(F138&lt;=500, 30, IF(F138&lt;=1000, 35, F138*0.035)))),
0)))</f>
        <v>0</v>
      </c>
      <c r="H138" s="159">
        <f>IF(I138="مخالفات",50,Basic345[[#This Row],[قيمة الرسوم / العموله]]+Basic345[[#This Row],[قيمة الشحنه]])</f>
        <v>0</v>
      </c>
      <c r="I138" s="90"/>
      <c r="J138" s="142" t="str">
        <f t="shared" si="2"/>
        <v>28.5.2026</v>
      </c>
      <c r="L138" s="153">
        <v>127</v>
      </c>
      <c r="M138" s="92"/>
    </row>
    <row r="139" spans="1:13" ht="21.6" x14ac:dyDescent="0.65">
      <c r="A139" s="195"/>
      <c r="B139" s="140">
        <v>136</v>
      </c>
      <c r="C139" s="2"/>
      <c r="D139" s="1"/>
      <c r="E139" s="3"/>
      <c r="F139" s="1"/>
      <c r="G139" s="141">
        <f>IF(Basic345[[#This Row],[نوع الخدمة]]="مخالفات", 50,
IF(Basic345[[#This Row],[نوع الخدمة]]="كاش ان",
    IF(F139&lt;=100, 18, IF(F139&lt;=250, 23, IF(F139&lt;=500, 35, IF(F139&lt;=1000, 40, F139*0.04)))),
IF(Basic345[[#This Row],[نوع الخدمة]]="كاش اوت",
    IF(F139&lt;=100, 15, IF(F139&lt;=250, 20, IF(F139&lt;=500, 30, IF(F139&lt;=1000, 35, F139*0.035)))),
0)))</f>
        <v>0</v>
      </c>
      <c r="H139" s="159">
        <f>IF(I139="مخالفات",50,Basic345[[#This Row],[قيمة الرسوم / العموله]]+Basic345[[#This Row],[قيمة الشحنه]])</f>
        <v>0</v>
      </c>
      <c r="I139" s="90"/>
      <c r="J139" s="142" t="str">
        <f t="shared" si="2"/>
        <v>28.5.2026</v>
      </c>
      <c r="L139" s="153">
        <v>128</v>
      </c>
      <c r="M139" s="92"/>
    </row>
    <row r="140" spans="1:13" ht="21.6" x14ac:dyDescent="0.65">
      <c r="A140" s="195"/>
      <c r="B140" s="140">
        <v>137</v>
      </c>
      <c r="C140" s="2"/>
      <c r="D140" s="1"/>
      <c r="E140" s="3"/>
      <c r="F140" s="1"/>
      <c r="G140" s="141">
        <f>IF(Basic345[[#This Row],[نوع الخدمة]]="مخالفات", 50,
IF(Basic345[[#This Row],[نوع الخدمة]]="كاش ان",
    IF(F140&lt;=100, 18, IF(F140&lt;=250, 23, IF(F140&lt;=500, 35, IF(F140&lt;=1000, 40, F140*0.04)))),
IF(Basic345[[#This Row],[نوع الخدمة]]="كاش اوت",
    IF(F140&lt;=100, 15, IF(F140&lt;=250, 20, IF(F140&lt;=500, 30, IF(F140&lt;=1000, 35, F140*0.035)))),
0)))</f>
        <v>0</v>
      </c>
      <c r="H140" s="159">
        <f>IF(I140="مخالفات",50,Basic345[[#This Row],[قيمة الرسوم / العموله]]+Basic345[[#This Row],[قيمة الشحنه]])</f>
        <v>0</v>
      </c>
      <c r="I140" s="90"/>
      <c r="J140" s="142" t="str">
        <f t="shared" si="2"/>
        <v>28.5.2026</v>
      </c>
      <c r="L140" s="153">
        <v>129</v>
      </c>
      <c r="M140" s="92"/>
    </row>
    <row r="141" spans="1:13" ht="21.6" x14ac:dyDescent="0.65">
      <c r="A141" s="195"/>
      <c r="B141" s="144">
        <v>138</v>
      </c>
      <c r="C141" s="2"/>
      <c r="D141" s="1"/>
      <c r="E141" s="3"/>
      <c r="F141" s="1"/>
      <c r="G141" s="141">
        <f>IF(Basic345[[#This Row],[نوع الخدمة]]="مخالفات", 50,
IF(Basic345[[#This Row],[نوع الخدمة]]="كاش ان",
    IF(F141&lt;=100, 18, IF(F141&lt;=250, 23, IF(F141&lt;=500, 35, IF(F141&lt;=1000, 40, F141*0.04)))),
IF(Basic345[[#This Row],[نوع الخدمة]]="كاش اوت",
    IF(F141&lt;=100, 15, IF(F141&lt;=250, 20, IF(F141&lt;=500, 30, IF(F141&lt;=1000, 35, F141*0.035)))),
0)))</f>
        <v>0</v>
      </c>
      <c r="H141" s="159">
        <f>IF(I141="مخالفات",50,Basic345[[#This Row],[قيمة الرسوم / العموله]]+Basic345[[#This Row],[قيمة الشحنه]])</f>
        <v>0</v>
      </c>
      <c r="I141" s="90"/>
      <c r="J141" s="142" t="str">
        <f t="shared" si="2"/>
        <v>28.5.2026</v>
      </c>
      <c r="L141" s="153">
        <v>130</v>
      </c>
      <c r="M141" s="92"/>
    </row>
    <row r="142" spans="1:13" ht="21.6" x14ac:dyDescent="0.65">
      <c r="A142" s="195"/>
      <c r="B142" s="140">
        <v>139</v>
      </c>
      <c r="C142" s="2"/>
      <c r="D142" s="1"/>
      <c r="E142" s="3"/>
      <c r="F142" s="1"/>
      <c r="G142" s="141">
        <f>IF(Basic345[[#This Row],[نوع الخدمة]]="مخالفات", 50,
IF(Basic345[[#This Row],[نوع الخدمة]]="كاش ان",
    IF(F142&lt;=100, 18, IF(F142&lt;=250, 23, IF(F142&lt;=500, 35, IF(F142&lt;=1000, 40, F142*0.04)))),
IF(Basic345[[#This Row],[نوع الخدمة]]="كاش اوت",
    IF(F142&lt;=100, 15, IF(F142&lt;=250, 20, IF(F142&lt;=500, 30, IF(F142&lt;=1000, 35, F142*0.035)))),
0)))</f>
        <v>0</v>
      </c>
      <c r="H142" s="159">
        <f>IF(I142="مخالفات",50,Basic345[[#This Row],[قيمة الرسوم / العموله]]+Basic345[[#This Row],[قيمة الشحنه]])</f>
        <v>0</v>
      </c>
      <c r="I142" s="90"/>
      <c r="J142" s="142" t="str">
        <f t="shared" si="2"/>
        <v>28.5.2026</v>
      </c>
      <c r="L142" s="153">
        <v>131</v>
      </c>
      <c r="M142" s="92"/>
    </row>
    <row r="143" spans="1:13" ht="21.6" x14ac:dyDescent="0.65">
      <c r="A143" s="195"/>
      <c r="B143" s="140">
        <v>140</v>
      </c>
      <c r="C143" s="2"/>
      <c r="D143" s="1"/>
      <c r="E143" s="3"/>
      <c r="F143" s="1"/>
      <c r="G143" s="141">
        <f>IF(Basic345[[#This Row],[نوع الخدمة]]="مخالفات", 50,
IF(Basic345[[#This Row],[نوع الخدمة]]="كاش ان",
    IF(F143&lt;=100, 18, IF(F143&lt;=250, 23, IF(F143&lt;=500, 35, IF(F143&lt;=1000, 40, F143*0.04)))),
IF(Basic345[[#This Row],[نوع الخدمة]]="كاش اوت",
    IF(F143&lt;=100, 15, IF(F143&lt;=250, 20, IF(F143&lt;=500, 30, IF(F143&lt;=1000, 35, F143*0.035)))),
0)))</f>
        <v>0</v>
      </c>
      <c r="H143" s="159">
        <f>IF(I143="مخالفات",50,Basic345[[#This Row],[قيمة الرسوم / العموله]]+Basic345[[#This Row],[قيمة الشحنه]])</f>
        <v>0</v>
      </c>
      <c r="I143" s="90"/>
      <c r="J143" s="142" t="str">
        <f t="shared" si="2"/>
        <v>28.5.2026</v>
      </c>
      <c r="L143" s="153">
        <v>132</v>
      </c>
      <c r="M143" s="92"/>
    </row>
    <row r="144" spans="1:13" ht="21.6" x14ac:dyDescent="0.65">
      <c r="A144" s="195"/>
      <c r="B144" s="140">
        <v>141</v>
      </c>
      <c r="C144" s="2"/>
      <c r="D144" s="1"/>
      <c r="E144" s="3"/>
      <c r="F144" s="1"/>
      <c r="G144" s="141">
        <f>IF(Basic345[[#This Row],[نوع الخدمة]]="مخالفات", 50,
IF(Basic345[[#This Row],[نوع الخدمة]]="كاش ان",
    IF(F144&lt;=100, 18, IF(F144&lt;=250, 23, IF(F144&lt;=500, 35, IF(F144&lt;=1000, 40, F144*0.04)))),
IF(Basic345[[#This Row],[نوع الخدمة]]="كاش اوت",
    IF(F144&lt;=100, 15, IF(F144&lt;=250, 20, IF(F144&lt;=500, 30, IF(F144&lt;=1000, 35, F144*0.035)))),
0)))</f>
        <v>0</v>
      </c>
      <c r="H144" s="159">
        <f>IF(I144="مخالفات",50,Basic345[[#This Row],[قيمة الرسوم / العموله]]+Basic345[[#This Row],[قيمة الشحنه]])</f>
        <v>0</v>
      </c>
      <c r="I144" s="90"/>
      <c r="J144" s="142" t="str">
        <f t="shared" si="2"/>
        <v>28.5.2026</v>
      </c>
      <c r="L144" s="153">
        <v>133</v>
      </c>
      <c r="M144" s="92"/>
    </row>
    <row r="145" spans="1:13" ht="21.6" x14ac:dyDescent="0.65">
      <c r="A145" s="195"/>
      <c r="B145" s="144">
        <v>142</v>
      </c>
      <c r="C145" s="2"/>
      <c r="D145" s="1"/>
      <c r="E145" s="3"/>
      <c r="F145" s="1"/>
      <c r="G145" s="141">
        <f>IF(Basic345[[#This Row],[نوع الخدمة]]="مخالفات", 50,
IF(Basic345[[#This Row],[نوع الخدمة]]="كاش ان",
    IF(F145&lt;=100, 18, IF(F145&lt;=250, 23, IF(F145&lt;=500, 35, IF(F145&lt;=1000, 40, F145*0.04)))),
IF(Basic345[[#This Row],[نوع الخدمة]]="كاش اوت",
    IF(F145&lt;=100, 15, IF(F145&lt;=250, 20, IF(F145&lt;=500, 30, IF(F145&lt;=1000, 35, F145*0.035)))),
0)))</f>
        <v>0</v>
      </c>
      <c r="H145" s="159">
        <f>IF(I145="مخالفات",50,Basic345[[#This Row],[قيمة الرسوم / العموله]]+Basic345[[#This Row],[قيمة الشحنه]])</f>
        <v>0</v>
      </c>
      <c r="I145" s="90"/>
      <c r="J145" s="142" t="str">
        <f t="shared" si="2"/>
        <v>28.5.2026</v>
      </c>
      <c r="L145" s="153">
        <v>134</v>
      </c>
      <c r="M145" s="92"/>
    </row>
    <row r="146" spans="1:13" ht="21.6" x14ac:dyDescent="0.65">
      <c r="A146" s="195"/>
      <c r="B146" s="140">
        <v>143</v>
      </c>
      <c r="C146" s="2"/>
      <c r="D146" s="1"/>
      <c r="E146" s="3"/>
      <c r="F146" s="1"/>
      <c r="G146" s="141">
        <f>IF(Basic345[[#This Row],[نوع الخدمة]]="مخالفات", 50,
IF(Basic345[[#This Row],[نوع الخدمة]]="كاش ان",
    IF(F146&lt;=100, 18, IF(F146&lt;=250, 23, IF(F146&lt;=500, 35, IF(F146&lt;=1000, 40, F146*0.04)))),
IF(Basic345[[#This Row],[نوع الخدمة]]="كاش اوت",
    IF(F146&lt;=100, 15, IF(F146&lt;=250, 20, IF(F146&lt;=500, 30, IF(F146&lt;=1000, 35, F146*0.035)))),
0)))</f>
        <v>0</v>
      </c>
      <c r="H146" s="159">
        <f>IF(I146="مخالفات",50,Basic345[[#This Row],[قيمة الرسوم / العموله]]+Basic345[[#This Row],[قيمة الشحنه]])</f>
        <v>0</v>
      </c>
      <c r="I146" s="90"/>
      <c r="J146" s="142" t="str">
        <f t="shared" si="2"/>
        <v>28.5.2026</v>
      </c>
      <c r="L146" s="153">
        <v>135</v>
      </c>
      <c r="M146" s="92"/>
    </row>
    <row r="147" spans="1:13" ht="21.6" x14ac:dyDescent="0.65">
      <c r="A147" s="195"/>
      <c r="B147" s="140">
        <v>144</v>
      </c>
      <c r="C147" s="2"/>
      <c r="D147" s="1"/>
      <c r="E147" s="3"/>
      <c r="F147" s="1"/>
      <c r="G147" s="141">
        <f>IF(Basic345[[#This Row],[نوع الخدمة]]="مخالفات", 50,
IF(Basic345[[#This Row],[نوع الخدمة]]="كاش ان",
    IF(F147&lt;=100, 18, IF(F147&lt;=250, 23, IF(F147&lt;=500, 35, IF(F147&lt;=1000, 40, F147*0.04)))),
IF(Basic345[[#This Row],[نوع الخدمة]]="كاش اوت",
    IF(F147&lt;=100, 15, IF(F147&lt;=250, 20, IF(F147&lt;=500, 30, IF(F147&lt;=1000, 35, F147*0.035)))),
0)))</f>
        <v>0</v>
      </c>
      <c r="H147" s="159">
        <f>IF(I147="مخالفات",50,Basic345[[#This Row],[قيمة الرسوم / العموله]]+Basic345[[#This Row],[قيمة الشحنه]])</f>
        <v>0</v>
      </c>
      <c r="I147" s="90"/>
      <c r="J147" s="142" t="str">
        <f t="shared" si="2"/>
        <v>28.5.2026</v>
      </c>
      <c r="L147" s="153">
        <v>136</v>
      </c>
      <c r="M147" s="92"/>
    </row>
    <row r="148" spans="1:13" ht="21.6" x14ac:dyDescent="0.65">
      <c r="A148" s="195"/>
      <c r="B148" s="140">
        <v>145</v>
      </c>
      <c r="C148" s="2"/>
      <c r="D148" s="1"/>
      <c r="E148" s="3"/>
      <c r="F148" s="1"/>
      <c r="G148" s="141">
        <f>IF(Basic345[[#This Row],[نوع الخدمة]]="مخالفات", 50,
IF(Basic345[[#This Row],[نوع الخدمة]]="كاش ان",
    IF(F148&lt;=100, 18, IF(F148&lt;=250, 23, IF(F148&lt;=500, 35, IF(F148&lt;=1000, 40, F148*0.04)))),
IF(Basic345[[#This Row],[نوع الخدمة]]="كاش اوت",
    IF(F148&lt;=100, 15, IF(F148&lt;=250, 20, IF(F148&lt;=500, 30, IF(F148&lt;=1000, 35, F148*0.035)))),
0)))</f>
        <v>0</v>
      </c>
      <c r="H148" s="159">
        <f>IF(I148="مخالفات",50,Basic345[[#This Row],[قيمة الرسوم / العموله]]+Basic345[[#This Row],[قيمة الشحنه]])</f>
        <v>0</v>
      </c>
      <c r="I148" s="90"/>
      <c r="J148" s="142" t="str">
        <f t="shared" si="2"/>
        <v>28.5.2026</v>
      </c>
      <c r="L148" s="153">
        <v>137</v>
      </c>
      <c r="M148" s="92"/>
    </row>
    <row r="149" spans="1:13" ht="21.6" x14ac:dyDescent="0.65">
      <c r="A149" s="195"/>
      <c r="B149" s="144">
        <v>146</v>
      </c>
      <c r="C149" s="2"/>
      <c r="D149" s="1"/>
      <c r="E149" s="3"/>
      <c r="F149" s="1"/>
      <c r="G149" s="141">
        <f>IF(Basic345[[#This Row],[نوع الخدمة]]="مخالفات", 50,
IF(Basic345[[#This Row],[نوع الخدمة]]="كاش ان",
    IF(F149&lt;=100, 18, IF(F149&lt;=250, 23, IF(F149&lt;=500, 35, IF(F149&lt;=1000, 40, F149*0.04)))),
IF(Basic345[[#This Row],[نوع الخدمة]]="كاش اوت",
    IF(F149&lt;=100, 15, IF(F149&lt;=250, 20, IF(F149&lt;=500, 30, IF(F149&lt;=1000, 35, F149*0.035)))),
0)))</f>
        <v>0</v>
      </c>
      <c r="H149" s="159">
        <f>IF(I149="مخالفات",50,Basic345[[#This Row],[قيمة الرسوم / العموله]]+Basic345[[#This Row],[قيمة الشحنه]])</f>
        <v>0</v>
      </c>
      <c r="I149" s="90"/>
      <c r="J149" s="142" t="str">
        <f t="shared" si="2"/>
        <v>28.5.2026</v>
      </c>
      <c r="L149" s="153">
        <v>138</v>
      </c>
      <c r="M149" s="92"/>
    </row>
    <row r="150" spans="1:13" ht="21.6" x14ac:dyDescent="0.65">
      <c r="A150" s="195"/>
      <c r="B150" s="140">
        <v>147</v>
      </c>
      <c r="C150" s="2"/>
      <c r="D150" s="1"/>
      <c r="E150" s="3"/>
      <c r="F150" s="1"/>
      <c r="G150" s="141">
        <f>IF(Basic345[[#This Row],[نوع الخدمة]]="مخالفات", 50,
IF(Basic345[[#This Row],[نوع الخدمة]]="كاش ان",
    IF(F150&lt;=100, 18, IF(F150&lt;=250, 23, IF(F150&lt;=500, 35, IF(F150&lt;=1000, 40, F150*0.04)))),
IF(Basic345[[#This Row],[نوع الخدمة]]="كاش اوت",
    IF(F150&lt;=100, 15, IF(F150&lt;=250, 20, IF(F150&lt;=500, 30, IF(F150&lt;=1000, 35, F150*0.035)))),
0)))</f>
        <v>0</v>
      </c>
      <c r="H150" s="159">
        <f>IF(I150="مخالفات",50,Basic345[[#This Row],[قيمة الرسوم / العموله]]+Basic345[[#This Row],[قيمة الشحنه]])</f>
        <v>0</v>
      </c>
      <c r="I150" s="90"/>
      <c r="J150" s="142" t="str">
        <f t="shared" si="2"/>
        <v>28.5.2026</v>
      </c>
      <c r="L150" s="153">
        <v>139</v>
      </c>
      <c r="M150" s="92"/>
    </row>
    <row r="151" spans="1:13" ht="21.6" x14ac:dyDescent="0.65">
      <c r="A151" s="195"/>
      <c r="B151" s="140">
        <v>148</v>
      </c>
      <c r="C151" s="2"/>
      <c r="D151" s="1"/>
      <c r="E151" s="3"/>
      <c r="F151" s="1"/>
      <c r="G151" s="141">
        <f>IF(Basic345[[#This Row],[نوع الخدمة]]="مخالفات", 50,
IF(Basic345[[#This Row],[نوع الخدمة]]="كاش ان",
    IF(F151&lt;=100, 18, IF(F151&lt;=250, 23, IF(F151&lt;=500, 35, IF(F151&lt;=1000, 40, F151*0.04)))),
IF(Basic345[[#This Row],[نوع الخدمة]]="كاش اوت",
    IF(F151&lt;=100, 15, IF(F151&lt;=250, 20, IF(F151&lt;=500, 30, IF(F151&lt;=1000, 35, F151*0.035)))),
0)))</f>
        <v>0</v>
      </c>
      <c r="H151" s="159">
        <f>IF(I151="مخالفات",50,Basic345[[#This Row],[قيمة الرسوم / العموله]]+Basic345[[#This Row],[قيمة الشحنه]])</f>
        <v>0</v>
      </c>
      <c r="I151" s="90"/>
      <c r="J151" s="142" t="str">
        <f t="shared" si="2"/>
        <v>28.5.2026</v>
      </c>
      <c r="L151" s="153">
        <v>140</v>
      </c>
      <c r="M151" s="92"/>
    </row>
    <row r="152" spans="1:13" ht="21.6" x14ac:dyDescent="0.65">
      <c r="A152" s="195"/>
      <c r="B152" s="140">
        <v>149</v>
      </c>
      <c r="C152" s="2"/>
      <c r="D152" s="1"/>
      <c r="E152" s="3"/>
      <c r="F152" s="1"/>
      <c r="G152" s="141">
        <f>IF(Basic345[[#This Row],[نوع الخدمة]]="مخالفات", 50,
IF(Basic345[[#This Row],[نوع الخدمة]]="كاش ان",
    IF(F152&lt;=100, 18, IF(F152&lt;=250, 23, IF(F152&lt;=500, 35, IF(F152&lt;=1000, 40, F152*0.04)))),
IF(Basic345[[#This Row],[نوع الخدمة]]="كاش اوت",
    IF(F152&lt;=100, 15, IF(F152&lt;=250, 20, IF(F152&lt;=500, 30, IF(F152&lt;=1000, 35, F152*0.035)))),
0)))</f>
        <v>0</v>
      </c>
      <c r="H152" s="159">
        <f>IF(I152="مخالفات",50,Basic345[[#This Row],[قيمة الرسوم / العموله]]+Basic345[[#This Row],[قيمة الشحنه]])</f>
        <v>0</v>
      </c>
      <c r="I152" s="90"/>
      <c r="J152" s="142" t="str">
        <f t="shared" si="2"/>
        <v>28.5.2026</v>
      </c>
      <c r="L152" s="153">
        <v>141</v>
      </c>
      <c r="M152" s="92"/>
    </row>
    <row r="153" spans="1:13" ht="21.6" x14ac:dyDescent="0.65">
      <c r="A153" s="195"/>
      <c r="B153" s="144">
        <v>150</v>
      </c>
      <c r="C153" s="2"/>
      <c r="D153" s="1"/>
      <c r="E153" s="3"/>
      <c r="F153" s="1"/>
      <c r="G153" s="141">
        <f>IF(Basic345[[#This Row],[نوع الخدمة]]="مخالفات", 50,
IF(Basic345[[#This Row],[نوع الخدمة]]="كاش ان",
    IF(F153&lt;=100, 18, IF(F153&lt;=250, 23, IF(F153&lt;=500, 35, IF(F153&lt;=1000, 40, F153*0.04)))),
IF(Basic345[[#This Row],[نوع الخدمة]]="كاش اوت",
    IF(F153&lt;=100, 15, IF(F153&lt;=250, 20, IF(F153&lt;=500, 30, IF(F153&lt;=1000, 35, F153*0.035)))),
0)))</f>
        <v>0</v>
      </c>
      <c r="H153" s="159">
        <f>IF(I153="مخالفات",50,Basic345[[#This Row],[قيمة الرسوم / العموله]]+Basic345[[#This Row],[قيمة الشحنه]])</f>
        <v>0</v>
      </c>
      <c r="I153" s="90"/>
      <c r="J153" s="142" t="str">
        <f t="shared" si="2"/>
        <v>28.5.2026</v>
      </c>
      <c r="L153" s="153">
        <v>142</v>
      </c>
      <c r="M153" s="92"/>
    </row>
    <row r="154" spans="1:13" ht="21.6" x14ac:dyDescent="0.65">
      <c r="A154" s="195"/>
      <c r="B154" s="140">
        <v>151</v>
      </c>
      <c r="C154" s="2"/>
      <c r="D154" s="1"/>
      <c r="E154" s="3"/>
      <c r="F154" s="1"/>
      <c r="G154" s="141">
        <f>IF(Basic345[[#This Row],[نوع الخدمة]]="مخالفات", 50,
IF(Basic345[[#This Row],[نوع الخدمة]]="كاش ان",
    IF(F154&lt;=100, 18, IF(F154&lt;=250, 23, IF(F154&lt;=500, 35, IF(F154&lt;=1000, 40, F154*0.04)))),
IF(Basic345[[#This Row],[نوع الخدمة]]="كاش اوت",
    IF(F154&lt;=100, 15, IF(F154&lt;=250, 20, IF(F154&lt;=500, 30, IF(F154&lt;=1000, 35, F154*0.035)))),
0)))</f>
        <v>0</v>
      </c>
      <c r="H154" s="159">
        <f>IF(I154="مخالفات",50,Basic345[[#This Row],[قيمة الرسوم / العموله]]+Basic345[[#This Row],[قيمة الشحنه]])</f>
        <v>0</v>
      </c>
      <c r="I154" s="90"/>
      <c r="J154" s="142" t="str">
        <f t="shared" si="2"/>
        <v>28.5.2026</v>
      </c>
      <c r="L154" s="153">
        <v>143</v>
      </c>
      <c r="M154" s="92"/>
    </row>
    <row r="155" spans="1:13" ht="21.6" x14ac:dyDescent="0.65">
      <c r="A155" s="195"/>
      <c r="B155" s="140">
        <v>152</v>
      </c>
      <c r="C155" s="2"/>
      <c r="D155" s="1"/>
      <c r="E155" s="3"/>
      <c r="F155" s="1"/>
      <c r="G155" s="141">
        <f>IF(Basic345[[#This Row],[نوع الخدمة]]="مخالفات", 50,
IF(Basic345[[#This Row],[نوع الخدمة]]="كاش ان",
    IF(F155&lt;=100, 18, IF(F155&lt;=250, 23, IF(F155&lt;=500, 35, IF(F155&lt;=1000, 40, F155*0.04)))),
IF(Basic345[[#This Row],[نوع الخدمة]]="كاش اوت",
    IF(F155&lt;=100, 15, IF(F155&lt;=250, 20, IF(F155&lt;=500, 30, IF(F155&lt;=1000, 35, F155*0.035)))),
0)))</f>
        <v>0</v>
      </c>
      <c r="H155" s="159">
        <f>IF(I155="مخالفات",50,Basic345[[#This Row],[قيمة الرسوم / العموله]]+Basic345[[#This Row],[قيمة الشحنه]])</f>
        <v>0</v>
      </c>
      <c r="I155" s="90"/>
      <c r="J155" s="142" t="str">
        <f t="shared" si="2"/>
        <v>28.5.2026</v>
      </c>
      <c r="L155" s="153">
        <v>144</v>
      </c>
      <c r="M155" s="92"/>
    </row>
    <row r="156" spans="1:13" ht="21.6" x14ac:dyDescent="0.65">
      <c r="A156" s="195"/>
      <c r="B156" s="140">
        <v>153</v>
      </c>
      <c r="C156" s="2"/>
      <c r="D156" s="1"/>
      <c r="E156" s="3"/>
      <c r="F156" s="1"/>
      <c r="G156" s="141">
        <f>IF(Basic345[[#This Row],[نوع الخدمة]]="مخالفات", 50,
IF(Basic345[[#This Row],[نوع الخدمة]]="كاش ان",
    IF(F156&lt;=100, 18, IF(F156&lt;=250, 23, IF(F156&lt;=500, 35, IF(F156&lt;=1000, 40, F156*0.04)))),
IF(Basic345[[#This Row],[نوع الخدمة]]="كاش اوت",
    IF(F156&lt;=100, 15, IF(F156&lt;=250, 20, IF(F156&lt;=500, 30, IF(F156&lt;=1000, 35, F156*0.035)))),
0)))</f>
        <v>0</v>
      </c>
      <c r="H156" s="159">
        <f>IF(I156="مخالفات",50,Basic345[[#This Row],[قيمة الرسوم / العموله]]+Basic345[[#This Row],[قيمة الشحنه]])</f>
        <v>0</v>
      </c>
      <c r="I156" s="90"/>
      <c r="J156" s="142" t="str">
        <f t="shared" si="2"/>
        <v>28.5.2026</v>
      </c>
      <c r="L156" s="153">
        <v>145</v>
      </c>
      <c r="M156" s="92"/>
    </row>
    <row r="157" spans="1:13" ht="21.6" x14ac:dyDescent="0.65">
      <c r="A157" s="195"/>
      <c r="B157" s="144">
        <v>154</v>
      </c>
      <c r="C157" s="2"/>
      <c r="D157" s="1"/>
      <c r="E157" s="3"/>
      <c r="F157" s="1"/>
      <c r="G157" s="141">
        <f>IF(Basic345[[#This Row],[نوع الخدمة]]="مخالفات", 50,
IF(Basic345[[#This Row],[نوع الخدمة]]="كاش ان",
    IF(F157&lt;=100, 18, IF(F157&lt;=250, 23, IF(F157&lt;=500, 35, IF(F157&lt;=1000, 40, F157*0.04)))),
IF(Basic345[[#This Row],[نوع الخدمة]]="كاش اوت",
    IF(F157&lt;=100, 15, IF(F157&lt;=250, 20, IF(F157&lt;=500, 30, IF(F157&lt;=1000, 35, F157*0.035)))),
0)))</f>
        <v>0</v>
      </c>
      <c r="H157" s="159">
        <f>IF(I157="مخالفات",50,Basic345[[#This Row],[قيمة الرسوم / العموله]]+Basic345[[#This Row],[قيمة الشحنه]])</f>
        <v>0</v>
      </c>
      <c r="I157" s="90"/>
      <c r="J157" s="142" t="str">
        <f t="shared" si="2"/>
        <v>28.5.2026</v>
      </c>
      <c r="L157" s="153">
        <v>146</v>
      </c>
      <c r="M157" s="92"/>
    </row>
    <row r="158" spans="1:13" ht="21.6" x14ac:dyDescent="0.65">
      <c r="A158" s="195"/>
      <c r="B158" s="140">
        <v>155</v>
      </c>
      <c r="C158" s="2"/>
      <c r="D158" s="1"/>
      <c r="E158" s="3"/>
      <c r="F158" s="1"/>
      <c r="G158" s="141">
        <f>IF(Basic345[[#This Row],[نوع الخدمة]]="مخالفات", 50,
IF(Basic345[[#This Row],[نوع الخدمة]]="كاش ان",
    IF(F158&lt;=100, 18, IF(F158&lt;=250, 23, IF(F158&lt;=500, 35, IF(F158&lt;=1000, 40, F158*0.04)))),
IF(Basic345[[#This Row],[نوع الخدمة]]="كاش اوت",
    IF(F158&lt;=100, 15, IF(F158&lt;=250, 20, IF(F158&lt;=500, 30, IF(F158&lt;=1000, 35, F158*0.035)))),
0)))</f>
        <v>0</v>
      </c>
      <c r="H158" s="159">
        <f>IF(I158="مخالفات",50,Basic345[[#This Row],[قيمة الرسوم / العموله]]+Basic345[[#This Row],[قيمة الشحنه]])</f>
        <v>0</v>
      </c>
      <c r="I158" s="90"/>
      <c r="J158" s="142" t="str">
        <f t="shared" si="2"/>
        <v>28.5.2026</v>
      </c>
      <c r="L158" s="153">
        <v>147</v>
      </c>
      <c r="M158" s="92"/>
    </row>
    <row r="159" spans="1:13" ht="21.6" x14ac:dyDescent="0.65">
      <c r="A159" s="195"/>
      <c r="B159" s="140">
        <v>156</v>
      </c>
      <c r="C159" s="2"/>
      <c r="D159" s="1"/>
      <c r="E159" s="3"/>
      <c r="F159" s="1"/>
      <c r="G159" s="141">
        <f>IF(Basic345[[#This Row],[نوع الخدمة]]="مخالفات", 50,
IF(Basic345[[#This Row],[نوع الخدمة]]="كاش ان",
    IF(F159&lt;=100, 18, IF(F159&lt;=250, 23, IF(F159&lt;=500, 35, IF(F159&lt;=1000, 40, F159*0.04)))),
IF(Basic345[[#This Row],[نوع الخدمة]]="كاش اوت",
    IF(F159&lt;=100, 15, IF(F159&lt;=250, 20, IF(F159&lt;=500, 30, IF(F159&lt;=1000, 35, F159*0.035)))),
0)))</f>
        <v>0</v>
      </c>
      <c r="H159" s="159">
        <f>IF(I159="مخالفات",50,Basic345[[#This Row],[قيمة الرسوم / العموله]]+Basic345[[#This Row],[قيمة الشحنه]])</f>
        <v>0</v>
      </c>
      <c r="I159" s="90"/>
      <c r="J159" s="142" t="str">
        <f t="shared" si="2"/>
        <v>28.5.2026</v>
      </c>
      <c r="L159" s="153">
        <v>148</v>
      </c>
      <c r="M159" s="92"/>
    </row>
    <row r="160" spans="1:13" ht="21.6" x14ac:dyDescent="0.65">
      <c r="A160" s="195"/>
      <c r="B160" s="140">
        <v>157</v>
      </c>
      <c r="C160" s="2"/>
      <c r="D160" s="1"/>
      <c r="E160" s="3"/>
      <c r="F160" s="1"/>
      <c r="G160" s="141">
        <f>IF(Basic345[[#This Row],[نوع الخدمة]]="مخالفات", 50,
IF(Basic345[[#This Row],[نوع الخدمة]]="كاش ان",
    IF(F160&lt;=100, 18, IF(F160&lt;=250, 23, IF(F160&lt;=500, 35, IF(F160&lt;=1000, 40, F160*0.04)))),
IF(Basic345[[#This Row],[نوع الخدمة]]="كاش اوت",
    IF(F160&lt;=100, 15, IF(F160&lt;=250, 20, IF(F160&lt;=500, 30, IF(F160&lt;=1000, 35, F160*0.035)))),
0)))</f>
        <v>0</v>
      </c>
      <c r="H160" s="159">
        <f>IF(I160="مخالفات",50,Basic345[[#This Row],[قيمة الرسوم / العموله]]+Basic345[[#This Row],[قيمة الشحنه]])</f>
        <v>0</v>
      </c>
      <c r="I160" s="90"/>
      <c r="J160" s="142" t="str">
        <f t="shared" si="2"/>
        <v>28.5.2026</v>
      </c>
      <c r="L160" s="153">
        <v>149</v>
      </c>
      <c r="M160" s="92"/>
    </row>
    <row r="161" spans="1:13" ht="21.6" x14ac:dyDescent="0.65">
      <c r="A161" s="195"/>
      <c r="B161" s="144">
        <v>158</v>
      </c>
      <c r="C161" s="2"/>
      <c r="D161" s="1"/>
      <c r="E161" s="3"/>
      <c r="F161" s="1"/>
      <c r="G161" s="141">
        <f>IF(Basic345[[#This Row],[نوع الخدمة]]="مخالفات", 50,
IF(Basic345[[#This Row],[نوع الخدمة]]="كاش ان",
    IF(F161&lt;=100, 18, IF(F161&lt;=250, 23, IF(F161&lt;=500, 35, IF(F161&lt;=1000, 40, F161*0.04)))),
IF(Basic345[[#This Row],[نوع الخدمة]]="كاش اوت",
    IF(F161&lt;=100, 15, IF(F161&lt;=250, 20, IF(F161&lt;=500, 30, IF(F161&lt;=1000, 35, F161*0.035)))),
0)))</f>
        <v>0</v>
      </c>
      <c r="H161" s="159">
        <f>IF(I161="مخالفات",50,Basic345[[#This Row],[قيمة الرسوم / العموله]]+Basic345[[#This Row],[قيمة الشحنه]])</f>
        <v>0</v>
      </c>
      <c r="I161" s="90"/>
      <c r="J161" s="142" t="str">
        <f t="shared" si="2"/>
        <v>28.5.2026</v>
      </c>
      <c r="L161" s="153">
        <v>150</v>
      </c>
      <c r="M161" s="92"/>
    </row>
    <row r="162" spans="1:13" ht="21.6" x14ac:dyDescent="0.65">
      <c r="A162" s="195"/>
      <c r="B162" s="140">
        <v>159</v>
      </c>
      <c r="C162" s="2"/>
      <c r="D162" s="1"/>
      <c r="E162" s="3"/>
      <c r="F162" s="1"/>
      <c r="G162" s="141">
        <f>IF(Basic345[[#This Row],[نوع الخدمة]]="مخالفات", 50,
IF(Basic345[[#This Row],[نوع الخدمة]]="كاش ان",
    IF(F162&lt;=100, 18, IF(F162&lt;=250, 23, IF(F162&lt;=500, 35, IF(F162&lt;=1000, 40, F162*0.04)))),
IF(Basic345[[#This Row],[نوع الخدمة]]="كاش اوت",
    IF(F162&lt;=100, 15, IF(F162&lt;=250, 20, IF(F162&lt;=500, 30, IF(F162&lt;=1000, 35, F162*0.035)))),
0)))</f>
        <v>0</v>
      </c>
      <c r="H162" s="159">
        <f>IF(I162="مخالفات",50,Basic345[[#This Row],[قيمة الرسوم / العموله]]+Basic345[[#This Row],[قيمة الشحنه]])</f>
        <v>0</v>
      </c>
      <c r="I162" s="90"/>
      <c r="J162" s="142" t="str">
        <f t="shared" si="2"/>
        <v>28.5.2026</v>
      </c>
      <c r="L162" s="153">
        <v>151</v>
      </c>
      <c r="M162" s="92"/>
    </row>
    <row r="163" spans="1:13" ht="21.6" x14ac:dyDescent="0.65">
      <c r="A163" s="195"/>
      <c r="B163" s="140">
        <v>160</v>
      </c>
      <c r="C163" s="2"/>
      <c r="D163" s="1"/>
      <c r="E163" s="3"/>
      <c r="F163" s="1"/>
      <c r="G163" s="141">
        <f>IF(Basic345[[#This Row],[نوع الخدمة]]="مخالفات", 50,
IF(Basic345[[#This Row],[نوع الخدمة]]="كاش ان",
    IF(F163&lt;=100, 18, IF(F163&lt;=250, 23, IF(F163&lt;=500, 35, IF(F163&lt;=1000, 40, F163*0.04)))),
IF(Basic345[[#This Row],[نوع الخدمة]]="كاش اوت",
    IF(F163&lt;=100, 15, IF(F163&lt;=250, 20, IF(F163&lt;=500, 30, IF(F163&lt;=1000, 35, F163*0.035)))),
0)))</f>
        <v>0</v>
      </c>
      <c r="H163" s="159">
        <f>IF(I163="مخالفات",50,Basic345[[#This Row],[قيمة الرسوم / العموله]]+Basic345[[#This Row],[قيمة الشحنه]])</f>
        <v>0</v>
      </c>
      <c r="I163" s="90"/>
      <c r="J163" s="142" t="str">
        <f t="shared" si="2"/>
        <v>28.5.2026</v>
      </c>
      <c r="L163" s="153">
        <v>152</v>
      </c>
      <c r="M163" s="92"/>
    </row>
    <row r="164" spans="1:13" ht="21.6" x14ac:dyDescent="0.65">
      <c r="A164" s="195"/>
      <c r="B164" s="140">
        <v>161</v>
      </c>
      <c r="C164" s="2"/>
      <c r="D164" s="1"/>
      <c r="E164" s="3"/>
      <c r="F164" s="1"/>
      <c r="G164" s="141">
        <f>IF(Basic345[[#This Row],[نوع الخدمة]]="مخالفات", 50,
IF(Basic345[[#This Row],[نوع الخدمة]]="كاش ان",
    IF(F164&lt;=100, 18, IF(F164&lt;=250, 23, IF(F164&lt;=500, 35, IF(F164&lt;=1000, 40, F164*0.04)))),
IF(Basic345[[#This Row],[نوع الخدمة]]="كاش اوت",
    IF(F164&lt;=100, 15, IF(F164&lt;=250, 20, IF(F164&lt;=500, 30, IF(F164&lt;=1000, 35, F164*0.035)))),
0)))</f>
        <v>0</v>
      </c>
      <c r="H164" s="159">
        <f>IF(I164="مخالفات",50,Basic345[[#This Row],[قيمة الرسوم / العموله]]+Basic345[[#This Row],[قيمة الشحنه]])</f>
        <v>0</v>
      </c>
      <c r="I164" s="90"/>
      <c r="J164" s="142" t="str">
        <f t="shared" si="2"/>
        <v>28.5.2026</v>
      </c>
      <c r="L164" s="153">
        <v>153</v>
      </c>
      <c r="M164" s="92"/>
    </row>
    <row r="165" spans="1:13" ht="21.6" x14ac:dyDescent="0.65">
      <c r="A165" s="195"/>
      <c r="B165" s="144">
        <v>162</v>
      </c>
      <c r="C165" s="2"/>
      <c r="D165" s="1"/>
      <c r="E165" s="3"/>
      <c r="F165" s="1"/>
      <c r="G165" s="141">
        <f>IF(Basic345[[#This Row],[نوع الخدمة]]="مخالفات", 50,
IF(Basic345[[#This Row],[نوع الخدمة]]="كاش ان",
    IF(F165&lt;=100, 18, IF(F165&lt;=250, 23, IF(F165&lt;=500, 35, IF(F165&lt;=1000, 40, F165*0.04)))),
IF(Basic345[[#This Row],[نوع الخدمة]]="كاش اوت",
    IF(F165&lt;=100, 15, IF(F165&lt;=250, 20, IF(F165&lt;=500, 30, IF(F165&lt;=1000, 35, F165*0.035)))),
0)))</f>
        <v>0</v>
      </c>
      <c r="H165" s="159">
        <f>IF(I165="مخالفات",50,Basic345[[#This Row],[قيمة الرسوم / العموله]]+Basic345[[#This Row],[قيمة الشحنه]])</f>
        <v>0</v>
      </c>
      <c r="I165" s="90"/>
      <c r="J165" s="142" t="str">
        <f t="shared" si="2"/>
        <v>28.5.2026</v>
      </c>
      <c r="L165" s="153">
        <v>154</v>
      </c>
      <c r="M165" s="92"/>
    </row>
    <row r="166" spans="1:13" ht="21.6" x14ac:dyDescent="0.65">
      <c r="A166" s="195"/>
      <c r="B166" s="140">
        <v>163</v>
      </c>
      <c r="C166" s="2"/>
      <c r="D166" s="1"/>
      <c r="E166" s="3"/>
      <c r="F166" s="1"/>
      <c r="G166" s="141">
        <f>IF(Basic345[[#This Row],[نوع الخدمة]]="مخالفات", 50,
IF(Basic345[[#This Row],[نوع الخدمة]]="كاش ان",
    IF(F166&lt;=100, 18, IF(F166&lt;=250, 23, IF(F166&lt;=500, 35, IF(F166&lt;=1000, 40, F166*0.04)))),
IF(Basic345[[#This Row],[نوع الخدمة]]="كاش اوت",
    IF(F166&lt;=100, 15, IF(F166&lt;=250, 20, IF(F166&lt;=500, 30, IF(F166&lt;=1000, 35, F166*0.035)))),
0)))</f>
        <v>0</v>
      </c>
      <c r="H166" s="159">
        <f>IF(I166="مخالفات",50,Basic345[[#This Row],[قيمة الرسوم / العموله]]+Basic345[[#This Row],[قيمة الشحنه]])</f>
        <v>0</v>
      </c>
      <c r="I166" s="90"/>
      <c r="J166" s="142" t="str">
        <f t="shared" si="2"/>
        <v>28.5.2026</v>
      </c>
      <c r="L166" s="153">
        <v>155</v>
      </c>
      <c r="M166" s="92"/>
    </row>
    <row r="167" spans="1:13" ht="21.6" x14ac:dyDescent="0.65">
      <c r="A167" s="195"/>
      <c r="B167" s="140">
        <v>164</v>
      </c>
      <c r="C167" s="2"/>
      <c r="D167" s="1"/>
      <c r="E167" s="3"/>
      <c r="F167" s="1"/>
      <c r="G167" s="141">
        <f>IF(Basic345[[#This Row],[نوع الخدمة]]="مخالفات", 50,
IF(Basic345[[#This Row],[نوع الخدمة]]="كاش ان",
    IF(F167&lt;=100, 18, IF(F167&lt;=250, 23, IF(F167&lt;=500, 35, IF(F167&lt;=1000, 40, F167*0.04)))),
IF(Basic345[[#This Row],[نوع الخدمة]]="كاش اوت",
    IF(F167&lt;=100, 15, IF(F167&lt;=250, 20, IF(F167&lt;=500, 30, IF(F167&lt;=1000, 35, F167*0.035)))),
0)))</f>
        <v>0</v>
      </c>
      <c r="H167" s="159">
        <f>IF(I167="مخالفات",50,Basic345[[#This Row],[قيمة الرسوم / العموله]]+Basic345[[#This Row],[قيمة الشحنه]])</f>
        <v>0</v>
      </c>
      <c r="I167" s="90"/>
      <c r="J167" s="142" t="str">
        <f t="shared" si="2"/>
        <v>28.5.2026</v>
      </c>
      <c r="L167" s="153">
        <v>156</v>
      </c>
      <c r="M167" s="92"/>
    </row>
    <row r="168" spans="1:13" ht="21.6" x14ac:dyDescent="0.65">
      <c r="A168" s="195"/>
      <c r="B168" s="140">
        <v>165</v>
      </c>
      <c r="C168" s="2"/>
      <c r="D168" s="1"/>
      <c r="E168" s="3"/>
      <c r="F168" s="1"/>
      <c r="G168" s="141">
        <f>IF(Basic345[[#This Row],[نوع الخدمة]]="مخالفات", 50,
IF(Basic345[[#This Row],[نوع الخدمة]]="كاش ان",
    IF(F168&lt;=100, 18, IF(F168&lt;=250, 23, IF(F168&lt;=500, 35, IF(F168&lt;=1000, 40, F168*0.04)))),
IF(Basic345[[#This Row],[نوع الخدمة]]="كاش اوت",
    IF(F168&lt;=100, 15, IF(F168&lt;=250, 20, IF(F168&lt;=500, 30, IF(F168&lt;=1000, 35, F168*0.035)))),
0)))</f>
        <v>0</v>
      </c>
      <c r="H168" s="159">
        <f>IF(I168="مخالفات",50,Basic345[[#This Row],[قيمة الرسوم / العموله]]+Basic345[[#This Row],[قيمة الشحنه]])</f>
        <v>0</v>
      </c>
      <c r="I168" s="90"/>
      <c r="J168" s="142" t="str">
        <f t="shared" si="2"/>
        <v>28.5.2026</v>
      </c>
      <c r="L168" s="153">
        <v>157</v>
      </c>
      <c r="M168" s="92"/>
    </row>
    <row r="169" spans="1:13" ht="21.6" x14ac:dyDescent="0.65">
      <c r="A169" s="195"/>
      <c r="B169" s="144">
        <v>166</v>
      </c>
      <c r="C169" s="2"/>
      <c r="D169" s="1"/>
      <c r="E169" s="3"/>
      <c r="F169" s="1"/>
      <c r="G169" s="141">
        <f>IF(Basic345[[#This Row],[نوع الخدمة]]="مخالفات", 50,
IF(Basic345[[#This Row],[نوع الخدمة]]="كاش ان",
    IF(F169&lt;=100, 18, IF(F169&lt;=250, 23, IF(F169&lt;=500, 35, IF(F169&lt;=1000, 40, F169*0.04)))),
IF(Basic345[[#This Row],[نوع الخدمة]]="كاش اوت",
    IF(F169&lt;=100, 15, IF(F169&lt;=250, 20, IF(F169&lt;=500, 30, IF(F169&lt;=1000, 35, F169*0.035)))),
0)))</f>
        <v>0</v>
      </c>
      <c r="H169" s="159">
        <f>IF(I169="مخالفات",50,Basic345[[#This Row],[قيمة الرسوم / العموله]]+Basic345[[#This Row],[قيمة الشحنه]])</f>
        <v>0</v>
      </c>
      <c r="I169" s="90"/>
      <c r="J169" s="142" t="str">
        <f t="shared" si="2"/>
        <v>28.5.2026</v>
      </c>
      <c r="L169" s="153">
        <v>158</v>
      </c>
      <c r="M169" s="92"/>
    </row>
    <row r="170" spans="1:13" ht="21.6" x14ac:dyDescent="0.65">
      <c r="A170" s="195"/>
      <c r="B170" s="140">
        <v>167</v>
      </c>
      <c r="C170" s="2"/>
      <c r="D170" s="1"/>
      <c r="E170" s="3"/>
      <c r="F170" s="1"/>
      <c r="G170" s="141">
        <f>IF(Basic345[[#This Row],[نوع الخدمة]]="مخالفات", 50,
IF(Basic345[[#This Row],[نوع الخدمة]]="كاش ان",
    IF(F170&lt;=100, 18, IF(F170&lt;=250, 23, IF(F170&lt;=500, 35, IF(F170&lt;=1000, 40, F170*0.04)))),
IF(Basic345[[#This Row],[نوع الخدمة]]="كاش اوت",
    IF(F170&lt;=100, 15, IF(F170&lt;=250, 20, IF(F170&lt;=500, 30, IF(F170&lt;=1000, 35, F170*0.035)))),
0)))</f>
        <v>0</v>
      </c>
      <c r="H170" s="159">
        <f>IF(I170="مخالفات",50,Basic345[[#This Row],[قيمة الرسوم / العموله]]+Basic345[[#This Row],[قيمة الشحنه]])</f>
        <v>0</v>
      </c>
      <c r="I170" s="90"/>
      <c r="J170" s="142" t="str">
        <f t="shared" si="2"/>
        <v>28.5.2026</v>
      </c>
      <c r="L170" s="153">
        <v>159</v>
      </c>
      <c r="M170" s="92"/>
    </row>
    <row r="171" spans="1:13" ht="21.6" x14ac:dyDescent="0.65">
      <c r="A171" s="195"/>
      <c r="B171" s="140">
        <v>168</v>
      </c>
      <c r="C171" s="2"/>
      <c r="D171" s="1"/>
      <c r="E171" s="3"/>
      <c r="F171" s="1"/>
      <c r="G171" s="141">
        <f>IF(Basic345[[#This Row],[نوع الخدمة]]="مخالفات", 50,
IF(Basic345[[#This Row],[نوع الخدمة]]="كاش ان",
    IF(F171&lt;=100, 18, IF(F171&lt;=250, 23, IF(F171&lt;=500, 35, IF(F171&lt;=1000, 40, F171*0.04)))),
IF(Basic345[[#This Row],[نوع الخدمة]]="كاش اوت",
    IF(F171&lt;=100, 15, IF(F171&lt;=250, 20, IF(F171&lt;=500, 30, IF(F171&lt;=1000, 35, F171*0.035)))),
0)))</f>
        <v>0</v>
      </c>
      <c r="H171" s="159">
        <f>IF(I171="مخالفات",50,Basic345[[#This Row],[قيمة الرسوم / العموله]]+Basic345[[#This Row],[قيمة الشحنه]])</f>
        <v>0</v>
      </c>
      <c r="I171" s="90"/>
      <c r="J171" s="142" t="str">
        <f t="shared" si="2"/>
        <v>28.5.2026</v>
      </c>
      <c r="L171" s="153">
        <v>160</v>
      </c>
      <c r="M171" s="92"/>
    </row>
    <row r="172" spans="1:13" ht="21.6" x14ac:dyDescent="0.65">
      <c r="A172" s="195"/>
      <c r="B172" s="140">
        <v>169</v>
      </c>
      <c r="C172" s="2"/>
      <c r="D172" s="1"/>
      <c r="E172" s="3"/>
      <c r="F172" s="1"/>
      <c r="G172" s="141">
        <f>IF(Basic345[[#This Row],[نوع الخدمة]]="مخالفات", 50,
IF(Basic345[[#This Row],[نوع الخدمة]]="كاش ان",
    IF(F172&lt;=100, 18, IF(F172&lt;=250, 23, IF(F172&lt;=500, 35, IF(F172&lt;=1000, 40, F172*0.04)))),
IF(Basic345[[#This Row],[نوع الخدمة]]="كاش اوت",
    IF(F172&lt;=100, 15, IF(F172&lt;=250, 20, IF(F172&lt;=500, 30, IF(F172&lt;=1000, 35, F172*0.035)))),
0)))</f>
        <v>0</v>
      </c>
      <c r="H172" s="159">
        <f>IF(I172="مخالفات",50,Basic345[[#This Row],[قيمة الرسوم / العموله]]+Basic345[[#This Row],[قيمة الشحنه]])</f>
        <v>0</v>
      </c>
      <c r="I172" s="90"/>
      <c r="J172" s="142" t="str">
        <f t="shared" si="2"/>
        <v>28.5.2026</v>
      </c>
      <c r="L172" s="153">
        <v>161</v>
      </c>
      <c r="M172" s="92"/>
    </row>
    <row r="173" spans="1:13" ht="21.6" x14ac:dyDescent="0.65">
      <c r="A173" s="195"/>
      <c r="B173" s="144">
        <v>170</v>
      </c>
      <c r="C173" s="2"/>
      <c r="D173" s="1"/>
      <c r="E173" s="3"/>
      <c r="F173" s="1"/>
      <c r="G173" s="141">
        <f>IF(Basic345[[#This Row],[نوع الخدمة]]="مخالفات", 50,
IF(Basic345[[#This Row],[نوع الخدمة]]="كاش ان",
    IF(F173&lt;=100, 18, IF(F173&lt;=250, 23, IF(F173&lt;=500, 35, IF(F173&lt;=1000, 40, F173*0.04)))),
IF(Basic345[[#This Row],[نوع الخدمة]]="كاش اوت",
    IF(F173&lt;=100, 15, IF(F173&lt;=250, 20, IF(F173&lt;=500, 30, IF(F173&lt;=1000, 35, F173*0.035)))),
0)))</f>
        <v>0</v>
      </c>
      <c r="H173" s="159">
        <f>IF(I173="مخالفات",50,Basic345[[#This Row],[قيمة الرسوم / العموله]]+Basic345[[#This Row],[قيمة الشحنه]])</f>
        <v>0</v>
      </c>
      <c r="I173" s="90"/>
      <c r="J173" s="142" t="str">
        <f t="shared" si="2"/>
        <v>28.5.2026</v>
      </c>
      <c r="L173" s="153">
        <v>162</v>
      </c>
      <c r="M173" s="92"/>
    </row>
    <row r="174" spans="1:13" ht="21.6" x14ac:dyDescent="0.65">
      <c r="A174" s="195"/>
      <c r="B174" s="140">
        <v>171</v>
      </c>
      <c r="C174" s="2"/>
      <c r="D174" s="1"/>
      <c r="E174" s="3"/>
      <c r="F174" s="1"/>
      <c r="G174" s="141">
        <f>IF(Basic345[[#This Row],[نوع الخدمة]]="مخالفات", 50,
IF(Basic345[[#This Row],[نوع الخدمة]]="كاش ان",
    IF(F174&lt;=100, 18, IF(F174&lt;=250, 23, IF(F174&lt;=500, 35, IF(F174&lt;=1000, 40, F174*0.04)))),
IF(Basic345[[#This Row],[نوع الخدمة]]="كاش اوت",
    IF(F174&lt;=100, 15, IF(F174&lt;=250, 20, IF(F174&lt;=500, 30, IF(F174&lt;=1000, 35, F174*0.035)))),
0)))</f>
        <v>0</v>
      </c>
      <c r="H174" s="159">
        <f>IF(I174="مخالفات",50,Basic345[[#This Row],[قيمة الرسوم / العموله]]+Basic345[[#This Row],[قيمة الشحنه]])</f>
        <v>0</v>
      </c>
      <c r="I174" s="90"/>
      <c r="J174" s="142" t="str">
        <f t="shared" si="2"/>
        <v>28.5.2026</v>
      </c>
      <c r="L174" s="153">
        <v>163</v>
      </c>
      <c r="M174" s="92"/>
    </row>
    <row r="175" spans="1:13" ht="21.6" x14ac:dyDescent="0.65">
      <c r="A175" s="195"/>
      <c r="B175" s="140">
        <v>172</v>
      </c>
      <c r="C175" s="2"/>
      <c r="D175" s="1"/>
      <c r="E175" s="3"/>
      <c r="F175" s="1"/>
      <c r="G175" s="141">
        <f>IF(Basic345[[#This Row],[نوع الخدمة]]="مخالفات", 50,
IF(Basic345[[#This Row],[نوع الخدمة]]="كاش ان",
    IF(F175&lt;=100, 18, IF(F175&lt;=250, 23, IF(F175&lt;=500, 35, IF(F175&lt;=1000, 40, F175*0.04)))),
IF(Basic345[[#This Row],[نوع الخدمة]]="كاش اوت",
    IF(F175&lt;=100, 15, IF(F175&lt;=250, 20, IF(F175&lt;=500, 30, IF(F175&lt;=1000, 35, F175*0.035)))),
0)))</f>
        <v>0</v>
      </c>
      <c r="H175" s="159">
        <f>IF(I175="مخالفات",50,Basic345[[#This Row],[قيمة الرسوم / العموله]]+Basic345[[#This Row],[قيمة الشحنه]])</f>
        <v>0</v>
      </c>
      <c r="I175" s="90"/>
      <c r="J175" s="142" t="str">
        <f t="shared" si="2"/>
        <v>28.5.2026</v>
      </c>
      <c r="L175" s="153">
        <v>164</v>
      </c>
      <c r="M175" s="92"/>
    </row>
    <row r="176" spans="1:13" ht="21.6" x14ac:dyDescent="0.65">
      <c r="A176" s="195"/>
      <c r="B176" s="140">
        <v>173</v>
      </c>
      <c r="C176" s="2"/>
      <c r="D176" s="1"/>
      <c r="E176" s="3"/>
      <c r="F176" s="1"/>
      <c r="G176" s="141">
        <f>IF(Basic345[[#This Row],[نوع الخدمة]]="مخالفات", 50,
IF(Basic345[[#This Row],[نوع الخدمة]]="كاش ان",
    IF(F176&lt;=100, 18, IF(F176&lt;=250, 23, IF(F176&lt;=500, 35, IF(F176&lt;=1000, 40, F176*0.04)))),
IF(Basic345[[#This Row],[نوع الخدمة]]="كاش اوت",
    IF(F176&lt;=100, 15, IF(F176&lt;=250, 20, IF(F176&lt;=500, 30, IF(F176&lt;=1000, 35, F176*0.035)))),
0)))</f>
        <v>0</v>
      </c>
      <c r="H176" s="159">
        <f>IF(I176="مخالفات",50,Basic345[[#This Row],[قيمة الرسوم / العموله]]+Basic345[[#This Row],[قيمة الشحنه]])</f>
        <v>0</v>
      </c>
      <c r="I176" s="90"/>
      <c r="J176" s="142" t="str">
        <f t="shared" si="2"/>
        <v>28.5.2026</v>
      </c>
      <c r="L176" s="153">
        <v>165</v>
      </c>
      <c r="M176" s="92"/>
    </row>
    <row r="177" spans="1:13" ht="21.6" x14ac:dyDescent="0.65">
      <c r="A177" s="195"/>
      <c r="B177" s="144">
        <v>174</v>
      </c>
      <c r="C177" s="2"/>
      <c r="D177" s="1"/>
      <c r="E177" s="3"/>
      <c r="F177" s="1"/>
      <c r="G177" s="141">
        <f>IF(Basic345[[#This Row],[نوع الخدمة]]="مخالفات", 50,
IF(Basic345[[#This Row],[نوع الخدمة]]="كاش ان",
    IF(F177&lt;=100, 18, IF(F177&lt;=250, 23, IF(F177&lt;=500, 35, IF(F177&lt;=1000, 40, F177*0.04)))),
IF(Basic345[[#This Row],[نوع الخدمة]]="كاش اوت",
    IF(F177&lt;=100, 15, IF(F177&lt;=250, 20, IF(F177&lt;=500, 30, IF(F177&lt;=1000, 35, F177*0.035)))),
0)))</f>
        <v>0</v>
      </c>
      <c r="H177" s="159">
        <f>IF(I177="مخالفات",50,Basic345[[#This Row],[قيمة الرسوم / العموله]]+Basic345[[#This Row],[قيمة الشحنه]])</f>
        <v>0</v>
      </c>
      <c r="I177" s="90"/>
      <c r="J177" s="142" t="str">
        <f t="shared" si="2"/>
        <v>28.5.2026</v>
      </c>
      <c r="L177" s="153">
        <v>166</v>
      </c>
      <c r="M177" s="92"/>
    </row>
    <row r="178" spans="1:13" ht="21.6" x14ac:dyDescent="0.65">
      <c r="A178" s="195"/>
      <c r="B178" s="140">
        <v>175</v>
      </c>
      <c r="C178" s="2"/>
      <c r="D178" s="1"/>
      <c r="E178" s="3"/>
      <c r="F178" s="1"/>
      <c r="G178" s="141">
        <f>IF(Basic345[[#This Row],[نوع الخدمة]]="مخالفات", 50,
IF(Basic345[[#This Row],[نوع الخدمة]]="كاش ان",
    IF(F178&lt;=100, 18, IF(F178&lt;=250, 23, IF(F178&lt;=500, 35, IF(F178&lt;=1000, 40, F178*0.04)))),
IF(Basic345[[#This Row],[نوع الخدمة]]="كاش اوت",
    IF(F178&lt;=100, 15, IF(F178&lt;=250, 20, IF(F178&lt;=500, 30, IF(F178&lt;=1000, 35, F178*0.035)))),
0)))</f>
        <v>0</v>
      </c>
      <c r="H178" s="159">
        <f>IF(I178="مخالفات",50,Basic345[[#This Row],[قيمة الرسوم / العموله]]+Basic345[[#This Row],[قيمة الشحنه]])</f>
        <v>0</v>
      </c>
      <c r="I178" s="90"/>
      <c r="J178" s="142" t="str">
        <f t="shared" si="2"/>
        <v>28.5.2026</v>
      </c>
      <c r="L178" s="153">
        <v>167</v>
      </c>
      <c r="M178" s="92"/>
    </row>
    <row r="179" spans="1:13" ht="21.6" x14ac:dyDescent="0.65">
      <c r="A179" s="195"/>
      <c r="B179" s="140">
        <v>176</v>
      </c>
      <c r="C179" s="2"/>
      <c r="D179" s="1"/>
      <c r="E179" s="3"/>
      <c r="F179" s="1"/>
      <c r="G179" s="141">
        <f>IF(Basic345[[#This Row],[نوع الخدمة]]="مخالفات", 50,
IF(Basic345[[#This Row],[نوع الخدمة]]="كاش ان",
    IF(F179&lt;=100, 18, IF(F179&lt;=250, 23, IF(F179&lt;=500, 35, IF(F179&lt;=1000, 40, F179*0.04)))),
IF(Basic345[[#This Row],[نوع الخدمة]]="كاش اوت",
    IF(F179&lt;=100, 15, IF(F179&lt;=250, 20, IF(F179&lt;=500, 30, IF(F179&lt;=1000, 35, F179*0.035)))),
0)))</f>
        <v>0</v>
      </c>
      <c r="H179" s="159">
        <f>IF(I179="مخالفات",50,Basic345[[#This Row],[قيمة الرسوم / العموله]]+Basic345[[#This Row],[قيمة الشحنه]])</f>
        <v>0</v>
      </c>
      <c r="I179" s="90"/>
      <c r="J179" s="142" t="str">
        <f t="shared" si="2"/>
        <v>28.5.2026</v>
      </c>
      <c r="L179" s="153">
        <v>168</v>
      </c>
      <c r="M179" s="92"/>
    </row>
    <row r="180" spans="1:13" ht="21.6" x14ac:dyDescent="0.65">
      <c r="A180" s="195"/>
      <c r="B180" s="140">
        <v>177</v>
      </c>
      <c r="C180" s="2"/>
      <c r="D180" s="1"/>
      <c r="E180" s="3"/>
      <c r="F180" s="1"/>
      <c r="G180" s="141">
        <f>IF(Basic345[[#This Row],[نوع الخدمة]]="مخالفات", 50,
IF(Basic345[[#This Row],[نوع الخدمة]]="كاش ان",
    IF(F180&lt;=100, 18, IF(F180&lt;=250, 23, IF(F180&lt;=500, 35, IF(F180&lt;=1000, 40, F180*0.04)))),
IF(Basic345[[#This Row],[نوع الخدمة]]="كاش اوت",
    IF(F180&lt;=100, 15, IF(F180&lt;=250, 20, IF(F180&lt;=500, 30, IF(F180&lt;=1000, 35, F180*0.035)))),
0)))</f>
        <v>0</v>
      </c>
      <c r="H180" s="159">
        <f>IF(I180="مخالفات",50,Basic345[[#This Row],[قيمة الرسوم / العموله]]+Basic345[[#This Row],[قيمة الشحنه]])</f>
        <v>0</v>
      </c>
      <c r="I180" s="90"/>
      <c r="J180" s="142" t="str">
        <f t="shared" si="2"/>
        <v>28.5.2026</v>
      </c>
      <c r="L180" s="153">
        <v>169</v>
      </c>
      <c r="M180" s="92"/>
    </row>
    <row r="181" spans="1:13" ht="21.6" x14ac:dyDescent="0.65">
      <c r="A181" s="195"/>
      <c r="B181" s="144">
        <v>178</v>
      </c>
      <c r="C181" s="2"/>
      <c r="D181" s="1"/>
      <c r="E181" s="3"/>
      <c r="F181" s="1"/>
      <c r="G181" s="141">
        <f>IF(Basic345[[#This Row],[نوع الخدمة]]="مخالفات", 50,
IF(Basic345[[#This Row],[نوع الخدمة]]="كاش ان",
    IF(F181&lt;=100, 18, IF(F181&lt;=250, 23, IF(F181&lt;=500, 35, IF(F181&lt;=1000, 40, F181*0.04)))),
IF(Basic345[[#This Row],[نوع الخدمة]]="كاش اوت",
    IF(F181&lt;=100, 15, IF(F181&lt;=250, 20, IF(F181&lt;=500, 30, IF(F181&lt;=1000, 35, F181*0.035)))),
0)))</f>
        <v>0</v>
      </c>
      <c r="H181" s="159">
        <f>IF(I181="مخالفات",50,Basic345[[#This Row],[قيمة الرسوم / العموله]]+Basic345[[#This Row],[قيمة الشحنه]])</f>
        <v>0</v>
      </c>
      <c r="I181" s="90"/>
      <c r="J181" s="142" t="str">
        <f t="shared" si="2"/>
        <v>28.5.2026</v>
      </c>
      <c r="L181" s="153">
        <v>170</v>
      </c>
      <c r="M181" s="92"/>
    </row>
    <row r="182" spans="1:13" ht="21.6" x14ac:dyDescent="0.65">
      <c r="A182" s="195"/>
      <c r="B182" s="140">
        <v>179</v>
      </c>
      <c r="C182" s="2"/>
      <c r="D182" s="1"/>
      <c r="E182" s="3"/>
      <c r="F182" s="1"/>
      <c r="G182" s="141">
        <f>IF(Basic345[[#This Row],[نوع الخدمة]]="مخالفات", 50,
IF(Basic345[[#This Row],[نوع الخدمة]]="كاش ان",
    IF(F182&lt;=100, 18, IF(F182&lt;=250, 23, IF(F182&lt;=500, 35, IF(F182&lt;=1000, 40, F182*0.04)))),
IF(Basic345[[#This Row],[نوع الخدمة]]="كاش اوت",
    IF(F182&lt;=100, 15, IF(F182&lt;=250, 20, IF(F182&lt;=500, 30, IF(F182&lt;=1000, 35, F182*0.035)))),
0)))</f>
        <v>0</v>
      </c>
      <c r="H182" s="159">
        <f>IF(I182="مخالفات",50,Basic345[[#This Row],[قيمة الرسوم / العموله]]+Basic345[[#This Row],[قيمة الشحنه]])</f>
        <v>0</v>
      </c>
      <c r="I182" s="90"/>
      <c r="J182" s="142" t="str">
        <f t="shared" si="2"/>
        <v>28.5.2026</v>
      </c>
      <c r="L182" s="153">
        <v>171</v>
      </c>
      <c r="M182" s="92"/>
    </row>
    <row r="183" spans="1:13" ht="21.6" x14ac:dyDescent="0.65">
      <c r="A183" s="195"/>
      <c r="B183" s="140">
        <v>180</v>
      </c>
      <c r="C183" s="2"/>
      <c r="D183" s="1"/>
      <c r="E183" s="3"/>
      <c r="F183" s="1"/>
      <c r="G183" s="141">
        <f>IF(Basic345[[#This Row],[نوع الخدمة]]="مخالفات", 50,
IF(Basic345[[#This Row],[نوع الخدمة]]="كاش ان",
    IF(F183&lt;=100, 18, IF(F183&lt;=250, 23, IF(F183&lt;=500, 35, IF(F183&lt;=1000, 40, F183*0.04)))),
IF(Basic345[[#This Row],[نوع الخدمة]]="كاش اوت",
    IF(F183&lt;=100, 15, IF(F183&lt;=250, 20, IF(F183&lt;=500, 30, IF(F183&lt;=1000, 35, F183*0.035)))),
0)))</f>
        <v>0</v>
      </c>
      <c r="H183" s="159">
        <f>IF(I183="مخالفات",50,Basic345[[#This Row],[قيمة الرسوم / العموله]]+Basic345[[#This Row],[قيمة الشحنه]])</f>
        <v>0</v>
      </c>
      <c r="I183" s="90"/>
      <c r="J183" s="142" t="str">
        <f t="shared" si="2"/>
        <v>28.5.2026</v>
      </c>
      <c r="L183" s="153">
        <v>172</v>
      </c>
      <c r="M183" s="92"/>
    </row>
    <row r="184" spans="1:13" ht="21.6" x14ac:dyDescent="0.65">
      <c r="A184" s="195"/>
      <c r="B184" s="140">
        <v>181</v>
      </c>
      <c r="C184" s="2"/>
      <c r="D184" s="1"/>
      <c r="E184" s="3"/>
      <c r="F184" s="1"/>
      <c r="G184" s="141">
        <f>IF(Basic345[[#This Row],[نوع الخدمة]]="مخالفات", 50,
IF(Basic345[[#This Row],[نوع الخدمة]]="كاش ان",
    IF(F184&lt;=100, 18, IF(F184&lt;=250, 23, IF(F184&lt;=500, 35, IF(F184&lt;=1000, 40, F184*0.04)))),
IF(Basic345[[#This Row],[نوع الخدمة]]="كاش اوت",
    IF(F184&lt;=100, 15, IF(F184&lt;=250, 20, IF(F184&lt;=500, 30, IF(F184&lt;=1000, 35, F184*0.035)))),
0)))</f>
        <v>0</v>
      </c>
      <c r="H184" s="159">
        <f>IF(I184="مخالفات",50,Basic345[[#This Row],[قيمة الرسوم / العموله]]+Basic345[[#This Row],[قيمة الشحنه]])</f>
        <v>0</v>
      </c>
      <c r="I184" s="90"/>
      <c r="J184" s="142" t="str">
        <f t="shared" si="2"/>
        <v>28.5.2026</v>
      </c>
      <c r="L184" s="153">
        <v>173</v>
      </c>
      <c r="M184" s="92"/>
    </row>
    <row r="185" spans="1:13" ht="21.6" x14ac:dyDescent="0.65">
      <c r="A185" s="195"/>
      <c r="B185" s="144">
        <v>182</v>
      </c>
      <c r="C185" s="2"/>
      <c r="D185" s="1"/>
      <c r="E185" s="3"/>
      <c r="F185" s="1"/>
      <c r="G185" s="141">
        <f>IF(Basic345[[#This Row],[نوع الخدمة]]="مخالفات", 50,
IF(Basic345[[#This Row],[نوع الخدمة]]="كاش ان",
    IF(F185&lt;=100, 18, IF(F185&lt;=250, 23, IF(F185&lt;=500, 35, IF(F185&lt;=1000, 40, F185*0.04)))),
IF(Basic345[[#This Row],[نوع الخدمة]]="كاش اوت",
    IF(F185&lt;=100, 15, IF(F185&lt;=250, 20, IF(F185&lt;=500, 30, IF(F185&lt;=1000, 35, F185*0.035)))),
0)))</f>
        <v>0</v>
      </c>
      <c r="H185" s="159">
        <f>IF(I185="مخالفات",50,Basic345[[#This Row],[قيمة الرسوم / العموله]]+Basic345[[#This Row],[قيمة الشحنه]])</f>
        <v>0</v>
      </c>
      <c r="I185" s="90"/>
      <c r="J185" s="142" t="str">
        <f t="shared" si="2"/>
        <v>28.5.2026</v>
      </c>
      <c r="L185" s="153">
        <v>174</v>
      </c>
      <c r="M185" s="92"/>
    </row>
    <row r="186" spans="1:13" ht="21.6" x14ac:dyDescent="0.65">
      <c r="A186" s="195"/>
      <c r="B186" s="140">
        <v>183</v>
      </c>
      <c r="C186" s="2"/>
      <c r="D186" s="1"/>
      <c r="E186" s="3"/>
      <c r="F186" s="1"/>
      <c r="G186" s="141">
        <f>IF(Basic345[[#This Row],[نوع الخدمة]]="مخالفات", 50,
IF(Basic345[[#This Row],[نوع الخدمة]]="كاش ان",
    IF(F186&lt;=100, 18, IF(F186&lt;=250, 23, IF(F186&lt;=500, 35, IF(F186&lt;=1000, 40, F186*0.04)))),
IF(Basic345[[#This Row],[نوع الخدمة]]="كاش اوت",
    IF(F186&lt;=100, 15, IF(F186&lt;=250, 20, IF(F186&lt;=500, 30, IF(F186&lt;=1000, 35, F186*0.035)))),
0)))</f>
        <v>0</v>
      </c>
      <c r="H186" s="159">
        <f>IF(I186="مخالفات",50,Basic345[[#This Row],[قيمة الرسوم / العموله]]+Basic345[[#This Row],[قيمة الشحنه]])</f>
        <v>0</v>
      </c>
      <c r="I186" s="90"/>
      <c r="J186" s="142" t="str">
        <f t="shared" si="2"/>
        <v>28.5.2026</v>
      </c>
      <c r="L186" s="153">
        <v>175</v>
      </c>
      <c r="M186" s="92"/>
    </row>
    <row r="187" spans="1:13" ht="21.6" x14ac:dyDescent="0.65">
      <c r="A187" s="195"/>
      <c r="B187" s="140">
        <v>184</v>
      </c>
      <c r="C187" s="2"/>
      <c r="D187" s="1"/>
      <c r="E187" s="3"/>
      <c r="F187" s="1"/>
      <c r="G187" s="141">
        <f>IF(Basic345[[#This Row],[نوع الخدمة]]="مخالفات", 50,
IF(Basic345[[#This Row],[نوع الخدمة]]="كاش ان",
    IF(F187&lt;=100, 18, IF(F187&lt;=250, 23, IF(F187&lt;=500, 35, IF(F187&lt;=1000, 40, F187*0.04)))),
IF(Basic345[[#This Row],[نوع الخدمة]]="كاش اوت",
    IF(F187&lt;=100, 15, IF(F187&lt;=250, 20, IF(F187&lt;=500, 30, IF(F187&lt;=1000, 35, F187*0.035)))),
0)))</f>
        <v>0</v>
      </c>
      <c r="H187" s="159">
        <f>IF(I187="مخالفات",50,Basic345[[#This Row],[قيمة الرسوم / العموله]]+Basic345[[#This Row],[قيمة الشحنه]])</f>
        <v>0</v>
      </c>
      <c r="I187" s="90"/>
      <c r="J187" s="142" t="str">
        <f t="shared" si="2"/>
        <v>28.5.2026</v>
      </c>
      <c r="L187" s="153">
        <v>176</v>
      </c>
      <c r="M187" s="92"/>
    </row>
    <row r="188" spans="1:13" ht="21.6" x14ac:dyDescent="0.65">
      <c r="A188" s="195"/>
      <c r="B188" s="140">
        <v>185</v>
      </c>
      <c r="C188" s="2"/>
      <c r="D188" s="1"/>
      <c r="E188" s="3"/>
      <c r="F188" s="1"/>
      <c r="G188" s="141">
        <f>IF(Basic345[[#This Row],[نوع الخدمة]]="مخالفات", 50,
IF(Basic345[[#This Row],[نوع الخدمة]]="كاش ان",
    IF(F188&lt;=100, 18, IF(F188&lt;=250, 23, IF(F188&lt;=500, 35, IF(F188&lt;=1000, 40, F188*0.04)))),
IF(Basic345[[#This Row],[نوع الخدمة]]="كاش اوت",
    IF(F188&lt;=100, 15, IF(F188&lt;=250, 20, IF(F188&lt;=500, 30, IF(F188&lt;=1000, 35, F188*0.035)))),
0)))</f>
        <v>0</v>
      </c>
      <c r="H188" s="159">
        <f>IF(I188="مخالفات",50,Basic345[[#This Row],[قيمة الرسوم / العموله]]+Basic345[[#This Row],[قيمة الشحنه]])</f>
        <v>0</v>
      </c>
      <c r="I188" s="90"/>
      <c r="J188" s="142" t="str">
        <f t="shared" si="2"/>
        <v>28.5.2026</v>
      </c>
      <c r="L188" s="153">
        <v>177</v>
      </c>
      <c r="M188" s="92"/>
    </row>
    <row r="189" spans="1:13" ht="21.6" x14ac:dyDescent="0.65">
      <c r="A189" s="195"/>
      <c r="B189" s="144">
        <v>186</v>
      </c>
      <c r="C189" s="2"/>
      <c r="D189" s="1"/>
      <c r="E189" s="3"/>
      <c r="F189" s="1"/>
      <c r="G189" s="141">
        <f>IF(Basic345[[#This Row],[نوع الخدمة]]="مخالفات", 50,
IF(Basic345[[#This Row],[نوع الخدمة]]="كاش ان",
    IF(F189&lt;=100, 18, IF(F189&lt;=250, 23, IF(F189&lt;=500, 35, IF(F189&lt;=1000, 40, F189*0.04)))),
IF(Basic345[[#This Row],[نوع الخدمة]]="كاش اوت",
    IF(F189&lt;=100, 15, IF(F189&lt;=250, 20, IF(F189&lt;=500, 30, IF(F189&lt;=1000, 35, F189*0.035)))),
0)))</f>
        <v>0</v>
      </c>
      <c r="H189" s="159">
        <f>IF(I189="مخالفات",50,Basic345[[#This Row],[قيمة الرسوم / العموله]]+Basic345[[#This Row],[قيمة الشحنه]])</f>
        <v>0</v>
      </c>
      <c r="I189" s="90"/>
      <c r="J189" s="142" t="str">
        <f t="shared" si="2"/>
        <v>28.5.2026</v>
      </c>
      <c r="L189" s="153">
        <v>178</v>
      </c>
      <c r="M189" s="92"/>
    </row>
    <row r="190" spans="1:13" ht="21.6" x14ac:dyDescent="0.65">
      <c r="A190" s="195"/>
      <c r="B190" s="140">
        <v>187</v>
      </c>
      <c r="C190" s="2"/>
      <c r="D190" s="1"/>
      <c r="E190" s="3"/>
      <c r="F190" s="1"/>
      <c r="G190" s="141">
        <f>IF(Basic345[[#This Row],[نوع الخدمة]]="مخالفات", 50,
IF(Basic345[[#This Row],[نوع الخدمة]]="كاش ان",
    IF(F190&lt;=100, 18, IF(F190&lt;=250, 23, IF(F190&lt;=500, 35, IF(F190&lt;=1000, 40, F190*0.04)))),
IF(Basic345[[#This Row],[نوع الخدمة]]="كاش اوت",
    IF(F190&lt;=100, 15, IF(F190&lt;=250, 20, IF(F190&lt;=500, 30, IF(F190&lt;=1000, 35, F190*0.035)))),
0)))</f>
        <v>0</v>
      </c>
      <c r="H190" s="159">
        <f>IF(I190="مخالفات",50,Basic345[[#This Row],[قيمة الرسوم / العموله]]+Basic345[[#This Row],[قيمة الشحنه]])</f>
        <v>0</v>
      </c>
      <c r="I190" s="90"/>
      <c r="J190" s="142" t="str">
        <f t="shared" si="2"/>
        <v>28.5.2026</v>
      </c>
      <c r="L190" s="153">
        <v>179</v>
      </c>
      <c r="M190" s="92"/>
    </row>
    <row r="191" spans="1:13" ht="21.6" x14ac:dyDescent="0.65">
      <c r="A191" s="195"/>
      <c r="B191" s="140">
        <v>188</v>
      </c>
      <c r="C191" s="2"/>
      <c r="D191" s="1"/>
      <c r="E191" s="3"/>
      <c r="F191" s="1"/>
      <c r="G191" s="141">
        <f>IF(Basic345[[#This Row],[نوع الخدمة]]="مخالفات", 50,
IF(Basic345[[#This Row],[نوع الخدمة]]="كاش ان",
    IF(F191&lt;=100, 18, IF(F191&lt;=250, 23, IF(F191&lt;=500, 35, IF(F191&lt;=1000, 40, F191*0.04)))),
IF(Basic345[[#This Row],[نوع الخدمة]]="كاش اوت",
    IF(F191&lt;=100, 15, IF(F191&lt;=250, 20, IF(F191&lt;=500, 30, IF(F191&lt;=1000, 35, F191*0.035)))),
0)))</f>
        <v>0</v>
      </c>
      <c r="H191" s="159">
        <f>IF(I191="مخالفات",50,Basic345[[#This Row],[قيمة الرسوم / العموله]]+Basic345[[#This Row],[قيمة الشحنه]])</f>
        <v>0</v>
      </c>
      <c r="I191" s="90"/>
      <c r="J191" s="142" t="str">
        <f t="shared" si="2"/>
        <v>28.5.2026</v>
      </c>
      <c r="L191" s="153">
        <v>180</v>
      </c>
      <c r="M191" s="92"/>
    </row>
    <row r="192" spans="1:13" ht="21.6" x14ac:dyDescent="0.65">
      <c r="A192" s="195"/>
      <c r="B192" s="140">
        <v>189</v>
      </c>
      <c r="C192" s="2"/>
      <c r="D192" s="1"/>
      <c r="E192" s="3"/>
      <c r="F192" s="1"/>
      <c r="G192" s="141">
        <f>IF(Basic345[[#This Row],[نوع الخدمة]]="مخالفات", 50,
IF(Basic345[[#This Row],[نوع الخدمة]]="كاش ان",
    IF(F192&lt;=100, 18, IF(F192&lt;=250, 23, IF(F192&lt;=500, 35, IF(F192&lt;=1000, 40, F192*0.04)))),
IF(Basic345[[#This Row],[نوع الخدمة]]="كاش اوت",
    IF(F192&lt;=100, 15, IF(F192&lt;=250, 20, IF(F192&lt;=500, 30, IF(F192&lt;=1000, 35, F192*0.035)))),
0)))</f>
        <v>0</v>
      </c>
      <c r="H192" s="159">
        <f>IF(I192="مخالفات",50,Basic345[[#This Row],[قيمة الرسوم / العموله]]+Basic345[[#This Row],[قيمة الشحنه]])</f>
        <v>0</v>
      </c>
      <c r="I192" s="90"/>
      <c r="J192" s="142" t="str">
        <f t="shared" si="2"/>
        <v>28.5.2026</v>
      </c>
      <c r="L192" s="153">
        <v>181</v>
      </c>
      <c r="M192" s="92"/>
    </row>
    <row r="193" spans="1:13" ht="21.6" x14ac:dyDescent="0.65">
      <c r="A193" s="195"/>
      <c r="B193" s="144">
        <v>190</v>
      </c>
      <c r="C193" s="2"/>
      <c r="D193" s="1"/>
      <c r="E193" s="3"/>
      <c r="F193" s="1"/>
      <c r="G193" s="141">
        <f>IF(Basic345[[#This Row],[نوع الخدمة]]="مخالفات", 50,
IF(Basic345[[#This Row],[نوع الخدمة]]="كاش ان",
    IF(F193&lt;=100, 18, IF(F193&lt;=250, 23, IF(F193&lt;=500, 35, IF(F193&lt;=1000, 40, F193*0.04)))),
IF(Basic345[[#This Row],[نوع الخدمة]]="كاش اوت",
    IF(F193&lt;=100, 15, IF(F193&lt;=250, 20, IF(F193&lt;=500, 30, IF(F193&lt;=1000, 35, F193*0.035)))),
0)))</f>
        <v>0</v>
      </c>
      <c r="H193" s="159">
        <f>IF(I193="مخالفات",50,Basic345[[#This Row],[قيمة الرسوم / العموله]]+Basic345[[#This Row],[قيمة الشحنه]])</f>
        <v>0</v>
      </c>
      <c r="I193" s="90"/>
      <c r="J193" s="142" t="str">
        <f t="shared" si="2"/>
        <v>28.5.2026</v>
      </c>
      <c r="L193" s="153">
        <v>182</v>
      </c>
      <c r="M193" s="92"/>
    </row>
    <row r="194" spans="1:13" ht="21.6" x14ac:dyDescent="0.65">
      <c r="A194" s="195"/>
      <c r="B194" s="140">
        <v>191</v>
      </c>
      <c r="C194" s="2"/>
      <c r="D194" s="1"/>
      <c r="E194" s="3"/>
      <c r="F194" s="1"/>
      <c r="G194" s="141">
        <f>IF(Basic345[[#This Row],[نوع الخدمة]]="مخالفات", 50,
IF(Basic345[[#This Row],[نوع الخدمة]]="كاش ان",
    IF(F194&lt;=100, 18, IF(F194&lt;=250, 23, IF(F194&lt;=500, 35, IF(F194&lt;=1000, 40, F194*0.04)))),
IF(Basic345[[#This Row],[نوع الخدمة]]="كاش اوت",
    IF(F194&lt;=100, 15, IF(F194&lt;=250, 20, IF(F194&lt;=500, 30, IF(F194&lt;=1000, 35, F194*0.035)))),
0)))</f>
        <v>0</v>
      </c>
      <c r="H194" s="159">
        <f>IF(I194="مخالفات",50,Basic345[[#This Row],[قيمة الرسوم / العموله]]+Basic345[[#This Row],[قيمة الشحنه]])</f>
        <v>0</v>
      </c>
      <c r="I194" s="90"/>
      <c r="J194" s="142" t="str">
        <f t="shared" si="2"/>
        <v>28.5.2026</v>
      </c>
      <c r="L194" s="153">
        <v>183</v>
      </c>
      <c r="M194" s="92"/>
    </row>
    <row r="195" spans="1:13" ht="21.6" x14ac:dyDescent="0.65">
      <c r="A195" s="195"/>
      <c r="B195" s="140">
        <v>192</v>
      </c>
      <c r="C195" s="2"/>
      <c r="D195" s="1"/>
      <c r="E195" s="3"/>
      <c r="F195" s="1"/>
      <c r="G195" s="141">
        <f>IF(Basic345[[#This Row],[نوع الخدمة]]="مخالفات", 50,
IF(Basic345[[#This Row],[نوع الخدمة]]="كاش ان",
    IF(F195&lt;=100, 18, IF(F195&lt;=250, 23, IF(F195&lt;=500, 35, IF(F195&lt;=1000, 40, F195*0.04)))),
IF(Basic345[[#This Row],[نوع الخدمة]]="كاش اوت",
    IF(F195&lt;=100, 15, IF(F195&lt;=250, 20, IF(F195&lt;=500, 30, IF(F195&lt;=1000, 35, F195*0.035)))),
0)))</f>
        <v>0</v>
      </c>
      <c r="H195" s="159">
        <f>IF(I195="مخالفات",50,Basic345[[#This Row],[قيمة الرسوم / العموله]]+Basic345[[#This Row],[قيمة الشحنه]])</f>
        <v>0</v>
      </c>
      <c r="I195" s="90"/>
      <c r="J195" s="142" t="str">
        <f t="shared" si="2"/>
        <v>28.5.2026</v>
      </c>
      <c r="L195" s="153">
        <v>184</v>
      </c>
      <c r="M195" s="92"/>
    </row>
    <row r="196" spans="1:13" ht="21.6" x14ac:dyDescent="0.65">
      <c r="A196" s="195"/>
      <c r="B196" s="140">
        <v>193</v>
      </c>
      <c r="C196" s="2"/>
      <c r="D196" s="1"/>
      <c r="E196" s="3"/>
      <c r="F196" s="1"/>
      <c r="G196" s="141">
        <f>IF(Basic345[[#This Row],[نوع الخدمة]]="مخالفات", 50,
IF(Basic345[[#This Row],[نوع الخدمة]]="كاش ان",
    IF(F196&lt;=100, 18, IF(F196&lt;=250, 23, IF(F196&lt;=500, 35, IF(F196&lt;=1000, 40, F196*0.04)))),
IF(Basic345[[#This Row],[نوع الخدمة]]="كاش اوت",
    IF(F196&lt;=100, 15, IF(F196&lt;=250, 20, IF(F196&lt;=500, 30, IF(F196&lt;=1000, 35, F196*0.035)))),
0)))</f>
        <v>0</v>
      </c>
      <c r="H196" s="159">
        <f>IF(I196="مخالفات",50,Basic345[[#This Row],[قيمة الرسوم / العموله]]+Basic345[[#This Row],[قيمة الشحنه]])</f>
        <v>0</v>
      </c>
      <c r="I196" s="90"/>
      <c r="J196" s="142" t="str">
        <f t="shared" ref="J196:J226" si="3">M$3</f>
        <v>28.5.2026</v>
      </c>
      <c r="L196" s="153">
        <v>185</v>
      </c>
      <c r="M196" s="92"/>
    </row>
    <row r="197" spans="1:13" ht="21.6" x14ac:dyDescent="0.65">
      <c r="A197" s="195"/>
      <c r="B197" s="144">
        <v>194</v>
      </c>
      <c r="C197" s="2"/>
      <c r="D197" s="1"/>
      <c r="E197" s="3"/>
      <c r="F197" s="1"/>
      <c r="G197" s="141">
        <f>IF(Basic345[[#This Row],[نوع الخدمة]]="مخالفات", 50,
IF(Basic345[[#This Row],[نوع الخدمة]]="كاش ان",
    IF(F197&lt;=100, 18, IF(F197&lt;=250, 23, IF(F197&lt;=500, 35, IF(F197&lt;=1000, 40, F197*0.04)))),
IF(Basic345[[#This Row],[نوع الخدمة]]="كاش اوت",
    IF(F197&lt;=100, 15, IF(F197&lt;=250, 20, IF(F197&lt;=500, 30, IF(F197&lt;=1000, 35, F197*0.035)))),
0)))</f>
        <v>0</v>
      </c>
      <c r="H197" s="159">
        <f>IF(I197="مخالفات",50,Basic345[[#This Row],[قيمة الرسوم / العموله]]+Basic345[[#This Row],[قيمة الشحنه]])</f>
        <v>0</v>
      </c>
      <c r="I197" s="90"/>
      <c r="J197" s="142" t="str">
        <f t="shared" si="3"/>
        <v>28.5.2026</v>
      </c>
      <c r="L197" s="153">
        <v>186</v>
      </c>
      <c r="M197" s="92"/>
    </row>
    <row r="198" spans="1:13" ht="21.6" x14ac:dyDescent="0.65">
      <c r="A198" s="195"/>
      <c r="B198" s="140">
        <v>195</v>
      </c>
      <c r="C198" s="2"/>
      <c r="D198" s="1"/>
      <c r="E198" s="3"/>
      <c r="F198" s="1"/>
      <c r="G198" s="141">
        <f>IF(Basic345[[#This Row],[نوع الخدمة]]="مخالفات", 50,
IF(Basic345[[#This Row],[نوع الخدمة]]="كاش ان",
    IF(F198&lt;=100, 18, IF(F198&lt;=250, 23, IF(F198&lt;=500, 35, IF(F198&lt;=1000, 40, F198*0.04)))),
IF(Basic345[[#This Row],[نوع الخدمة]]="كاش اوت",
    IF(F198&lt;=100, 15, IF(F198&lt;=250, 20, IF(F198&lt;=500, 30, IF(F198&lt;=1000, 35, F198*0.035)))),
0)))</f>
        <v>0</v>
      </c>
      <c r="H198" s="159">
        <f>IF(I198="مخالفات",50,Basic345[[#This Row],[قيمة الرسوم / العموله]]+Basic345[[#This Row],[قيمة الشحنه]])</f>
        <v>0</v>
      </c>
      <c r="I198" s="90"/>
      <c r="J198" s="142" t="str">
        <f t="shared" si="3"/>
        <v>28.5.2026</v>
      </c>
      <c r="L198" s="153">
        <v>187</v>
      </c>
      <c r="M198" s="92"/>
    </row>
    <row r="199" spans="1:13" ht="21.6" x14ac:dyDescent="0.65">
      <c r="A199" s="195"/>
      <c r="B199" s="140">
        <v>196</v>
      </c>
      <c r="C199" s="2"/>
      <c r="D199" s="1"/>
      <c r="E199" s="3"/>
      <c r="F199" s="1"/>
      <c r="G199" s="141">
        <f>IF(Basic345[[#This Row],[نوع الخدمة]]="مخالفات", 50,
IF(Basic345[[#This Row],[نوع الخدمة]]="كاش ان",
    IF(F199&lt;=100, 18, IF(F199&lt;=250, 23, IF(F199&lt;=500, 35, IF(F199&lt;=1000, 40, F199*0.04)))),
IF(Basic345[[#This Row],[نوع الخدمة]]="كاش اوت",
    IF(F199&lt;=100, 15, IF(F199&lt;=250, 20, IF(F199&lt;=500, 30, IF(F199&lt;=1000, 35, F199*0.035)))),
0)))</f>
        <v>0</v>
      </c>
      <c r="H199" s="159">
        <f>IF(I199="مخالفات",50,Basic345[[#This Row],[قيمة الرسوم / العموله]]+Basic345[[#This Row],[قيمة الشحنه]])</f>
        <v>0</v>
      </c>
      <c r="I199" s="90"/>
      <c r="J199" s="142" t="str">
        <f t="shared" si="3"/>
        <v>28.5.2026</v>
      </c>
      <c r="L199" s="153">
        <v>188</v>
      </c>
      <c r="M199" s="92"/>
    </row>
    <row r="200" spans="1:13" ht="21.6" x14ac:dyDescent="0.65">
      <c r="A200" s="195"/>
      <c r="B200" s="140">
        <v>197</v>
      </c>
      <c r="C200" s="2"/>
      <c r="D200" s="1"/>
      <c r="E200" s="3"/>
      <c r="F200" s="1"/>
      <c r="G200" s="141">
        <f>IF(Basic345[[#This Row],[نوع الخدمة]]="مخالفات", 50,
IF(Basic345[[#This Row],[نوع الخدمة]]="كاش ان",
    IF(F200&lt;=100, 18, IF(F200&lt;=250, 23, IF(F200&lt;=500, 35, IF(F200&lt;=1000, 40, F200*0.04)))),
IF(Basic345[[#This Row],[نوع الخدمة]]="كاش اوت",
    IF(F200&lt;=100, 15, IF(F200&lt;=250, 20, IF(F200&lt;=500, 30, IF(F200&lt;=1000, 35, F200*0.035)))),
0)))</f>
        <v>0</v>
      </c>
      <c r="H200" s="159">
        <f>IF(I200="مخالفات",50,Basic345[[#This Row],[قيمة الرسوم / العموله]]+Basic345[[#This Row],[قيمة الشحنه]])</f>
        <v>0</v>
      </c>
      <c r="I200" s="90"/>
      <c r="J200" s="142" t="str">
        <f t="shared" si="3"/>
        <v>28.5.2026</v>
      </c>
      <c r="L200" s="153">
        <v>189</v>
      </c>
      <c r="M200" s="92"/>
    </row>
    <row r="201" spans="1:13" ht="21.6" x14ac:dyDescent="0.65">
      <c r="A201" s="195"/>
      <c r="B201" s="144">
        <v>198</v>
      </c>
      <c r="C201" s="2"/>
      <c r="D201" s="1"/>
      <c r="E201" s="3"/>
      <c r="F201" s="1"/>
      <c r="G201" s="141">
        <f>IF(Basic345[[#This Row],[نوع الخدمة]]="مخالفات", 50,
IF(Basic345[[#This Row],[نوع الخدمة]]="كاش ان",
    IF(F201&lt;=100, 18, IF(F201&lt;=250, 23, IF(F201&lt;=500, 35, IF(F201&lt;=1000, 40, F201*0.04)))),
IF(Basic345[[#This Row],[نوع الخدمة]]="كاش اوت",
    IF(F201&lt;=100, 15, IF(F201&lt;=250, 20, IF(F201&lt;=500, 30, IF(F201&lt;=1000, 35, F201*0.035)))),
0)))</f>
        <v>0</v>
      </c>
      <c r="H201" s="159">
        <f>IF(I201="مخالفات",50,Basic345[[#This Row],[قيمة الرسوم / العموله]]+Basic345[[#This Row],[قيمة الشحنه]])</f>
        <v>0</v>
      </c>
      <c r="I201" s="90"/>
      <c r="J201" s="142" t="str">
        <f t="shared" si="3"/>
        <v>28.5.2026</v>
      </c>
      <c r="L201" s="153">
        <v>190</v>
      </c>
      <c r="M201" s="92"/>
    </row>
    <row r="202" spans="1:13" ht="21.6" x14ac:dyDescent="0.65">
      <c r="A202" s="195"/>
      <c r="B202" s="140">
        <v>199</v>
      </c>
      <c r="C202" s="2"/>
      <c r="D202" s="1"/>
      <c r="E202" s="3"/>
      <c r="F202" s="1"/>
      <c r="G202" s="141">
        <f>IF(Basic345[[#This Row],[نوع الخدمة]]="مخالفات", 50,
IF(Basic345[[#This Row],[نوع الخدمة]]="كاش ان",
    IF(F202&lt;=100, 18, IF(F202&lt;=250, 23, IF(F202&lt;=500, 35, IF(F202&lt;=1000, 40, F202*0.04)))),
IF(Basic345[[#This Row],[نوع الخدمة]]="كاش اوت",
    IF(F202&lt;=100, 15, IF(F202&lt;=250, 20, IF(F202&lt;=500, 30, IF(F202&lt;=1000, 35, F202*0.035)))),
0)))</f>
        <v>0</v>
      </c>
      <c r="H202" s="159">
        <f>IF(I202="مخالفات",50,Basic345[[#This Row],[قيمة الرسوم / العموله]]+Basic345[[#This Row],[قيمة الشحنه]])</f>
        <v>0</v>
      </c>
      <c r="I202" s="90"/>
      <c r="J202" s="142" t="str">
        <f t="shared" si="3"/>
        <v>28.5.2026</v>
      </c>
      <c r="L202" s="153">
        <v>191</v>
      </c>
      <c r="M202" s="92"/>
    </row>
    <row r="203" spans="1:13" ht="21.6" x14ac:dyDescent="0.65">
      <c r="A203" s="195"/>
      <c r="B203" s="140">
        <v>200</v>
      </c>
      <c r="C203" s="2"/>
      <c r="D203" s="1"/>
      <c r="E203" s="3"/>
      <c r="F203" s="1"/>
      <c r="G203" s="141">
        <f>IF(Basic345[[#This Row],[نوع الخدمة]]="مخالفات", 50,
IF(Basic345[[#This Row],[نوع الخدمة]]="كاش ان",
    IF(F203&lt;=100, 18, IF(F203&lt;=250, 23, IF(F203&lt;=500, 35, IF(F203&lt;=1000, 40, F203*0.04)))),
IF(Basic345[[#This Row],[نوع الخدمة]]="كاش اوت",
    IF(F203&lt;=100, 15, IF(F203&lt;=250, 20, IF(F203&lt;=500, 30, IF(F203&lt;=1000, 35, F203*0.035)))),
0)))</f>
        <v>0</v>
      </c>
      <c r="H203" s="159">
        <f>IF(I203="مخالفات",50,Basic345[[#This Row],[قيمة الرسوم / العموله]]+Basic345[[#This Row],[قيمة الشحنه]])</f>
        <v>0</v>
      </c>
      <c r="I203" s="90"/>
      <c r="J203" s="142" t="str">
        <f t="shared" si="3"/>
        <v>28.5.2026</v>
      </c>
      <c r="L203" s="153">
        <v>192</v>
      </c>
      <c r="M203" s="92"/>
    </row>
    <row r="204" spans="1:13" ht="21.6" x14ac:dyDescent="0.65">
      <c r="A204" s="195"/>
      <c r="B204" s="140">
        <v>201</v>
      </c>
      <c r="C204" s="2"/>
      <c r="D204" s="1"/>
      <c r="E204" s="3"/>
      <c r="F204" s="1"/>
      <c r="G204" s="141">
        <f>IF(Basic345[[#This Row],[نوع الخدمة]]="مخالفات", 50,
IF(Basic345[[#This Row],[نوع الخدمة]]="كاش ان",
    IF(F204&lt;=100, 18, IF(F204&lt;=250, 23, IF(F204&lt;=500, 35, IF(F204&lt;=1000, 40, F204*0.04)))),
IF(Basic345[[#This Row],[نوع الخدمة]]="كاش اوت",
    IF(F204&lt;=100, 15, IF(F204&lt;=250, 20, IF(F204&lt;=500, 30, IF(F204&lt;=1000, 35, F204*0.035)))),
0)))</f>
        <v>0</v>
      </c>
      <c r="H204" s="159">
        <f>IF(I204="مخالفات",50,Basic345[[#This Row],[قيمة الرسوم / العموله]]+Basic345[[#This Row],[قيمة الشحنه]])</f>
        <v>0</v>
      </c>
      <c r="I204" s="90"/>
      <c r="J204" s="142" t="str">
        <f t="shared" si="3"/>
        <v>28.5.2026</v>
      </c>
      <c r="L204" s="153">
        <v>193</v>
      </c>
      <c r="M204" s="92"/>
    </row>
    <row r="205" spans="1:13" ht="21.6" x14ac:dyDescent="0.65">
      <c r="A205" s="195"/>
      <c r="B205" s="144">
        <v>202</v>
      </c>
      <c r="C205" s="2"/>
      <c r="D205" s="1"/>
      <c r="E205" s="3"/>
      <c r="F205" s="1"/>
      <c r="G205" s="141">
        <f>IF(Basic345[[#This Row],[نوع الخدمة]]="مخالفات", 50,
IF(Basic345[[#This Row],[نوع الخدمة]]="كاش ان",
    IF(F205&lt;=100, 18, IF(F205&lt;=250, 23, IF(F205&lt;=500, 35, IF(F205&lt;=1000, 40, F205*0.04)))),
IF(Basic345[[#This Row],[نوع الخدمة]]="كاش اوت",
    IF(F205&lt;=100, 15, IF(F205&lt;=250, 20, IF(F205&lt;=500, 30, IF(F205&lt;=1000, 35, F205*0.035)))),
0)))</f>
        <v>0</v>
      </c>
      <c r="H205" s="159">
        <f>IF(I205="مخالفات",50,Basic345[[#This Row],[قيمة الرسوم / العموله]]+Basic345[[#This Row],[قيمة الشحنه]])</f>
        <v>0</v>
      </c>
      <c r="I205" s="90"/>
      <c r="J205" s="142" t="str">
        <f t="shared" si="3"/>
        <v>28.5.2026</v>
      </c>
      <c r="L205" s="153">
        <v>194</v>
      </c>
      <c r="M205" s="92"/>
    </row>
    <row r="206" spans="1:13" ht="21.6" x14ac:dyDescent="0.65">
      <c r="A206" s="195"/>
      <c r="B206" s="140">
        <v>203</v>
      </c>
      <c r="C206" s="2"/>
      <c r="D206" s="1"/>
      <c r="E206" s="3"/>
      <c r="F206" s="1"/>
      <c r="G206" s="141">
        <f>IF(Basic345[[#This Row],[نوع الخدمة]]="مخالفات", 50,
IF(Basic345[[#This Row],[نوع الخدمة]]="كاش ان",
    IF(F206&lt;=100, 18, IF(F206&lt;=250, 23, IF(F206&lt;=500, 35, IF(F206&lt;=1000, 40, F206*0.04)))),
IF(Basic345[[#This Row],[نوع الخدمة]]="كاش اوت",
    IF(F206&lt;=100, 15, IF(F206&lt;=250, 20, IF(F206&lt;=500, 30, IF(F206&lt;=1000, 35, F206*0.035)))),
0)))</f>
        <v>0</v>
      </c>
      <c r="H206" s="159">
        <f>IF(I206="مخالفات",50,Basic345[[#This Row],[قيمة الرسوم / العموله]]+Basic345[[#This Row],[قيمة الشحنه]])</f>
        <v>0</v>
      </c>
      <c r="I206" s="90"/>
      <c r="J206" s="142" t="str">
        <f t="shared" si="3"/>
        <v>28.5.2026</v>
      </c>
      <c r="L206" s="153">
        <v>195</v>
      </c>
      <c r="M206" s="92"/>
    </row>
    <row r="207" spans="1:13" ht="21.6" x14ac:dyDescent="0.65">
      <c r="A207" s="195"/>
      <c r="B207" s="140">
        <v>204</v>
      </c>
      <c r="C207" s="2"/>
      <c r="D207" s="1"/>
      <c r="E207" s="3"/>
      <c r="F207" s="1"/>
      <c r="G207" s="141">
        <f>IF(Basic345[[#This Row],[نوع الخدمة]]="مخالفات", 50,
IF(Basic345[[#This Row],[نوع الخدمة]]="كاش ان",
    IF(F207&lt;=100, 18, IF(F207&lt;=250, 23, IF(F207&lt;=500, 35, IF(F207&lt;=1000, 40, F207*0.04)))),
IF(Basic345[[#This Row],[نوع الخدمة]]="كاش اوت",
    IF(F207&lt;=100, 15, IF(F207&lt;=250, 20, IF(F207&lt;=500, 30, IF(F207&lt;=1000, 35, F207*0.035)))),
0)))</f>
        <v>0</v>
      </c>
      <c r="H207" s="159">
        <f>IF(I207="مخالفات",50,Basic345[[#This Row],[قيمة الرسوم / العموله]]+Basic345[[#This Row],[قيمة الشحنه]])</f>
        <v>0</v>
      </c>
      <c r="I207" s="90"/>
      <c r="J207" s="142" t="str">
        <f t="shared" si="3"/>
        <v>28.5.2026</v>
      </c>
      <c r="L207" s="153">
        <v>196</v>
      </c>
      <c r="M207" s="92"/>
    </row>
    <row r="208" spans="1:13" ht="21.6" x14ac:dyDescent="0.65">
      <c r="A208" s="195"/>
      <c r="B208" s="140">
        <v>205</v>
      </c>
      <c r="C208" s="2"/>
      <c r="D208" s="1"/>
      <c r="E208" s="3"/>
      <c r="F208" s="1"/>
      <c r="G208" s="141">
        <f>IF(Basic345[[#This Row],[نوع الخدمة]]="مخالفات", 50,
IF(Basic345[[#This Row],[نوع الخدمة]]="كاش ان",
    IF(F208&lt;=100, 18, IF(F208&lt;=250, 23, IF(F208&lt;=500, 35, IF(F208&lt;=1000, 40, F208*0.04)))),
IF(Basic345[[#This Row],[نوع الخدمة]]="كاش اوت",
    IF(F208&lt;=100, 15, IF(F208&lt;=250, 20, IF(F208&lt;=500, 30, IF(F208&lt;=1000, 35, F208*0.035)))),
0)))</f>
        <v>0</v>
      </c>
      <c r="H208" s="159">
        <f>IF(I208="مخالفات",50,Basic345[[#This Row],[قيمة الرسوم / العموله]]+Basic345[[#This Row],[قيمة الشحنه]])</f>
        <v>0</v>
      </c>
      <c r="I208" s="90"/>
      <c r="J208" s="142" t="str">
        <f t="shared" si="3"/>
        <v>28.5.2026</v>
      </c>
      <c r="L208" s="153">
        <v>197</v>
      </c>
      <c r="M208" s="92"/>
    </row>
    <row r="209" spans="1:13" ht="21.6" x14ac:dyDescent="0.65">
      <c r="A209" s="195"/>
      <c r="B209" s="144">
        <v>206</v>
      </c>
      <c r="C209" s="2"/>
      <c r="D209" s="1"/>
      <c r="E209" s="3"/>
      <c r="F209" s="1"/>
      <c r="G209" s="141">
        <f>IF(Basic345[[#This Row],[نوع الخدمة]]="مخالفات", 50,
IF(Basic345[[#This Row],[نوع الخدمة]]="كاش ان",
    IF(F209&lt;=100, 18, IF(F209&lt;=250, 23, IF(F209&lt;=500, 35, IF(F209&lt;=1000, 40, F209*0.04)))),
IF(Basic345[[#This Row],[نوع الخدمة]]="كاش اوت",
    IF(F209&lt;=100, 15, IF(F209&lt;=250, 20, IF(F209&lt;=500, 30, IF(F209&lt;=1000, 35, F209*0.035)))),
0)))</f>
        <v>0</v>
      </c>
      <c r="H209" s="159">
        <f>IF(I209="مخالفات",50,Basic345[[#This Row],[قيمة الرسوم / العموله]]+Basic345[[#This Row],[قيمة الشحنه]])</f>
        <v>0</v>
      </c>
      <c r="I209" s="90"/>
      <c r="J209" s="142" t="str">
        <f t="shared" si="3"/>
        <v>28.5.2026</v>
      </c>
      <c r="L209" s="153">
        <v>198</v>
      </c>
      <c r="M209" s="92"/>
    </row>
    <row r="210" spans="1:13" ht="21.6" x14ac:dyDescent="0.65">
      <c r="A210" s="195"/>
      <c r="B210" s="140">
        <v>207</v>
      </c>
      <c r="C210" s="2"/>
      <c r="D210" s="1"/>
      <c r="E210" s="3"/>
      <c r="F210" s="1"/>
      <c r="G210" s="141">
        <f>IF(Basic345[[#This Row],[نوع الخدمة]]="مخالفات", 50,
IF(Basic345[[#This Row],[نوع الخدمة]]="كاش ان",
    IF(F210&lt;=100, 18, IF(F210&lt;=250, 23, IF(F210&lt;=500, 35, IF(F210&lt;=1000, 40, F210*0.04)))),
IF(Basic345[[#This Row],[نوع الخدمة]]="كاش اوت",
    IF(F210&lt;=100, 15, IF(F210&lt;=250, 20, IF(F210&lt;=500, 30, IF(F210&lt;=1000, 35, F210*0.035)))),
0)))</f>
        <v>0</v>
      </c>
      <c r="H210" s="159">
        <f>IF(I210="مخالفات",50,Basic345[[#This Row],[قيمة الرسوم / العموله]]+Basic345[[#This Row],[قيمة الشحنه]])</f>
        <v>0</v>
      </c>
      <c r="I210" s="90"/>
      <c r="J210" s="142" t="str">
        <f t="shared" si="3"/>
        <v>28.5.2026</v>
      </c>
      <c r="L210" s="153">
        <v>199</v>
      </c>
      <c r="M210" s="92"/>
    </row>
    <row r="211" spans="1:13" ht="21.6" x14ac:dyDescent="0.65">
      <c r="A211" s="195"/>
      <c r="B211" s="140">
        <v>208</v>
      </c>
      <c r="C211" s="2"/>
      <c r="D211" s="1"/>
      <c r="E211" s="3"/>
      <c r="F211" s="1"/>
      <c r="G211" s="141">
        <f>IF(Basic345[[#This Row],[نوع الخدمة]]="مخالفات", 50,
IF(Basic345[[#This Row],[نوع الخدمة]]="كاش ان",
    IF(F211&lt;=100, 18, IF(F211&lt;=250, 23, IF(F211&lt;=500, 35, IF(F211&lt;=1000, 40, F211*0.04)))),
IF(Basic345[[#This Row],[نوع الخدمة]]="كاش اوت",
    IF(F211&lt;=100, 15, IF(F211&lt;=250, 20, IF(F211&lt;=500, 30, IF(F211&lt;=1000, 35, F211*0.035)))),
0)))</f>
        <v>0</v>
      </c>
      <c r="H211" s="159">
        <f>IF(I211="مخالفات",50,Basic345[[#This Row],[قيمة الرسوم / العموله]]+Basic345[[#This Row],[قيمة الشحنه]])</f>
        <v>0</v>
      </c>
      <c r="I211" s="90"/>
      <c r="J211" s="142" t="str">
        <f t="shared" si="3"/>
        <v>28.5.2026</v>
      </c>
      <c r="L211" s="153">
        <v>200</v>
      </c>
      <c r="M211" s="92"/>
    </row>
    <row r="212" spans="1:13" ht="21.6" x14ac:dyDescent="0.65">
      <c r="A212" s="195"/>
      <c r="B212" s="140">
        <v>209</v>
      </c>
      <c r="C212" s="2"/>
      <c r="D212" s="1"/>
      <c r="E212" s="3"/>
      <c r="F212" s="1"/>
      <c r="G212" s="141">
        <f>IF(Basic345[[#This Row],[نوع الخدمة]]="مخالفات", 50,
IF(Basic345[[#This Row],[نوع الخدمة]]="كاش ان",
    IF(F212&lt;=100, 18, IF(F212&lt;=250, 23, IF(F212&lt;=500, 35, IF(F212&lt;=1000, 40, F212*0.04)))),
IF(Basic345[[#This Row],[نوع الخدمة]]="كاش اوت",
    IF(F212&lt;=100, 15, IF(F212&lt;=250, 20, IF(F212&lt;=500, 30, IF(F212&lt;=1000, 35, F212*0.035)))),
0)))</f>
        <v>0</v>
      </c>
      <c r="H212" s="159">
        <f>IF(I212="مخالفات",50,Basic345[[#This Row],[قيمة الرسوم / العموله]]+Basic345[[#This Row],[قيمة الشحنه]])</f>
        <v>0</v>
      </c>
      <c r="I212" s="90"/>
      <c r="J212" s="142" t="str">
        <f t="shared" si="3"/>
        <v>28.5.2026</v>
      </c>
      <c r="L212" s="153">
        <v>201</v>
      </c>
      <c r="M212" s="92"/>
    </row>
    <row r="213" spans="1:13" ht="21.6" x14ac:dyDescent="0.65">
      <c r="A213" s="195"/>
      <c r="B213" s="144">
        <v>210</v>
      </c>
      <c r="C213" s="2"/>
      <c r="D213" s="1"/>
      <c r="E213" s="3"/>
      <c r="F213" s="1"/>
      <c r="G213" s="141">
        <f>IF(Basic345[[#This Row],[نوع الخدمة]]="مخالفات", 50,
IF(Basic345[[#This Row],[نوع الخدمة]]="كاش ان",
    IF(F213&lt;=100, 18, IF(F213&lt;=250, 23, IF(F213&lt;=500, 35, IF(F213&lt;=1000, 40, F213*0.04)))),
IF(Basic345[[#This Row],[نوع الخدمة]]="كاش اوت",
    IF(F213&lt;=100, 15, IF(F213&lt;=250, 20, IF(F213&lt;=500, 30, IF(F213&lt;=1000, 35, F213*0.035)))),
0)))</f>
        <v>0</v>
      </c>
      <c r="H213" s="159">
        <f>IF(I213="مخالفات",50,Basic345[[#This Row],[قيمة الرسوم / العموله]]+Basic345[[#This Row],[قيمة الشحنه]])</f>
        <v>0</v>
      </c>
      <c r="I213" s="90"/>
      <c r="J213" s="142" t="str">
        <f t="shared" si="3"/>
        <v>28.5.2026</v>
      </c>
      <c r="L213" s="153">
        <v>202</v>
      </c>
      <c r="M213" s="92"/>
    </row>
    <row r="214" spans="1:13" ht="21.6" x14ac:dyDescent="0.65">
      <c r="A214" s="195"/>
      <c r="B214" s="140">
        <v>211</v>
      </c>
      <c r="C214" s="2"/>
      <c r="D214" s="1"/>
      <c r="E214" s="3"/>
      <c r="F214" s="1"/>
      <c r="G214" s="141">
        <f>IF(Basic345[[#This Row],[نوع الخدمة]]="مخالفات", 50,
IF(Basic345[[#This Row],[نوع الخدمة]]="كاش ان",
    IF(F214&lt;=100, 18, IF(F214&lt;=250, 23, IF(F214&lt;=500, 35, IF(F214&lt;=1000, 40, F214*0.04)))),
IF(Basic345[[#This Row],[نوع الخدمة]]="كاش اوت",
    IF(F214&lt;=100, 15, IF(F214&lt;=250, 20, IF(F214&lt;=500, 30, IF(F214&lt;=1000, 35, F214*0.035)))),
0)))</f>
        <v>0</v>
      </c>
      <c r="H214" s="159">
        <f>IF(I214="مخالفات",50,Basic345[[#This Row],[قيمة الرسوم / العموله]]+Basic345[[#This Row],[قيمة الشحنه]])</f>
        <v>0</v>
      </c>
      <c r="I214" s="90"/>
      <c r="J214" s="142" t="str">
        <f t="shared" si="3"/>
        <v>28.5.2026</v>
      </c>
      <c r="L214" s="153">
        <v>203</v>
      </c>
      <c r="M214" s="92"/>
    </row>
    <row r="215" spans="1:13" ht="21.6" x14ac:dyDescent="0.65">
      <c r="A215" s="195"/>
      <c r="B215" s="140">
        <v>212</v>
      </c>
      <c r="C215" s="2"/>
      <c r="D215" s="1"/>
      <c r="E215" s="3"/>
      <c r="F215" s="1"/>
      <c r="G215" s="141">
        <f>IF(Basic345[[#This Row],[نوع الخدمة]]="مخالفات", 50,
IF(Basic345[[#This Row],[نوع الخدمة]]="كاش ان",
    IF(F215&lt;=100, 18, IF(F215&lt;=250, 23, IF(F215&lt;=500, 35, IF(F215&lt;=1000, 40, F215*0.04)))),
IF(Basic345[[#This Row],[نوع الخدمة]]="كاش اوت",
    IF(F215&lt;=100, 15, IF(F215&lt;=250, 20, IF(F215&lt;=500, 30, IF(F215&lt;=1000, 35, F215*0.035)))),
0)))</f>
        <v>0</v>
      </c>
      <c r="H215" s="159">
        <f>IF(I215="مخالفات",50,Basic345[[#This Row],[قيمة الرسوم / العموله]]+Basic345[[#This Row],[قيمة الشحنه]])</f>
        <v>0</v>
      </c>
      <c r="I215" s="90"/>
      <c r="J215" s="142" t="str">
        <f t="shared" si="3"/>
        <v>28.5.2026</v>
      </c>
      <c r="L215" s="153">
        <v>204</v>
      </c>
      <c r="M215" s="92"/>
    </row>
    <row r="216" spans="1:13" ht="21.6" x14ac:dyDescent="0.65">
      <c r="A216" s="195"/>
      <c r="B216" s="140">
        <v>213</v>
      </c>
      <c r="C216" s="2"/>
      <c r="D216" s="1"/>
      <c r="E216" s="3"/>
      <c r="F216" s="1"/>
      <c r="G216" s="141">
        <f>IF(Basic345[[#This Row],[نوع الخدمة]]="مخالفات", 50,
IF(Basic345[[#This Row],[نوع الخدمة]]="كاش ان",
    IF(F216&lt;=100, 18, IF(F216&lt;=250, 23, IF(F216&lt;=500, 35, IF(F216&lt;=1000, 40, F216*0.04)))),
IF(Basic345[[#This Row],[نوع الخدمة]]="كاش اوت",
    IF(F216&lt;=100, 15, IF(F216&lt;=250, 20, IF(F216&lt;=500, 30, IF(F216&lt;=1000, 35, F216*0.035)))),
0)))</f>
        <v>0</v>
      </c>
      <c r="H216" s="159">
        <f>IF(I216="مخالفات",50,Basic345[[#This Row],[قيمة الرسوم / العموله]]+Basic345[[#This Row],[قيمة الشحنه]])</f>
        <v>0</v>
      </c>
      <c r="I216" s="90"/>
      <c r="J216" s="142" t="str">
        <f t="shared" si="3"/>
        <v>28.5.2026</v>
      </c>
      <c r="L216" s="153">
        <v>205</v>
      </c>
      <c r="M216" s="92"/>
    </row>
    <row r="217" spans="1:13" ht="21.6" x14ac:dyDescent="0.65">
      <c r="A217" s="195"/>
      <c r="B217" s="144">
        <v>214</v>
      </c>
      <c r="C217" s="2"/>
      <c r="D217" s="1"/>
      <c r="E217" s="3"/>
      <c r="F217" s="1"/>
      <c r="G217" s="141">
        <f>IF(Basic345[[#This Row],[نوع الخدمة]]="مخالفات", 50,
IF(Basic345[[#This Row],[نوع الخدمة]]="كاش ان",
    IF(F217&lt;=100, 18, IF(F217&lt;=250, 23, IF(F217&lt;=500, 35, IF(F217&lt;=1000, 40, F217*0.04)))),
IF(Basic345[[#This Row],[نوع الخدمة]]="كاش اوت",
    IF(F217&lt;=100, 15, IF(F217&lt;=250, 20, IF(F217&lt;=500, 30, IF(F217&lt;=1000, 35, F217*0.035)))),
0)))</f>
        <v>0</v>
      </c>
      <c r="H217" s="159">
        <f>IF(I217="مخالفات",50,Basic345[[#This Row],[قيمة الرسوم / العموله]]+Basic345[[#This Row],[قيمة الشحنه]])</f>
        <v>0</v>
      </c>
      <c r="I217" s="90"/>
      <c r="J217" s="142" t="str">
        <f t="shared" si="3"/>
        <v>28.5.2026</v>
      </c>
      <c r="L217" s="153">
        <v>206</v>
      </c>
      <c r="M217" s="92"/>
    </row>
    <row r="218" spans="1:13" ht="21.6" x14ac:dyDescent="0.65">
      <c r="A218" s="195"/>
      <c r="B218" s="140">
        <v>215</v>
      </c>
      <c r="C218" s="2"/>
      <c r="D218" s="1"/>
      <c r="E218" s="3"/>
      <c r="F218" s="1"/>
      <c r="G218" s="141">
        <f>IF(Basic345[[#This Row],[نوع الخدمة]]="مخالفات", 50,
IF(Basic345[[#This Row],[نوع الخدمة]]="كاش ان",
    IF(F218&lt;=100, 18, IF(F218&lt;=250, 23, IF(F218&lt;=500, 35, IF(F218&lt;=1000, 40, F218*0.04)))),
IF(Basic345[[#This Row],[نوع الخدمة]]="كاش اوت",
    IF(F218&lt;=100, 15, IF(F218&lt;=250, 20, IF(F218&lt;=500, 30, IF(F218&lt;=1000, 35, F218*0.035)))),
0)))</f>
        <v>0</v>
      </c>
      <c r="H218" s="159">
        <f>IF(I218="مخالفات",50,Basic345[[#This Row],[قيمة الرسوم / العموله]]+Basic345[[#This Row],[قيمة الشحنه]])</f>
        <v>0</v>
      </c>
      <c r="I218" s="90"/>
      <c r="J218" s="142" t="str">
        <f t="shared" si="3"/>
        <v>28.5.2026</v>
      </c>
      <c r="L218" s="153">
        <v>207</v>
      </c>
      <c r="M218" s="92"/>
    </row>
    <row r="219" spans="1:13" ht="21.6" x14ac:dyDescent="0.65">
      <c r="A219" s="195"/>
      <c r="B219" s="140">
        <v>216</v>
      </c>
      <c r="C219" s="2"/>
      <c r="D219" s="1"/>
      <c r="E219" s="3"/>
      <c r="F219" s="1"/>
      <c r="G219" s="141">
        <f>IF(Basic345[[#This Row],[نوع الخدمة]]="مخالفات", 50,
IF(Basic345[[#This Row],[نوع الخدمة]]="كاش ان",
    IF(F219&lt;=100, 18, IF(F219&lt;=250, 23, IF(F219&lt;=500, 35, IF(F219&lt;=1000, 40, F219*0.04)))),
IF(Basic345[[#This Row],[نوع الخدمة]]="كاش اوت",
    IF(F219&lt;=100, 15, IF(F219&lt;=250, 20, IF(F219&lt;=500, 30, IF(F219&lt;=1000, 35, F219*0.035)))),
0)))</f>
        <v>0</v>
      </c>
      <c r="H219" s="159">
        <f>IF(I219="مخالفات",50,Basic345[[#This Row],[قيمة الرسوم / العموله]]+Basic345[[#This Row],[قيمة الشحنه]])</f>
        <v>0</v>
      </c>
      <c r="I219" s="90"/>
      <c r="J219" s="142" t="str">
        <f t="shared" si="3"/>
        <v>28.5.2026</v>
      </c>
      <c r="L219" s="153">
        <v>208</v>
      </c>
      <c r="M219" s="92"/>
    </row>
    <row r="220" spans="1:13" ht="21.6" x14ac:dyDescent="0.65">
      <c r="A220" s="195"/>
      <c r="B220" s="140">
        <v>217</v>
      </c>
      <c r="C220" s="2"/>
      <c r="D220" s="1"/>
      <c r="E220" s="3"/>
      <c r="F220" s="1"/>
      <c r="G220" s="141">
        <f>IF(Basic345[[#This Row],[نوع الخدمة]]="مخالفات", 50,
IF(Basic345[[#This Row],[نوع الخدمة]]="كاش ان",
    IF(F220&lt;=100, 18, IF(F220&lt;=250, 23, IF(F220&lt;=500, 35, IF(F220&lt;=1000, 40, F220*0.04)))),
IF(Basic345[[#This Row],[نوع الخدمة]]="كاش اوت",
    IF(F220&lt;=100, 15, IF(F220&lt;=250, 20, IF(F220&lt;=500, 30, IF(F220&lt;=1000, 35, F220*0.035)))),
0)))</f>
        <v>0</v>
      </c>
      <c r="H220" s="159">
        <f>IF(I220="مخالفات",50,Basic345[[#This Row],[قيمة الرسوم / العموله]]+Basic345[[#This Row],[قيمة الشحنه]])</f>
        <v>0</v>
      </c>
      <c r="I220" s="90"/>
      <c r="J220" s="142" t="str">
        <f t="shared" si="3"/>
        <v>28.5.2026</v>
      </c>
      <c r="L220" s="153">
        <v>209</v>
      </c>
      <c r="M220" s="92"/>
    </row>
    <row r="221" spans="1:13" ht="21.6" x14ac:dyDescent="0.65">
      <c r="A221" s="195"/>
      <c r="B221" s="144">
        <v>218</v>
      </c>
      <c r="C221" s="2"/>
      <c r="D221" s="1"/>
      <c r="E221" s="3"/>
      <c r="F221" s="1"/>
      <c r="G221" s="141">
        <f>IF(Basic345[[#This Row],[نوع الخدمة]]="مخالفات", 50,
IF(Basic345[[#This Row],[نوع الخدمة]]="كاش ان",
    IF(F221&lt;=100, 18, IF(F221&lt;=250, 23, IF(F221&lt;=500, 35, IF(F221&lt;=1000, 40, F221*0.04)))),
IF(Basic345[[#This Row],[نوع الخدمة]]="كاش اوت",
    IF(F221&lt;=100, 15, IF(F221&lt;=250, 20, IF(F221&lt;=500, 30, IF(F221&lt;=1000, 35, F221*0.035)))),
0)))</f>
        <v>0</v>
      </c>
      <c r="H221" s="159">
        <f>IF(I221="مخالفات",50,Basic345[[#This Row],[قيمة الرسوم / العموله]]+Basic345[[#This Row],[قيمة الشحنه]])</f>
        <v>0</v>
      </c>
      <c r="I221" s="90"/>
      <c r="J221" s="142" t="str">
        <f t="shared" si="3"/>
        <v>28.5.2026</v>
      </c>
      <c r="L221" s="153">
        <v>210</v>
      </c>
      <c r="M221" s="92"/>
    </row>
    <row r="222" spans="1:13" ht="21.6" x14ac:dyDescent="0.65">
      <c r="A222" s="195"/>
      <c r="B222" s="140">
        <v>219</v>
      </c>
      <c r="C222" s="2"/>
      <c r="D222" s="1"/>
      <c r="E222" s="3"/>
      <c r="F222" s="1"/>
      <c r="G222" s="141">
        <f>IF(Basic345[[#This Row],[نوع الخدمة]]="مخالفات", 50,
IF(Basic345[[#This Row],[نوع الخدمة]]="كاش ان",
    IF(F222&lt;=100, 18, IF(F222&lt;=250, 23, IF(F222&lt;=500, 35, IF(F222&lt;=1000, 40, F222*0.04)))),
IF(Basic345[[#This Row],[نوع الخدمة]]="كاش اوت",
    IF(F222&lt;=100, 15, IF(F222&lt;=250, 20, IF(F222&lt;=500, 30, IF(F222&lt;=1000, 35, F222*0.035)))),
0)))</f>
        <v>0</v>
      </c>
      <c r="H222" s="159">
        <f>IF(I222="مخالفات",50,Basic345[[#This Row],[قيمة الرسوم / العموله]]+Basic345[[#This Row],[قيمة الشحنه]])</f>
        <v>0</v>
      </c>
      <c r="I222" s="90"/>
      <c r="J222" s="142" t="str">
        <f t="shared" si="3"/>
        <v>28.5.2026</v>
      </c>
      <c r="L222" s="153">
        <v>211</v>
      </c>
      <c r="M222" s="92"/>
    </row>
    <row r="223" spans="1:13" ht="21.6" x14ac:dyDescent="0.65">
      <c r="A223" s="195"/>
      <c r="B223" s="140">
        <v>220</v>
      </c>
      <c r="C223" s="2"/>
      <c r="D223" s="1"/>
      <c r="E223" s="3"/>
      <c r="F223" s="1"/>
      <c r="G223" s="141">
        <f>IF(Basic345[[#This Row],[نوع الخدمة]]="مخالفات", 50,
IF(Basic345[[#This Row],[نوع الخدمة]]="كاش ان",
    IF(F223&lt;=100, 18, IF(F223&lt;=250, 23, IF(F223&lt;=500, 35, IF(F223&lt;=1000, 40, F223*0.04)))),
IF(Basic345[[#This Row],[نوع الخدمة]]="كاش اوت",
    IF(F223&lt;=100, 15, IF(F223&lt;=250, 20, IF(F223&lt;=500, 30, IF(F223&lt;=1000, 35, F223*0.035)))),
0)))</f>
        <v>0</v>
      </c>
      <c r="H223" s="159">
        <f>IF(I223="مخالفات",50,Basic345[[#This Row],[قيمة الرسوم / العموله]]+Basic345[[#This Row],[قيمة الشحنه]])</f>
        <v>0</v>
      </c>
      <c r="I223" s="90"/>
      <c r="J223" s="142" t="str">
        <f t="shared" si="3"/>
        <v>28.5.2026</v>
      </c>
      <c r="L223" s="153">
        <v>212</v>
      </c>
      <c r="M223" s="92"/>
    </row>
    <row r="224" spans="1:13" ht="21.6" x14ac:dyDescent="0.65">
      <c r="A224" s="195"/>
      <c r="B224" s="140">
        <v>221</v>
      </c>
      <c r="C224" s="2"/>
      <c r="D224" s="1"/>
      <c r="E224" s="3"/>
      <c r="F224" s="1"/>
      <c r="G224" s="141">
        <f>IF(Basic345[[#This Row],[نوع الخدمة]]="مخالفات", 50,
IF(Basic345[[#This Row],[نوع الخدمة]]="كاش ان",
    IF(F224&lt;=100, 18, IF(F224&lt;=250, 23, IF(F224&lt;=500, 35, IF(F224&lt;=1000, 40, F224*0.04)))),
IF(Basic345[[#This Row],[نوع الخدمة]]="كاش اوت",
    IF(F224&lt;=100, 15, IF(F224&lt;=250, 20, IF(F224&lt;=500, 30, IF(F224&lt;=1000, 35, F224*0.035)))),
0)))</f>
        <v>0</v>
      </c>
      <c r="H224" s="159">
        <f>IF(I224="مخالفات",50,Basic345[[#This Row],[قيمة الرسوم / العموله]]+Basic345[[#This Row],[قيمة الشحنه]])</f>
        <v>0</v>
      </c>
      <c r="I224" s="90"/>
      <c r="J224" s="142" t="str">
        <f t="shared" si="3"/>
        <v>28.5.2026</v>
      </c>
      <c r="L224" s="153">
        <v>213</v>
      </c>
      <c r="M224" s="92"/>
    </row>
    <row r="225" spans="1:13" ht="21.6" x14ac:dyDescent="0.65">
      <c r="A225" s="195"/>
      <c r="B225" s="144">
        <v>222</v>
      </c>
      <c r="C225" s="2"/>
      <c r="D225" s="1"/>
      <c r="E225" s="3"/>
      <c r="F225" s="1"/>
      <c r="G225" s="141">
        <f>IF(Basic345[[#This Row],[نوع الخدمة]]="مخالفات", 50,
IF(Basic345[[#This Row],[نوع الخدمة]]="كاش ان",
    IF(F225&lt;=100, 18, IF(F225&lt;=250, 23, IF(F225&lt;=500, 35, IF(F225&lt;=1000, 40, F225*0.04)))),
IF(Basic345[[#This Row],[نوع الخدمة]]="كاش اوت",
    IF(F225&lt;=100, 15, IF(F225&lt;=250, 20, IF(F225&lt;=500, 30, IF(F225&lt;=1000, 35, F225*0.035)))),
0)))</f>
        <v>0</v>
      </c>
      <c r="H225" s="159">
        <f>IF(I225="مخالفات",50,Basic345[[#This Row],[قيمة الرسوم / العموله]]+Basic345[[#This Row],[قيمة الشحنه]])</f>
        <v>0</v>
      </c>
      <c r="I225" s="90"/>
      <c r="J225" s="142" t="str">
        <f t="shared" si="3"/>
        <v>28.5.2026</v>
      </c>
      <c r="L225" s="153">
        <v>214</v>
      </c>
      <c r="M225" s="92"/>
    </row>
    <row r="226" spans="1:13" ht="21.6" x14ac:dyDescent="0.65">
      <c r="A226" s="195"/>
      <c r="B226" s="140">
        <v>223</v>
      </c>
      <c r="C226" s="4"/>
      <c r="D226" s="5"/>
      <c r="E226" s="6"/>
      <c r="F226" s="5"/>
      <c r="G226" s="141">
        <f>IF(Basic345[[#This Row],[نوع الخدمة]]="مخالفات", 50,
IF(Basic345[[#This Row],[نوع الخدمة]]="كاش ان",
    IF(F226&lt;=100, 18, IF(F226&lt;=250, 23, IF(F226&lt;=500, 35, IF(F226&lt;=1000, 40, F226*0.04)))),
IF(Basic345[[#This Row],[نوع الخدمة]]="كاش اوت",
    IF(F226&lt;=100, 15, IF(F226&lt;=250, 20, IF(F226&lt;=500, 30, IF(F226&lt;=1000, 35, F226*0.035)))),
0)))</f>
        <v>0</v>
      </c>
      <c r="H226" s="160">
        <f>IF(I226="مخالفات",50,Basic345[[#This Row],[قيمة الرسوم / العموله]]+Basic345[[#This Row],[قيمة الشحنه]])</f>
        <v>0</v>
      </c>
      <c r="I226" s="90"/>
      <c r="J226" s="142" t="str">
        <f t="shared" si="3"/>
        <v>28.5.2026</v>
      </c>
      <c r="L226" s="156">
        <v>215</v>
      </c>
      <c r="M226" s="93"/>
    </row>
  </sheetData>
  <sheetProtection algorithmName="SHA-512" hashValue="N+7T633mGgwH4Bb142k4W+lreroSqOH58/uXsj9d+kF7SdHgnBqN09QD3OZH10Js7E8Ar0WkoGOLrSJ5NXCv2A==" saltValue="OIi0QluiUObfJOTkcyDpJA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15" priority="12" operator="equal">
      <formula>$BH$10</formula>
    </cfRule>
    <cfRule type="cellIs" dxfId="14" priority="13" operator="equal">
      <formula>$BH$9</formula>
    </cfRule>
    <cfRule type="cellIs" dxfId="13" priority="14" operator="equal">
      <formula>$BH$8</formula>
    </cfRule>
  </conditionalFormatting>
  <conditionalFormatting sqref="P11">
    <cfRule type="cellIs" dxfId="12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{7C8780C5-2443-401B-B935-0211B36FC210}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{74F57782-2A3B-486D-B1E7-EE1C38793273}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{495CEE4F-7534-4E6D-9150-1B9CB4999046}</x14:id>
        </ext>
      </extLst>
    </cfRule>
  </conditionalFormatting>
  <dataValidations count="2">
    <dataValidation type="textLength" operator="equal" allowBlank="1" showInputMessage="1" showErrorMessage="1" errorTitle="يجب إخال رقم IPN صحيح 13 رقم" sqref="C1:C1048576" xr:uid="{00000000-0002-0000-1B00-000000000000}">
      <formula1>13</formula1>
    </dataValidation>
    <dataValidation type="list" allowBlank="1" showInputMessage="1" showErrorMessage="1" sqref="I4:I226" xr:uid="{00000000-0002-0000-1B00-000001000000}">
      <formula1>$BH$8:$BH$10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C8780C5-2443-401B-B935-0211B36FC210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74F57782-2A3B-486D-B1E7-EE1C38793273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495CEE4F-7534-4E6D-9150-1B9CB4999046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BH226"/>
  <sheetViews>
    <sheetView showGridLines="0" showRowColHeaders="0" rightToLeft="1" topLeftCell="F1" zoomScale="80" zoomScaleNormal="80" workbookViewId="0">
      <selection activeCell="R10" sqref="R10:W10"/>
    </sheetView>
  </sheetViews>
  <sheetFormatPr defaultColWidth="9.109375" defaultRowHeight="14.4" x14ac:dyDescent="0.3"/>
  <cols>
    <col min="1" max="1" width="2.5546875" style="124" customWidth="1"/>
    <col min="2" max="2" width="6.5546875" style="125" bestFit="1" customWidth="1"/>
    <col min="3" max="3" width="25.33203125" style="126" customWidth="1"/>
    <col min="4" max="4" width="15.6640625" style="124" customWidth="1"/>
    <col min="5" max="5" width="17.5546875" style="157" customWidth="1"/>
    <col min="6" max="6" width="12.88671875" style="124" bestFit="1" customWidth="1"/>
    <col min="7" max="7" width="18" style="124" customWidth="1"/>
    <col min="8" max="8" width="19" style="124" customWidth="1"/>
    <col min="9" max="9" width="12.44140625" style="128" bestFit="1" customWidth="1"/>
    <col min="10" max="10" width="13.5546875" style="129" customWidth="1"/>
    <col min="11" max="11" width="2.6640625" style="124" customWidth="1"/>
    <col min="12" max="12" width="8.6640625" style="124" bestFit="1" customWidth="1"/>
    <col min="13" max="13" width="23" style="124" customWidth="1"/>
    <col min="14" max="14" width="8.33203125" style="124" bestFit="1" customWidth="1"/>
    <col min="15" max="15" width="26.5546875" style="124" bestFit="1" customWidth="1"/>
    <col min="16" max="16" width="13.6640625" style="124" customWidth="1"/>
    <col min="17" max="17" width="3.5546875" style="124" customWidth="1"/>
    <col min="18" max="18" width="18.88671875" style="124" customWidth="1"/>
    <col min="19" max="19" width="16.44140625" style="124" customWidth="1"/>
    <col min="20" max="20" width="11.5546875" style="124" bestFit="1" customWidth="1"/>
    <col min="21" max="21" width="12.33203125" style="124" customWidth="1"/>
    <col min="22" max="22" width="11.44140625" style="124" customWidth="1"/>
    <col min="23" max="23" width="6.5546875" style="124" customWidth="1"/>
    <col min="24" max="24" width="12.6640625" style="124" customWidth="1"/>
    <col min="25" max="16384" width="9.109375" style="124"/>
  </cols>
  <sheetData>
    <row r="1" spans="1:60" x14ac:dyDescent="0.3">
      <c r="E1" s="127">
        <f>Total!F5</f>
        <v>69</v>
      </c>
      <c r="F1" s="192" t="str">
        <f>Total!G5</f>
        <v>العبور</v>
      </c>
      <c r="G1" s="192"/>
      <c r="H1" s="192"/>
    </row>
    <row r="3" spans="1:60" ht="22.8" x14ac:dyDescent="0.3">
      <c r="B3" s="130" t="s">
        <v>0</v>
      </c>
      <c r="C3" s="131" t="s">
        <v>1</v>
      </c>
      <c r="D3" s="132" t="s">
        <v>2</v>
      </c>
      <c r="E3" s="133" t="s">
        <v>3</v>
      </c>
      <c r="F3" s="132" t="s">
        <v>4</v>
      </c>
      <c r="G3" s="132" t="s">
        <v>5</v>
      </c>
      <c r="H3" s="132" t="s">
        <v>76</v>
      </c>
      <c r="I3" s="132" t="s">
        <v>6</v>
      </c>
      <c r="J3" s="134" t="s">
        <v>7</v>
      </c>
      <c r="L3" s="135" t="s">
        <v>7</v>
      </c>
      <c r="M3" s="136" t="s">
        <v>83</v>
      </c>
      <c r="O3" s="137" t="s">
        <v>17</v>
      </c>
      <c r="P3" s="138">
        <f>M5+M6</f>
        <v>0</v>
      </c>
      <c r="T3" s="139"/>
      <c r="U3" s="139"/>
      <c r="V3" s="139"/>
      <c r="W3" s="139"/>
      <c r="X3" s="139"/>
    </row>
    <row r="4" spans="1:60" ht="21.6" x14ac:dyDescent="0.65">
      <c r="A4" s="195"/>
      <c r="B4" s="140">
        <v>1</v>
      </c>
      <c r="C4" s="8"/>
      <c r="D4" s="9"/>
      <c r="E4" s="10"/>
      <c r="F4" s="9"/>
      <c r="G4" s="141">
        <f>IF(Basic34[[#This Row],[نوع الخدمة]]="مخالفات", 50,
IF(Basic34[[#This Row],[نوع الخدمة]]="كاش ان",
    IF(F4&lt;=100, 18, IF(F4&lt;=250, 23, IF(F4&lt;=500, 35, IF(F4&lt;=1000, 40, F4*0.04)))),
IF(Basic34[[#This Row],[نوع الخدمة]]="كاش اوت",
    IF(F4&lt;=100, 15, IF(F4&lt;=250, 20, IF(F4&lt;=500, 30, IF(F4&lt;=1000, 35, F4*0.035)))),
0)))</f>
        <v>0</v>
      </c>
      <c r="H4" s="141">
        <f>IF(I4="مخالفات",50,Basic34[[#This Row],[قيمة الرسوم / العموله]]+Basic34[[#This Row],[قيمة الشحنه]])</f>
        <v>0</v>
      </c>
      <c r="I4" s="90"/>
      <c r="J4" s="142" t="str">
        <f t="shared" ref="J4:J67" si="0">M$3</f>
        <v>29.5.2026</v>
      </c>
      <c r="L4" s="135" t="s">
        <v>26</v>
      </c>
      <c r="M4" s="90">
        <v>0</v>
      </c>
      <c r="O4" s="137" t="s">
        <v>18</v>
      </c>
      <c r="P4" s="138">
        <f>M4</f>
        <v>0</v>
      </c>
      <c r="S4" s="143" t="s">
        <v>22</v>
      </c>
      <c r="T4" s="143" t="s">
        <v>23</v>
      </c>
      <c r="U4" s="139"/>
      <c r="V4" s="139"/>
      <c r="W4" s="139"/>
      <c r="X4" s="139"/>
    </row>
    <row r="5" spans="1:60" ht="21.6" x14ac:dyDescent="0.65">
      <c r="A5" s="195"/>
      <c r="B5" s="144">
        <v>2</v>
      </c>
      <c r="C5" s="8"/>
      <c r="D5" s="9"/>
      <c r="E5" s="10"/>
      <c r="F5" s="9"/>
      <c r="G5" s="141">
        <f>IF(Basic34[[#This Row],[نوع الخدمة]]="مخالفات", 50,
IF(Basic34[[#This Row],[نوع الخدمة]]="كاش ان",
    IF(F5&lt;=100, 18, IF(F5&lt;=250, 23, IF(F5&lt;=500, 35, IF(F5&lt;=1000, 40, F5*0.04)))),
IF(Basic34[[#This Row],[نوع الخدمة]]="كاش اوت",
    IF(F5&lt;=100, 15, IF(F5&lt;=250, 20, IF(F5&lt;=500, 30, IF(F5&lt;=1000, 35, F5*0.035)))),
0)))</f>
        <v>0</v>
      </c>
      <c r="H5" s="141">
        <f>IF(I5="مخالفات",50,Basic34[[#This Row],[قيمة الرسوم / العموله]]+Basic34[[#This Row],[قيمة الشحنه]])</f>
        <v>0</v>
      </c>
      <c r="I5" s="90"/>
      <c r="J5" s="142" t="str">
        <f t="shared" si="0"/>
        <v>29.5.2026</v>
      </c>
      <c r="L5" s="135" t="s">
        <v>27</v>
      </c>
      <c r="M5" s="90"/>
      <c r="O5" s="137" t="s">
        <v>19</v>
      </c>
      <c r="P5" s="138">
        <f>SUMIF(Basic34[نوع الخدمة],"كاش ان",Basic34[قيمة الشحنه])</f>
        <v>0</v>
      </c>
      <c r="S5" s="145">
        <f>P5+P9+P12+P7</f>
        <v>0</v>
      </c>
      <c r="T5" s="145">
        <f>P3</f>
        <v>0</v>
      </c>
    </row>
    <row r="6" spans="1:60" ht="21.6" x14ac:dyDescent="0.65">
      <c r="A6" s="195"/>
      <c r="B6" s="140">
        <v>3</v>
      </c>
      <c r="C6" s="8"/>
      <c r="D6" s="9"/>
      <c r="E6" s="10"/>
      <c r="F6" s="9"/>
      <c r="G6" s="141">
        <f>IF(Basic34[[#This Row],[نوع الخدمة]]="مخالفات", 50,
IF(Basic34[[#This Row],[نوع الخدمة]]="كاش ان",
    IF(F6&lt;=100, 18, IF(F6&lt;=250, 23, IF(F6&lt;=500, 35, IF(F6&lt;=1000, 40, F6*0.04)))),
IF(Basic34[[#This Row],[نوع الخدمة]]="كاش اوت",
    IF(F6&lt;=100, 15, IF(F6&lt;=250, 20, IF(F6&lt;=500, 30, IF(F6&lt;=1000, 35, F6*0.035)))),
0)))</f>
        <v>0</v>
      </c>
      <c r="H6" s="141">
        <f>IF(I6="مخالفات",50,Basic34[[#This Row],[قيمة الرسوم / العموله]]+Basic34[[#This Row],[قيمة الشحنه]])</f>
        <v>0</v>
      </c>
      <c r="I6" s="90"/>
      <c r="J6" s="142" t="str">
        <f t="shared" si="0"/>
        <v>29.5.2026</v>
      </c>
      <c r="L6" s="135" t="s">
        <v>28</v>
      </c>
      <c r="M6" s="90"/>
      <c r="O6" s="146" t="s">
        <v>12</v>
      </c>
      <c r="P6" s="138">
        <f>P3*150</f>
        <v>0</v>
      </c>
    </row>
    <row r="7" spans="1:60" ht="21.6" x14ac:dyDescent="0.65">
      <c r="A7" s="195"/>
      <c r="B7" s="140">
        <v>4</v>
      </c>
      <c r="C7" s="8"/>
      <c r="D7" s="9"/>
      <c r="E7" s="10"/>
      <c r="F7" s="9"/>
      <c r="G7" s="141">
        <f>IF(Basic34[[#This Row],[نوع الخدمة]]="مخالفات", 50,
IF(Basic34[[#This Row],[نوع الخدمة]]="كاش ان",
    IF(F7&lt;=100, 18, IF(F7&lt;=250, 23, IF(F7&lt;=500, 35, IF(F7&lt;=1000, 40, F7*0.04)))),
IF(Basic34[[#This Row],[نوع الخدمة]]="كاش اوت",
    IF(F7&lt;=100, 15, IF(F7&lt;=250, 20, IF(F7&lt;=500, 30, IF(F7&lt;=1000, 35, F7*0.035)))),
0)))</f>
        <v>0</v>
      </c>
      <c r="H7" s="141">
        <f>IF(I7="مخالفات",50,Basic34[[#This Row],[قيمة الرسوم / العموله]]+Basic34[[#This Row],[قيمة الشحنه]])</f>
        <v>0</v>
      </c>
      <c r="I7" s="90"/>
      <c r="J7" s="142" t="str">
        <f t="shared" si="0"/>
        <v>29.5.2026</v>
      </c>
      <c r="L7" s="137" t="s">
        <v>11</v>
      </c>
      <c r="M7" s="165"/>
      <c r="O7" s="146" t="s">
        <v>75</v>
      </c>
      <c r="P7" s="138">
        <f>SUMIF(Basic34[نوع الخدمة],"مخالفات",Basic34[الاجمــــــــــالي])</f>
        <v>0</v>
      </c>
      <c r="R7" s="139"/>
      <c r="S7" s="139"/>
    </row>
    <row r="8" spans="1:60" ht="21.6" x14ac:dyDescent="0.65">
      <c r="A8" s="195"/>
      <c r="B8" s="140">
        <v>5</v>
      </c>
      <c r="C8" s="8"/>
      <c r="D8" s="9"/>
      <c r="E8" s="10"/>
      <c r="F8" s="9"/>
      <c r="G8" s="141">
        <f>IF(Basic34[[#This Row],[نوع الخدمة]]="مخالفات", 50,
IF(Basic34[[#This Row],[نوع الخدمة]]="كاش ان",
    IF(F8&lt;=100, 18, IF(F8&lt;=250, 23, IF(F8&lt;=500, 35, IF(F8&lt;=1000, 40, F8*0.04)))),
IF(Basic34[[#This Row],[نوع الخدمة]]="كاش اوت",
    IF(F8&lt;=100, 15, IF(F8&lt;=250, 20, IF(F8&lt;=500, 30, IF(F8&lt;=1000, 35, F8*0.035)))),
0)))</f>
        <v>0</v>
      </c>
      <c r="H8" s="141">
        <f>IF(I8="مخالفات",50,Basic34[[#This Row],[قيمة الرسوم / العموله]]+Basic34[[#This Row],[قيمة الشحنه]])</f>
        <v>0</v>
      </c>
      <c r="I8" s="90"/>
      <c r="J8" s="142" t="str">
        <f t="shared" si="0"/>
        <v>29.5.2026</v>
      </c>
      <c r="L8" s="166" t="s">
        <v>79</v>
      </c>
      <c r="M8" s="167">
        <v>0</v>
      </c>
      <c r="O8" s="137" t="s">
        <v>11</v>
      </c>
      <c r="P8" s="138">
        <f>M7</f>
        <v>0</v>
      </c>
      <c r="R8" s="143" t="s">
        <v>72</v>
      </c>
      <c r="S8" s="143" t="s">
        <v>25</v>
      </c>
      <c r="T8" s="143" t="s">
        <v>24</v>
      </c>
      <c r="U8" s="143" t="s">
        <v>73</v>
      </c>
      <c r="V8" s="143" t="s">
        <v>25</v>
      </c>
      <c r="W8" s="143" t="s">
        <v>24</v>
      </c>
      <c r="BH8" s="148" t="s">
        <v>8</v>
      </c>
    </row>
    <row r="9" spans="1:60" ht="18" customHeight="1" x14ac:dyDescent="0.65">
      <c r="A9" s="195"/>
      <c r="B9" s="144">
        <v>6</v>
      </c>
      <c r="C9" s="8"/>
      <c r="D9" s="9"/>
      <c r="E9" s="10"/>
      <c r="F9" s="9"/>
      <c r="G9" s="141">
        <f>IF(Basic34[[#This Row],[نوع الخدمة]]="مخالفات", 50,
IF(Basic34[[#This Row],[نوع الخدمة]]="كاش ان",
    IF(F9&lt;=100, 18, IF(F9&lt;=250, 23, IF(F9&lt;=500, 35, IF(F9&lt;=1000, 40, F9*0.04)))),
IF(Basic34[[#This Row],[نوع الخدمة]]="كاش اوت",
    IF(F9&lt;=100, 15, IF(F9&lt;=250, 20, IF(F9&lt;=500, 30, IF(F9&lt;=1000, 35, F9*0.035)))),
0)))</f>
        <v>0</v>
      </c>
      <c r="H9" s="141">
        <f>IF(I9="مخالفات",50,Basic34[[#This Row],[قيمة الرسوم / العموله]]+Basic34[[#This Row],[قيمة الشحنه]])</f>
        <v>0</v>
      </c>
      <c r="I9" s="90"/>
      <c r="J9" s="142" t="str">
        <f t="shared" si="0"/>
        <v>29.5.2026</v>
      </c>
      <c r="L9" s="166" t="s">
        <v>80</v>
      </c>
      <c r="M9" s="167">
        <v>0</v>
      </c>
      <c r="O9" s="137" t="s">
        <v>20</v>
      </c>
      <c r="P9" s="138">
        <f>SUMIF(Basic34[نوع الخدمة],"كاش ان",Basic34[قيمة الرسوم / العموله])</f>
        <v>0</v>
      </c>
      <c r="R9" s="149">
        <f>Total!H5/24</f>
        <v>29166.666666666668</v>
      </c>
      <c r="S9" s="149">
        <f>S5</f>
        <v>0</v>
      </c>
      <c r="T9" s="150">
        <f>S9/R9</f>
        <v>0</v>
      </c>
      <c r="U9" s="149">
        <f>Total!K5/24</f>
        <v>2.9166666666666665</v>
      </c>
      <c r="V9" s="149">
        <f>T5</f>
        <v>0</v>
      </c>
      <c r="W9" s="150">
        <f>V9/U9</f>
        <v>0</v>
      </c>
      <c r="BH9" s="148" t="s">
        <v>9</v>
      </c>
    </row>
    <row r="10" spans="1:60" ht="21.6" x14ac:dyDescent="0.65">
      <c r="A10" s="195"/>
      <c r="B10" s="140">
        <v>7</v>
      </c>
      <c r="C10" s="8"/>
      <c r="D10" s="9"/>
      <c r="E10" s="10"/>
      <c r="F10" s="9"/>
      <c r="G10" s="141">
        <f>IF(Basic34[[#This Row],[نوع الخدمة]]="مخالفات", 50,
IF(Basic34[[#This Row],[نوع الخدمة]]="كاش ان",
    IF(F10&lt;=100, 18, IF(F10&lt;=250, 23, IF(F10&lt;=500, 35, IF(F10&lt;=1000, 40, F10*0.04)))),
IF(Basic34[[#This Row],[نوع الخدمة]]="كاش اوت",
    IF(F10&lt;=100, 15, IF(F10&lt;=250, 20, IF(F10&lt;=500, 30, IF(F10&lt;=1000, 35, F10*0.035)))),
0)))</f>
        <v>0</v>
      </c>
      <c r="H10" s="141">
        <f>IF(I10="مخالفات",50,Basic34[[#This Row],[قيمة الرسوم / العموله]]+Basic34[[#This Row],[قيمة الشحنه]])</f>
        <v>0</v>
      </c>
      <c r="I10" s="90"/>
      <c r="J10" s="142" t="str">
        <f t="shared" si="0"/>
        <v>29.5.2026</v>
      </c>
      <c r="O10" s="137" t="s">
        <v>16</v>
      </c>
      <c r="P10" s="138">
        <f>SUMIF(Basic34[نوع الخدمة],"كاش اوت",Basic34[قيمة الشحنه])</f>
        <v>0</v>
      </c>
      <c r="R10" s="191">
        <f>(W9+T9)/2</f>
        <v>0</v>
      </c>
      <c r="S10" s="191"/>
      <c r="T10" s="191"/>
      <c r="U10" s="191"/>
      <c r="V10" s="191"/>
      <c r="W10" s="191"/>
      <c r="BH10" s="148" t="s">
        <v>10</v>
      </c>
    </row>
    <row r="11" spans="1:60" ht="21.6" x14ac:dyDescent="0.65">
      <c r="A11" s="195"/>
      <c r="B11" s="140">
        <v>8</v>
      </c>
      <c r="C11" s="8"/>
      <c r="D11" s="9"/>
      <c r="E11" s="10"/>
      <c r="F11" s="9"/>
      <c r="G11" s="141">
        <f>IF(Basic34[[#This Row],[نوع الخدمة]]="مخالفات", 50,
IF(Basic34[[#This Row],[نوع الخدمة]]="كاش ان",
    IF(F11&lt;=100, 18, IF(F11&lt;=250, 23, IF(F11&lt;=500, 35, IF(F11&lt;=1000, 40, F11*0.04)))),
IF(Basic34[[#This Row],[نوع الخدمة]]="كاش اوت",
    IF(F11&lt;=100, 15, IF(F11&lt;=250, 20, IF(F11&lt;=500, 30, IF(F11&lt;=1000, 35, F11*0.035)))),
0)))</f>
        <v>0</v>
      </c>
      <c r="H11" s="141">
        <f>IF(I11="مخالفات",50,Basic34[[#This Row],[قيمة الرسوم / العموله]]+Basic34[[#This Row],[قيمة الشحنه]])</f>
        <v>0</v>
      </c>
      <c r="I11" s="90"/>
      <c r="J11" s="142" t="str">
        <f t="shared" si="0"/>
        <v>29.5.2026</v>
      </c>
      <c r="L11" s="169" t="s">
        <v>77</v>
      </c>
      <c r="M11" s="168" t="s">
        <v>78</v>
      </c>
      <c r="O11" s="151" t="s">
        <v>21</v>
      </c>
      <c r="P11" s="152">
        <f>(P5+P6+P9+P7+P4)-P10-P8</f>
        <v>0</v>
      </c>
      <c r="T11" s="139"/>
    </row>
    <row r="12" spans="1:60" ht="21.6" x14ac:dyDescent="0.65">
      <c r="A12" s="195"/>
      <c r="B12" s="140">
        <v>9</v>
      </c>
      <c r="C12" s="8"/>
      <c r="D12" s="9"/>
      <c r="E12" s="10"/>
      <c r="F12" s="9"/>
      <c r="G12" s="141">
        <f>IF(Basic34[[#This Row],[نوع الخدمة]]="مخالفات", 50,
IF(Basic34[[#This Row],[نوع الخدمة]]="كاش ان",
    IF(F12&lt;=100, 18, IF(F12&lt;=250, 23, IF(F12&lt;=500, 35, IF(F12&lt;=1000, 40, F12*0.04)))),
IF(Basic34[[#This Row],[نوع الخدمة]]="كاش اوت",
    IF(F12&lt;=100, 15, IF(F12&lt;=250, 20, IF(F12&lt;=500, 30, IF(F12&lt;=1000, 35, F12*0.035)))),
0)))</f>
        <v>0</v>
      </c>
      <c r="H12" s="141">
        <f>IF(I12="مخالفات",50,Basic34[[#This Row],[قيمة الرسوم / العموله]]+Basic34[[#This Row],[قيمة الشحنه]])</f>
        <v>0</v>
      </c>
      <c r="I12" s="90"/>
      <c r="J12" s="142" t="str">
        <f t="shared" si="0"/>
        <v>29.5.2026</v>
      </c>
      <c r="L12" s="153">
        <v>1</v>
      </c>
      <c r="M12" s="91"/>
      <c r="O12" s="137" t="s">
        <v>29</v>
      </c>
      <c r="P12" s="138">
        <f>SUMIF(Basic34[نوع الخدمة],"كاش اوت",Basic34[الاجمــــــــــالي])</f>
        <v>0</v>
      </c>
    </row>
    <row r="13" spans="1:60" ht="21.6" x14ac:dyDescent="0.65">
      <c r="A13" s="195"/>
      <c r="B13" s="144">
        <v>10</v>
      </c>
      <c r="C13" s="8"/>
      <c r="D13" s="9"/>
      <c r="E13" s="10"/>
      <c r="F13" s="9"/>
      <c r="G13" s="141">
        <f>IF(Basic34[[#This Row],[نوع الخدمة]]="مخالفات", 50,
IF(Basic34[[#This Row],[نوع الخدمة]]="كاش ان",
    IF(F13&lt;=100, 18, IF(F13&lt;=250, 23, IF(F13&lt;=500, 35, IF(F13&lt;=1000, 40, F13*0.04)))),
IF(Basic34[[#This Row],[نوع الخدمة]]="كاش اوت",
    IF(F13&lt;=100, 15, IF(F13&lt;=250, 20, IF(F13&lt;=500, 30, IF(F13&lt;=1000, 35, F13*0.035)))),
0)))</f>
        <v>0</v>
      </c>
      <c r="H13" s="141">
        <f>IF(I13="مخالفات",50,Basic34[[#This Row],[قيمة الرسوم / العموله]]+Basic34[[#This Row],[قيمة الشحنه]])</f>
        <v>0</v>
      </c>
      <c r="I13" s="90"/>
      <c r="J13" s="142" t="str">
        <f t="shared" si="0"/>
        <v>29.5.2026</v>
      </c>
      <c r="L13" s="153">
        <v>2</v>
      </c>
      <c r="M13" s="92"/>
    </row>
    <row r="14" spans="1:60" ht="21.6" x14ac:dyDescent="0.65">
      <c r="A14" s="195"/>
      <c r="B14" s="140">
        <v>11</v>
      </c>
      <c r="C14" s="2"/>
      <c r="D14" s="1"/>
      <c r="E14" s="3"/>
      <c r="F14" s="1"/>
      <c r="G14" s="141">
        <f>IF(Basic34[[#This Row],[نوع الخدمة]]="مخالفات", 50,
IF(Basic34[[#This Row],[نوع الخدمة]]="كاش ان",
    IF(F14&lt;=100, 18, IF(F14&lt;=250, 23, IF(F14&lt;=500, 35, IF(F14&lt;=1000, 40, F14*0.04)))),
IF(Basic34[[#This Row],[نوع الخدمة]]="كاش اوت",
    IF(F14&lt;=100, 15, IF(F14&lt;=250, 20, IF(F14&lt;=500, 30, IF(F14&lt;=1000, 35, F14*0.035)))),
0)))</f>
        <v>0</v>
      </c>
      <c r="H14" s="159">
        <f>IF(I14="مخالفات",50,Basic34[[#This Row],[قيمة الرسوم / العموله]]+Basic34[[#This Row],[قيمة الشحنه]])</f>
        <v>0</v>
      </c>
      <c r="I14" s="90"/>
      <c r="J14" s="142" t="str">
        <f t="shared" si="0"/>
        <v>29.5.2026</v>
      </c>
      <c r="L14" s="153">
        <v>3</v>
      </c>
      <c r="M14" s="92"/>
    </row>
    <row r="15" spans="1:60" ht="21.6" x14ac:dyDescent="0.65">
      <c r="A15" s="195"/>
      <c r="B15" s="140">
        <v>12</v>
      </c>
      <c r="C15" s="2"/>
      <c r="D15" s="1"/>
      <c r="E15" s="3"/>
      <c r="F15" s="1"/>
      <c r="G15" s="141">
        <f>IF(Basic34[[#This Row],[نوع الخدمة]]="مخالفات", 50,
IF(Basic34[[#This Row],[نوع الخدمة]]="كاش ان",
    IF(F15&lt;=100, 18, IF(F15&lt;=250, 23, IF(F15&lt;=500, 35, IF(F15&lt;=1000, 40, F15*0.04)))),
IF(Basic34[[#This Row],[نوع الخدمة]]="كاش اوت",
    IF(F15&lt;=100, 15, IF(F15&lt;=250, 20, IF(F15&lt;=500, 30, IF(F15&lt;=1000, 35, F15*0.035)))),
0)))</f>
        <v>0</v>
      </c>
      <c r="H15" s="159">
        <f>IF(I15="مخالفات",50,Basic34[[#This Row],[قيمة الرسوم / العموله]]+Basic34[[#This Row],[قيمة الشحنه]])</f>
        <v>0</v>
      </c>
      <c r="I15" s="90"/>
      <c r="J15" s="142" t="str">
        <f t="shared" si="0"/>
        <v>29.5.2026</v>
      </c>
      <c r="L15" s="153">
        <v>4</v>
      </c>
      <c r="M15" s="92"/>
      <c r="O15" s="154" t="s">
        <v>10</v>
      </c>
      <c r="P15" s="155">
        <f>COUNTIF(Basic34[نوع الخدمة],"مخالفات")</f>
        <v>0</v>
      </c>
    </row>
    <row r="16" spans="1:60" ht="21.6" x14ac:dyDescent="0.65">
      <c r="A16" s="195"/>
      <c r="B16" s="140">
        <v>13</v>
      </c>
      <c r="C16" s="2"/>
      <c r="D16" s="1"/>
      <c r="E16" s="3"/>
      <c r="F16" s="1"/>
      <c r="G16" s="141">
        <f>IF(Basic34[[#This Row],[نوع الخدمة]]="مخالفات", 50,
IF(Basic34[[#This Row],[نوع الخدمة]]="كاش ان",
    IF(F16&lt;=100, 18, IF(F16&lt;=250, 23, IF(F16&lt;=500, 35, IF(F16&lt;=1000, 40, F16*0.04)))),
IF(Basic34[[#This Row],[نوع الخدمة]]="كاش اوت",
    IF(F16&lt;=100, 15, IF(F16&lt;=250, 20, IF(F16&lt;=500, 30, IF(F16&lt;=1000, 35, F16*0.035)))),
0)))</f>
        <v>0</v>
      </c>
      <c r="H16" s="159">
        <f>IF(I16="مخالفات",50,Basic34[[#This Row],[قيمة الرسوم / العموله]]+Basic34[[#This Row],[قيمة الشحنه]])</f>
        <v>0</v>
      </c>
      <c r="I16" s="90"/>
      <c r="J16" s="142" t="str">
        <f t="shared" si="0"/>
        <v>29.5.2026</v>
      </c>
      <c r="L16" s="153">
        <v>5</v>
      </c>
      <c r="M16" s="92"/>
      <c r="O16" s="154" t="s">
        <v>13</v>
      </c>
      <c r="P16" s="155">
        <f>COUNTIF(Basic34[نوع الخدمة],"كاش ان")</f>
        <v>0</v>
      </c>
    </row>
    <row r="17" spans="1:21" ht="21.6" x14ac:dyDescent="0.65">
      <c r="A17" s="195"/>
      <c r="B17" s="144">
        <v>14</v>
      </c>
      <c r="C17" s="2"/>
      <c r="D17" s="1"/>
      <c r="E17" s="3"/>
      <c r="F17" s="1"/>
      <c r="G17" s="141">
        <f>IF(Basic34[[#This Row],[نوع الخدمة]]="مخالفات", 50,
IF(Basic34[[#This Row],[نوع الخدمة]]="كاش ان",
    IF(F17&lt;=100, 18, IF(F17&lt;=250, 23, IF(F17&lt;=500, 35, IF(F17&lt;=1000, 40, F17*0.04)))),
IF(Basic34[[#This Row],[نوع الخدمة]]="كاش اوت",
    IF(F17&lt;=100, 15, IF(F17&lt;=250, 20, IF(F17&lt;=500, 30, IF(F17&lt;=1000, 35, F17*0.035)))),
0)))</f>
        <v>0</v>
      </c>
      <c r="H17" s="159">
        <f>IF(I17="مخالفات",50,Basic34[[#This Row],[قيمة الرسوم / العموله]]+Basic34[[#This Row],[قيمة الشحنه]])</f>
        <v>0</v>
      </c>
      <c r="I17" s="90"/>
      <c r="J17" s="142" t="str">
        <f t="shared" si="0"/>
        <v>29.5.2026</v>
      </c>
      <c r="L17" s="153">
        <v>6</v>
      </c>
      <c r="M17" s="92"/>
      <c r="O17" s="154" t="s">
        <v>14</v>
      </c>
      <c r="P17" s="155">
        <f>COUNTIF(Basic34[نوع الخدمة],"كاش اوت")</f>
        <v>0</v>
      </c>
    </row>
    <row r="18" spans="1:21" ht="21.6" x14ac:dyDescent="0.65">
      <c r="A18" s="195"/>
      <c r="B18" s="140">
        <v>15</v>
      </c>
      <c r="C18" s="2"/>
      <c r="D18" s="1"/>
      <c r="E18" s="3"/>
      <c r="F18" s="1"/>
      <c r="G18" s="141">
        <f>IF(Basic34[[#This Row],[نوع الخدمة]]="مخالفات", 50,
IF(Basic34[[#This Row],[نوع الخدمة]]="كاش ان",
    IF(F18&lt;=100, 18, IF(F18&lt;=250, 23, IF(F18&lt;=500, 35, IF(F18&lt;=1000, 40, F18*0.04)))),
IF(Basic34[[#This Row],[نوع الخدمة]]="كاش اوت",
    IF(F18&lt;=100, 15, IF(F18&lt;=250, 20, IF(F18&lt;=500, 30, IF(F18&lt;=1000, 35, F18*0.035)))),
0)))</f>
        <v>0</v>
      </c>
      <c r="H18" s="159">
        <f>IF(I18="مخالفات",50,Basic34[[#This Row],[قيمة الرسوم / العموله]]+Basic34[[#This Row],[قيمة الشحنه]])</f>
        <v>0</v>
      </c>
      <c r="I18" s="90"/>
      <c r="J18" s="142" t="str">
        <f t="shared" si="0"/>
        <v>29.5.2026</v>
      </c>
      <c r="L18" s="153">
        <v>7</v>
      </c>
      <c r="M18" s="92"/>
      <c r="O18" s="154" t="s">
        <v>15</v>
      </c>
      <c r="P18" s="155">
        <f>P16+P17</f>
        <v>0</v>
      </c>
    </row>
    <row r="19" spans="1:21" ht="21.6" x14ac:dyDescent="0.65">
      <c r="A19" s="195"/>
      <c r="B19" s="140">
        <v>16</v>
      </c>
      <c r="C19" s="2"/>
      <c r="D19" s="1"/>
      <c r="E19" s="3"/>
      <c r="F19" s="1"/>
      <c r="G19" s="141">
        <f>IF(Basic34[[#This Row],[نوع الخدمة]]="مخالفات", 50,
IF(Basic34[[#This Row],[نوع الخدمة]]="كاش ان",
    IF(F19&lt;=100, 18, IF(F19&lt;=250, 23, IF(F19&lt;=500, 35, IF(F19&lt;=1000, 40, F19*0.04)))),
IF(Basic34[[#This Row],[نوع الخدمة]]="كاش اوت",
    IF(F19&lt;=100, 15, IF(F19&lt;=250, 20, IF(F19&lt;=500, 30, IF(F19&lt;=1000, 35, F19*0.035)))),
0)))</f>
        <v>0</v>
      </c>
      <c r="H19" s="159">
        <f>IF(I19="مخالفات",50,Basic34[[#This Row],[قيمة الرسوم / العموله]]+Basic34[[#This Row],[قيمة الشحنه]])</f>
        <v>0</v>
      </c>
      <c r="I19" s="90"/>
      <c r="J19" s="142" t="str">
        <f t="shared" si="0"/>
        <v>29.5.2026</v>
      </c>
      <c r="L19" s="153">
        <v>8</v>
      </c>
      <c r="M19" s="92"/>
    </row>
    <row r="20" spans="1:21" ht="21.6" x14ac:dyDescent="0.65">
      <c r="A20" s="195"/>
      <c r="B20" s="140">
        <v>17</v>
      </c>
      <c r="C20" s="2"/>
      <c r="D20" s="1"/>
      <c r="E20" s="3"/>
      <c r="F20" s="1"/>
      <c r="G20" s="141">
        <f>IF(Basic34[[#This Row],[نوع الخدمة]]="مخالفات", 50,
IF(Basic34[[#This Row],[نوع الخدمة]]="كاش ان",
    IF(F20&lt;=100, 18, IF(F20&lt;=250, 23, IF(F20&lt;=500, 35, IF(F20&lt;=1000, 40, F20*0.04)))),
IF(Basic34[[#This Row],[نوع الخدمة]]="كاش اوت",
    IF(F20&lt;=100, 15, IF(F20&lt;=250, 20, IF(F20&lt;=500, 30, IF(F20&lt;=1000, 35, F20*0.035)))),
0)))</f>
        <v>0</v>
      </c>
      <c r="H20" s="159">
        <f>IF(I20="مخالفات",50,Basic34[[#This Row],[قيمة الرسوم / العموله]]+Basic34[[#This Row],[قيمة الشحنه]])</f>
        <v>0</v>
      </c>
      <c r="I20" s="90"/>
      <c r="J20" s="142" t="str">
        <f t="shared" si="0"/>
        <v>29.5.2026</v>
      </c>
      <c r="L20" s="153">
        <v>9</v>
      </c>
      <c r="M20" s="92"/>
      <c r="O20" s="193" t="s">
        <v>30</v>
      </c>
      <c r="P20" s="194"/>
    </row>
    <row r="21" spans="1:21" ht="21.6" x14ac:dyDescent="0.65">
      <c r="A21" s="195"/>
      <c r="B21" s="144">
        <v>18</v>
      </c>
      <c r="C21" s="2"/>
      <c r="D21" s="1"/>
      <c r="E21" s="3"/>
      <c r="F21" s="1"/>
      <c r="G21" s="141">
        <f>IF(Basic34[[#This Row],[نوع الخدمة]]="مخالفات", 50,
IF(Basic34[[#This Row],[نوع الخدمة]]="كاش ان",
    IF(F21&lt;=100, 18, IF(F21&lt;=250, 23, IF(F21&lt;=500, 35, IF(F21&lt;=1000, 40, F21*0.04)))),
IF(Basic34[[#This Row],[نوع الخدمة]]="كاش اوت",
    IF(F21&lt;=100, 15, IF(F21&lt;=250, 20, IF(F21&lt;=500, 30, IF(F21&lt;=1000, 35, F21*0.035)))),
0)))</f>
        <v>0</v>
      </c>
      <c r="H21" s="159">
        <f>IF(I21="مخالفات",50,Basic34[[#This Row],[قيمة الرسوم / العموله]]+Basic34[[#This Row],[قيمة الشحنه]])</f>
        <v>0</v>
      </c>
      <c r="I21" s="90"/>
      <c r="J21" s="142" t="str">
        <f t="shared" si="0"/>
        <v>29.5.2026</v>
      </c>
      <c r="L21" s="153">
        <v>10</v>
      </c>
      <c r="M21" s="92"/>
      <c r="O21" s="196" t="s">
        <v>31</v>
      </c>
      <c r="P21" s="197"/>
    </row>
    <row r="22" spans="1:21" ht="21.6" x14ac:dyDescent="0.65">
      <c r="A22" s="195"/>
      <c r="B22" s="140">
        <v>19</v>
      </c>
      <c r="C22" s="2"/>
      <c r="D22" s="1"/>
      <c r="E22" s="3"/>
      <c r="F22" s="1"/>
      <c r="G22" s="141">
        <f>IF(Basic34[[#This Row],[نوع الخدمة]]="مخالفات", 50,
IF(Basic34[[#This Row],[نوع الخدمة]]="كاش ان",
    IF(F22&lt;=100, 18, IF(F22&lt;=250, 23, IF(F22&lt;=500, 35, IF(F22&lt;=1000, 40, F22*0.04)))),
IF(Basic34[[#This Row],[نوع الخدمة]]="كاش اوت",
    IF(F22&lt;=100, 15, IF(F22&lt;=250, 20, IF(F22&lt;=500, 30, IF(F22&lt;=1000, 35, F22*0.035)))),
0)))</f>
        <v>0</v>
      </c>
      <c r="H22" s="159">
        <f>IF(I22="مخالفات",50,Basic34[[#This Row],[قيمة الرسوم / العموله]]+Basic34[[#This Row],[قيمة الشحنه]])</f>
        <v>0</v>
      </c>
      <c r="I22" s="90"/>
      <c r="J22" s="142" t="str">
        <f t="shared" si="0"/>
        <v>29.5.2026</v>
      </c>
      <c r="L22" s="153">
        <v>11</v>
      </c>
      <c r="M22" s="92"/>
      <c r="O22" s="147" t="s">
        <v>27</v>
      </c>
      <c r="P22" s="135">
        <f>M8+'28'!P28</f>
        <v>-4</v>
      </c>
    </row>
    <row r="23" spans="1:21" ht="21.6" x14ac:dyDescent="0.65">
      <c r="A23" s="195"/>
      <c r="B23" s="140">
        <v>20</v>
      </c>
      <c r="C23" s="2"/>
      <c r="D23" s="1"/>
      <c r="E23" s="3"/>
      <c r="F23" s="1"/>
      <c r="G23" s="141">
        <f>IF(Basic34[[#This Row],[نوع الخدمة]]="مخالفات", 50,
IF(Basic34[[#This Row],[نوع الخدمة]]="كاش ان",
    IF(F23&lt;=100, 18, IF(F23&lt;=250, 23, IF(F23&lt;=500, 35, IF(F23&lt;=1000, 40, F23*0.04)))),
IF(Basic34[[#This Row],[نوع الخدمة]]="كاش اوت",
    IF(F23&lt;=100, 15, IF(F23&lt;=250, 20, IF(F23&lt;=500, 30, IF(F23&lt;=1000, 35, F23*0.035)))),
0)))</f>
        <v>0</v>
      </c>
      <c r="H23" s="159">
        <f>IF(I23="مخالفات",50,Basic34[[#This Row],[قيمة الرسوم / العموله]]+Basic34[[#This Row],[قيمة الشحنه]])</f>
        <v>0</v>
      </c>
      <c r="I23" s="90"/>
      <c r="J23" s="142" t="str">
        <f t="shared" si="0"/>
        <v>29.5.2026</v>
      </c>
      <c r="L23" s="153">
        <v>12</v>
      </c>
      <c r="M23" s="92"/>
      <c r="O23" s="147" t="s">
        <v>28</v>
      </c>
      <c r="P23" s="135">
        <f>M9+'28'!P29</f>
        <v>0</v>
      </c>
      <c r="T23" s="139"/>
      <c r="U23" s="139"/>
    </row>
    <row r="24" spans="1:21" ht="21.6" x14ac:dyDescent="0.65">
      <c r="A24" s="195"/>
      <c r="B24" s="140">
        <v>21</v>
      </c>
      <c r="C24" s="2"/>
      <c r="D24" s="1"/>
      <c r="E24" s="3"/>
      <c r="F24" s="1"/>
      <c r="G24" s="141">
        <f>IF(Basic34[[#This Row],[نوع الخدمة]]="مخالفات", 50,
IF(Basic34[[#This Row],[نوع الخدمة]]="كاش ان",
    IF(F24&lt;=100, 18, IF(F24&lt;=250, 23, IF(F24&lt;=500, 35, IF(F24&lt;=1000, 40, F24*0.04)))),
IF(Basic34[[#This Row],[نوع الخدمة]]="كاش اوت",
    IF(F24&lt;=100, 15, IF(F24&lt;=250, 20, IF(F24&lt;=500, 30, IF(F24&lt;=1000, 35, F24*0.035)))),
0)))</f>
        <v>0</v>
      </c>
      <c r="H24" s="159">
        <f>IF(I24="مخالفات",50,Basic34[[#This Row],[قيمة الرسوم / العموله]]+Basic34[[#This Row],[قيمة الشحنه]])</f>
        <v>0</v>
      </c>
      <c r="I24" s="90"/>
      <c r="J24" s="142" t="str">
        <f t="shared" si="0"/>
        <v>29.5.2026</v>
      </c>
      <c r="L24" s="153">
        <v>13</v>
      </c>
      <c r="M24" s="92"/>
      <c r="O24" s="196" t="s">
        <v>32</v>
      </c>
      <c r="P24" s="197"/>
    </row>
    <row r="25" spans="1:21" ht="21.6" x14ac:dyDescent="0.65">
      <c r="A25" s="195"/>
      <c r="B25" s="144">
        <v>22</v>
      </c>
      <c r="C25" s="2"/>
      <c r="D25" s="1"/>
      <c r="E25" s="3"/>
      <c r="F25" s="1"/>
      <c r="G25" s="141">
        <f>IF(Basic34[[#This Row],[نوع الخدمة]]="مخالفات", 50,
IF(Basic34[[#This Row],[نوع الخدمة]]="كاش ان",
    IF(F25&lt;=100, 18, IF(F25&lt;=250, 23, IF(F25&lt;=500, 35, IF(F25&lt;=1000, 40, F25*0.04)))),
IF(Basic34[[#This Row],[نوع الخدمة]]="كاش اوت",
    IF(F25&lt;=100, 15, IF(F25&lt;=250, 20, IF(F25&lt;=500, 30, IF(F25&lt;=1000, 35, F25*0.035)))),
0)))</f>
        <v>0</v>
      </c>
      <c r="H25" s="159">
        <f>IF(I25="مخالفات",50,Basic34[[#This Row],[قيمة الرسوم / العموله]]+Basic34[[#This Row],[قيمة الشحنه]])</f>
        <v>0</v>
      </c>
      <c r="I25" s="90"/>
      <c r="J25" s="142" t="str">
        <f t="shared" si="0"/>
        <v>29.5.2026</v>
      </c>
      <c r="L25" s="153">
        <v>14</v>
      </c>
      <c r="M25" s="92"/>
      <c r="O25" s="147" t="s">
        <v>27</v>
      </c>
      <c r="P25" s="135">
        <f>M5</f>
        <v>0</v>
      </c>
    </row>
    <row r="26" spans="1:21" ht="21.6" x14ac:dyDescent="0.65">
      <c r="A26" s="195"/>
      <c r="B26" s="140">
        <v>23</v>
      </c>
      <c r="C26" s="2"/>
      <c r="D26" s="1"/>
      <c r="E26" s="3"/>
      <c r="F26" s="1"/>
      <c r="G26" s="141">
        <f>IF(Basic34[[#This Row],[نوع الخدمة]]="مخالفات", 50,
IF(Basic34[[#This Row],[نوع الخدمة]]="كاش ان",
    IF(F26&lt;=100, 18, IF(F26&lt;=250, 23, IF(F26&lt;=500, 35, IF(F26&lt;=1000, 40, F26*0.04)))),
IF(Basic34[[#This Row],[نوع الخدمة]]="كاش اوت",
    IF(F26&lt;=100, 15, IF(F26&lt;=250, 20, IF(F26&lt;=500, 30, IF(F26&lt;=1000, 35, F26*0.035)))),
0)))</f>
        <v>0</v>
      </c>
      <c r="H26" s="159">
        <f>IF(I26="مخالفات",50,Basic34[[#This Row],[قيمة الرسوم / العموله]]+Basic34[[#This Row],[قيمة الشحنه]])</f>
        <v>0</v>
      </c>
      <c r="I26" s="90"/>
      <c r="J26" s="142" t="str">
        <f t="shared" si="0"/>
        <v>29.5.2026</v>
      </c>
      <c r="L26" s="153">
        <v>15</v>
      </c>
      <c r="M26" s="92"/>
      <c r="O26" s="147" t="s">
        <v>28</v>
      </c>
      <c r="P26" s="135">
        <f>M6</f>
        <v>0</v>
      </c>
    </row>
    <row r="27" spans="1:21" ht="21.6" x14ac:dyDescent="0.65">
      <c r="A27" s="195"/>
      <c r="B27" s="140">
        <v>24</v>
      </c>
      <c r="C27" s="2"/>
      <c r="D27" s="1"/>
      <c r="E27" s="3"/>
      <c r="F27" s="1"/>
      <c r="G27" s="141">
        <f>IF(Basic34[[#This Row],[نوع الخدمة]]="مخالفات", 50,
IF(Basic34[[#This Row],[نوع الخدمة]]="كاش ان",
    IF(F27&lt;=100, 18, IF(F27&lt;=250, 23, IF(F27&lt;=500, 35, IF(F27&lt;=1000, 40, F27*0.04)))),
IF(Basic34[[#This Row],[نوع الخدمة]]="كاش اوت",
    IF(F27&lt;=100, 15, IF(F27&lt;=250, 20, IF(F27&lt;=500, 30, IF(F27&lt;=1000, 35, F27*0.035)))),
0)))</f>
        <v>0</v>
      </c>
      <c r="H27" s="159">
        <f>IF(I27="مخالفات",50,Basic34[[#This Row],[قيمة الرسوم / العموله]]+Basic34[[#This Row],[قيمة الشحنه]])</f>
        <v>0</v>
      </c>
      <c r="I27" s="90"/>
      <c r="J27" s="142" t="str">
        <f t="shared" si="0"/>
        <v>29.5.2026</v>
      </c>
      <c r="L27" s="153">
        <v>16</v>
      </c>
      <c r="M27" s="92"/>
      <c r="O27" s="196" t="s">
        <v>33</v>
      </c>
      <c r="P27" s="197"/>
    </row>
    <row r="28" spans="1:21" ht="21.6" x14ac:dyDescent="0.65">
      <c r="A28" s="195"/>
      <c r="B28" s="140">
        <v>25</v>
      </c>
      <c r="C28" s="2"/>
      <c r="D28" s="1"/>
      <c r="E28" s="3"/>
      <c r="F28" s="1"/>
      <c r="G28" s="141">
        <f>IF(Basic34[[#This Row],[نوع الخدمة]]="مخالفات", 50,
IF(Basic34[[#This Row],[نوع الخدمة]]="كاش ان",
    IF(F28&lt;=100, 18, IF(F28&lt;=250, 23, IF(F28&lt;=500, 35, IF(F28&lt;=1000, 40, F28*0.04)))),
IF(Basic34[[#This Row],[نوع الخدمة]]="كاش اوت",
    IF(F28&lt;=100, 15, IF(F28&lt;=250, 20, IF(F28&lt;=500, 30, IF(F28&lt;=1000, 35, F28*0.035)))),
0)))</f>
        <v>0</v>
      </c>
      <c r="H28" s="159">
        <f>IF(I28="مخالفات",50,Basic34[[#This Row],[قيمة الرسوم / العموله]]+Basic34[[#This Row],[قيمة الشحنه]])</f>
        <v>0</v>
      </c>
      <c r="I28" s="90"/>
      <c r="J28" s="142" t="str">
        <f t="shared" si="0"/>
        <v>29.5.2026</v>
      </c>
      <c r="L28" s="153">
        <v>17</v>
      </c>
      <c r="M28" s="92"/>
      <c r="O28" s="147" t="s">
        <v>27</v>
      </c>
      <c r="P28" s="135">
        <f>P22-P25</f>
        <v>-4</v>
      </c>
    </row>
    <row r="29" spans="1:21" ht="21.6" x14ac:dyDescent="0.65">
      <c r="A29" s="195"/>
      <c r="B29" s="144">
        <v>26</v>
      </c>
      <c r="C29" s="2"/>
      <c r="D29" s="1"/>
      <c r="E29" s="3"/>
      <c r="F29" s="1"/>
      <c r="G29" s="141">
        <f>IF(Basic34[[#This Row],[نوع الخدمة]]="مخالفات", 50,
IF(Basic34[[#This Row],[نوع الخدمة]]="كاش ان",
    IF(F29&lt;=100, 18, IF(F29&lt;=250, 23, IF(F29&lt;=500, 35, IF(F29&lt;=1000, 40, F29*0.04)))),
IF(Basic34[[#This Row],[نوع الخدمة]]="كاش اوت",
    IF(F29&lt;=100, 15, IF(F29&lt;=250, 20, IF(F29&lt;=500, 30, IF(F29&lt;=1000, 35, F29*0.035)))),
0)))</f>
        <v>0</v>
      </c>
      <c r="H29" s="159">
        <f>IF(I29="مخالفات",50,Basic34[[#This Row],[قيمة الرسوم / العموله]]+Basic34[[#This Row],[قيمة الشحنه]])</f>
        <v>0</v>
      </c>
      <c r="I29" s="90"/>
      <c r="J29" s="142" t="str">
        <f t="shared" si="0"/>
        <v>29.5.2026</v>
      </c>
      <c r="L29" s="153">
        <v>18</v>
      </c>
      <c r="M29" s="92"/>
      <c r="O29" s="147" t="s">
        <v>28</v>
      </c>
      <c r="P29" s="135">
        <f>P23-P26</f>
        <v>0</v>
      </c>
    </row>
    <row r="30" spans="1:21" ht="21.6" x14ac:dyDescent="0.65">
      <c r="A30" s="195"/>
      <c r="B30" s="140">
        <v>27</v>
      </c>
      <c r="C30" s="2"/>
      <c r="D30" s="1"/>
      <c r="E30" s="3"/>
      <c r="F30" s="1"/>
      <c r="G30" s="141">
        <f>IF(Basic34[[#This Row],[نوع الخدمة]]="مخالفات", 50,
IF(Basic34[[#This Row],[نوع الخدمة]]="كاش ان",
    IF(F30&lt;=100, 18, IF(F30&lt;=250, 23, IF(F30&lt;=500, 35, IF(F30&lt;=1000, 40, F30*0.04)))),
IF(Basic34[[#This Row],[نوع الخدمة]]="كاش اوت",
    IF(F30&lt;=100, 15, IF(F30&lt;=250, 20, IF(F30&lt;=500, 30, IF(F30&lt;=1000, 35, F30*0.035)))),
0)))</f>
        <v>0</v>
      </c>
      <c r="H30" s="159">
        <f>IF(I30="مخالفات",50,Basic34[[#This Row],[قيمة الرسوم / العموله]]+Basic34[[#This Row],[قيمة الشحنه]])</f>
        <v>0</v>
      </c>
      <c r="I30" s="90"/>
      <c r="J30" s="142" t="str">
        <f t="shared" si="0"/>
        <v>29.5.2026</v>
      </c>
      <c r="L30" s="153">
        <v>19</v>
      </c>
      <c r="M30" s="92"/>
    </row>
    <row r="31" spans="1:21" ht="21.6" x14ac:dyDescent="0.65">
      <c r="A31" s="195"/>
      <c r="B31" s="140">
        <v>28</v>
      </c>
      <c r="C31" s="2"/>
      <c r="D31" s="1"/>
      <c r="E31" s="3"/>
      <c r="F31" s="1"/>
      <c r="G31" s="141">
        <f>IF(Basic34[[#This Row],[نوع الخدمة]]="مخالفات", 50,
IF(Basic34[[#This Row],[نوع الخدمة]]="كاش ان",
    IF(F31&lt;=100, 18, IF(F31&lt;=250, 23, IF(F31&lt;=500, 35, IF(F31&lt;=1000, 40, F31*0.04)))),
IF(Basic34[[#This Row],[نوع الخدمة]]="كاش اوت",
    IF(F31&lt;=100, 15, IF(F31&lt;=250, 20, IF(F31&lt;=500, 30, IF(F31&lt;=1000, 35, F31*0.035)))),
0)))</f>
        <v>0</v>
      </c>
      <c r="H31" s="159">
        <f>IF(I31="مخالفات",50,Basic34[[#This Row],[قيمة الرسوم / العموله]]+Basic34[[#This Row],[قيمة الشحنه]])</f>
        <v>0</v>
      </c>
      <c r="I31" s="90"/>
      <c r="J31" s="142" t="str">
        <f t="shared" si="0"/>
        <v>29.5.2026</v>
      </c>
      <c r="L31" s="153">
        <v>20</v>
      </c>
      <c r="M31" s="92"/>
    </row>
    <row r="32" spans="1:21" ht="21.6" x14ac:dyDescent="0.65">
      <c r="A32" s="195"/>
      <c r="B32" s="140">
        <v>29</v>
      </c>
      <c r="C32" s="2"/>
      <c r="D32" s="1"/>
      <c r="E32" s="3"/>
      <c r="F32" s="1"/>
      <c r="G32" s="141">
        <f>IF(Basic34[[#This Row],[نوع الخدمة]]="مخالفات", 50,
IF(Basic34[[#This Row],[نوع الخدمة]]="كاش ان",
    IF(F32&lt;=100, 18, IF(F32&lt;=250, 23, IF(F32&lt;=500, 35, IF(F32&lt;=1000, 40, F32*0.04)))),
IF(Basic34[[#This Row],[نوع الخدمة]]="كاش اوت",
    IF(F32&lt;=100, 15, IF(F32&lt;=250, 20, IF(F32&lt;=500, 30, IF(F32&lt;=1000, 35, F32*0.035)))),
0)))</f>
        <v>0</v>
      </c>
      <c r="H32" s="159">
        <f>IF(I32="مخالفات",50,Basic34[[#This Row],[قيمة الرسوم / العموله]]+Basic34[[#This Row],[قيمة الشحنه]])</f>
        <v>0</v>
      </c>
      <c r="I32" s="90"/>
      <c r="J32" s="142" t="str">
        <f t="shared" si="0"/>
        <v>29.5.2026</v>
      </c>
      <c r="L32" s="153">
        <v>21</v>
      </c>
      <c r="M32" s="92"/>
    </row>
    <row r="33" spans="1:13" ht="21.6" x14ac:dyDescent="0.65">
      <c r="A33" s="195"/>
      <c r="B33" s="144">
        <v>30</v>
      </c>
      <c r="C33" s="2"/>
      <c r="D33" s="1"/>
      <c r="E33" s="3"/>
      <c r="F33" s="1"/>
      <c r="G33" s="141">
        <f>IF(Basic34[[#This Row],[نوع الخدمة]]="مخالفات", 50,
IF(Basic34[[#This Row],[نوع الخدمة]]="كاش ان",
    IF(F33&lt;=100, 18, IF(F33&lt;=250, 23, IF(F33&lt;=500, 35, IF(F33&lt;=1000, 40, F33*0.04)))),
IF(Basic34[[#This Row],[نوع الخدمة]]="كاش اوت",
    IF(F33&lt;=100, 15, IF(F33&lt;=250, 20, IF(F33&lt;=500, 30, IF(F33&lt;=1000, 35, F33*0.035)))),
0)))</f>
        <v>0</v>
      </c>
      <c r="H33" s="159">
        <f>IF(I33="مخالفات",50,Basic34[[#This Row],[قيمة الرسوم / العموله]]+Basic34[[#This Row],[قيمة الشحنه]])</f>
        <v>0</v>
      </c>
      <c r="I33" s="90"/>
      <c r="J33" s="142" t="str">
        <f t="shared" si="0"/>
        <v>29.5.2026</v>
      </c>
      <c r="L33" s="153">
        <v>22</v>
      </c>
      <c r="M33" s="92"/>
    </row>
    <row r="34" spans="1:13" ht="21.6" x14ac:dyDescent="0.65">
      <c r="A34" s="195"/>
      <c r="B34" s="140">
        <v>31</v>
      </c>
      <c r="C34" s="2"/>
      <c r="D34" s="1"/>
      <c r="E34" s="3"/>
      <c r="F34" s="1"/>
      <c r="G34" s="141">
        <f>IF(Basic34[[#This Row],[نوع الخدمة]]="مخالفات", 50,
IF(Basic34[[#This Row],[نوع الخدمة]]="كاش ان",
    IF(F34&lt;=100, 18, IF(F34&lt;=250, 23, IF(F34&lt;=500, 35, IF(F34&lt;=1000, 40, F34*0.04)))),
IF(Basic34[[#This Row],[نوع الخدمة]]="كاش اوت",
    IF(F34&lt;=100, 15, IF(F34&lt;=250, 20, IF(F34&lt;=500, 30, IF(F34&lt;=1000, 35, F34*0.035)))),
0)))</f>
        <v>0</v>
      </c>
      <c r="H34" s="159">
        <f>IF(I34="مخالفات",50,Basic34[[#This Row],[قيمة الرسوم / العموله]]+Basic34[[#This Row],[قيمة الشحنه]])</f>
        <v>0</v>
      </c>
      <c r="I34" s="90"/>
      <c r="J34" s="142" t="str">
        <f t="shared" si="0"/>
        <v>29.5.2026</v>
      </c>
      <c r="L34" s="153">
        <v>23</v>
      </c>
      <c r="M34" s="92"/>
    </row>
    <row r="35" spans="1:13" ht="21.6" x14ac:dyDescent="0.65">
      <c r="A35" s="195"/>
      <c r="B35" s="140">
        <v>32</v>
      </c>
      <c r="C35" s="2"/>
      <c r="D35" s="1"/>
      <c r="E35" s="3"/>
      <c r="F35" s="1"/>
      <c r="G35" s="141">
        <f>IF(Basic34[[#This Row],[نوع الخدمة]]="مخالفات", 50,
IF(Basic34[[#This Row],[نوع الخدمة]]="كاش ان",
    IF(F35&lt;=100, 18, IF(F35&lt;=250, 23, IF(F35&lt;=500, 35, IF(F35&lt;=1000, 40, F35*0.04)))),
IF(Basic34[[#This Row],[نوع الخدمة]]="كاش اوت",
    IF(F35&lt;=100, 15, IF(F35&lt;=250, 20, IF(F35&lt;=500, 30, IF(F35&lt;=1000, 35, F35*0.035)))),
0)))</f>
        <v>0</v>
      </c>
      <c r="H35" s="159">
        <f>IF(I35="مخالفات",50,Basic34[[#This Row],[قيمة الرسوم / العموله]]+Basic34[[#This Row],[قيمة الشحنه]])</f>
        <v>0</v>
      </c>
      <c r="I35" s="90"/>
      <c r="J35" s="142" t="str">
        <f t="shared" si="0"/>
        <v>29.5.2026</v>
      </c>
      <c r="L35" s="153">
        <v>24</v>
      </c>
      <c r="M35" s="92"/>
    </row>
    <row r="36" spans="1:13" ht="21.6" x14ac:dyDescent="0.65">
      <c r="A36" s="195"/>
      <c r="B36" s="140">
        <v>33</v>
      </c>
      <c r="C36" s="2"/>
      <c r="D36" s="1"/>
      <c r="E36" s="3"/>
      <c r="F36" s="1"/>
      <c r="G36" s="141">
        <f>IF(Basic34[[#This Row],[نوع الخدمة]]="مخالفات", 50,
IF(Basic34[[#This Row],[نوع الخدمة]]="كاش ان",
    IF(F36&lt;=100, 18, IF(F36&lt;=250, 23, IF(F36&lt;=500, 35, IF(F36&lt;=1000, 40, F36*0.04)))),
IF(Basic34[[#This Row],[نوع الخدمة]]="كاش اوت",
    IF(F36&lt;=100, 15, IF(F36&lt;=250, 20, IF(F36&lt;=500, 30, IF(F36&lt;=1000, 35, F36*0.035)))),
0)))</f>
        <v>0</v>
      </c>
      <c r="H36" s="159">
        <f>IF(I36="مخالفات",50,Basic34[[#This Row],[قيمة الرسوم / العموله]]+Basic34[[#This Row],[قيمة الشحنه]])</f>
        <v>0</v>
      </c>
      <c r="I36" s="90"/>
      <c r="J36" s="142" t="str">
        <f t="shared" si="0"/>
        <v>29.5.2026</v>
      </c>
      <c r="L36" s="153">
        <v>25</v>
      </c>
      <c r="M36" s="92"/>
    </row>
    <row r="37" spans="1:13" ht="21.6" x14ac:dyDescent="0.65">
      <c r="A37" s="195"/>
      <c r="B37" s="144">
        <v>34</v>
      </c>
      <c r="C37" s="2"/>
      <c r="D37" s="1"/>
      <c r="E37" s="3"/>
      <c r="F37" s="1"/>
      <c r="G37" s="141">
        <f>IF(Basic34[[#This Row],[نوع الخدمة]]="مخالفات", 50,
IF(Basic34[[#This Row],[نوع الخدمة]]="كاش ان",
    IF(F37&lt;=100, 18, IF(F37&lt;=250, 23, IF(F37&lt;=500, 35, IF(F37&lt;=1000, 40, F37*0.04)))),
IF(Basic34[[#This Row],[نوع الخدمة]]="كاش اوت",
    IF(F37&lt;=100, 15, IF(F37&lt;=250, 20, IF(F37&lt;=500, 30, IF(F37&lt;=1000, 35, F37*0.035)))),
0)))</f>
        <v>0</v>
      </c>
      <c r="H37" s="159">
        <f>IF(I37="مخالفات",50,Basic34[[#This Row],[قيمة الرسوم / العموله]]+Basic34[[#This Row],[قيمة الشحنه]])</f>
        <v>0</v>
      </c>
      <c r="I37" s="90"/>
      <c r="J37" s="142" t="str">
        <f t="shared" si="0"/>
        <v>29.5.2026</v>
      </c>
      <c r="L37" s="153">
        <v>26</v>
      </c>
      <c r="M37" s="92"/>
    </row>
    <row r="38" spans="1:13" ht="21.6" x14ac:dyDescent="0.65">
      <c r="A38" s="195"/>
      <c r="B38" s="140">
        <v>35</v>
      </c>
      <c r="C38" s="2"/>
      <c r="D38" s="1"/>
      <c r="E38" s="3"/>
      <c r="F38" s="1"/>
      <c r="G38" s="141">
        <f>IF(Basic34[[#This Row],[نوع الخدمة]]="مخالفات", 50,
IF(Basic34[[#This Row],[نوع الخدمة]]="كاش ان",
    IF(F38&lt;=100, 18, IF(F38&lt;=250, 23, IF(F38&lt;=500, 35, IF(F38&lt;=1000, 40, F38*0.04)))),
IF(Basic34[[#This Row],[نوع الخدمة]]="كاش اوت",
    IF(F38&lt;=100, 15, IF(F38&lt;=250, 20, IF(F38&lt;=500, 30, IF(F38&lt;=1000, 35, F38*0.035)))),
0)))</f>
        <v>0</v>
      </c>
      <c r="H38" s="159">
        <f>IF(I38="مخالفات",50,Basic34[[#This Row],[قيمة الرسوم / العموله]]+Basic34[[#This Row],[قيمة الشحنه]])</f>
        <v>0</v>
      </c>
      <c r="I38" s="90"/>
      <c r="J38" s="142" t="str">
        <f t="shared" si="0"/>
        <v>29.5.2026</v>
      </c>
      <c r="L38" s="153">
        <v>27</v>
      </c>
      <c r="M38" s="92"/>
    </row>
    <row r="39" spans="1:13" ht="21.6" x14ac:dyDescent="0.65">
      <c r="A39" s="195"/>
      <c r="B39" s="140">
        <v>36</v>
      </c>
      <c r="C39" s="2"/>
      <c r="D39" s="1"/>
      <c r="E39" s="3"/>
      <c r="F39" s="1"/>
      <c r="G39" s="141">
        <f>IF(Basic34[[#This Row],[نوع الخدمة]]="مخالفات", 50,
IF(Basic34[[#This Row],[نوع الخدمة]]="كاش ان",
    IF(F39&lt;=100, 18, IF(F39&lt;=250, 23, IF(F39&lt;=500, 35, IF(F39&lt;=1000, 40, F39*0.04)))),
IF(Basic34[[#This Row],[نوع الخدمة]]="كاش اوت",
    IF(F39&lt;=100, 15, IF(F39&lt;=250, 20, IF(F39&lt;=500, 30, IF(F39&lt;=1000, 35, F39*0.035)))),
0)))</f>
        <v>0</v>
      </c>
      <c r="H39" s="159">
        <f>IF(I39="مخالفات",50,Basic34[[#This Row],[قيمة الرسوم / العموله]]+Basic34[[#This Row],[قيمة الشحنه]])</f>
        <v>0</v>
      </c>
      <c r="I39" s="90"/>
      <c r="J39" s="142" t="str">
        <f t="shared" si="0"/>
        <v>29.5.2026</v>
      </c>
      <c r="L39" s="153">
        <v>28</v>
      </c>
      <c r="M39" s="92"/>
    </row>
    <row r="40" spans="1:13" ht="21.6" x14ac:dyDescent="0.65">
      <c r="A40" s="195"/>
      <c r="B40" s="140">
        <v>37</v>
      </c>
      <c r="C40" s="2"/>
      <c r="D40" s="1"/>
      <c r="E40" s="3"/>
      <c r="F40" s="1"/>
      <c r="G40" s="141">
        <f>IF(Basic34[[#This Row],[نوع الخدمة]]="مخالفات", 50,
IF(Basic34[[#This Row],[نوع الخدمة]]="كاش ان",
    IF(F40&lt;=100, 18, IF(F40&lt;=250, 23, IF(F40&lt;=500, 35, IF(F40&lt;=1000, 40, F40*0.04)))),
IF(Basic34[[#This Row],[نوع الخدمة]]="كاش اوت",
    IF(F40&lt;=100, 15, IF(F40&lt;=250, 20, IF(F40&lt;=500, 30, IF(F40&lt;=1000, 35, F40*0.035)))),
0)))</f>
        <v>0</v>
      </c>
      <c r="H40" s="159">
        <f>IF(I40="مخالفات",50,Basic34[[#This Row],[قيمة الرسوم / العموله]]+Basic34[[#This Row],[قيمة الشحنه]])</f>
        <v>0</v>
      </c>
      <c r="I40" s="90"/>
      <c r="J40" s="142" t="str">
        <f t="shared" si="0"/>
        <v>29.5.2026</v>
      </c>
      <c r="L40" s="153">
        <v>29</v>
      </c>
      <c r="M40" s="92"/>
    </row>
    <row r="41" spans="1:13" ht="21.6" x14ac:dyDescent="0.65">
      <c r="A41" s="195"/>
      <c r="B41" s="144">
        <v>38</v>
      </c>
      <c r="C41" s="2"/>
      <c r="D41" s="1"/>
      <c r="E41" s="3"/>
      <c r="F41" s="1"/>
      <c r="G41" s="141">
        <f>IF(Basic34[[#This Row],[نوع الخدمة]]="مخالفات", 50,
IF(Basic34[[#This Row],[نوع الخدمة]]="كاش ان",
    IF(F41&lt;=100, 18, IF(F41&lt;=250, 23, IF(F41&lt;=500, 35, IF(F41&lt;=1000, 40, F41*0.04)))),
IF(Basic34[[#This Row],[نوع الخدمة]]="كاش اوت",
    IF(F41&lt;=100, 15, IF(F41&lt;=250, 20, IF(F41&lt;=500, 30, IF(F41&lt;=1000, 35, F41*0.035)))),
0)))</f>
        <v>0</v>
      </c>
      <c r="H41" s="159">
        <f>IF(I41="مخالفات",50,Basic34[[#This Row],[قيمة الرسوم / العموله]]+Basic34[[#This Row],[قيمة الشحنه]])</f>
        <v>0</v>
      </c>
      <c r="I41" s="90"/>
      <c r="J41" s="142" t="str">
        <f t="shared" si="0"/>
        <v>29.5.2026</v>
      </c>
      <c r="L41" s="153">
        <v>30</v>
      </c>
      <c r="M41" s="92"/>
    </row>
    <row r="42" spans="1:13" ht="21.6" x14ac:dyDescent="0.65">
      <c r="A42" s="195"/>
      <c r="B42" s="140">
        <v>39</v>
      </c>
      <c r="C42" s="2"/>
      <c r="D42" s="1"/>
      <c r="E42" s="3"/>
      <c r="F42" s="1"/>
      <c r="G42" s="141">
        <f>IF(Basic34[[#This Row],[نوع الخدمة]]="مخالفات", 50,
IF(Basic34[[#This Row],[نوع الخدمة]]="كاش ان",
    IF(F42&lt;=100, 18, IF(F42&lt;=250, 23, IF(F42&lt;=500, 35, IF(F42&lt;=1000, 40, F42*0.04)))),
IF(Basic34[[#This Row],[نوع الخدمة]]="كاش اوت",
    IF(F42&lt;=100, 15, IF(F42&lt;=250, 20, IF(F42&lt;=500, 30, IF(F42&lt;=1000, 35, F42*0.035)))),
0)))</f>
        <v>0</v>
      </c>
      <c r="H42" s="159">
        <f>IF(I42="مخالفات",50,Basic34[[#This Row],[قيمة الرسوم / العموله]]+Basic34[[#This Row],[قيمة الشحنه]])</f>
        <v>0</v>
      </c>
      <c r="I42" s="90"/>
      <c r="J42" s="142" t="str">
        <f t="shared" si="0"/>
        <v>29.5.2026</v>
      </c>
      <c r="L42" s="153">
        <v>31</v>
      </c>
      <c r="M42" s="92"/>
    </row>
    <row r="43" spans="1:13" ht="21.6" x14ac:dyDescent="0.65">
      <c r="A43" s="195"/>
      <c r="B43" s="140">
        <v>40</v>
      </c>
      <c r="C43" s="2"/>
      <c r="D43" s="1"/>
      <c r="E43" s="3"/>
      <c r="F43" s="1"/>
      <c r="G43" s="141">
        <f>IF(Basic34[[#This Row],[نوع الخدمة]]="مخالفات", 50,
IF(Basic34[[#This Row],[نوع الخدمة]]="كاش ان",
    IF(F43&lt;=100, 18, IF(F43&lt;=250, 23, IF(F43&lt;=500, 35, IF(F43&lt;=1000, 40, F43*0.04)))),
IF(Basic34[[#This Row],[نوع الخدمة]]="كاش اوت",
    IF(F43&lt;=100, 15, IF(F43&lt;=250, 20, IF(F43&lt;=500, 30, IF(F43&lt;=1000, 35, F43*0.035)))),
0)))</f>
        <v>0</v>
      </c>
      <c r="H43" s="159">
        <f>IF(I43="مخالفات",50,Basic34[[#This Row],[قيمة الرسوم / العموله]]+Basic34[[#This Row],[قيمة الشحنه]])</f>
        <v>0</v>
      </c>
      <c r="I43" s="90"/>
      <c r="J43" s="142" t="str">
        <f t="shared" si="0"/>
        <v>29.5.2026</v>
      </c>
      <c r="L43" s="153">
        <v>32</v>
      </c>
      <c r="M43" s="92"/>
    </row>
    <row r="44" spans="1:13" ht="21.6" x14ac:dyDescent="0.65">
      <c r="A44" s="195"/>
      <c r="B44" s="140">
        <v>41</v>
      </c>
      <c r="C44" s="2"/>
      <c r="D44" s="1"/>
      <c r="E44" s="3"/>
      <c r="F44" s="1"/>
      <c r="G44" s="141">
        <f>IF(Basic34[[#This Row],[نوع الخدمة]]="مخالفات", 50,
IF(Basic34[[#This Row],[نوع الخدمة]]="كاش ان",
    IF(F44&lt;=100, 18, IF(F44&lt;=250, 23, IF(F44&lt;=500, 35, IF(F44&lt;=1000, 40, F44*0.04)))),
IF(Basic34[[#This Row],[نوع الخدمة]]="كاش اوت",
    IF(F44&lt;=100, 15, IF(F44&lt;=250, 20, IF(F44&lt;=500, 30, IF(F44&lt;=1000, 35, F44*0.035)))),
0)))</f>
        <v>0</v>
      </c>
      <c r="H44" s="159">
        <f>IF(I44="مخالفات",50,Basic34[[#This Row],[قيمة الرسوم / العموله]]+Basic34[[#This Row],[قيمة الشحنه]])</f>
        <v>0</v>
      </c>
      <c r="I44" s="90"/>
      <c r="J44" s="142" t="str">
        <f t="shared" si="0"/>
        <v>29.5.2026</v>
      </c>
      <c r="L44" s="153">
        <v>33</v>
      </c>
      <c r="M44" s="92"/>
    </row>
    <row r="45" spans="1:13" ht="21.6" x14ac:dyDescent="0.65">
      <c r="A45" s="195"/>
      <c r="B45" s="144">
        <v>42</v>
      </c>
      <c r="C45" s="2"/>
      <c r="D45" s="1"/>
      <c r="E45" s="3"/>
      <c r="F45" s="1"/>
      <c r="G45" s="141">
        <f>IF(Basic34[[#This Row],[نوع الخدمة]]="مخالفات", 50,
IF(Basic34[[#This Row],[نوع الخدمة]]="كاش ان",
    IF(F45&lt;=100, 18, IF(F45&lt;=250, 23, IF(F45&lt;=500, 35, IF(F45&lt;=1000, 40, F45*0.04)))),
IF(Basic34[[#This Row],[نوع الخدمة]]="كاش اوت",
    IF(F45&lt;=100, 15, IF(F45&lt;=250, 20, IF(F45&lt;=500, 30, IF(F45&lt;=1000, 35, F45*0.035)))),
0)))</f>
        <v>0</v>
      </c>
      <c r="H45" s="159">
        <f>IF(I45="مخالفات",50,Basic34[[#This Row],[قيمة الرسوم / العموله]]+Basic34[[#This Row],[قيمة الشحنه]])</f>
        <v>0</v>
      </c>
      <c r="I45" s="90"/>
      <c r="J45" s="142" t="str">
        <f t="shared" si="0"/>
        <v>29.5.2026</v>
      </c>
      <c r="L45" s="153">
        <v>34</v>
      </c>
      <c r="M45" s="92"/>
    </row>
    <row r="46" spans="1:13" ht="21.6" x14ac:dyDescent="0.65">
      <c r="A46" s="195"/>
      <c r="B46" s="140">
        <v>43</v>
      </c>
      <c r="C46" s="2"/>
      <c r="D46" s="1"/>
      <c r="E46" s="3"/>
      <c r="F46" s="1"/>
      <c r="G46" s="141">
        <f>IF(Basic34[[#This Row],[نوع الخدمة]]="مخالفات", 50,
IF(Basic34[[#This Row],[نوع الخدمة]]="كاش ان",
    IF(F46&lt;=100, 18, IF(F46&lt;=250, 23, IF(F46&lt;=500, 35, IF(F46&lt;=1000, 40, F46*0.04)))),
IF(Basic34[[#This Row],[نوع الخدمة]]="كاش اوت",
    IF(F46&lt;=100, 15, IF(F46&lt;=250, 20, IF(F46&lt;=500, 30, IF(F46&lt;=1000, 35, F46*0.035)))),
0)))</f>
        <v>0</v>
      </c>
      <c r="H46" s="159">
        <f>IF(I46="مخالفات",50,Basic34[[#This Row],[قيمة الرسوم / العموله]]+Basic34[[#This Row],[قيمة الشحنه]])</f>
        <v>0</v>
      </c>
      <c r="I46" s="90"/>
      <c r="J46" s="142" t="str">
        <f t="shared" si="0"/>
        <v>29.5.2026</v>
      </c>
      <c r="L46" s="153">
        <v>35</v>
      </c>
      <c r="M46" s="92"/>
    </row>
    <row r="47" spans="1:13" ht="21.6" x14ac:dyDescent="0.65">
      <c r="A47" s="195"/>
      <c r="B47" s="140">
        <v>44</v>
      </c>
      <c r="C47" s="2"/>
      <c r="D47" s="1"/>
      <c r="E47" s="3"/>
      <c r="F47" s="1"/>
      <c r="G47" s="141">
        <f>IF(Basic34[[#This Row],[نوع الخدمة]]="مخالفات", 50,
IF(Basic34[[#This Row],[نوع الخدمة]]="كاش ان",
    IF(F47&lt;=100, 18, IF(F47&lt;=250, 23, IF(F47&lt;=500, 35, IF(F47&lt;=1000, 40, F47*0.04)))),
IF(Basic34[[#This Row],[نوع الخدمة]]="كاش اوت",
    IF(F47&lt;=100, 15, IF(F47&lt;=250, 20, IF(F47&lt;=500, 30, IF(F47&lt;=1000, 35, F47*0.035)))),
0)))</f>
        <v>0</v>
      </c>
      <c r="H47" s="159">
        <f>IF(I47="مخالفات",50,Basic34[[#This Row],[قيمة الرسوم / العموله]]+Basic34[[#This Row],[قيمة الشحنه]])</f>
        <v>0</v>
      </c>
      <c r="I47" s="90"/>
      <c r="J47" s="142" t="str">
        <f t="shared" si="0"/>
        <v>29.5.2026</v>
      </c>
      <c r="L47" s="153">
        <v>36</v>
      </c>
      <c r="M47" s="92"/>
    </row>
    <row r="48" spans="1:13" ht="21.6" x14ac:dyDescent="0.65">
      <c r="A48" s="195"/>
      <c r="B48" s="140">
        <v>45</v>
      </c>
      <c r="C48" s="2"/>
      <c r="D48" s="1"/>
      <c r="E48" s="3"/>
      <c r="F48" s="1"/>
      <c r="G48" s="141">
        <f>IF(Basic34[[#This Row],[نوع الخدمة]]="مخالفات", 50,
IF(Basic34[[#This Row],[نوع الخدمة]]="كاش ان",
    IF(F48&lt;=100, 18, IF(F48&lt;=250, 23, IF(F48&lt;=500, 35, IF(F48&lt;=1000, 40, F48*0.04)))),
IF(Basic34[[#This Row],[نوع الخدمة]]="كاش اوت",
    IF(F48&lt;=100, 15, IF(F48&lt;=250, 20, IF(F48&lt;=500, 30, IF(F48&lt;=1000, 35, F48*0.035)))),
0)))</f>
        <v>0</v>
      </c>
      <c r="H48" s="159">
        <f>IF(I48="مخالفات",50,Basic34[[#This Row],[قيمة الرسوم / العموله]]+Basic34[[#This Row],[قيمة الشحنه]])</f>
        <v>0</v>
      </c>
      <c r="I48" s="90"/>
      <c r="J48" s="142" t="str">
        <f t="shared" si="0"/>
        <v>29.5.2026</v>
      </c>
      <c r="L48" s="153">
        <v>37</v>
      </c>
      <c r="M48" s="92"/>
    </row>
    <row r="49" spans="1:13" ht="21.6" x14ac:dyDescent="0.65">
      <c r="A49" s="195"/>
      <c r="B49" s="144">
        <v>46</v>
      </c>
      <c r="C49" s="2"/>
      <c r="D49" s="1"/>
      <c r="E49" s="3"/>
      <c r="F49" s="1"/>
      <c r="G49" s="141">
        <f>IF(Basic34[[#This Row],[نوع الخدمة]]="مخالفات", 50,
IF(Basic34[[#This Row],[نوع الخدمة]]="كاش ان",
    IF(F49&lt;=100, 18, IF(F49&lt;=250, 23, IF(F49&lt;=500, 35, IF(F49&lt;=1000, 40, F49*0.04)))),
IF(Basic34[[#This Row],[نوع الخدمة]]="كاش اوت",
    IF(F49&lt;=100, 15, IF(F49&lt;=250, 20, IF(F49&lt;=500, 30, IF(F49&lt;=1000, 35, F49*0.035)))),
0)))</f>
        <v>0</v>
      </c>
      <c r="H49" s="159">
        <f>IF(I49="مخالفات",50,Basic34[[#This Row],[قيمة الرسوم / العموله]]+Basic34[[#This Row],[قيمة الشحنه]])</f>
        <v>0</v>
      </c>
      <c r="I49" s="90"/>
      <c r="J49" s="142" t="str">
        <f t="shared" si="0"/>
        <v>29.5.2026</v>
      </c>
      <c r="L49" s="153">
        <v>38</v>
      </c>
      <c r="M49" s="92"/>
    </row>
    <row r="50" spans="1:13" ht="21.6" x14ac:dyDescent="0.65">
      <c r="A50" s="195"/>
      <c r="B50" s="140">
        <v>47</v>
      </c>
      <c r="C50" s="2"/>
      <c r="D50" s="1"/>
      <c r="E50" s="3"/>
      <c r="F50" s="1"/>
      <c r="G50" s="141">
        <f>IF(Basic34[[#This Row],[نوع الخدمة]]="مخالفات", 50,
IF(Basic34[[#This Row],[نوع الخدمة]]="كاش ان",
    IF(F50&lt;=100, 18, IF(F50&lt;=250, 23, IF(F50&lt;=500, 35, IF(F50&lt;=1000, 40, F50*0.04)))),
IF(Basic34[[#This Row],[نوع الخدمة]]="كاش اوت",
    IF(F50&lt;=100, 15, IF(F50&lt;=250, 20, IF(F50&lt;=500, 30, IF(F50&lt;=1000, 35, F50*0.035)))),
0)))</f>
        <v>0</v>
      </c>
      <c r="H50" s="159">
        <f>IF(I50="مخالفات",50,Basic34[[#This Row],[قيمة الرسوم / العموله]]+Basic34[[#This Row],[قيمة الشحنه]])</f>
        <v>0</v>
      </c>
      <c r="I50" s="90"/>
      <c r="J50" s="142" t="str">
        <f t="shared" si="0"/>
        <v>29.5.2026</v>
      </c>
      <c r="L50" s="153">
        <v>39</v>
      </c>
      <c r="M50" s="92"/>
    </row>
    <row r="51" spans="1:13" ht="21.6" x14ac:dyDescent="0.65">
      <c r="A51" s="195"/>
      <c r="B51" s="140">
        <v>48</v>
      </c>
      <c r="C51" s="2"/>
      <c r="D51" s="1"/>
      <c r="E51" s="3"/>
      <c r="F51" s="1"/>
      <c r="G51" s="141">
        <f>IF(Basic34[[#This Row],[نوع الخدمة]]="مخالفات", 50,
IF(Basic34[[#This Row],[نوع الخدمة]]="كاش ان",
    IF(F51&lt;=100, 18, IF(F51&lt;=250, 23, IF(F51&lt;=500, 35, IF(F51&lt;=1000, 40, F51*0.04)))),
IF(Basic34[[#This Row],[نوع الخدمة]]="كاش اوت",
    IF(F51&lt;=100, 15, IF(F51&lt;=250, 20, IF(F51&lt;=500, 30, IF(F51&lt;=1000, 35, F51*0.035)))),
0)))</f>
        <v>0</v>
      </c>
      <c r="H51" s="159">
        <f>IF(I51="مخالفات",50,Basic34[[#This Row],[قيمة الرسوم / العموله]]+Basic34[[#This Row],[قيمة الشحنه]])</f>
        <v>0</v>
      </c>
      <c r="I51" s="90"/>
      <c r="J51" s="142" t="str">
        <f t="shared" si="0"/>
        <v>29.5.2026</v>
      </c>
      <c r="L51" s="153">
        <v>40</v>
      </c>
      <c r="M51" s="92"/>
    </row>
    <row r="52" spans="1:13" ht="21.6" x14ac:dyDescent="0.65">
      <c r="A52" s="195"/>
      <c r="B52" s="140">
        <v>49</v>
      </c>
      <c r="C52" s="2"/>
      <c r="D52" s="1"/>
      <c r="E52" s="3"/>
      <c r="F52" s="1"/>
      <c r="G52" s="141">
        <f>IF(Basic34[[#This Row],[نوع الخدمة]]="مخالفات", 50,
IF(Basic34[[#This Row],[نوع الخدمة]]="كاش ان",
    IF(F52&lt;=100, 18, IF(F52&lt;=250, 23, IF(F52&lt;=500, 35, IF(F52&lt;=1000, 40, F52*0.04)))),
IF(Basic34[[#This Row],[نوع الخدمة]]="كاش اوت",
    IF(F52&lt;=100, 15, IF(F52&lt;=250, 20, IF(F52&lt;=500, 30, IF(F52&lt;=1000, 35, F52*0.035)))),
0)))</f>
        <v>0</v>
      </c>
      <c r="H52" s="159">
        <f>IF(I52="مخالفات",50,Basic34[[#This Row],[قيمة الرسوم / العموله]]+Basic34[[#This Row],[قيمة الشحنه]])</f>
        <v>0</v>
      </c>
      <c r="I52" s="90"/>
      <c r="J52" s="142" t="str">
        <f t="shared" si="0"/>
        <v>29.5.2026</v>
      </c>
      <c r="L52" s="153">
        <v>41</v>
      </c>
      <c r="M52" s="92"/>
    </row>
    <row r="53" spans="1:13" ht="21.6" x14ac:dyDescent="0.65">
      <c r="A53" s="195"/>
      <c r="B53" s="144">
        <v>50</v>
      </c>
      <c r="C53" s="2"/>
      <c r="D53" s="1"/>
      <c r="E53" s="3"/>
      <c r="F53" s="1"/>
      <c r="G53" s="141">
        <f>IF(Basic34[[#This Row],[نوع الخدمة]]="مخالفات", 50,
IF(Basic34[[#This Row],[نوع الخدمة]]="كاش ان",
    IF(F53&lt;=100, 18, IF(F53&lt;=250, 23, IF(F53&lt;=500, 35, IF(F53&lt;=1000, 40, F53*0.04)))),
IF(Basic34[[#This Row],[نوع الخدمة]]="كاش اوت",
    IF(F53&lt;=100, 15, IF(F53&lt;=250, 20, IF(F53&lt;=500, 30, IF(F53&lt;=1000, 35, F53*0.035)))),
0)))</f>
        <v>0</v>
      </c>
      <c r="H53" s="159">
        <f>IF(I53="مخالفات",50,Basic34[[#This Row],[قيمة الرسوم / العموله]]+Basic34[[#This Row],[قيمة الشحنه]])</f>
        <v>0</v>
      </c>
      <c r="I53" s="90"/>
      <c r="J53" s="142" t="str">
        <f t="shared" si="0"/>
        <v>29.5.2026</v>
      </c>
      <c r="L53" s="153">
        <v>42</v>
      </c>
      <c r="M53" s="92"/>
    </row>
    <row r="54" spans="1:13" ht="21.6" x14ac:dyDescent="0.65">
      <c r="A54" s="195"/>
      <c r="B54" s="140">
        <v>51</v>
      </c>
      <c r="C54" s="2"/>
      <c r="D54" s="1"/>
      <c r="E54" s="3"/>
      <c r="F54" s="1"/>
      <c r="G54" s="141">
        <f>IF(Basic34[[#This Row],[نوع الخدمة]]="مخالفات", 50,
IF(Basic34[[#This Row],[نوع الخدمة]]="كاش ان",
    IF(F54&lt;=100, 18, IF(F54&lt;=250, 23, IF(F54&lt;=500, 35, IF(F54&lt;=1000, 40, F54*0.04)))),
IF(Basic34[[#This Row],[نوع الخدمة]]="كاش اوت",
    IF(F54&lt;=100, 15, IF(F54&lt;=250, 20, IF(F54&lt;=500, 30, IF(F54&lt;=1000, 35, F54*0.035)))),
0)))</f>
        <v>0</v>
      </c>
      <c r="H54" s="159">
        <f>IF(I54="مخالفات",50,Basic34[[#This Row],[قيمة الرسوم / العموله]]+Basic34[[#This Row],[قيمة الشحنه]])</f>
        <v>0</v>
      </c>
      <c r="I54" s="90"/>
      <c r="J54" s="142" t="str">
        <f t="shared" si="0"/>
        <v>29.5.2026</v>
      </c>
      <c r="L54" s="153">
        <v>43</v>
      </c>
      <c r="M54" s="92"/>
    </row>
    <row r="55" spans="1:13" ht="21.6" x14ac:dyDescent="0.65">
      <c r="A55" s="195"/>
      <c r="B55" s="140">
        <v>52</v>
      </c>
      <c r="C55" s="2"/>
      <c r="D55" s="1"/>
      <c r="E55" s="3"/>
      <c r="F55" s="1"/>
      <c r="G55" s="141">
        <f>IF(Basic34[[#This Row],[نوع الخدمة]]="مخالفات", 50,
IF(Basic34[[#This Row],[نوع الخدمة]]="كاش ان",
    IF(F55&lt;=100, 18, IF(F55&lt;=250, 23, IF(F55&lt;=500, 35, IF(F55&lt;=1000, 40, F55*0.04)))),
IF(Basic34[[#This Row],[نوع الخدمة]]="كاش اوت",
    IF(F55&lt;=100, 15, IF(F55&lt;=250, 20, IF(F55&lt;=500, 30, IF(F55&lt;=1000, 35, F55*0.035)))),
0)))</f>
        <v>0</v>
      </c>
      <c r="H55" s="159">
        <f>IF(I55="مخالفات",50,Basic34[[#This Row],[قيمة الرسوم / العموله]]+Basic34[[#This Row],[قيمة الشحنه]])</f>
        <v>0</v>
      </c>
      <c r="I55" s="90"/>
      <c r="J55" s="142" t="str">
        <f t="shared" si="0"/>
        <v>29.5.2026</v>
      </c>
      <c r="L55" s="153">
        <v>44</v>
      </c>
      <c r="M55" s="92"/>
    </row>
    <row r="56" spans="1:13" ht="21.6" x14ac:dyDescent="0.65">
      <c r="A56" s="195"/>
      <c r="B56" s="140">
        <v>53</v>
      </c>
      <c r="C56" s="2"/>
      <c r="D56" s="1"/>
      <c r="E56" s="3"/>
      <c r="F56" s="1"/>
      <c r="G56" s="141">
        <f>IF(Basic34[[#This Row],[نوع الخدمة]]="مخالفات", 50,
IF(Basic34[[#This Row],[نوع الخدمة]]="كاش ان",
    IF(F56&lt;=100, 18, IF(F56&lt;=250, 23, IF(F56&lt;=500, 35, IF(F56&lt;=1000, 40, F56*0.04)))),
IF(Basic34[[#This Row],[نوع الخدمة]]="كاش اوت",
    IF(F56&lt;=100, 15, IF(F56&lt;=250, 20, IF(F56&lt;=500, 30, IF(F56&lt;=1000, 35, F56*0.035)))),
0)))</f>
        <v>0</v>
      </c>
      <c r="H56" s="159">
        <f>IF(I56="مخالفات",50,Basic34[[#This Row],[قيمة الرسوم / العموله]]+Basic34[[#This Row],[قيمة الشحنه]])</f>
        <v>0</v>
      </c>
      <c r="I56" s="90"/>
      <c r="J56" s="142" t="str">
        <f t="shared" si="0"/>
        <v>29.5.2026</v>
      </c>
      <c r="L56" s="153">
        <v>45</v>
      </c>
      <c r="M56" s="92"/>
    </row>
    <row r="57" spans="1:13" ht="21.6" x14ac:dyDescent="0.65">
      <c r="A57" s="195"/>
      <c r="B57" s="144">
        <v>54</v>
      </c>
      <c r="C57" s="2"/>
      <c r="D57" s="1"/>
      <c r="E57" s="3"/>
      <c r="F57" s="1"/>
      <c r="G57" s="141">
        <f>IF(Basic34[[#This Row],[نوع الخدمة]]="مخالفات", 50,
IF(Basic34[[#This Row],[نوع الخدمة]]="كاش ان",
    IF(F57&lt;=100, 18, IF(F57&lt;=250, 23, IF(F57&lt;=500, 35, IF(F57&lt;=1000, 40, F57*0.04)))),
IF(Basic34[[#This Row],[نوع الخدمة]]="كاش اوت",
    IF(F57&lt;=100, 15, IF(F57&lt;=250, 20, IF(F57&lt;=500, 30, IF(F57&lt;=1000, 35, F57*0.035)))),
0)))</f>
        <v>0</v>
      </c>
      <c r="H57" s="159">
        <f>IF(I57="مخالفات",50,Basic34[[#This Row],[قيمة الرسوم / العموله]]+Basic34[[#This Row],[قيمة الشحنه]])</f>
        <v>0</v>
      </c>
      <c r="I57" s="90"/>
      <c r="J57" s="142" t="str">
        <f t="shared" si="0"/>
        <v>29.5.2026</v>
      </c>
      <c r="L57" s="153">
        <v>46</v>
      </c>
      <c r="M57" s="92"/>
    </row>
    <row r="58" spans="1:13" ht="21.6" x14ac:dyDescent="0.65">
      <c r="A58" s="195"/>
      <c r="B58" s="140">
        <v>55</v>
      </c>
      <c r="C58" s="2"/>
      <c r="D58" s="1"/>
      <c r="E58" s="3"/>
      <c r="F58" s="1"/>
      <c r="G58" s="141">
        <f>IF(Basic34[[#This Row],[نوع الخدمة]]="مخالفات", 50,
IF(Basic34[[#This Row],[نوع الخدمة]]="كاش ان",
    IF(F58&lt;=100, 18, IF(F58&lt;=250, 23, IF(F58&lt;=500, 35, IF(F58&lt;=1000, 40, F58*0.04)))),
IF(Basic34[[#This Row],[نوع الخدمة]]="كاش اوت",
    IF(F58&lt;=100, 15, IF(F58&lt;=250, 20, IF(F58&lt;=500, 30, IF(F58&lt;=1000, 35, F58*0.035)))),
0)))</f>
        <v>0</v>
      </c>
      <c r="H58" s="159">
        <f>IF(I58="مخالفات",50,Basic34[[#This Row],[قيمة الرسوم / العموله]]+Basic34[[#This Row],[قيمة الشحنه]])</f>
        <v>0</v>
      </c>
      <c r="I58" s="90"/>
      <c r="J58" s="142" t="str">
        <f t="shared" si="0"/>
        <v>29.5.2026</v>
      </c>
      <c r="L58" s="153">
        <v>47</v>
      </c>
      <c r="M58" s="92"/>
    </row>
    <row r="59" spans="1:13" ht="21.6" x14ac:dyDescent="0.65">
      <c r="A59" s="195"/>
      <c r="B59" s="140">
        <v>56</v>
      </c>
      <c r="C59" s="2"/>
      <c r="D59" s="1"/>
      <c r="E59" s="3"/>
      <c r="F59" s="1"/>
      <c r="G59" s="141">
        <f>IF(Basic34[[#This Row],[نوع الخدمة]]="مخالفات", 50,
IF(Basic34[[#This Row],[نوع الخدمة]]="كاش ان",
    IF(F59&lt;=100, 18, IF(F59&lt;=250, 23, IF(F59&lt;=500, 35, IF(F59&lt;=1000, 40, F59*0.04)))),
IF(Basic34[[#This Row],[نوع الخدمة]]="كاش اوت",
    IF(F59&lt;=100, 15, IF(F59&lt;=250, 20, IF(F59&lt;=500, 30, IF(F59&lt;=1000, 35, F59*0.035)))),
0)))</f>
        <v>0</v>
      </c>
      <c r="H59" s="159">
        <f>IF(I59="مخالفات",50,Basic34[[#This Row],[قيمة الرسوم / العموله]]+Basic34[[#This Row],[قيمة الشحنه]])</f>
        <v>0</v>
      </c>
      <c r="I59" s="90"/>
      <c r="J59" s="142" t="str">
        <f t="shared" si="0"/>
        <v>29.5.2026</v>
      </c>
      <c r="L59" s="153">
        <v>48</v>
      </c>
      <c r="M59" s="92"/>
    </row>
    <row r="60" spans="1:13" ht="21.6" x14ac:dyDescent="0.65">
      <c r="A60" s="195"/>
      <c r="B60" s="140">
        <v>57</v>
      </c>
      <c r="C60" s="2"/>
      <c r="D60" s="1"/>
      <c r="E60" s="3"/>
      <c r="F60" s="1"/>
      <c r="G60" s="141">
        <f>IF(Basic34[[#This Row],[نوع الخدمة]]="مخالفات", 50,
IF(Basic34[[#This Row],[نوع الخدمة]]="كاش ان",
    IF(F60&lt;=100, 18, IF(F60&lt;=250, 23, IF(F60&lt;=500, 35, IF(F60&lt;=1000, 40, F60*0.04)))),
IF(Basic34[[#This Row],[نوع الخدمة]]="كاش اوت",
    IF(F60&lt;=100, 15, IF(F60&lt;=250, 20, IF(F60&lt;=500, 30, IF(F60&lt;=1000, 35, F60*0.035)))),
0)))</f>
        <v>0</v>
      </c>
      <c r="H60" s="159">
        <f>IF(I60="مخالفات",50,Basic34[[#This Row],[قيمة الرسوم / العموله]]+Basic34[[#This Row],[قيمة الشحنه]])</f>
        <v>0</v>
      </c>
      <c r="I60" s="90"/>
      <c r="J60" s="142" t="str">
        <f t="shared" si="0"/>
        <v>29.5.2026</v>
      </c>
      <c r="L60" s="153">
        <v>49</v>
      </c>
      <c r="M60" s="92"/>
    </row>
    <row r="61" spans="1:13" ht="21.6" x14ac:dyDescent="0.65">
      <c r="A61" s="195"/>
      <c r="B61" s="144">
        <v>58</v>
      </c>
      <c r="C61" s="2"/>
      <c r="D61" s="1"/>
      <c r="E61" s="3"/>
      <c r="F61" s="1"/>
      <c r="G61" s="141">
        <f>IF(Basic34[[#This Row],[نوع الخدمة]]="مخالفات", 50,
IF(Basic34[[#This Row],[نوع الخدمة]]="كاش ان",
    IF(F61&lt;=100, 18, IF(F61&lt;=250, 23, IF(F61&lt;=500, 35, IF(F61&lt;=1000, 40, F61*0.04)))),
IF(Basic34[[#This Row],[نوع الخدمة]]="كاش اوت",
    IF(F61&lt;=100, 15, IF(F61&lt;=250, 20, IF(F61&lt;=500, 30, IF(F61&lt;=1000, 35, F61*0.035)))),
0)))</f>
        <v>0</v>
      </c>
      <c r="H61" s="159">
        <f>IF(I61="مخالفات",50,Basic34[[#This Row],[قيمة الرسوم / العموله]]+Basic34[[#This Row],[قيمة الشحنه]])</f>
        <v>0</v>
      </c>
      <c r="I61" s="90"/>
      <c r="J61" s="142" t="str">
        <f t="shared" si="0"/>
        <v>29.5.2026</v>
      </c>
      <c r="L61" s="153">
        <v>50</v>
      </c>
      <c r="M61" s="92"/>
    </row>
    <row r="62" spans="1:13" ht="21.6" x14ac:dyDescent="0.65">
      <c r="A62" s="195"/>
      <c r="B62" s="140">
        <v>59</v>
      </c>
      <c r="C62" s="2"/>
      <c r="D62" s="1"/>
      <c r="E62" s="3"/>
      <c r="F62" s="1"/>
      <c r="G62" s="141">
        <f>IF(Basic34[[#This Row],[نوع الخدمة]]="مخالفات", 50,
IF(Basic34[[#This Row],[نوع الخدمة]]="كاش ان",
    IF(F62&lt;=100, 18, IF(F62&lt;=250, 23, IF(F62&lt;=500, 35, IF(F62&lt;=1000, 40, F62*0.04)))),
IF(Basic34[[#This Row],[نوع الخدمة]]="كاش اوت",
    IF(F62&lt;=100, 15, IF(F62&lt;=250, 20, IF(F62&lt;=500, 30, IF(F62&lt;=1000, 35, F62*0.035)))),
0)))</f>
        <v>0</v>
      </c>
      <c r="H62" s="159">
        <f>IF(I62="مخالفات",50,Basic34[[#This Row],[قيمة الرسوم / العموله]]+Basic34[[#This Row],[قيمة الشحنه]])</f>
        <v>0</v>
      </c>
      <c r="I62" s="90"/>
      <c r="J62" s="142" t="str">
        <f t="shared" si="0"/>
        <v>29.5.2026</v>
      </c>
      <c r="L62" s="153">
        <v>51</v>
      </c>
      <c r="M62" s="92"/>
    </row>
    <row r="63" spans="1:13" ht="21.6" x14ac:dyDescent="0.65">
      <c r="A63" s="195"/>
      <c r="B63" s="140">
        <v>60</v>
      </c>
      <c r="C63" s="2"/>
      <c r="D63" s="1"/>
      <c r="E63" s="3"/>
      <c r="F63" s="1"/>
      <c r="G63" s="141">
        <f>IF(Basic34[[#This Row],[نوع الخدمة]]="مخالفات", 50,
IF(Basic34[[#This Row],[نوع الخدمة]]="كاش ان",
    IF(F63&lt;=100, 18, IF(F63&lt;=250, 23, IF(F63&lt;=500, 35, IF(F63&lt;=1000, 40, F63*0.04)))),
IF(Basic34[[#This Row],[نوع الخدمة]]="كاش اوت",
    IF(F63&lt;=100, 15, IF(F63&lt;=250, 20, IF(F63&lt;=500, 30, IF(F63&lt;=1000, 35, F63*0.035)))),
0)))</f>
        <v>0</v>
      </c>
      <c r="H63" s="159">
        <f>IF(I63="مخالفات",50,Basic34[[#This Row],[قيمة الرسوم / العموله]]+Basic34[[#This Row],[قيمة الشحنه]])</f>
        <v>0</v>
      </c>
      <c r="I63" s="90"/>
      <c r="J63" s="142" t="str">
        <f t="shared" si="0"/>
        <v>29.5.2026</v>
      </c>
      <c r="L63" s="153">
        <v>52</v>
      </c>
      <c r="M63" s="92"/>
    </row>
    <row r="64" spans="1:13" ht="21.6" x14ac:dyDescent="0.65">
      <c r="A64" s="195"/>
      <c r="B64" s="140">
        <v>61</v>
      </c>
      <c r="C64" s="2"/>
      <c r="D64" s="1"/>
      <c r="E64" s="3"/>
      <c r="F64" s="1"/>
      <c r="G64" s="141">
        <f>IF(Basic34[[#This Row],[نوع الخدمة]]="مخالفات", 50,
IF(Basic34[[#This Row],[نوع الخدمة]]="كاش ان",
    IF(F64&lt;=100, 18, IF(F64&lt;=250, 23, IF(F64&lt;=500, 35, IF(F64&lt;=1000, 40, F64*0.04)))),
IF(Basic34[[#This Row],[نوع الخدمة]]="كاش اوت",
    IF(F64&lt;=100, 15, IF(F64&lt;=250, 20, IF(F64&lt;=500, 30, IF(F64&lt;=1000, 35, F64*0.035)))),
0)))</f>
        <v>0</v>
      </c>
      <c r="H64" s="159">
        <f>IF(I64="مخالفات",50,Basic34[[#This Row],[قيمة الرسوم / العموله]]+Basic34[[#This Row],[قيمة الشحنه]])</f>
        <v>0</v>
      </c>
      <c r="I64" s="90"/>
      <c r="J64" s="142" t="str">
        <f t="shared" si="0"/>
        <v>29.5.2026</v>
      </c>
      <c r="L64" s="153">
        <v>53</v>
      </c>
      <c r="M64" s="92"/>
    </row>
    <row r="65" spans="1:13" ht="21.6" x14ac:dyDescent="0.65">
      <c r="A65" s="195"/>
      <c r="B65" s="144">
        <v>62</v>
      </c>
      <c r="C65" s="2"/>
      <c r="D65" s="1"/>
      <c r="E65" s="3"/>
      <c r="F65" s="1"/>
      <c r="G65" s="141">
        <f>IF(Basic34[[#This Row],[نوع الخدمة]]="مخالفات", 50,
IF(Basic34[[#This Row],[نوع الخدمة]]="كاش ان",
    IF(F65&lt;=100, 18, IF(F65&lt;=250, 23, IF(F65&lt;=500, 35, IF(F65&lt;=1000, 40, F65*0.04)))),
IF(Basic34[[#This Row],[نوع الخدمة]]="كاش اوت",
    IF(F65&lt;=100, 15, IF(F65&lt;=250, 20, IF(F65&lt;=500, 30, IF(F65&lt;=1000, 35, F65*0.035)))),
0)))</f>
        <v>0</v>
      </c>
      <c r="H65" s="159">
        <f>IF(I65="مخالفات",50,Basic34[[#This Row],[قيمة الرسوم / العموله]]+Basic34[[#This Row],[قيمة الشحنه]])</f>
        <v>0</v>
      </c>
      <c r="I65" s="90"/>
      <c r="J65" s="142" t="str">
        <f t="shared" si="0"/>
        <v>29.5.2026</v>
      </c>
      <c r="L65" s="153">
        <v>54</v>
      </c>
      <c r="M65" s="92"/>
    </row>
    <row r="66" spans="1:13" ht="21.6" x14ac:dyDescent="0.65">
      <c r="A66" s="195"/>
      <c r="B66" s="140">
        <v>63</v>
      </c>
      <c r="C66" s="2"/>
      <c r="D66" s="1"/>
      <c r="E66" s="3"/>
      <c r="F66" s="1"/>
      <c r="G66" s="141">
        <f>IF(Basic34[[#This Row],[نوع الخدمة]]="مخالفات", 50,
IF(Basic34[[#This Row],[نوع الخدمة]]="كاش ان",
    IF(F66&lt;=100, 18, IF(F66&lt;=250, 23, IF(F66&lt;=500, 35, IF(F66&lt;=1000, 40, F66*0.04)))),
IF(Basic34[[#This Row],[نوع الخدمة]]="كاش اوت",
    IF(F66&lt;=100, 15, IF(F66&lt;=250, 20, IF(F66&lt;=500, 30, IF(F66&lt;=1000, 35, F66*0.035)))),
0)))</f>
        <v>0</v>
      </c>
      <c r="H66" s="159">
        <f>IF(I66="مخالفات",50,Basic34[[#This Row],[قيمة الرسوم / العموله]]+Basic34[[#This Row],[قيمة الشحنه]])</f>
        <v>0</v>
      </c>
      <c r="I66" s="90"/>
      <c r="J66" s="142" t="str">
        <f t="shared" si="0"/>
        <v>29.5.2026</v>
      </c>
      <c r="L66" s="153">
        <v>55</v>
      </c>
      <c r="M66" s="92"/>
    </row>
    <row r="67" spans="1:13" ht="21.6" x14ac:dyDescent="0.65">
      <c r="A67" s="195"/>
      <c r="B67" s="140">
        <v>64</v>
      </c>
      <c r="C67" s="2"/>
      <c r="D67" s="1"/>
      <c r="E67" s="3"/>
      <c r="F67" s="1"/>
      <c r="G67" s="141">
        <f>IF(Basic34[[#This Row],[نوع الخدمة]]="مخالفات", 50,
IF(Basic34[[#This Row],[نوع الخدمة]]="كاش ان",
    IF(F67&lt;=100, 18, IF(F67&lt;=250, 23, IF(F67&lt;=500, 35, IF(F67&lt;=1000, 40, F67*0.04)))),
IF(Basic34[[#This Row],[نوع الخدمة]]="كاش اوت",
    IF(F67&lt;=100, 15, IF(F67&lt;=250, 20, IF(F67&lt;=500, 30, IF(F67&lt;=1000, 35, F67*0.035)))),
0)))</f>
        <v>0</v>
      </c>
      <c r="H67" s="159">
        <f>IF(I67="مخالفات",50,Basic34[[#This Row],[قيمة الرسوم / العموله]]+Basic34[[#This Row],[قيمة الشحنه]])</f>
        <v>0</v>
      </c>
      <c r="I67" s="90"/>
      <c r="J67" s="142" t="str">
        <f t="shared" si="0"/>
        <v>29.5.2026</v>
      </c>
      <c r="L67" s="153">
        <v>56</v>
      </c>
      <c r="M67" s="92"/>
    </row>
    <row r="68" spans="1:13" ht="21.6" x14ac:dyDescent="0.65">
      <c r="A68" s="195"/>
      <c r="B68" s="140">
        <v>65</v>
      </c>
      <c r="C68" s="2"/>
      <c r="D68" s="1"/>
      <c r="E68" s="3"/>
      <c r="F68" s="1"/>
      <c r="G68" s="141">
        <f>IF(Basic34[[#This Row],[نوع الخدمة]]="مخالفات", 50,
IF(Basic34[[#This Row],[نوع الخدمة]]="كاش ان",
    IF(F68&lt;=100, 18, IF(F68&lt;=250, 23, IF(F68&lt;=500, 35, IF(F68&lt;=1000, 40, F68*0.04)))),
IF(Basic34[[#This Row],[نوع الخدمة]]="كاش اوت",
    IF(F68&lt;=100, 15, IF(F68&lt;=250, 20, IF(F68&lt;=500, 30, IF(F68&lt;=1000, 35, F68*0.035)))),
0)))</f>
        <v>0</v>
      </c>
      <c r="H68" s="159">
        <f>IF(I68="مخالفات",50,Basic34[[#This Row],[قيمة الرسوم / العموله]]+Basic34[[#This Row],[قيمة الشحنه]])</f>
        <v>0</v>
      </c>
      <c r="I68" s="90"/>
      <c r="J68" s="142" t="str">
        <f t="shared" ref="J68:J131" si="1">M$3</f>
        <v>29.5.2026</v>
      </c>
      <c r="L68" s="153">
        <v>57</v>
      </c>
      <c r="M68" s="92"/>
    </row>
    <row r="69" spans="1:13" ht="21.6" x14ac:dyDescent="0.65">
      <c r="A69" s="195"/>
      <c r="B69" s="144">
        <v>66</v>
      </c>
      <c r="C69" s="2"/>
      <c r="D69" s="1"/>
      <c r="E69" s="3"/>
      <c r="F69" s="1"/>
      <c r="G69" s="141">
        <f>IF(Basic34[[#This Row],[نوع الخدمة]]="مخالفات", 50,
IF(Basic34[[#This Row],[نوع الخدمة]]="كاش ان",
    IF(F69&lt;=100, 18, IF(F69&lt;=250, 23, IF(F69&lt;=500, 35, IF(F69&lt;=1000, 40, F69*0.04)))),
IF(Basic34[[#This Row],[نوع الخدمة]]="كاش اوت",
    IF(F69&lt;=100, 15, IF(F69&lt;=250, 20, IF(F69&lt;=500, 30, IF(F69&lt;=1000, 35, F69*0.035)))),
0)))</f>
        <v>0</v>
      </c>
      <c r="H69" s="159">
        <f>IF(I69="مخالفات",50,Basic34[[#This Row],[قيمة الرسوم / العموله]]+Basic34[[#This Row],[قيمة الشحنه]])</f>
        <v>0</v>
      </c>
      <c r="I69" s="90"/>
      <c r="J69" s="142" t="str">
        <f t="shared" si="1"/>
        <v>29.5.2026</v>
      </c>
      <c r="L69" s="153">
        <v>58</v>
      </c>
      <c r="M69" s="92"/>
    </row>
    <row r="70" spans="1:13" ht="21.6" x14ac:dyDescent="0.65">
      <c r="A70" s="195"/>
      <c r="B70" s="140">
        <v>67</v>
      </c>
      <c r="C70" s="2"/>
      <c r="D70" s="1"/>
      <c r="E70" s="3"/>
      <c r="F70" s="1"/>
      <c r="G70" s="141">
        <f>IF(Basic34[[#This Row],[نوع الخدمة]]="مخالفات", 50,
IF(Basic34[[#This Row],[نوع الخدمة]]="كاش ان",
    IF(F70&lt;=100, 18, IF(F70&lt;=250, 23, IF(F70&lt;=500, 35, IF(F70&lt;=1000, 40, F70*0.04)))),
IF(Basic34[[#This Row],[نوع الخدمة]]="كاش اوت",
    IF(F70&lt;=100, 15, IF(F70&lt;=250, 20, IF(F70&lt;=500, 30, IF(F70&lt;=1000, 35, F70*0.035)))),
0)))</f>
        <v>0</v>
      </c>
      <c r="H70" s="159">
        <f>IF(I70="مخالفات",50,Basic34[[#This Row],[قيمة الرسوم / العموله]]+Basic34[[#This Row],[قيمة الشحنه]])</f>
        <v>0</v>
      </c>
      <c r="I70" s="90"/>
      <c r="J70" s="142" t="str">
        <f t="shared" si="1"/>
        <v>29.5.2026</v>
      </c>
      <c r="L70" s="153">
        <v>59</v>
      </c>
      <c r="M70" s="92"/>
    </row>
    <row r="71" spans="1:13" ht="21.6" x14ac:dyDescent="0.65">
      <c r="A71" s="195"/>
      <c r="B71" s="140">
        <v>68</v>
      </c>
      <c r="C71" s="2"/>
      <c r="D71" s="1"/>
      <c r="E71" s="3"/>
      <c r="F71" s="1"/>
      <c r="G71" s="141">
        <f>IF(Basic34[[#This Row],[نوع الخدمة]]="مخالفات", 50,
IF(Basic34[[#This Row],[نوع الخدمة]]="كاش ان",
    IF(F71&lt;=100, 18, IF(F71&lt;=250, 23, IF(F71&lt;=500, 35, IF(F71&lt;=1000, 40, F71*0.04)))),
IF(Basic34[[#This Row],[نوع الخدمة]]="كاش اوت",
    IF(F71&lt;=100, 15, IF(F71&lt;=250, 20, IF(F71&lt;=500, 30, IF(F71&lt;=1000, 35, F71*0.035)))),
0)))</f>
        <v>0</v>
      </c>
      <c r="H71" s="159">
        <f>IF(I71="مخالفات",50,Basic34[[#This Row],[قيمة الرسوم / العموله]]+Basic34[[#This Row],[قيمة الشحنه]])</f>
        <v>0</v>
      </c>
      <c r="I71" s="90"/>
      <c r="J71" s="142" t="str">
        <f t="shared" si="1"/>
        <v>29.5.2026</v>
      </c>
      <c r="L71" s="153">
        <v>60</v>
      </c>
      <c r="M71" s="92"/>
    </row>
    <row r="72" spans="1:13" ht="21.6" x14ac:dyDescent="0.65">
      <c r="A72" s="195"/>
      <c r="B72" s="140">
        <v>69</v>
      </c>
      <c r="C72" s="2"/>
      <c r="D72" s="1"/>
      <c r="E72" s="3"/>
      <c r="F72" s="1"/>
      <c r="G72" s="141">
        <f>IF(Basic34[[#This Row],[نوع الخدمة]]="مخالفات", 50,
IF(Basic34[[#This Row],[نوع الخدمة]]="كاش ان",
    IF(F72&lt;=100, 18, IF(F72&lt;=250, 23, IF(F72&lt;=500, 35, IF(F72&lt;=1000, 40, F72*0.04)))),
IF(Basic34[[#This Row],[نوع الخدمة]]="كاش اوت",
    IF(F72&lt;=100, 15, IF(F72&lt;=250, 20, IF(F72&lt;=500, 30, IF(F72&lt;=1000, 35, F72*0.035)))),
0)))</f>
        <v>0</v>
      </c>
      <c r="H72" s="159">
        <f>IF(I72="مخالفات",50,Basic34[[#This Row],[قيمة الرسوم / العموله]]+Basic34[[#This Row],[قيمة الشحنه]])</f>
        <v>0</v>
      </c>
      <c r="I72" s="90"/>
      <c r="J72" s="142" t="str">
        <f t="shared" si="1"/>
        <v>29.5.2026</v>
      </c>
      <c r="L72" s="153">
        <v>61</v>
      </c>
      <c r="M72" s="92"/>
    </row>
    <row r="73" spans="1:13" ht="21.6" x14ac:dyDescent="0.65">
      <c r="A73" s="195"/>
      <c r="B73" s="144">
        <v>70</v>
      </c>
      <c r="C73" s="2"/>
      <c r="D73" s="1"/>
      <c r="E73" s="3"/>
      <c r="F73" s="1"/>
      <c r="G73" s="141">
        <f>IF(Basic34[[#This Row],[نوع الخدمة]]="مخالفات", 50,
IF(Basic34[[#This Row],[نوع الخدمة]]="كاش ان",
    IF(F73&lt;=100, 18, IF(F73&lt;=250, 23, IF(F73&lt;=500, 35, IF(F73&lt;=1000, 40, F73*0.04)))),
IF(Basic34[[#This Row],[نوع الخدمة]]="كاش اوت",
    IF(F73&lt;=100, 15, IF(F73&lt;=250, 20, IF(F73&lt;=500, 30, IF(F73&lt;=1000, 35, F73*0.035)))),
0)))</f>
        <v>0</v>
      </c>
      <c r="H73" s="159">
        <f>IF(I73="مخالفات",50,Basic34[[#This Row],[قيمة الرسوم / العموله]]+Basic34[[#This Row],[قيمة الشحنه]])</f>
        <v>0</v>
      </c>
      <c r="I73" s="90"/>
      <c r="J73" s="142" t="str">
        <f t="shared" si="1"/>
        <v>29.5.2026</v>
      </c>
      <c r="L73" s="153">
        <v>62</v>
      </c>
      <c r="M73" s="92"/>
    </row>
    <row r="74" spans="1:13" ht="21.6" x14ac:dyDescent="0.65">
      <c r="A74" s="195"/>
      <c r="B74" s="140">
        <v>71</v>
      </c>
      <c r="C74" s="2"/>
      <c r="D74" s="1"/>
      <c r="E74" s="3"/>
      <c r="F74" s="1"/>
      <c r="G74" s="141">
        <f>IF(Basic34[[#This Row],[نوع الخدمة]]="مخالفات", 50,
IF(Basic34[[#This Row],[نوع الخدمة]]="كاش ان",
    IF(F74&lt;=100, 18, IF(F74&lt;=250, 23, IF(F74&lt;=500, 35, IF(F74&lt;=1000, 40, F74*0.04)))),
IF(Basic34[[#This Row],[نوع الخدمة]]="كاش اوت",
    IF(F74&lt;=100, 15, IF(F74&lt;=250, 20, IF(F74&lt;=500, 30, IF(F74&lt;=1000, 35, F74*0.035)))),
0)))</f>
        <v>0</v>
      </c>
      <c r="H74" s="159">
        <f>IF(I74="مخالفات",50,Basic34[[#This Row],[قيمة الرسوم / العموله]]+Basic34[[#This Row],[قيمة الشحنه]])</f>
        <v>0</v>
      </c>
      <c r="I74" s="90"/>
      <c r="J74" s="142" t="str">
        <f t="shared" si="1"/>
        <v>29.5.2026</v>
      </c>
      <c r="L74" s="153">
        <v>63</v>
      </c>
      <c r="M74" s="92"/>
    </row>
    <row r="75" spans="1:13" ht="21.6" x14ac:dyDescent="0.65">
      <c r="A75" s="195"/>
      <c r="B75" s="140">
        <v>72</v>
      </c>
      <c r="C75" s="2"/>
      <c r="D75" s="1"/>
      <c r="E75" s="3"/>
      <c r="F75" s="1"/>
      <c r="G75" s="141">
        <f>IF(Basic34[[#This Row],[نوع الخدمة]]="مخالفات", 50,
IF(Basic34[[#This Row],[نوع الخدمة]]="كاش ان",
    IF(F75&lt;=100, 18, IF(F75&lt;=250, 23, IF(F75&lt;=500, 35, IF(F75&lt;=1000, 40, F75*0.04)))),
IF(Basic34[[#This Row],[نوع الخدمة]]="كاش اوت",
    IF(F75&lt;=100, 15, IF(F75&lt;=250, 20, IF(F75&lt;=500, 30, IF(F75&lt;=1000, 35, F75*0.035)))),
0)))</f>
        <v>0</v>
      </c>
      <c r="H75" s="159">
        <f>IF(I75="مخالفات",50,Basic34[[#This Row],[قيمة الرسوم / العموله]]+Basic34[[#This Row],[قيمة الشحنه]])</f>
        <v>0</v>
      </c>
      <c r="I75" s="90"/>
      <c r="J75" s="142" t="str">
        <f t="shared" si="1"/>
        <v>29.5.2026</v>
      </c>
      <c r="L75" s="153">
        <v>64</v>
      </c>
      <c r="M75" s="92"/>
    </row>
    <row r="76" spans="1:13" ht="21.6" x14ac:dyDescent="0.65">
      <c r="A76" s="195"/>
      <c r="B76" s="140">
        <v>73</v>
      </c>
      <c r="C76" s="2"/>
      <c r="D76" s="1"/>
      <c r="E76" s="3"/>
      <c r="F76" s="1"/>
      <c r="G76" s="141">
        <f>IF(Basic34[[#This Row],[نوع الخدمة]]="مخالفات", 50,
IF(Basic34[[#This Row],[نوع الخدمة]]="كاش ان",
    IF(F76&lt;=100, 18, IF(F76&lt;=250, 23, IF(F76&lt;=500, 35, IF(F76&lt;=1000, 40, F76*0.04)))),
IF(Basic34[[#This Row],[نوع الخدمة]]="كاش اوت",
    IF(F76&lt;=100, 15, IF(F76&lt;=250, 20, IF(F76&lt;=500, 30, IF(F76&lt;=1000, 35, F76*0.035)))),
0)))</f>
        <v>0</v>
      </c>
      <c r="H76" s="159">
        <f>IF(I76="مخالفات",50,Basic34[[#This Row],[قيمة الرسوم / العموله]]+Basic34[[#This Row],[قيمة الشحنه]])</f>
        <v>0</v>
      </c>
      <c r="I76" s="90"/>
      <c r="J76" s="142" t="str">
        <f t="shared" si="1"/>
        <v>29.5.2026</v>
      </c>
      <c r="L76" s="153">
        <v>65</v>
      </c>
      <c r="M76" s="92"/>
    </row>
    <row r="77" spans="1:13" ht="21.6" x14ac:dyDescent="0.65">
      <c r="A77" s="195"/>
      <c r="B77" s="144">
        <v>74</v>
      </c>
      <c r="C77" s="2"/>
      <c r="D77" s="1"/>
      <c r="E77" s="3"/>
      <c r="F77" s="1"/>
      <c r="G77" s="141">
        <f>IF(Basic34[[#This Row],[نوع الخدمة]]="مخالفات", 50,
IF(Basic34[[#This Row],[نوع الخدمة]]="كاش ان",
    IF(F77&lt;=100, 18, IF(F77&lt;=250, 23, IF(F77&lt;=500, 35, IF(F77&lt;=1000, 40, F77*0.04)))),
IF(Basic34[[#This Row],[نوع الخدمة]]="كاش اوت",
    IF(F77&lt;=100, 15, IF(F77&lt;=250, 20, IF(F77&lt;=500, 30, IF(F77&lt;=1000, 35, F77*0.035)))),
0)))</f>
        <v>0</v>
      </c>
      <c r="H77" s="159">
        <f>IF(I77="مخالفات",50,Basic34[[#This Row],[قيمة الرسوم / العموله]]+Basic34[[#This Row],[قيمة الشحنه]])</f>
        <v>0</v>
      </c>
      <c r="I77" s="90"/>
      <c r="J77" s="142" t="str">
        <f t="shared" si="1"/>
        <v>29.5.2026</v>
      </c>
      <c r="L77" s="153">
        <v>66</v>
      </c>
      <c r="M77" s="92"/>
    </row>
    <row r="78" spans="1:13" ht="21.6" x14ac:dyDescent="0.65">
      <c r="A78" s="195"/>
      <c r="B78" s="140">
        <v>75</v>
      </c>
      <c r="C78" s="2"/>
      <c r="D78" s="1"/>
      <c r="E78" s="3"/>
      <c r="F78" s="1"/>
      <c r="G78" s="141">
        <f>IF(Basic34[[#This Row],[نوع الخدمة]]="مخالفات", 50,
IF(Basic34[[#This Row],[نوع الخدمة]]="كاش ان",
    IF(F78&lt;=100, 18, IF(F78&lt;=250, 23, IF(F78&lt;=500, 35, IF(F78&lt;=1000, 40, F78*0.04)))),
IF(Basic34[[#This Row],[نوع الخدمة]]="كاش اوت",
    IF(F78&lt;=100, 15, IF(F78&lt;=250, 20, IF(F78&lt;=500, 30, IF(F78&lt;=1000, 35, F78*0.035)))),
0)))</f>
        <v>0</v>
      </c>
      <c r="H78" s="159">
        <f>IF(I78="مخالفات",50,Basic34[[#This Row],[قيمة الرسوم / العموله]]+Basic34[[#This Row],[قيمة الشحنه]])</f>
        <v>0</v>
      </c>
      <c r="I78" s="90"/>
      <c r="J78" s="142" t="str">
        <f t="shared" si="1"/>
        <v>29.5.2026</v>
      </c>
      <c r="L78" s="153">
        <v>67</v>
      </c>
      <c r="M78" s="92"/>
    </row>
    <row r="79" spans="1:13" ht="21.6" x14ac:dyDescent="0.65">
      <c r="A79" s="195"/>
      <c r="B79" s="140">
        <v>76</v>
      </c>
      <c r="C79" s="2"/>
      <c r="D79" s="1"/>
      <c r="E79" s="3"/>
      <c r="F79" s="1"/>
      <c r="G79" s="141">
        <f>IF(Basic34[[#This Row],[نوع الخدمة]]="مخالفات", 50,
IF(Basic34[[#This Row],[نوع الخدمة]]="كاش ان",
    IF(F79&lt;=100, 18, IF(F79&lt;=250, 23, IF(F79&lt;=500, 35, IF(F79&lt;=1000, 40, F79*0.04)))),
IF(Basic34[[#This Row],[نوع الخدمة]]="كاش اوت",
    IF(F79&lt;=100, 15, IF(F79&lt;=250, 20, IF(F79&lt;=500, 30, IF(F79&lt;=1000, 35, F79*0.035)))),
0)))</f>
        <v>0</v>
      </c>
      <c r="H79" s="159">
        <f>IF(I79="مخالفات",50,Basic34[[#This Row],[قيمة الرسوم / العموله]]+Basic34[[#This Row],[قيمة الشحنه]])</f>
        <v>0</v>
      </c>
      <c r="I79" s="90"/>
      <c r="J79" s="142" t="str">
        <f t="shared" si="1"/>
        <v>29.5.2026</v>
      </c>
      <c r="L79" s="153">
        <v>68</v>
      </c>
      <c r="M79" s="92"/>
    </row>
    <row r="80" spans="1:13" ht="21.6" x14ac:dyDescent="0.65">
      <c r="A80" s="195"/>
      <c r="B80" s="140">
        <v>77</v>
      </c>
      <c r="C80" s="2"/>
      <c r="D80" s="1"/>
      <c r="E80" s="3"/>
      <c r="F80" s="1"/>
      <c r="G80" s="141">
        <f>IF(Basic34[[#This Row],[نوع الخدمة]]="مخالفات", 50,
IF(Basic34[[#This Row],[نوع الخدمة]]="كاش ان",
    IF(F80&lt;=100, 18, IF(F80&lt;=250, 23, IF(F80&lt;=500, 35, IF(F80&lt;=1000, 40, F80*0.04)))),
IF(Basic34[[#This Row],[نوع الخدمة]]="كاش اوت",
    IF(F80&lt;=100, 15, IF(F80&lt;=250, 20, IF(F80&lt;=500, 30, IF(F80&lt;=1000, 35, F80*0.035)))),
0)))</f>
        <v>0</v>
      </c>
      <c r="H80" s="159">
        <f>IF(I80="مخالفات",50,Basic34[[#This Row],[قيمة الرسوم / العموله]]+Basic34[[#This Row],[قيمة الشحنه]])</f>
        <v>0</v>
      </c>
      <c r="I80" s="90"/>
      <c r="J80" s="142" t="str">
        <f t="shared" si="1"/>
        <v>29.5.2026</v>
      </c>
      <c r="L80" s="153">
        <v>69</v>
      </c>
      <c r="M80" s="92"/>
    </row>
    <row r="81" spans="1:13" ht="21.6" x14ac:dyDescent="0.65">
      <c r="A81" s="195"/>
      <c r="B81" s="144">
        <v>78</v>
      </c>
      <c r="C81" s="2"/>
      <c r="D81" s="1"/>
      <c r="E81" s="3"/>
      <c r="F81" s="1"/>
      <c r="G81" s="141">
        <f>IF(Basic34[[#This Row],[نوع الخدمة]]="مخالفات", 50,
IF(Basic34[[#This Row],[نوع الخدمة]]="كاش ان",
    IF(F81&lt;=100, 18, IF(F81&lt;=250, 23, IF(F81&lt;=500, 35, IF(F81&lt;=1000, 40, F81*0.04)))),
IF(Basic34[[#This Row],[نوع الخدمة]]="كاش اوت",
    IF(F81&lt;=100, 15, IF(F81&lt;=250, 20, IF(F81&lt;=500, 30, IF(F81&lt;=1000, 35, F81*0.035)))),
0)))</f>
        <v>0</v>
      </c>
      <c r="H81" s="159">
        <f>IF(I81="مخالفات",50,Basic34[[#This Row],[قيمة الرسوم / العموله]]+Basic34[[#This Row],[قيمة الشحنه]])</f>
        <v>0</v>
      </c>
      <c r="I81" s="90"/>
      <c r="J81" s="142" t="str">
        <f t="shared" si="1"/>
        <v>29.5.2026</v>
      </c>
      <c r="L81" s="153">
        <v>70</v>
      </c>
      <c r="M81" s="92"/>
    </row>
    <row r="82" spans="1:13" ht="21.6" x14ac:dyDescent="0.65">
      <c r="A82" s="195"/>
      <c r="B82" s="140">
        <v>79</v>
      </c>
      <c r="C82" s="2"/>
      <c r="D82" s="1"/>
      <c r="E82" s="3"/>
      <c r="F82" s="1"/>
      <c r="G82" s="141">
        <f>IF(Basic34[[#This Row],[نوع الخدمة]]="مخالفات", 50,
IF(Basic34[[#This Row],[نوع الخدمة]]="كاش ان",
    IF(F82&lt;=100, 18, IF(F82&lt;=250, 23, IF(F82&lt;=500, 35, IF(F82&lt;=1000, 40, F82*0.04)))),
IF(Basic34[[#This Row],[نوع الخدمة]]="كاش اوت",
    IF(F82&lt;=100, 15, IF(F82&lt;=250, 20, IF(F82&lt;=500, 30, IF(F82&lt;=1000, 35, F82*0.035)))),
0)))</f>
        <v>0</v>
      </c>
      <c r="H82" s="159">
        <f>IF(I82="مخالفات",50,Basic34[[#This Row],[قيمة الرسوم / العموله]]+Basic34[[#This Row],[قيمة الشحنه]])</f>
        <v>0</v>
      </c>
      <c r="I82" s="90"/>
      <c r="J82" s="142" t="str">
        <f t="shared" si="1"/>
        <v>29.5.2026</v>
      </c>
      <c r="L82" s="153">
        <v>71</v>
      </c>
      <c r="M82" s="92"/>
    </row>
    <row r="83" spans="1:13" ht="21.6" x14ac:dyDescent="0.65">
      <c r="A83" s="195"/>
      <c r="B83" s="140">
        <v>80</v>
      </c>
      <c r="C83" s="2"/>
      <c r="D83" s="1"/>
      <c r="E83" s="3"/>
      <c r="F83" s="1"/>
      <c r="G83" s="141">
        <f>IF(Basic34[[#This Row],[نوع الخدمة]]="مخالفات", 50,
IF(Basic34[[#This Row],[نوع الخدمة]]="كاش ان",
    IF(F83&lt;=100, 18, IF(F83&lt;=250, 23, IF(F83&lt;=500, 35, IF(F83&lt;=1000, 40, F83*0.04)))),
IF(Basic34[[#This Row],[نوع الخدمة]]="كاش اوت",
    IF(F83&lt;=100, 15, IF(F83&lt;=250, 20, IF(F83&lt;=500, 30, IF(F83&lt;=1000, 35, F83*0.035)))),
0)))</f>
        <v>0</v>
      </c>
      <c r="H83" s="159">
        <f>IF(I83="مخالفات",50,Basic34[[#This Row],[قيمة الرسوم / العموله]]+Basic34[[#This Row],[قيمة الشحنه]])</f>
        <v>0</v>
      </c>
      <c r="I83" s="90"/>
      <c r="J83" s="142" t="str">
        <f t="shared" si="1"/>
        <v>29.5.2026</v>
      </c>
      <c r="L83" s="153">
        <v>72</v>
      </c>
      <c r="M83" s="92"/>
    </row>
    <row r="84" spans="1:13" ht="21.6" x14ac:dyDescent="0.65">
      <c r="A84" s="195"/>
      <c r="B84" s="140">
        <v>81</v>
      </c>
      <c r="C84" s="2"/>
      <c r="D84" s="1"/>
      <c r="E84" s="3"/>
      <c r="F84" s="1"/>
      <c r="G84" s="141">
        <f>IF(Basic34[[#This Row],[نوع الخدمة]]="مخالفات", 50,
IF(Basic34[[#This Row],[نوع الخدمة]]="كاش ان",
    IF(F84&lt;=100, 18, IF(F84&lt;=250, 23, IF(F84&lt;=500, 35, IF(F84&lt;=1000, 40, F84*0.04)))),
IF(Basic34[[#This Row],[نوع الخدمة]]="كاش اوت",
    IF(F84&lt;=100, 15, IF(F84&lt;=250, 20, IF(F84&lt;=500, 30, IF(F84&lt;=1000, 35, F84*0.035)))),
0)))</f>
        <v>0</v>
      </c>
      <c r="H84" s="159">
        <f>IF(I84="مخالفات",50,Basic34[[#This Row],[قيمة الرسوم / العموله]]+Basic34[[#This Row],[قيمة الشحنه]])</f>
        <v>0</v>
      </c>
      <c r="I84" s="90"/>
      <c r="J84" s="142" t="str">
        <f t="shared" si="1"/>
        <v>29.5.2026</v>
      </c>
      <c r="L84" s="153">
        <v>73</v>
      </c>
      <c r="M84" s="92"/>
    </row>
    <row r="85" spans="1:13" ht="21.6" x14ac:dyDescent="0.65">
      <c r="A85" s="195"/>
      <c r="B85" s="144">
        <v>82</v>
      </c>
      <c r="C85" s="2"/>
      <c r="D85" s="1"/>
      <c r="E85" s="3"/>
      <c r="F85" s="1"/>
      <c r="G85" s="141">
        <f>IF(Basic34[[#This Row],[نوع الخدمة]]="مخالفات", 50,
IF(Basic34[[#This Row],[نوع الخدمة]]="كاش ان",
    IF(F85&lt;=100, 18, IF(F85&lt;=250, 23, IF(F85&lt;=500, 35, IF(F85&lt;=1000, 40, F85*0.04)))),
IF(Basic34[[#This Row],[نوع الخدمة]]="كاش اوت",
    IF(F85&lt;=100, 15, IF(F85&lt;=250, 20, IF(F85&lt;=500, 30, IF(F85&lt;=1000, 35, F85*0.035)))),
0)))</f>
        <v>0</v>
      </c>
      <c r="H85" s="159">
        <f>IF(I85="مخالفات",50,Basic34[[#This Row],[قيمة الرسوم / العموله]]+Basic34[[#This Row],[قيمة الشحنه]])</f>
        <v>0</v>
      </c>
      <c r="I85" s="90"/>
      <c r="J85" s="142" t="str">
        <f t="shared" si="1"/>
        <v>29.5.2026</v>
      </c>
      <c r="L85" s="153">
        <v>74</v>
      </c>
      <c r="M85" s="92"/>
    </row>
    <row r="86" spans="1:13" ht="21.6" x14ac:dyDescent="0.65">
      <c r="A86" s="195"/>
      <c r="B86" s="140">
        <v>83</v>
      </c>
      <c r="C86" s="2"/>
      <c r="D86" s="1"/>
      <c r="E86" s="3"/>
      <c r="F86" s="1"/>
      <c r="G86" s="141">
        <f>IF(Basic34[[#This Row],[نوع الخدمة]]="مخالفات", 50,
IF(Basic34[[#This Row],[نوع الخدمة]]="كاش ان",
    IF(F86&lt;=100, 18, IF(F86&lt;=250, 23, IF(F86&lt;=500, 35, IF(F86&lt;=1000, 40, F86*0.04)))),
IF(Basic34[[#This Row],[نوع الخدمة]]="كاش اوت",
    IF(F86&lt;=100, 15, IF(F86&lt;=250, 20, IF(F86&lt;=500, 30, IF(F86&lt;=1000, 35, F86*0.035)))),
0)))</f>
        <v>0</v>
      </c>
      <c r="H86" s="159">
        <f>IF(I86="مخالفات",50,Basic34[[#This Row],[قيمة الرسوم / العموله]]+Basic34[[#This Row],[قيمة الشحنه]])</f>
        <v>0</v>
      </c>
      <c r="I86" s="90"/>
      <c r="J86" s="142" t="str">
        <f t="shared" si="1"/>
        <v>29.5.2026</v>
      </c>
      <c r="L86" s="153">
        <v>75</v>
      </c>
      <c r="M86" s="92"/>
    </row>
    <row r="87" spans="1:13" ht="21.6" x14ac:dyDescent="0.65">
      <c r="A87" s="195"/>
      <c r="B87" s="140">
        <v>84</v>
      </c>
      <c r="C87" s="2"/>
      <c r="D87" s="1"/>
      <c r="E87" s="3"/>
      <c r="F87" s="1"/>
      <c r="G87" s="141">
        <f>IF(Basic34[[#This Row],[نوع الخدمة]]="مخالفات", 50,
IF(Basic34[[#This Row],[نوع الخدمة]]="كاش ان",
    IF(F87&lt;=100, 18, IF(F87&lt;=250, 23, IF(F87&lt;=500, 35, IF(F87&lt;=1000, 40, F87*0.04)))),
IF(Basic34[[#This Row],[نوع الخدمة]]="كاش اوت",
    IF(F87&lt;=100, 15, IF(F87&lt;=250, 20, IF(F87&lt;=500, 30, IF(F87&lt;=1000, 35, F87*0.035)))),
0)))</f>
        <v>0</v>
      </c>
      <c r="H87" s="159">
        <f>IF(I87="مخالفات",50,Basic34[[#This Row],[قيمة الرسوم / العموله]]+Basic34[[#This Row],[قيمة الشحنه]])</f>
        <v>0</v>
      </c>
      <c r="I87" s="90"/>
      <c r="J87" s="142" t="str">
        <f t="shared" si="1"/>
        <v>29.5.2026</v>
      </c>
      <c r="L87" s="153">
        <v>76</v>
      </c>
      <c r="M87" s="92"/>
    </row>
    <row r="88" spans="1:13" ht="21.6" x14ac:dyDescent="0.65">
      <c r="A88" s="195"/>
      <c r="B88" s="140">
        <v>85</v>
      </c>
      <c r="C88" s="2"/>
      <c r="D88" s="1"/>
      <c r="E88" s="3"/>
      <c r="F88" s="1"/>
      <c r="G88" s="141">
        <f>IF(Basic34[[#This Row],[نوع الخدمة]]="مخالفات", 50,
IF(Basic34[[#This Row],[نوع الخدمة]]="كاش ان",
    IF(F88&lt;=100, 18, IF(F88&lt;=250, 23, IF(F88&lt;=500, 35, IF(F88&lt;=1000, 40, F88*0.04)))),
IF(Basic34[[#This Row],[نوع الخدمة]]="كاش اوت",
    IF(F88&lt;=100, 15, IF(F88&lt;=250, 20, IF(F88&lt;=500, 30, IF(F88&lt;=1000, 35, F88*0.035)))),
0)))</f>
        <v>0</v>
      </c>
      <c r="H88" s="159">
        <f>IF(I88="مخالفات",50,Basic34[[#This Row],[قيمة الرسوم / العموله]]+Basic34[[#This Row],[قيمة الشحنه]])</f>
        <v>0</v>
      </c>
      <c r="I88" s="90"/>
      <c r="J88" s="142" t="str">
        <f t="shared" si="1"/>
        <v>29.5.2026</v>
      </c>
      <c r="L88" s="153">
        <v>77</v>
      </c>
      <c r="M88" s="92"/>
    </row>
    <row r="89" spans="1:13" ht="21.6" x14ac:dyDescent="0.65">
      <c r="A89" s="195"/>
      <c r="B89" s="144">
        <v>86</v>
      </c>
      <c r="C89" s="2"/>
      <c r="D89" s="1"/>
      <c r="E89" s="3"/>
      <c r="F89" s="1"/>
      <c r="G89" s="141">
        <f>IF(Basic34[[#This Row],[نوع الخدمة]]="مخالفات", 50,
IF(Basic34[[#This Row],[نوع الخدمة]]="كاش ان",
    IF(F89&lt;=100, 18, IF(F89&lt;=250, 23, IF(F89&lt;=500, 35, IF(F89&lt;=1000, 40, F89*0.04)))),
IF(Basic34[[#This Row],[نوع الخدمة]]="كاش اوت",
    IF(F89&lt;=100, 15, IF(F89&lt;=250, 20, IF(F89&lt;=500, 30, IF(F89&lt;=1000, 35, F89*0.035)))),
0)))</f>
        <v>0</v>
      </c>
      <c r="H89" s="159">
        <f>IF(I89="مخالفات",50,Basic34[[#This Row],[قيمة الرسوم / العموله]]+Basic34[[#This Row],[قيمة الشحنه]])</f>
        <v>0</v>
      </c>
      <c r="I89" s="90"/>
      <c r="J89" s="142" t="str">
        <f t="shared" si="1"/>
        <v>29.5.2026</v>
      </c>
      <c r="L89" s="153">
        <v>78</v>
      </c>
      <c r="M89" s="92"/>
    </row>
    <row r="90" spans="1:13" ht="21.6" x14ac:dyDescent="0.65">
      <c r="A90" s="195"/>
      <c r="B90" s="140">
        <v>87</v>
      </c>
      <c r="C90" s="2"/>
      <c r="D90" s="1"/>
      <c r="E90" s="3"/>
      <c r="F90" s="1"/>
      <c r="G90" s="141">
        <f>IF(Basic34[[#This Row],[نوع الخدمة]]="مخالفات", 50,
IF(Basic34[[#This Row],[نوع الخدمة]]="كاش ان",
    IF(F90&lt;=100, 18, IF(F90&lt;=250, 23, IF(F90&lt;=500, 35, IF(F90&lt;=1000, 40, F90*0.04)))),
IF(Basic34[[#This Row],[نوع الخدمة]]="كاش اوت",
    IF(F90&lt;=100, 15, IF(F90&lt;=250, 20, IF(F90&lt;=500, 30, IF(F90&lt;=1000, 35, F90*0.035)))),
0)))</f>
        <v>0</v>
      </c>
      <c r="H90" s="159">
        <f>IF(I90="مخالفات",50,Basic34[[#This Row],[قيمة الرسوم / العموله]]+Basic34[[#This Row],[قيمة الشحنه]])</f>
        <v>0</v>
      </c>
      <c r="I90" s="90"/>
      <c r="J90" s="142" t="str">
        <f t="shared" si="1"/>
        <v>29.5.2026</v>
      </c>
      <c r="L90" s="153">
        <v>79</v>
      </c>
      <c r="M90" s="92"/>
    </row>
    <row r="91" spans="1:13" ht="21.6" x14ac:dyDescent="0.65">
      <c r="A91" s="195"/>
      <c r="B91" s="140">
        <v>88</v>
      </c>
      <c r="C91" s="2"/>
      <c r="D91" s="1"/>
      <c r="E91" s="3"/>
      <c r="F91" s="1"/>
      <c r="G91" s="141">
        <f>IF(Basic34[[#This Row],[نوع الخدمة]]="مخالفات", 50,
IF(Basic34[[#This Row],[نوع الخدمة]]="كاش ان",
    IF(F91&lt;=100, 18, IF(F91&lt;=250, 23, IF(F91&lt;=500, 35, IF(F91&lt;=1000, 40, F91*0.04)))),
IF(Basic34[[#This Row],[نوع الخدمة]]="كاش اوت",
    IF(F91&lt;=100, 15, IF(F91&lt;=250, 20, IF(F91&lt;=500, 30, IF(F91&lt;=1000, 35, F91*0.035)))),
0)))</f>
        <v>0</v>
      </c>
      <c r="H91" s="159">
        <f>IF(I91="مخالفات",50,Basic34[[#This Row],[قيمة الرسوم / العموله]]+Basic34[[#This Row],[قيمة الشحنه]])</f>
        <v>0</v>
      </c>
      <c r="I91" s="90"/>
      <c r="J91" s="142" t="str">
        <f t="shared" si="1"/>
        <v>29.5.2026</v>
      </c>
      <c r="L91" s="153">
        <v>80</v>
      </c>
      <c r="M91" s="92"/>
    </row>
    <row r="92" spans="1:13" ht="21.6" x14ac:dyDescent="0.65">
      <c r="A92" s="195"/>
      <c r="B92" s="140">
        <v>89</v>
      </c>
      <c r="C92" s="2"/>
      <c r="D92" s="1"/>
      <c r="E92" s="3"/>
      <c r="F92" s="1"/>
      <c r="G92" s="141">
        <f>IF(Basic34[[#This Row],[نوع الخدمة]]="مخالفات", 50,
IF(Basic34[[#This Row],[نوع الخدمة]]="كاش ان",
    IF(F92&lt;=100, 18, IF(F92&lt;=250, 23, IF(F92&lt;=500, 35, IF(F92&lt;=1000, 40, F92*0.04)))),
IF(Basic34[[#This Row],[نوع الخدمة]]="كاش اوت",
    IF(F92&lt;=100, 15, IF(F92&lt;=250, 20, IF(F92&lt;=500, 30, IF(F92&lt;=1000, 35, F92*0.035)))),
0)))</f>
        <v>0</v>
      </c>
      <c r="H92" s="159">
        <f>IF(I92="مخالفات",50,Basic34[[#This Row],[قيمة الرسوم / العموله]]+Basic34[[#This Row],[قيمة الشحنه]])</f>
        <v>0</v>
      </c>
      <c r="I92" s="90"/>
      <c r="J92" s="142" t="str">
        <f t="shared" si="1"/>
        <v>29.5.2026</v>
      </c>
      <c r="L92" s="153">
        <v>81</v>
      </c>
      <c r="M92" s="92"/>
    </row>
    <row r="93" spans="1:13" ht="21.6" x14ac:dyDescent="0.65">
      <c r="A93" s="195"/>
      <c r="B93" s="144">
        <v>90</v>
      </c>
      <c r="C93" s="2"/>
      <c r="D93" s="1"/>
      <c r="E93" s="3"/>
      <c r="F93" s="1"/>
      <c r="G93" s="141">
        <f>IF(Basic34[[#This Row],[نوع الخدمة]]="مخالفات", 50,
IF(Basic34[[#This Row],[نوع الخدمة]]="كاش ان",
    IF(F93&lt;=100, 18, IF(F93&lt;=250, 23, IF(F93&lt;=500, 35, IF(F93&lt;=1000, 40, F93*0.04)))),
IF(Basic34[[#This Row],[نوع الخدمة]]="كاش اوت",
    IF(F93&lt;=100, 15, IF(F93&lt;=250, 20, IF(F93&lt;=500, 30, IF(F93&lt;=1000, 35, F93*0.035)))),
0)))</f>
        <v>0</v>
      </c>
      <c r="H93" s="159">
        <f>IF(I93="مخالفات",50,Basic34[[#This Row],[قيمة الرسوم / العموله]]+Basic34[[#This Row],[قيمة الشحنه]])</f>
        <v>0</v>
      </c>
      <c r="I93" s="90"/>
      <c r="J93" s="142" t="str">
        <f t="shared" si="1"/>
        <v>29.5.2026</v>
      </c>
      <c r="L93" s="153">
        <v>82</v>
      </c>
      <c r="M93" s="92"/>
    </row>
    <row r="94" spans="1:13" ht="21.6" x14ac:dyDescent="0.65">
      <c r="A94" s="195"/>
      <c r="B94" s="140">
        <v>91</v>
      </c>
      <c r="C94" s="2"/>
      <c r="D94" s="1"/>
      <c r="E94" s="3"/>
      <c r="F94" s="1"/>
      <c r="G94" s="141">
        <f>IF(Basic34[[#This Row],[نوع الخدمة]]="مخالفات", 50,
IF(Basic34[[#This Row],[نوع الخدمة]]="كاش ان",
    IF(F94&lt;=100, 18, IF(F94&lt;=250, 23, IF(F94&lt;=500, 35, IF(F94&lt;=1000, 40, F94*0.04)))),
IF(Basic34[[#This Row],[نوع الخدمة]]="كاش اوت",
    IF(F94&lt;=100, 15, IF(F94&lt;=250, 20, IF(F94&lt;=500, 30, IF(F94&lt;=1000, 35, F94*0.035)))),
0)))</f>
        <v>0</v>
      </c>
      <c r="H94" s="159">
        <f>IF(I94="مخالفات",50,Basic34[[#This Row],[قيمة الرسوم / العموله]]+Basic34[[#This Row],[قيمة الشحنه]])</f>
        <v>0</v>
      </c>
      <c r="I94" s="90"/>
      <c r="J94" s="142" t="str">
        <f t="shared" si="1"/>
        <v>29.5.2026</v>
      </c>
      <c r="L94" s="153">
        <v>83</v>
      </c>
      <c r="M94" s="92"/>
    </row>
    <row r="95" spans="1:13" ht="21.6" x14ac:dyDescent="0.65">
      <c r="A95" s="195"/>
      <c r="B95" s="140">
        <v>92</v>
      </c>
      <c r="C95" s="2"/>
      <c r="D95" s="1"/>
      <c r="E95" s="3"/>
      <c r="F95" s="1"/>
      <c r="G95" s="141">
        <f>IF(Basic34[[#This Row],[نوع الخدمة]]="مخالفات", 50,
IF(Basic34[[#This Row],[نوع الخدمة]]="كاش ان",
    IF(F95&lt;=100, 18, IF(F95&lt;=250, 23, IF(F95&lt;=500, 35, IF(F95&lt;=1000, 40, F95*0.04)))),
IF(Basic34[[#This Row],[نوع الخدمة]]="كاش اوت",
    IF(F95&lt;=100, 15, IF(F95&lt;=250, 20, IF(F95&lt;=500, 30, IF(F95&lt;=1000, 35, F95*0.035)))),
0)))</f>
        <v>0</v>
      </c>
      <c r="H95" s="159">
        <f>IF(I95="مخالفات",50,Basic34[[#This Row],[قيمة الرسوم / العموله]]+Basic34[[#This Row],[قيمة الشحنه]])</f>
        <v>0</v>
      </c>
      <c r="I95" s="90"/>
      <c r="J95" s="142" t="str">
        <f t="shared" si="1"/>
        <v>29.5.2026</v>
      </c>
      <c r="L95" s="153">
        <v>84</v>
      </c>
      <c r="M95" s="92"/>
    </row>
    <row r="96" spans="1:13" ht="21.6" x14ac:dyDescent="0.65">
      <c r="A96" s="195"/>
      <c r="B96" s="140">
        <v>93</v>
      </c>
      <c r="C96" s="2"/>
      <c r="D96" s="1"/>
      <c r="E96" s="3"/>
      <c r="F96" s="1"/>
      <c r="G96" s="141">
        <f>IF(Basic34[[#This Row],[نوع الخدمة]]="مخالفات", 50,
IF(Basic34[[#This Row],[نوع الخدمة]]="كاش ان",
    IF(F96&lt;=100, 18, IF(F96&lt;=250, 23, IF(F96&lt;=500, 35, IF(F96&lt;=1000, 40, F96*0.04)))),
IF(Basic34[[#This Row],[نوع الخدمة]]="كاش اوت",
    IF(F96&lt;=100, 15, IF(F96&lt;=250, 20, IF(F96&lt;=500, 30, IF(F96&lt;=1000, 35, F96*0.035)))),
0)))</f>
        <v>0</v>
      </c>
      <c r="H96" s="159">
        <f>IF(I96="مخالفات",50,Basic34[[#This Row],[قيمة الرسوم / العموله]]+Basic34[[#This Row],[قيمة الشحنه]])</f>
        <v>0</v>
      </c>
      <c r="I96" s="90"/>
      <c r="J96" s="142" t="str">
        <f t="shared" si="1"/>
        <v>29.5.2026</v>
      </c>
      <c r="L96" s="153">
        <v>85</v>
      </c>
      <c r="M96" s="92"/>
    </row>
    <row r="97" spans="1:13" ht="21.6" x14ac:dyDescent="0.65">
      <c r="A97" s="195"/>
      <c r="B97" s="144">
        <v>94</v>
      </c>
      <c r="C97" s="2"/>
      <c r="D97" s="1"/>
      <c r="E97" s="3"/>
      <c r="F97" s="1"/>
      <c r="G97" s="141">
        <f>IF(Basic34[[#This Row],[نوع الخدمة]]="مخالفات", 50,
IF(Basic34[[#This Row],[نوع الخدمة]]="كاش ان",
    IF(F97&lt;=100, 18, IF(F97&lt;=250, 23, IF(F97&lt;=500, 35, IF(F97&lt;=1000, 40, F97*0.04)))),
IF(Basic34[[#This Row],[نوع الخدمة]]="كاش اوت",
    IF(F97&lt;=100, 15, IF(F97&lt;=250, 20, IF(F97&lt;=500, 30, IF(F97&lt;=1000, 35, F97*0.035)))),
0)))</f>
        <v>0</v>
      </c>
      <c r="H97" s="159">
        <f>IF(I97="مخالفات",50,Basic34[[#This Row],[قيمة الرسوم / العموله]]+Basic34[[#This Row],[قيمة الشحنه]])</f>
        <v>0</v>
      </c>
      <c r="I97" s="90"/>
      <c r="J97" s="142" t="str">
        <f t="shared" si="1"/>
        <v>29.5.2026</v>
      </c>
      <c r="L97" s="153">
        <v>86</v>
      </c>
      <c r="M97" s="92"/>
    </row>
    <row r="98" spans="1:13" ht="21.6" x14ac:dyDescent="0.65">
      <c r="A98" s="195"/>
      <c r="B98" s="140">
        <v>95</v>
      </c>
      <c r="C98" s="2"/>
      <c r="D98" s="1"/>
      <c r="E98" s="3"/>
      <c r="F98" s="1"/>
      <c r="G98" s="141">
        <f>IF(Basic34[[#This Row],[نوع الخدمة]]="مخالفات", 50,
IF(Basic34[[#This Row],[نوع الخدمة]]="كاش ان",
    IF(F98&lt;=100, 18, IF(F98&lt;=250, 23, IF(F98&lt;=500, 35, IF(F98&lt;=1000, 40, F98*0.04)))),
IF(Basic34[[#This Row],[نوع الخدمة]]="كاش اوت",
    IF(F98&lt;=100, 15, IF(F98&lt;=250, 20, IF(F98&lt;=500, 30, IF(F98&lt;=1000, 35, F98*0.035)))),
0)))</f>
        <v>0</v>
      </c>
      <c r="H98" s="159">
        <f>IF(I98="مخالفات",50,Basic34[[#This Row],[قيمة الرسوم / العموله]]+Basic34[[#This Row],[قيمة الشحنه]])</f>
        <v>0</v>
      </c>
      <c r="I98" s="90"/>
      <c r="J98" s="142" t="str">
        <f t="shared" si="1"/>
        <v>29.5.2026</v>
      </c>
      <c r="L98" s="153">
        <v>87</v>
      </c>
      <c r="M98" s="92"/>
    </row>
    <row r="99" spans="1:13" ht="21.6" x14ac:dyDescent="0.65">
      <c r="A99" s="195"/>
      <c r="B99" s="140">
        <v>96</v>
      </c>
      <c r="C99" s="2"/>
      <c r="D99" s="1"/>
      <c r="E99" s="3"/>
      <c r="F99" s="1"/>
      <c r="G99" s="141">
        <f>IF(Basic34[[#This Row],[نوع الخدمة]]="مخالفات", 50,
IF(Basic34[[#This Row],[نوع الخدمة]]="كاش ان",
    IF(F99&lt;=100, 18, IF(F99&lt;=250, 23, IF(F99&lt;=500, 35, IF(F99&lt;=1000, 40, F99*0.04)))),
IF(Basic34[[#This Row],[نوع الخدمة]]="كاش اوت",
    IF(F99&lt;=100, 15, IF(F99&lt;=250, 20, IF(F99&lt;=500, 30, IF(F99&lt;=1000, 35, F99*0.035)))),
0)))</f>
        <v>0</v>
      </c>
      <c r="H99" s="159">
        <f>IF(I99="مخالفات",50,Basic34[[#This Row],[قيمة الرسوم / العموله]]+Basic34[[#This Row],[قيمة الشحنه]])</f>
        <v>0</v>
      </c>
      <c r="I99" s="90"/>
      <c r="J99" s="142" t="str">
        <f t="shared" si="1"/>
        <v>29.5.2026</v>
      </c>
      <c r="L99" s="153">
        <v>88</v>
      </c>
      <c r="M99" s="92"/>
    </row>
    <row r="100" spans="1:13" ht="21.6" x14ac:dyDescent="0.65">
      <c r="A100" s="195"/>
      <c r="B100" s="140">
        <v>97</v>
      </c>
      <c r="C100" s="2"/>
      <c r="D100" s="1"/>
      <c r="E100" s="3"/>
      <c r="F100" s="1"/>
      <c r="G100" s="141">
        <f>IF(Basic34[[#This Row],[نوع الخدمة]]="مخالفات", 50,
IF(Basic34[[#This Row],[نوع الخدمة]]="كاش ان",
    IF(F100&lt;=100, 18, IF(F100&lt;=250, 23, IF(F100&lt;=500, 35, IF(F100&lt;=1000, 40, F100*0.04)))),
IF(Basic34[[#This Row],[نوع الخدمة]]="كاش اوت",
    IF(F100&lt;=100, 15, IF(F100&lt;=250, 20, IF(F100&lt;=500, 30, IF(F100&lt;=1000, 35, F100*0.035)))),
0)))</f>
        <v>0</v>
      </c>
      <c r="H100" s="159">
        <f>IF(I100="مخالفات",50,Basic34[[#This Row],[قيمة الرسوم / العموله]]+Basic34[[#This Row],[قيمة الشحنه]])</f>
        <v>0</v>
      </c>
      <c r="I100" s="90"/>
      <c r="J100" s="142" t="str">
        <f t="shared" si="1"/>
        <v>29.5.2026</v>
      </c>
      <c r="L100" s="153">
        <v>89</v>
      </c>
      <c r="M100" s="92"/>
    </row>
    <row r="101" spans="1:13" ht="21.6" x14ac:dyDescent="0.65">
      <c r="A101" s="195"/>
      <c r="B101" s="144">
        <v>98</v>
      </c>
      <c r="C101" s="2"/>
      <c r="D101" s="1"/>
      <c r="E101" s="3"/>
      <c r="F101" s="1"/>
      <c r="G101" s="141">
        <f>IF(Basic34[[#This Row],[نوع الخدمة]]="مخالفات", 50,
IF(Basic34[[#This Row],[نوع الخدمة]]="كاش ان",
    IF(F101&lt;=100, 18, IF(F101&lt;=250, 23, IF(F101&lt;=500, 35, IF(F101&lt;=1000, 40, F101*0.04)))),
IF(Basic34[[#This Row],[نوع الخدمة]]="كاش اوت",
    IF(F101&lt;=100, 15, IF(F101&lt;=250, 20, IF(F101&lt;=500, 30, IF(F101&lt;=1000, 35, F101*0.035)))),
0)))</f>
        <v>0</v>
      </c>
      <c r="H101" s="159">
        <f>IF(I101="مخالفات",50,Basic34[[#This Row],[قيمة الرسوم / العموله]]+Basic34[[#This Row],[قيمة الشحنه]])</f>
        <v>0</v>
      </c>
      <c r="I101" s="90"/>
      <c r="J101" s="142" t="str">
        <f t="shared" si="1"/>
        <v>29.5.2026</v>
      </c>
      <c r="L101" s="153">
        <v>90</v>
      </c>
      <c r="M101" s="92"/>
    </row>
    <row r="102" spans="1:13" ht="21.6" x14ac:dyDescent="0.65">
      <c r="A102" s="195"/>
      <c r="B102" s="140">
        <v>99</v>
      </c>
      <c r="C102" s="2"/>
      <c r="D102" s="1"/>
      <c r="E102" s="3"/>
      <c r="F102" s="1"/>
      <c r="G102" s="141">
        <f>IF(Basic34[[#This Row],[نوع الخدمة]]="مخالفات", 50,
IF(Basic34[[#This Row],[نوع الخدمة]]="كاش ان",
    IF(F102&lt;=100, 18, IF(F102&lt;=250, 23, IF(F102&lt;=500, 35, IF(F102&lt;=1000, 40, F102*0.04)))),
IF(Basic34[[#This Row],[نوع الخدمة]]="كاش اوت",
    IF(F102&lt;=100, 15, IF(F102&lt;=250, 20, IF(F102&lt;=500, 30, IF(F102&lt;=1000, 35, F102*0.035)))),
0)))</f>
        <v>0</v>
      </c>
      <c r="H102" s="159">
        <f>IF(I102="مخالفات",50,Basic34[[#This Row],[قيمة الرسوم / العموله]]+Basic34[[#This Row],[قيمة الشحنه]])</f>
        <v>0</v>
      </c>
      <c r="I102" s="90"/>
      <c r="J102" s="142" t="str">
        <f t="shared" si="1"/>
        <v>29.5.2026</v>
      </c>
      <c r="L102" s="153">
        <v>91</v>
      </c>
      <c r="M102" s="92"/>
    </row>
    <row r="103" spans="1:13" ht="21.6" x14ac:dyDescent="0.65">
      <c r="A103" s="195"/>
      <c r="B103" s="140">
        <v>100</v>
      </c>
      <c r="C103" s="2"/>
      <c r="D103" s="1"/>
      <c r="E103" s="3"/>
      <c r="F103" s="1"/>
      <c r="G103" s="141">
        <f>IF(Basic34[[#This Row],[نوع الخدمة]]="مخالفات", 50,
IF(Basic34[[#This Row],[نوع الخدمة]]="كاش ان",
    IF(F103&lt;=100, 18, IF(F103&lt;=250, 23, IF(F103&lt;=500, 35, IF(F103&lt;=1000, 40, F103*0.04)))),
IF(Basic34[[#This Row],[نوع الخدمة]]="كاش اوت",
    IF(F103&lt;=100, 15, IF(F103&lt;=250, 20, IF(F103&lt;=500, 30, IF(F103&lt;=1000, 35, F103*0.035)))),
0)))</f>
        <v>0</v>
      </c>
      <c r="H103" s="159">
        <f>IF(I103="مخالفات",50,Basic34[[#This Row],[قيمة الرسوم / العموله]]+Basic34[[#This Row],[قيمة الشحنه]])</f>
        <v>0</v>
      </c>
      <c r="I103" s="90"/>
      <c r="J103" s="142" t="str">
        <f t="shared" si="1"/>
        <v>29.5.2026</v>
      </c>
      <c r="L103" s="153">
        <v>92</v>
      </c>
      <c r="M103" s="92"/>
    </row>
    <row r="104" spans="1:13" ht="21.6" x14ac:dyDescent="0.65">
      <c r="A104" s="195"/>
      <c r="B104" s="140">
        <v>101</v>
      </c>
      <c r="C104" s="2"/>
      <c r="D104" s="1"/>
      <c r="E104" s="3"/>
      <c r="F104" s="1"/>
      <c r="G104" s="141">
        <f>IF(Basic34[[#This Row],[نوع الخدمة]]="مخالفات", 50,
IF(Basic34[[#This Row],[نوع الخدمة]]="كاش ان",
    IF(F104&lt;=100, 18, IF(F104&lt;=250, 23, IF(F104&lt;=500, 35, IF(F104&lt;=1000, 40, F104*0.04)))),
IF(Basic34[[#This Row],[نوع الخدمة]]="كاش اوت",
    IF(F104&lt;=100, 15, IF(F104&lt;=250, 20, IF(F104&lt;=500, 30, IF(F104&lt;=1000, 35, F104*0.035)))),
0)))</f>
        <v>0</v>
      </c>
      <c r="H104" s="159">
        <f>IF(I104="مخالفات",50,Basic34[[#This Row],[قيمة الرسوم / العموله]]+Basic34[[#This Row],[قيمة الشحنه]])</f>
        <v>0</v>
      </c>
      <c r="I104" s="90"/>
      <c r="J104" s="142" t="str">
        <f t="shared" si="1"/>
        <v>29.5.2026</v>
      </c>
      <c r="L104" s="153">
        <v>93</v>
      </c>
      <c r="M104" s="92"/>
    </row>
    <row r="105" spans="1:13" ht="21.6" x14ac:dyDescent="0.65">
      <c r="A105" s="195"/>
      <c r="B105" s="144">
        <v>102</v>
      </c>
      <c r="C105" s="2"/>
      <c r="D105" s="1"/>
      <c r="E105" s="3"/>
      <c r="F105" s="1"/>
      <c r="G105" s="141">
        <f>IF(Basic34[[#This Row],[نوع الخدمة]]="مخالفات", 50,
IF(Basic34[[#This Row],[نوع الخدمة]]="كاش ان",
    IF(F105&lt;=100, 18, IF(F105&lt;=250, 23, IF(F105&lt;=500, 35, IF(F105&lt;=1000, 40, F105*0.04)))),
IF(Basic34[[#This Row],[نوع الخدمة]]="كاش اوت",
    IF(F105&lt;=100, 15, IF(F105&lt;=250, 20, IF(F105&lt;=500, 30, IF(F105&lt;=1000, 35, F105*0.035)))),
0)))</f>
        <v>0</v>
      </c>
      <c r="H105" s="159">
        <f>IF(I105="مخالفات",50,Basic34[[#This Row],[قيمة الرسوم / العموله]]+Basic34[[#This Row],[قيمة الشحنه]])</f>
        <v>0</v>
      </c>
      <c r="I105" s="90"/>
      <c r="J105" s="142" t="str">
        <f t="shared" si="1"/>
        <v>29.5.2026</v>
      </c>
      <c r="L105" s="153">
        <v>94</v>
      </c>
      <c r="M105" s="92"/>
    </row>
    <row r="106" spans="1:13" ht="21.6" x14ac:dyDescent="0.65">
      <c r="A106" s="195"/>
      <c r="B106" s="140">
        <v>103</v>
      </c>
      <c r="C106" s="2"/>
      <c r="D106" s="1"/>
      <c r="E106" s="3"/>
      <c r="F106" s="1"/>
      <c r="G106" s="141">
        <f>IF(Basic34[[#This Row],[نوع الخدمة]]="مخالفات", 50,
IF(Basic34[[#This Row],[نوع الخدمة]]="كاش ان",
    IF(F106&lt;=100, 18, IF(F106&lt;=250, 23, IF(F106&lt;=500, 35, IF(F106&lt;=1000, 40, F106*0.04)))),
IF(Basic34[[#This Row],[نوع الخدمة]]="كاش اوت",
    IF(F106&lt;=100, 15, IF(F106&lt;=250, 20, IF(F106&lt;=500, 30, IF(F106&lt;=1000, 35, F106*0.035)))),
0)))</f>
        <v>0</v>
      </c>
      <c r="H106" s="159">
        <f>IF(I106="مخالفات",50,Basic34[[#This Row],[قيمة الرسوم / العموله]]+Basic34[[#This Row],[قيمة الشحنه]])</f>
        <v>0</v>
      </c>
      <c r="I106" s="90"/>
      <c r="J106" s="142" t="str">
        <f t="shared" si="1"/>
        <v>29.5.2026</v>
      </c>
      <c r="L106" s="153">
        <v>95</v>
      </c>
      <c r="M106" s="92"/>
    </row>
    <row r="107" spans="1:13" ht="21.6" x14ac:dyDescent="0.65">
      <c r="A107" s="195"/>
      <c r="B107" s="140">
        <v>104</v>
      </c>
      <c r="C107" s="2"/>
      <c r="D107" s="1"/>
      <c r="E107" s="3"/>
      <c r="F107" s="1"/>
      <c r="G107" s="141">
        <f>IF(Basic34[[#This Row],[نوع الخدمة]]="مخالفات", 50,
IF(Basic34[[#This Row],[نوع الخدمة]]="كاش ان",
    IF(F107&lt;=100, 18, IF(F107&lt;=250, 23, IF(F107&lt;=500, 35, IF(F107&lt;=1000, 40, F107*0.04)))),
IF(Basic34[[#This Row],[نوع الخدمة]]="كاش اوت",
    IF(F107&lt;=100, 15, IF(F107&lt;=250, 20, IF(F107&lt;=500, 30, IF(F107&lt;=1000, 35, F107*0.035)))),
0)))</f>
        <v>0</v>
      </c>
      <c r="H107" s="159">
        <f>IF(I107="مخالفات",50,Basic34[[#This Row],[قيمة الرسوم / العموله]]+Basic34[[#This Row],[قيمة الشحنه]])</f>
        <v>0</v>
      </c>
      <c r="I107" s="90"/>
      <c r="J107" s="142" t="str">
        <f t="shared" si="1"/>
        <v>29.5.2026</v>
      </c>
      <c r="L107" s="153">
        <v>96</v>
      </c>
      <c r="M107" s="92"/>
    </row>
    <row r="108" spans="1:13" ht="21.6" x14ac:dyDescent="0.65">
      <c r="A108" s="195"/>
      <c r="B108" s="140">
        <v>105</v>
      </c>
      <c r="C108" s="2"/>
      <c r="D108" s="1"/>
      <c r="E108" s="3"/>
      <c r="F108" s="1"/>
      <c r="G108" s="141">
        <f>IF(Basic34[[#This Row],[نوع الخدمة]]="مخالفات", 50,
IF(Basic34[[#This Row],[نوع الخدمة]]="كاش ان",
    IF(F108&lt;=100, 18, IF(F108&lt;=250, 23, IF(F108&lt;=500, 35, IF(F108&lt;=1000, 40, F108*0.04)))),
IF(Basic34[[#This Row],[نوع الخدمة]]="كاش اوت",
    IF(F108&lt;=100, 15, IF(F108&lt;=250, 20, IF(F108&lt;=500, 30, IF(F108&lt;=1000, 35, F108*0.035)))),
0)))</f>
        <v>0</v>
      </c>
      <c r="H108" s="159">
        <f>IF(I108="مخالفات",50,Basic34[[#This Row],[قيمة الرسوم / العموله]]+Basic34[[#This Row],[قيمة الشحنه]])</f>
        <v>0</v>
      </c>
      <c r="I108" s="90"/>
      <c r="J108" s="142" t="str">
        <f t="shared" si="1"/>
        <v>29.5.2026</v>
      </c>
      <c r="L108" s="153">
        <v>97</v>
      </c>
      <c r="M108" s="92"/>
    </row>
    <row r="109" spans="1:13" ht="21.6" x14ac:dyDescent="0.65">
      <c r="A109" s="195"/>
      <c r="B109" s="144">
        <v>106</v>
      </c>
      <c r="C109" s="2"/>
      <c r="D109" s="1"/>
      <c r="E109" s="3"/>
      <c r="F109" s="1"/>
      <c r="G109" s="141">
        <f>IF(Basic34[[#This Row],[نوع الخدمة]]="مخالفات", 50,
IF(Basic34[[#This Row],[نوع الخدمة]]="كاش ان",
    IF(F109&lt;=100, 18, IF(F109&lt;=250, 23, IF(F109&lt;=500, 35, IF(F109&lt;=1000, 40, F109*0.04)))),
IF(Basic34[[#This Row],[نوع الخدمة]]="كاش اوت",
    IF(F109&lt;=100, 15, IF(F109&lt;=250, 20, IF(F109&lt;=500, 30, IF(F109&lt;=1000, 35, F109*0.035)))),
0)))</f>
        <v>0</v>
      </c>
      <c r="H109" s="159">
        <f>IF(I109="مخالفات",50,Basic34[[#This Row],[قيمة الرسوم / العموله]]+Basic34[[#This Row],[قيمة الشحنه]])</f>
        <v>0</v>
      </c>
      <c r="I109" s="90"/>
      <c r="J109" s="142" t="str">
        <f t="shared" si="1"/>
        <v>29.5.2026</v>
      </c>
      <c r="L109" s="153">
        <v>98</v>
      </c>
      <c r="M109" s="92"/>
    </row>
    <row r="110" spans="1:13" ht="21.6" x14ac:dyDescent="0.65">
      <c r="A110" s="195"/>
      <c r="B110" s="140">
        <v>107</v>
      </c>
      <c r="C110" s="2"/>
      <c r="D110" s="1"/>
      <c r="E110" s="3"/>
      <c r="F110" s="1"/>
      <c r="G110" s="141">
        <f>IF(Basic34[[#This Row],[نوع الخدمة]]="مخالفات", 50,
IF(Basic34[[#This Row],[نوع الخدمة]]="كاش ان",
    IF(F110&lt;=100, 18, IF(F110&lt;=250, 23, IF(F110&lt;=500, 35, IF(F110&lt;=1000, 40, F110*0.04)))),
IF(Basic34[[#This Row],[نوع الخدمة]]="كاش اوت",
    IF(F110&lt;=100, 15, IF(F110&lt;=250, 20, IF(F110&lt;=500, 30, IF(F110&lt;=1000, 35, F110*0.035)))),
0)))</f>
        <v>0</v>
      </c>
      <c r="H110" s="159">
        <f>IF(I110="مخالفات",50,Basic34[[#This Row],[قيمة الرسوم / العموله]]+Basic34[[#This Row],[قيمة الشحنه]])</f>
        <v>0</v>
      </c>
      <c r="I110" s="90"/>
      <c r="J110" s="142" t="str">
        <f t="shared" si="1"/>
        <v>29.5.2026</v>
      </c>
      <c r="L110" s="153">
        <v>99</v>
      </c>
      <c r="M110" s="92"/>
    </row>
    <row r="111" spans="1:13" ht="21.6" x14ac:dyDescent="0.65">
      <c r="A111" s="195"/>
      <c r="B111" s="140">
        <v>108</v>
      </c>
      <c r="C111" s="2"/>
      <c r="D111" s="1"/>
      <c r="E111" s="3"/>
      <c r="F111" s="1"/>
      <c r="G111" s="141">
        <f>IF(Basic34[[#This Row],[نوع الخدمة]]="مخالفات", 50,
IF(Basic34[[#This Row],[نوع الخدمة]]="كاش ان",
    IF(F111&lt;=100, 18, IF(F111&lt;=250, 23, IF(F111&lt;=500, 35, IF(F111&lt;=1000, 40, F111*0.04)))),
IF(Basic34[[#This Row],[نوع الخدمة]]="كاش اوت",
    IF(F111&lt;=100, 15, IF(F111&lt;=250, 20, IF(F111&lt;=500, 30, IF(F111&lt;=1000, 35, F111*0.035)))),
0)))</f>
        <v>0</v>
      </c>
      <c r="H111" s="159">
        <f>IF(I111="مخالفات",50,Basic34[[#This Row],[قيمة الرسوم / العموله]]+Basic34[[#This Row],[قيمة الشحنه]])</f>
        <v>0</v>
      </c>
      <c r="I111" s="90"/>
      <c r="J111" s="142" t="str">
        <f t="shared" si="1"/>
        <v>29.5.2026</v>
      </c>
      <c r="L111" s="153">
        <v>100</v>
      </c>
      <c r="M111" s="92"/>
    </row>
    <row r="112" spans="1:13" ht="21.6" x14ac:dyDescent="0.65">
      <c r="A112" s="195"/>
      <c r="B112" s="140">
        <v>109</v>
      </c>
      <c r="C112" s="2"/>
      <c r="D112" s="1"/>
      <c r="E112" s="3"/>
      <c r="F112" s="1"/>
      <c r="G112" s="141">
        <f>IF(Basic34[[#This Row],[نوع الخدمة]]="مخالفات", 50,
IF(Basic34[[#This Row],[نوع الخدمة]]="كاش ان",
    IF(F112&lt;=100, 18, IF(F112&lt;=250, 23, IF(F112&lt;=500, 35, IF(F112&lt;=1000, 40, F112*0.04)))),
IF(Basic34[[#This Row],[نوع الخدمة]]="كاش اوت",
    IF(F112&lt;=100, 15, IF(F112&lt;=250, 20, IF(F112&lt;=500, 30, IF(F112&lt;=1000, 35, F112*0.035)))),
0)))</f>
        <v>0</v>
      </c>
      <c r="H112" s="159">
        <f>IF(I112="مخالفات",50,Basic34[[#This Row],[قيمة الرسوم / العموله]]+Basic34[[#This Row],[قيمة الشحنه]])</f>
        <v>0</v>
      </c>
      <c r="I112" s="90"/>
      <c r="J112" s="142" t="str">
        <f t="shared" si="1"/>
        <v>29.5.2026</v>
      </c>
      <c r="L112" s="153">
        <v>101</v>
      </c>
      <c r="M112" s="92"/>
    </row>
    <row r="113" spans="1:13" ht="21.6" x14ac:dyDescent="0.65">
      <c r="A113" s="195"/>
      <c r="B113" s="144">
        <v>110</v>
      </c>
      <c r="C113" s="2"/>
      <c r="D113" s="1"/>
      <c r="E113" s="3"/>
      <c r="F113" s="1"/>
      <c r="G113" s="141">
        <f>IF(Basic34[[#This Row],[نوع الخدمة]]="مخالفات", 50,
IF(Basic34[[#This Row],[نوع الخدمة]]="كاش ان",
    IF(F113&lt;=100, 18, IF(F113&lt;=250, 23, IF(F113&lt;=500, 35, IF(F113&lt;=1000, 40, F113*0.04)))),
IF(Basic34[[#This Row],[نوع الخدمة]]="كاش اوت",
    IF(F113&lt;=100, 15, IF(F113&lt;=250, 20, IF(F113&lt;=500, 30, IF(F113&lt;=1000, 35, F113*0.035)))),
0)))</f>
        <v>0</v>
      </c>
      <c r="H113" s="159">
        <f>IF(I113="مخالفات",50,Basic34[[#This Row],[قيمة الرسوم / العموله]]+Basic34[[#This Row],[قيمة الشحنه]])</f>
        <v>0</v>
      </c>
      <c r="I113" s="90"/>
      <c r="J113" s="142" t="str">
        <f t="shared" si="1"/>
        <v>29.5.2026</v>
      </c>
      <c r="L113" s="153">
        <v>102</v>
      </c>
      <c r="M113" s="92"/>
    </row>
    <row r="114" spans="1:13" ht="21.6" x14ac:dyDescent="0.65">
      <c r="A114" s="195"/>
      <c r="B114" s="140">
        <v>111</v>
      </c>
      <c r="C114" s="2"/>
      <c r="D114" s="1"/>
      <c r="E114" s="3"/>
      <c r="F114" s="1"/>
      <c r="G114" s="141">
        <f>IF(Basic34[[#This Row],[نوع الخدمة]]="مخالفات", 50,
IF(Basic34[[#This Row],[نوع الخدمة]]="كاش ان",
    IF(F114&lt;=100, 18, IF(F114&lt;=250, 23, IF(F114&lt;=500, 35, IF(F114&lt;=1000, 40, F114*0.04)))),
IF(Basic34[[#This Row],[نوع الخدمة]]="كاش اوت",
    IF(F114&lt;=100, 15, IF(F114&lt;=250, 20, IF(F114&lt;=500, 30, IF(F114&lt;=1000, 35, F114*0.035)))),
0)))</f>
        <v>0</v>
      </c>
      <c r="H114" s="159">
        <f>IF(I114="مخالفات",50,Basic34[[#This Row],[قيمة الرسوم / العموله]]+Basic34[[#This Row],[قيمة الشحنه]])</f>
        <v>0</v>
      </c>
      <c r="I114" s="90"/>
      <c r="J114" s="142" t="str">
        <f t="shared" si="1"/>
        <v>29.5.2026</v>
      </c>
      <c r="L114" s="153">
        <v>103</v>
      </c>
      <c r="M114" s="92"/>
    </row>
    <row r="115" spans="1:13" ht="21.6" x14ac:dyDescent="0.65">
      <c r="A115" s="195"/>
      <c r="B115" s="140">
        <v>112</v>
      </c>
      <c r="C115" s="2"/>
      <c r="D115" s="1"/>
      <c r="E115" s="3"/>
      <c r="F115" s="1"/>
      <c r="G115" s="141">
        <f>IF(Basic34[[#This Row],[نوع الخدمة]]="مخالفات", 50,
IF(Basic34[[#This Row],[نوع الخدمة]]="كاش ان",
    IF(F115&lt;=100, 18, IF(F115&lt;=250, 23, IF(F115&lt;=500, 35, IF(F115&lt;=1000, 40, F115*0.04)))),
IF(Basic34[[#This Row],[نوع الخدمة]]="كاش اوت",
    IF(F115&lt;=100, 15, IF(F115&lt;=250, 20, IF(F115&lt;=500, 30, IF(F115&lt;=1000, 35, F115*0.035)))),
0)))</f>
        <v>0</v>
      </c>
      <c r="H115" s="159">
        <f>IF(I115="مخالفات",50,Basic34[[#This Row],[قيمة الرسوم / العموله]]+Basic34[[#This Row],[قيمة الشحنه]])</f>
        <v>0</v>
      </c>
      <c r="I115" s="90"/>
      <c r="J115" s="142" t="str">
        <f t="shared" si="1"/>
        <v>29.5.2026</v>
      </c>
      <c r="L115" s="153">
        <v>104</v>
      </c>
      <c r="M115" s="92"/>
    </row>
    <row r="116" spans="1:13" ht="21.6" x14ac:dyDescent="0.65">
      <c r="A116" s="195"/>
      <c r="B116" s="140">
        <v>113</v>
      </c>
      <c r="C116" s="2"/>
      <c r="D116" s="1"/>
      <c r="E116" s="3"/>
      <c r="F116" s="1"/>
      <c r="G116" s="141">
        <f>IF(Basic34[[#This Row],[نوع الخدمة]]="مخالفات", 50,
IF(Basic34[[#This Row],[نوع الخدمة]]="كاش ان",
    IF(F116&lt;=100, 18, IF(F116&lt;=250, 23, IF(F116&lt;=500, 35, IF(F116&lt;=1000, 40, F116*0.04)))),
IF(Basic34[[#This Row],[نوع الخدمة]]="كاش اوت",
    IF(F116&lt;=100, 15, IF(F116&lt;=250, 20, IF(F116&lt;=500, 30, IF(F116&lt;=1000, 35, F116*0.035)))),
0)))</f>
        <v>0</v>
      </c>
      <c r="H116" s="159">
        <f>IF(I116="مخالفات",50,Basic34[[#This Row],[قيمة الرسوم / العموله]]+Basic34[[#This Row],[قيمة الشحنه]])</f>
        <v>0</v>
      </c>
      <c r="I116" s="90"/>
      <c r="J116" s="142" t="str">
        <f t="shared" si="1"/>
        <v>29.5.2026</v>
      </c>
      <c r="L116" s="153">
        <v>105</v>
      </c>
      <c r="M116" s="92"/>
    </row>
    <row r="117" spans="1:13" ht="21.6" x14ac:dyDescent="0.65">
      <c r="A117" s="195"/>
      <c r="B117" s="144">
        <v>114</v>
      </c>
      <c r="C117" s="2"/>
      <c r="D117" s="1"/>
      <c r="E117" s="3"/>
      <c r="F117" s="1"/>
      <c r="G117" s="141">
        <f>IF(Basic34[[#This Row],[نوع الخدمة]]="مخالفات", 50,
IF(Basic34[[#This Row],[نوع الخدمة]]="كاش ان",
    IF(F117&lt;=100, 18, IF(F117&lt;=250, 23, IF(F117&lt;=500, 35, IF(F117&lt;=1000, 40, F117*0.04)))),
IF(Basic34[[#This Row],[نوع الخدمة]]="كاش اوت",
    IF(F117&lt;=100, 15, IF(F117&lt;=250, 20, IF(F117&lt;=500, 30, IF(F117&lt;=1000, 35, F117*0.035)))),
0)))</f>
        <v>0</v>
      </c>
      <c r="H117" s="159">
        <f>IF(I117="مخالفات",50,Basic34[[#This Row],[قيمة الرسوم / العموله]]+Basic34[[#This Row],[قيمة الشحنه]])</f>
        <v>0</v>
      </c>
      <c r="I117" s="90"/>
      <c r="J117" s="142" t="str">
        <f t="shared" si="1"/>
        <v>29.5.2026</v>
      </c>
      <c r="L117" s="153">
        <v>106</v>
      </c>
      <c r="M117" s="92"/>
    </row>
    <row r="118" spans="1:13" ht="21.6" x14ac:dyDescent="0.65">
      <c r="A118" s="195"/>
      <c r="B118" s="140">
        <v>115</v>
      </c>
      <c r="C118" s="2"/>
      <c r="D118" s="1"/>
      <c r="E118" s="3"/>
      <c r="F118" s="1"/>
      <c r="G118" s="141">
        <f>IF(Basic34[[#This Row],[نوع الخدمة]]="مخالفات", 50,
IF(Basic34[[#This Row],[نوع الخدمة]]="كاش ان",
    IF(F118&lt;=100, 18, IF(F118&lt;=250, 23, IF(F118&lt;=500, 35, IF(F118&lt;=1000, 40, F118*0.04)))),
IF(Basic34[[#This Row],[نوع الخدمة]]="كاش اوت",
    IF(F118&lt;=100, 15, IF(F118&lt;=250, 20, IF(F118&lt;=500, 30, IF(F118&lt;=1000, 35, F118*0.035)))),
0)))</f>
        <v>0</v>
      </c>
      <c r="H118" s="159">
        <f>IF(I118="مخالفات",50,Basic34[[#This Row],[قيمة الرسوم / العموله]]+Basic34[[#This Row],[قيمة الشحنه]])</f>
        <v>0</v>
      </c>
      <c r="I118" s="90"/>
      <c r="J118" s="142" t="str">
        <f t="shared" si="1"/>
        <v>29.5.2026</v>
      </c>
      <c r="L118" s="153">
        <v>107</v>
      </c>
      <c r="M118" s="92"/>
    </row>
    <row r="119" spans="1:13" ht="21.6" x14ac:dyDescent="0.65">
      <c r="A119" s="195"/>
      <c r="B119" s="140">
        <v>116</v>
      </c>
      <c r="C119" s="2"/>
      <c r="D119" s="1"/>
      <c r="E119" s="3"/>
      <c r="F119" s="1"/>
      <c r="G119" s="141">
        <f>IF(Basic34[[#This Row],[نوع الخدمة]]="مخالفات", 50,
IF(Basic34[[#This Row],[نوع الخدمة]]="كاش ان",
    IF(F119&lt;=100, 18, IF(F119&lt;=250, 23, IF(F119&lt;=500, 35, IF(F119&lt;=1000, 40, F119*0.04)))),
IF(Basic34[[#This Row],[نوع الخدمة]]="كاش اوت",
    IF(F119&lt;=100, 15, IF(F119&lt;=250, 20, IF(F119&lt;=500, 30, IF(F119&lt;=1000, 35, F119*0.035)))),
0)))</f>
        <v>0</v>
      </c>
      <c r="H119" s="159">
        <f>IF(I119="مخالفات",50,Basic34[[#This Row],[قيمة الرسوم / العموله]]+Basic34[[#This Row],[قيمة الشحنه]])</f>
        <v>0</v>
      </c>
      <c r="I119" s="90"/>
      <c r="J119" s="142" t="str">
        <f t="shared" si="1"/>
        <v>29.5.2026</v>
      </c>
      <c r="L119" s="153">
        <v>108</v>
      </c>
      <c r="M119" s="92"/>
    </row>
    <row r="120" spans="1:13" ht="21.6" x14ac:dyDescent="0.65">
      <c r="A120" s="195"/>
      <c r="B120" s="140">
        <v>117</v>
      </c>
      <c r="C120" s="2"/>
      <c r="D120" s="1"/>
      <c r="E120" s="3"/>
      <c r="F120" s="1"/>
      <c r="G120" s="141">
        <f>IF(Basic34[[#This Row],[نوع الخدمة]]="مخالفات", 50,
IF(Basic34[[#This Row],[نوع الخدمة]]="كاش ان",
    IF(F120&lt;=100, 18, IF(F120&lt;=250, 23, IF(F120&lt;=500, 35, IF(F120&lt;=1000, 40, F120*0.04)))),
IF(Basic34[[#This Row],[نوع الخدمة]]="كاش اوت",
    IF(F120&lt;=100, 15, IF(F120&lt;=250, 20, IF(F120&lt;=500, 30, IF(F120&lt;=1000, 35, F120*0.035)))),
0)))</f>
        <v>0</v>
      </c>
      <c r="H120" s="159">
        <f>IF(I120="مخالفات",50,Basic34[[#This Row],[قيمة الرسوم / العموله]]+Basic34[[#This Row],[قيمة الشحنه]])</f>
        <v>0</v>
      </c>
      <c r="I120" s="90"/>
      <c r="J120" s="142" t="str">
        <f t="shared" si="1"/>
        <v>29.5.2026</v>
      </c>
      <c r="L120" s="153">
        <v>109</v>
      </c>
      <c r="M120" s="92"/>
    </row>
    <row r="121" spans="1:13" ht="21.6" x14ac:dyDescent="0.65">
      <c r="A121" s="195"/>
      <c r="B121" s="144">
        <v>118</v>
      </c>
      <c r="C121" s="2"/>
      <c r="D121" s="1"/>
      <c r="E121" s="3"/>
      <c r="F121" s="1"/>
      <c r="G121" s="141">
        <f>IF(Basic34[[#This Row],[نوع الخدمة]]="مخالفات", 50,
IF(Basic34[[#This Row],[نوع الخدمة]]="كاش ان",
    IF(F121&lt;=100, 18, IF(F121&lt;=250, 23, IF(F121&lt;=500, 35, IF(F121&lt;=1000, 40, F121*0.04)))),
IF(Basic34[[#This Row],[نوع الخدمة]]="كاش اوت",
    IF(F121&lt;=100, 15, IF(F121&lt;=250, 20, IF(F121&lt;=500, 30, IF(F121&lt;=1000, 35, F121*0.035)))),
0)))</f>
        <v>0</v>
      </c>
      <c r="H121" s="159">
        <f>IF(I121="مخالفات",50,Basic34[[#This Row],[قيمة الرسوم / العموله]]+Basic34[[#This Row],[قيمة الشحنه]])</f>
        <v>0</v>
      </c>
      <c r="I121" s="90"/>
      <c r="J121" s="142" t="str">
        <f t="shared" si="1"/>
        <v>29.5.2026</v>
      </c>
      <c r="L121" s="153">
        <v>110</v>
      </c>
      <c r="M121" s="92"/>
    </row>
    <row r="122" spans="1:13" ht="21.6" x14ac:dyDescent="0.65">
      <c r="A122" s="195"/>
      <c r="B122" s="140">
        <v>119</v>
      </c>
      <c r="C122" s="2"/>
      <c r="D122" s="1"/>
      <c r="E122" s="3"/>
      <c r="F122" s="1"/>
      <c r="G122" s="141">
        <f>IF(Basic34[[#This Row],[نوع الخدمة]]="مخالفات", 50,
IF(Basic34[[#This Row],[نوع الخدمة]]="كاش ان",
    IF(F122&lt;=100, 18, IF(F122&lt;=250, 23, IF(F122&lt;=500, 35, IF(F122&lt;=1000, 40, F122*0.04)))),
IF(Basic34[[#This Row],[نوع الخدمة]]="كاش اوت",
    IF(F122&lt;=100, 15, IF(F122&lt;=250, 20, IF(F122&lt;=500, 30, IF(F122&lt;=1000, 35, F122*0.035)))),
0)))</f>
        <v>0</v>
      </c>
      <c r="H122" s="159">
        <f>IF(I122="مخالفات",50,Basic34[[#This Row],[قيمة الرسوم / العموله]]+Basic34[[#This Row],[قيمة الشحنه]])</f>
        <v>0</v>
      </c>
      <c r="I122" s="90"/>
      <c r="J122" s="142" t="str">
        <f t="shared" si="1"/>
        <v>29.5.2026</v>
      </c>
      <c r="L122" s="153">
        <v>111</v>
      </c>
      <c r="M122" s="92"/>
    </row>
    <row r="123" spans="1:13" ht="21.6" x14ac:dyDescent="0.65">
      <c r="A123" s="195"/>
      <c r="B123" s="140">
        <v>120</v>
      </c>
      <c r="C123" s="2"/>
      <c r="D123" s="1"/>
      <c r="E123" s="3"/>
      <c r="F123" s="1"/>
      <c r="G123" s="141">
        <f>IF(Basic34[[#This Row],[نوع الخدمة]]="مخالفات", 50,
IF(Basic34[[#This Row],[نوع الخدمة]]="كاش ان",
    IF(F123&lt;=100, 18, IF(F123&lt;=250, 23, IF(F123&lt;=500, 35, IF(F123&lt;=1000, 40, F123*0.04)))),
IF(Basic34[[#This Row],[نوع الخدمة]]="كاش اوت",
    IF(F123&lt;=100, 15, IF(F123&lt;=250, 20, IF(F123&lt;=500, 30, IF(F123&lt;=1000, 35, F123*0.035)))),
0)))</f>
        <v>0</v>
      </c>
      <c r="H123" s="159">
        <f>IF(I123="مخالفات",50,Basic34[[#This Row],[قيمة الرسوم / العموله]]+Basic34[[#This Row],[قيمة الشحنه]])</f>
        <v>0</v>
      </c>
      <c r="I123" s="90"/>
      <c r="J123" s="142" t="str">
        <f t="shared" si="1"/>
        <v>29.5.2026</v>
      </c>
      <c r="L123" s="153">
        <v>112</v>
      </c>
      <c r="M123" s="92"/>
    </row>
    <row r="124" spans="1:13" ht="21.6" x14ac:dyDescent="0.65">
      <c r="A124" s="195"/>
      <c r="B124" s="140">
        <v>121</v>
      </c>
      <c r="C124" s="2"/>
      <c r="D124" s="1"/>
      <c r="E124" s="3"/>
      <c r="F124" s="1"/>
      <c r="G124" s="141">
        <f>IF(Basic34[[#This Row],[نوع الخدمة]]="مخالفات", 50,
IF(Basic34[[#This Row],[نوع الخدمة]]="كاش ان",
    IF(F124&lt;=100, 18, IF(F124&lt;=250, 23, IF(F124&lt;=500, 35, IF(F124&lt;=1000, 40, F124*0.04)))),
IF(Basic34[[#This Row],[نوع الخدمة]]="كاش اوت",
    IF(F124&lt;=100, 15, IF(F124&lt;=250, 20, IF(F124&lt;=500, 30, IF(F124&lt;=1000, 35, F124*0.035)))),
0)))</f>
        <v>0</v>
      </c>
      <c r="H124" s="159">
        <f>IF(I124="مخالفات",50,Basic34[[#This Row],[قيمة الرسوم / العموله]]+Basic34[[#This Row],[قيمة الشحنه]])</f>
        <v>0</v>
      </c>
      <c r="I124" s="90"/>
      <c r="J124" s="142" t="str">
        <f t="shared" si="1"/>
        <v>29.5.2026</v>
      </c>
      <c r="L124" s="153">
        <v>113</v>
      </c>
      <c r="M124" s="92"/>
    </row>
    <row r="125" spans="1:13" ht="21.6" x14ac:dyDescent="0.65">
      <c r="A125" s="195"/>
      <c r="B125" s="144">
        <v>122</v>
      </c>
      <c r="C125" s="2"/>
      <c r="D125" s="1"/>
      <c r="E125" s="3"/>
      <c r="F125" s="1"/>
      <c r="G125" s="141">
        <f>IF(Basic34[[#This Row],[نوع الخدمة]]="مخالفات", 50,
IF(Basic34[[#This Row],[نوع الخدمة]]="كاش ان",
    IF(F125&lt;=100, 18, IF(F125&lt;=250, 23, IF(F125&lt;=500, 35, IF(F125&lt;=1000, 40, F125*0.04)))),
IF(Basic34[[#This Row],[نوع الخدمة]]="كاش اوت",
    IF(F125&lt;=100, 15, IF(F125&lt;=250, 20, IF(F125&lt;=500, 30, IF(F125&lt;=1000, 35, F125*0.035)))),
0)))</f>
        <v>0</v>
      </c>
      <c r="H125" s="159">
        <f>IF(I125="مخالفات",50,Basic34[[#This Row],[قيمة الرسوم / العموله]]+Basic34[[#This Row],[قيمة الشحنه]])</f>
        <v>0</v>
      </c>
      <c r="I125" s="90"/>
      <c r="J125" s="142" t="str">
        <f t="shared" si="1"/>
        <v>29.5.2026</v>
      </c>
      <c r="L125" s="153">
        <v>114</v>
      </c>
      <c r="M125" s="92"/>
    </row>
    <row r="126" spans="1:13" ht="21.6" x14ac:dyDescent="0.65">
      <c r="A126" s="195"/>
      <c r="B126" s="140">
        <v>123</v>
      </c>
      <c r="C126" s="2"/>
      <c r="D126" s="1"/>
      <c r="E126" s="3"/>
      <c r="F126" s="1"/>
      <c r="G126" s="141">
        <f>IF(Basic34[[#This Row],[نوع الخدمة]]="مخالفات", 50,
IF(Basic34[[#This Row],[نوع الخدمة]]="كاش ان",
    IF(F126&lt;=100, 18, IF(F126&lt;=250, 23, IF(F126&lt;=500, 35, IF(F126&lt;=1000, 40, F126*0.04)))),
IF(Basic34[[#This Row],[نوع الخدمة]]="كاش اوت",
    IF(F126&lt;=100, 15, IF(F126&lt;=250, 20, IF(F126&lt;=500, 30, IF(F126&lt;=1000, 35, F126*0.035)))),
0)))</f>
        <v>0</v>
      </c>
      <c r="H126" s="159">
        <f>IF(I126="مخالفات",50,Basic34[[#This Row],[قيمة الرسوم / العموله]]+Basic34[[#This Row],[قيمة الشحنه]])</f>
        <v>0</v>
      </c>
      <c r="I126" s="90"/>
      <c r="J126" s="142" t="str">
        <f t="shared" si="1"/>
        <v>29.5.2026</v>
      </c>
      <c r="L126" s="153">
        <v>115</v>
      </c>
      <c r="M126" s="92"/>
    </row>
    <row r="127" spans="1:13" ht="21.6" x14ac:dyDescent="0.65">
      <c r="A127" s="195"/>
      <c r="B127" s="140">
        <v>124</v>
      </c>
      <c r="C127" s="2"/>
      <c r="D127" s="1"/>
      <c r="E127" s="3"/>
      <c r="F127" s="1"/>
      <c r="G127" s="141">
        <f>IF(Basic34[[#This Row],[نوع الخدمة]]="مخالفات", 50,
IF(Basic34[[#This Row],[نوع الخدمة]]="كاش ان",
    IF(F127&lt;=100, 18, IF(F127&lt;=250, 23, IF(F127&lt;=500, 35, IF(F127&lt;=1000, 40, F127*0.04)))),
IF(Basic34[[#This Row],[نوع الخدمة]]="كاش اوت",
    IF(F127&lt;=100, 15, IF(F127&lt;=250, 20, IF(F127&lt;=500, 30, IF(F127&lt;=1000, 35, F127*0.035)))),
0)))</f>
        <v>0</v>
      </c>
      <c r="H127" s="159">
        <f>IF(I127="مخالفات",50,Basic34[[#This Row],[قيمة الرسوم / العموله]]+Basic34[[#This Row],[قيمة الشحنه]])</f>
        <v>0</v>
      </c>
      <c r="I127" s="90"/>
      <c r="J127" s="142" t="str">
        <f t="shared" si="1"/>
        <v>29.5.2026</v>
      </c>
      <c r="L127" s="153">
        <v>116</v>
      </c>
      <c r="M127" s="92"/>
    </row>
    <row r="128" spans="1:13" ht="21.6" x14ac:dyDescent="0.65">
      <c r="A128" s="195"/>
      <c r="B128" s="140">
        <v>125</v>
      </c>
      <c r="C128" s="2"/>
      <c r="D128" s="1"/>
      <c r="E128" s="3"/>
      <c r="F128" s="1"/>
      <c r="G128" s="141">
        <f>IF(Basic34[[#This Row],[نوع الخدمة]]="مخالفات", 50,
IF(Basic34[[#This Row],[نوع الخدمة]]="كاش ان",
    IF(F128&lt;=100, 18, IF(F128&lt;=250, 23, IF(F128&lt;=500, 35, IF(F128&lt;=1000, 40, F128*0.04)))),
IF(Basic34[[#This Row],[نوع الخدمة]]="كاش اوت",
    IF(F128&lt;=100, 15, IF(F128&lt;=250, 20, IF(F128&lt;=500, 30, IF(F128&lt;=1000, 35, F128*0.035)))),
0)))</f>
        <v>0</v>
      </c>
      <c r="H128" s="159">
        <f>IF(I128="مخالفات",50,Basic34[[#This Row],[قيمة الرسوم / العموله]]+Basic34[[#This Row],[قيمة الشحنه]])</f>
        <v>0</v>
      </c>
      <c r="I128" s="90"/>
      <c r="J128" s="142" t="str">
        <f t="shared" si="1"/>
        <v>29.5.2026</v>
      </c>
      <c r="L128" s="153">
        <v>117</v>
      </c>
      <c r="M128" s="92"/>
    </row>
    <row r="129" spans="1:13" ht="21.6" x14ac:dyDescent="0.65">
      <c r="A129" s="195"/>
      <c r="B129" s="144">
        <v>126</v>
      </c>
      <c r="C129" s="2"/>
      <c r="D129" s="1"/>
      <c r="E129" s="3"/>
      <c r="F129" s="1"/>
      <c r="G129" s="141">
        <f>IF(Basic34[[#This Row],[نوع الخدمة]]="مخالفات", 50,
IF(Basic34[[#This Row],[نوع الخدمة]]="كاش ان",
    IF(F129&lt;=100, 18, IF(F129&lt;=250, 23, IF(F129&lt;=500, 35, IF(F129&lt;=1000, 40, F129*0.04)))),
IF(Basic34[[#This Row],[نوع الخدمة]]="كاش اوت",
    IF(F129&lt;=100, 15, IF(F129&lt;=250, 20, IF(F129&lt;=500, 30, IF(F129&lt;=1000, 35, F129*0.035)))),
0)))</f>
        <v>0</v>
      </c>
      <c r="H129" s="159">
        <f>IF(I129="مخالفات",50,Basic34[[#This Row],[قيمة الرسوم / العموله]]+Basic34[[#This Row],[قيمة الشحنه]])</f>
        <v>0</v>
      </c>
      <c r="I129" s="90"/>
      <c r="J129" s="142" t="str">
        <f t="shared" si="1"/>
        <v>29.5.2026</v>
      </c>
      <c r="L129" s="153">
        <v>118</v>
      </c>
      <c r="M129" s="92"/>
    </row>
    <row r="130" spans="1:13" ht="21.6" x14ac:dyDescent="0.65">
      <c r="A130" s="195"/>
      <c r="B130" s="140">
        <v>127</v>
      </c>
      <c r="C130" s="2"/>
      <c r="D130" s="1"/>
      <c r="E130" s="3"/>
      <c r="F130" s="1"/>
      <c r="G130" s="141">
        <f>IF(Basic34[[#This Row],[نوع الخدمة]]="مخالفات", 50,
IF(Basic34[[#This Row],[نوع الخدمة]]="كاش ان",
    IF(F130&lt;=100, 18, IF(F130&lt;=250, 23, IF(F130&lt;=500, 35, IF(F130&lt;=1000, 40, F130*0.04)))),
IF(Basic34[[#This Row],[نوع الخدمة]]="كاش اوت",
    IF(F130&lt;=100, 15, IF(F130&lt;=250, 20, IF(F130&lt;=500, 30, IF(F130&lt;=1000, 35, F130*0.035)))),
0)))</f>
        <v>0</v>
      </c>
      <c r="H130" s="159">
        <f>IF(I130="مخالفات",50,Basic34[[#This Row],[قيمة الرسوم / العموله]]+Basic34[[#This Row],[قيمة الشحنه]])</f>
        <v>0</v>
      </c>
      <c r="I130" s="90"/>
      <c r="J130" s="142" t="str">
        <f t="shared" si="1"/>
        <v>29.5.2026</v>
      </c>
      <c r="L130" s="153">
        <v>119</v>
      </c>
      <c r="M130" s="92"/>
    </row>
    <row r="131" spans="1:13" ht="21.6" x14ac:dyDescent="0.65">
      <c r="A131" s="195"/>
      <c r="B131" s="140">
        <v>128</v>
      </c>
      <c r="C131" s="2"/>
      <c r="D131" s="1"/>
      <c r="E131" s="3"/>
      <c r="F131" s="1"/>
      <c r="G131" s="141">
        <f>IF(Basic34[[#This Row],[نوع الخدمة]]="مخالفات", 50,
IF(Basic34[[#This Row],[نوع الخدمة]]="كاش ان",
    IF(F131&lt;=100, 18, IF(F131&lt;=250, 23, IF(F131&lt;=500, 35, IF(F131&lt;=1000, 40, F131*0.04)))),
IF(Basic34[[#This Row],[نوع الخدمة]]="كاش اوت",
    IF(F131&lt;=100, 15, IF(F131&lt;=250, 20, IF(F131&lt;=500, 30, IF(F131&lt;=1000, 35, F131*0.035)))),
0)))</f>
        <v>0</v>
      </c>
      <c r="H131" s="159">
        <f>IF(I131="مخالفات",50,Basic34[[#This Row],[قيمة الرسوم / العموله]]+Basic34[[#This Row],[قيمة الشحنه]])</f>
        <v>0</v>
      </c>
      <c r="I131" s="90"/>
      <c r="J131" s="142" t="str">
        <f t="shared" si="1"/>
        <v>29.5.2026</v>
      </c>
      <c r="L131" s="153">
        <v>120</v>
      </c>
      <c r="M131" s="92"/>
    </row>
    <row r="132" spans="1:13" ht="21.6" x14ac:dyDescent="0.65">
      <c r="A132" s="195"/>
      <c r="B132" s="140">
        <v>129</v>
      </c>
      <c r="C132" s="2"/>
      <c r="D132" s="1"/>
      <c r="E132" s="3"/>
      <c r="F132" s="1"/>
      <c r="G132" s="141">
        <f>IF(Basic34[[#This Row],[نوع الخدمة]]="مخالفات", 50,
IF(Basic34[[#This Row],[نوع الخدمة]]="كاش ان",
    IF(F132&lt;=100, 18, IF(F132&lt;=250, 23, IF(F132&lt;=500, 35, IF(F132&lt;=1000, 40, F132*0.04)))),
IF(Basic34[[#This Row],[نوع الخدمة]]="كاش اوت",
    IF(F132&lt;=100, 15, IF(F132&lt;=250, 20, IF(F132&lt;=500, 30, IF(F132&lt;=1000, 35, F132*0.035)))),
0)))</f>
        <v>0</v>
      </c>
      <c r="H132" s="159">
        <f>IF(I132="مخالفات",50,Basic34[[#This Row],[قيمة الرسوم / العموله]]+Basic34[[#This Row],[قيمة الشحنه]])</f>
        <v>0</v>
      </c>
      <c r="I132" s="90"/>
      <c r="J132" s="142" t="str">
        <f t="shared" ref="J132:J195" si="2">M$3</f>
        <v>29.5.2026</v>
      </c>
      <c r="L132" s="153">
        <v>121</v>
      </c>
      <c r="M132" s="92"/>
    </row>
    <row r="133" spans="1:13" ht="21.6" x14ac:dyDescent="0.65">
      <c r="A133" s="195"/>
      <c r="B133" s="144">
        <v>130</v>
      </c>
      <c r="C133" s="2"/>
      <c r="D133" s="1"/>
      <c r="E133" s="3"/>
      <c r="F133" s="1"/>
      <c r="G133" s="141">
        <f>IF(Basic34[[#This Row],[نوع الخدمة]]="مخالفات", 50,
IF(Basic34[[#This Row],[نوع الخدمة]]="كاش ان",
    IF(F133&lt;=100, 18, IF(F133&lt;=250, 23, IF(F133&lt;=500, 35, IF(F133&lt;=1000, 40, F133*0.04)))),
IF(Basic34[[#This Row],[نوع الخدمة]]="كاش اوت",
    IF(F133&lt;=100, 15, IF(F133&lt;=250, 20, IF(F133&lt;=500, 30, IF(F133&lt;=1000, 35, F133*0.035)))),
0)))</f>
        <v>0</v>
      </c>
      <c r="H133" s="159">
        <f>IF(I133="مخالفات",50,Basic34[[#This Row],[قيمة الرسوم / العموله]]+Basic34[[#This Row],[قيمة الشحنه]])</f>
        <v>0</v>
      </c>
      <c r="I133" s="90"/>
      <c r="J133" s="142" t="str">
        <f t="shared" si="2"/>
        <v>29.5.2026</v>
      </c>
      <c r="L133" s="153">
        <v>122</v>
      </c>
      <c r="M133" s="92"/>
    </row>
    <row r="134" spans="1:13" ht="21.6" x14ac:dyDescent="0.65">
      <c r="A134" s="195"/>
      <c r="B134" s="140">
        <v>131</v>
      </c>
      <c r="C134" s="2"/>
      <c r="D134" s="1"/>
      <c r="E134" s="3"/>
      <c r="F134" s="1"/>
      <c r="G134" s="141">
        <f>IF(Basic34[[#This Row],[نوع الخدمة]]="مخالفات", 50,
IF(Basic34[[#This Row],[نوع الخدمة]]="كاش ان",
    IF(F134&lt;=100, 18, IF(F134&lt;=250, 23, IF(F134&lt;=500, 35, IF(F134&lt;=1000, 40, F134*0.04)))),
IF(Basic34[[#This Row],[نوع الخدمة]]="كاش اوت",
    IF(F134&lt;=100, 15, IF(F134&lt;=250, 20, IF(F134&lt;=500, 30, IF(F134&lt;=1000, 35, F134*0.035)))),
0)))</f>
        <v>0</v>
      </c>
      <c r="H134" s="159">
        <f>IF(I134="مخالفات",50,Basic34[[#This Row],[قيمة الرسوم / العموله]]+Basic34[[#This Row],[قيمة الشحنه]])</f>
        <v>0</v>
      </c>
      <c r="I134" s="90"/>
      <c r="J134" s="142" t="str">
        <f t="shared" si="2"/>
        <v>29.5.2026</v>
      </c>
      <c r="L134" s="153">
        <v>123</v>
      </c>
      <c r="M134" s="92"/>
    </row>
    <row r="135" spans="1:13" ht="21.6" x14ac:dyDescent="0.65">
      <c r="A135" s="195"/>
      <c r="B135" s="140">
        <v>132</v>
      </c>
      <c r="C135" s="2"/>
      <c r="D135" s="1"/>
      <c r="E135" s="3"/>
      <c r="F135" s="1"/>
      <c r="G135" s="141">
        <f>IF(Basic34[[#This Row],[نوع الخدمة]]="مخالفات", 50,
IF(Basic34[[#This Row],[نوع الخدمة]]="كاش ان",
    IF(F135&lt;=100, 18, IF(F135&lt;=250, 23, IF(F135&lt;=500, 35, IF(F135&lt;=1000, 40, F135*0.04)))),
IF(Basic34[[#This Row],[نوع الخدمة]]="كاش اوت",
    IF(F135&lt;=100, 15, IF(F135&lt;=250, 20, IF(F135&lt;=500, 30, IF(F135&lt;=1000, 35, F135*0.035)))),
0)))</f>
        <v>0</v>
      </c>
      <c r="H135" s="159">
        <f>IF(I135="مخالفات",50,Basic34[[#This Row],[قيمة الرسوم / العموله]]+Basic34[[#This Row],[قيمة الشحنه]])</f>
        <v>0</v>
      </c>
      <c r="I135" s="90"/>
      <c r="J135" s="142" t="str">
        <f t="shared" si="2"/>
        <v>29.5.2026</v>
      </c>
      <c r="L135" s="153">
        <v>124</v>
      </c>
      <c r="M135" s="92"/>
    </row>
    <row r="136" spans="1:13" ht="21.6" x14ac:dyDescent="0.65">
      <c r="A136" s="195"/>
      <c r="B136" s="140">
        <v>133</v>
      </c>
      <c r="C136" s="2"/>
      <c r="D136" s="1"/>
      <c r="E136" s="3"/>
      <c r="F136" s="1"/>
      <c r="G136" s="141">
        <f>IF(Basic34[[#This Row],[نوع الخدمة]]="مخالفات", 50,
IF(Basic34[[#This Row],[نوع الخدمة]]="كاش ان",
    IF(F136&lt;=100, 18, IF(F136&lt;=250, 23, IF(F136&lt;=500, 35, IF(F136&lt;=1000, 40, F136*0.04)))),
IF(Basic34[[#This Row],[نوع الخدمة]]="كاش اوت",
    IF(F136&lt;=100, 15, IF(F136&lt;=250, 20, IF(F136&lt;=500, 30, IF(F136&lt;=1000, 35, F136*0.035)))),
0)))</f>
        <v>0</v>
      </c>
      <c r="H136" s="159">
        <f>IF(I136="مخالفات",50,Basic34[[#This Row],[قيمة الرسوم / العموله]]+Basic34[[#This Row],[قيمة الشحنه]])</f>
        <v>0</v>
      </c>
      <c r="I136" s="90"/>
      <c r="J136" s="142" t="str">
        <f t="shared" si="2"/>
        <v>29.5.2026</v>
      </c>
      <c r="L136" s="153">
        <v>125</v>
      </c>
      <c r="M136" s="92"/>
    </row>
    <row r="137" spans="1:13" ht="21.6" x14ac:dyDescent="0.65">
      <c r="A137" s="195"/>
      <c r="B137" s="144">
        <v>134</v>
      </c>
      <c r="C137" s="2"/>
      <c r="D137" s="1"/>
      <c r="E137" s="3"/>
      <c r="F137" s="1"/>
      <c r="G137" s="141">
        <f>IF(Basic34[[#This Row],[نوع الخدمة]]="مخالفات", 50,
IF(Basic34[[#This Row],[نوع الخدمة]]="كاش ان",
    IF(F137&lt;=100, 18, IF(F137&lt;=250, 23, IF(F137&lt;=500, 35, IF(F137&lt;=1000, 40, F137*0.04)))),
IF(Basic34[[#This Row],[نوع الخدمة]]="كاش اوت",
    IF(F137&lt;=100, 15, IF(F137&lt;=250, 20, IF(F137&lt;=500, 30, IF(F137&lt;=1000, 35, F137*0.035)))),
0)))</f>
        <v>0</v>
      </c>
      <c r="H137" s="159">
        <f>IF(I137="مخالفات",50,Basic34[[#This Row],[قيمة الرسوم / العموله]]+Basic34[[#This Row],[قيمة الشحنه]])</f>
        <v>0</v>
      </c>
      <c r="I137" s="90"/>
      <c r="J137" s="142" t="str">
        <f t="shared" si="2"/>
        <v>29.5.2026</v>
      </c>
      <c r="L137" s="153">
        <v>126</v>
      </c>
      <c r="M137" s="92"/>
    </row>
    <row r="138" spans="1:13" ht="21.6" x14ac:dyDescent="0.65">
      <c r="A138" s="195"/>
      <c r="B138" s="140">
        <v>135</v>
      </c>
      <c r="C138" s="2"/>
      <c r="D138" s="1"/>
      <c r="E138" s="3"/>
      <c r="F138" s="1"/>
      <c r="G138" s="141">
        <f>IF(Basic34[[#This Row],[نوع الخدمة]]="مخالفات", 50,
IF(Basic34[[#This Row],[نوع الخدمة]]="كاش ان",
    IF(F138&lt;=100, 18, IF(F138&lt;=250, 23, IF(F138&lt;=500, 35, IF(F138&lt;=1000, 40, F138*0.04)))),
IF(Basic34[[#This Row],[نوع الخدمة]]="كاش اوت",
    IF(F138&lt;=100, 15, IF(F138&lt;=250, 20, IF(F138&lt;=500, 30, IF(F138&lt;=1000, 35, F138*0.035)))),
0)))</f>
        <v>0</v>
      </c>
      <c r="H138" s="159">
        <f>IF(I138="مخالفات",50,Basic34[[#This Row],[قيمة الرسوم / العموله]]+Basic34[[#This Row],[قيمة الشحنه]])</f>
        <v>0</v>
      </c>
      <c r="I138" s="90"/>
      <c r="J138" s="142" t="str">
        <f t="shared" si="2"/>
        <v>29.5.2026</v>
      </c>
      <c r="L138" s="153">
        <v>127</v>
      </c>
      <c r="M138" s="92"/>
    </row>
    <row r="139" spans="1:13" ht="21.6" x14ac:dyDescent="0.65">
      <c r="A139" s="195"/>
      <c r="B139" s="140">
        <v>136</v>
      </c>
      <c r="C139" s="2"/>
      <c r="D139" s="1"/>
      <c r="E139" s="3"/>
      <c r="F139" s="1"/>
      <c r="G139" s="141">
        <f>IF(Basic34[[#This Row],[نوع الخدمة]]="مخالفات", 50,
IF(Basic34[[#This Row],[نوع الخدمة]]="كاش ان",
    IF(F139&lt;=100, 18, IF(F139&lt;=250, 23, IF(F139&lt;=500, 35, IF(F139&lt;=1000, 40, F139*0.04)))),
IF(Basic34[[#This Row],[نوع الخدمة]]="كاش اوت",
    IF(F139&lt;=100, 15, IF(F139&lt;=250, 20, IF(F139&lt;=500, 30, IF(F139&lt;=1000, 35, F139*0.035)))),
0)))</f>
        <v>0</v>
      </c>
      <c r="H139" s="159">
        <f>IF(I139="مخالفات",50,Basic34[[#This Row],[قيمة الرسوم / العموله]]+Basic34[[#This Row],[قيمة الشحنه]])</f>
        <v>0</v>
      </c>
      <c r="I139" s="90"/>
      <c r="J139" s="142" t="str">
        <f t="shared" si="2"/>
        <v>29.5.2026</v>
      </c>
      <c r="L139" s="153">
        <v>128</v>
      </c>
      <c r="M139" s="92"/>
    </row>
    <row r="140" spans="1:13" ht="21.6" x14ac:dyDescent="0.65">
      <c r="A140" s="195"/>
      <c r="B140" s="140">
        <v>137</v>
      </c>
      <c r="C140" s="2"/>
      <c r="D140" s="1"/>
      <c r="E140" s="3"/>
      <c r="F140" s="1"/>
      <c r="G140" s="141">
        <f>IF(Basic34[[#This Row],[نوع الخدمة]]="مخالفات", 50,
IF(Basic34[[#This Row],[نوع الخدمة]]="كاش ان",
    IF(F140&lt;=100, 18, IF(F140&lt;=250, 23, IF(F140&lt;=500, 35, IF(F140&lt;=1000, 40, F140*0.04)))),
IF(Basic34[[#This Row],[نوع الخدمة]]="كاش اوت",
    IF(F140&lt;=100, 15, IF(F140&lt;=250, 20, IF(F140&lt;=500, 30, IF(F140&lt;=1000, 35, F140*0.035)))),
0)))</f>
        <v>0</v>
      </c>
      <c r="H140" s="159">
        <f>IF(I140="مخالفات",50,Basic34[[#This Row],[قيمة الرسوم / العموله]]+Basic34[[#This Row],[قيمة الشحنه]])</f>
        <v>0</v>
      </c>
      <c r="I140" s="90"/>
      <c r="J140" s="142" t="str">
        <f t="shared" si="2"/>
        <v>29.5.2026</v>
      </c>
      <c r="L140" s="153">
        <v>129</v>
      </c>
      <c r="M140" s="92"/>
    </row>
    <row r="141" spans="1:13" ht="21.6" x14ac:dyDescent="0.65">
      <c r="A141" s="195"/>
      <c r="B141" s="144">
        <v>138</v>
      </c>
      <c r="C141" s="2"/>
      <c r="D141" s="1"/>
      <c r="E141" s="3"/>
      <c r="F141" s="1"/>
      <c r="G141" s="141">
        <f>IF(Basic34[[#This Row],[نوع الخدمة]]="مخالفات", 50,
IF(Basic34[[#This Row],[نوع الخدمة]]="كاش ان",
    IF(F141&lt;=100, 18, IF(F141&lt;=250, 23, IF(F141&lt;=500, 35, IF(F141&lt;=1000, 40, F141*0.04)))),
IF(Basic34[[#This Row],[نوع الخدمة]]="كاش اوت",
    IF(F141&lt;=100, 15, IF(F141&lt;=250, 20, IF(F141&lt;=500, 30, IF(F141&lt;=1000, 35, F141*0.035)))),
0)))</f>
        <v>0</v>
      </c>
      <c r="H141" s="159">
        <f>IF(I141="مخالفات",50,Basic34[[#This Row],[قيمة الرسوم / العموله]]+Basic34[[#This Row],[قيمة الشحنه]])</f>
        <v>0</v>
      </c>
      <c r="I141" s="90"/>
      <c r="J141" s="142" t="str">
        <f t="shared" si="2"/>
        <v>29.5.2026</v>
      </c>
      <c r="L141" s="153">
        <v>130</v>
      </c>
      <c r="M141" s="92"/>
    </row>
    <row r="142" spans="1:13" ht="21.6" x14ac:dyDescent="0.65">
      <c r="A142" s="195"/>
      <c r="B142" s="140">
        <v>139</v>
      </c>
      <c r="C142" s="2"/>
      <c r="D142" s="1"/>
      <c r="E142" s="3"/>
      <c r="F142" s="1"/>
      <c r="G142" s="141">
        <f>IF(Basic34[[#This Row],[نوع الخدمة]]="مخالفات", 50,
IF(Basic34[[#This Row],[نوع الخدمة]]="كاش ان",
    IF(F142&lt;=100, 18, IF(F142&lt;=250, 23, IF(F142&lt;=500, 35, IF(F142&lt;=1000, 40, F142*0.04)))),
IF(Basic34[[#This Row],[نوع الخدمة]]="كاش اوت",
    IF(F142&lt;=100, 15, IF(F142&lt;=250, 20, IF(F142&lt;=500, 30, IF(F142&lt;=1000, 35, F142*0.035)))),
0)))</f>
        <v>0</v>
      </c>
      <c r="H142" s="159">
        <f>IF(I142="مخالفات",50,Basic34[[#This Row],[قيمة الرسوم / العموله]]+Basic34[[#This Row],[قيمة الشحنه]])</f>
        <v>0</v>
      </c>
      <c r="I142" s="90"/>
      <c r="J142" s="142" t="str">
        <f t="shared" si="2"/>
        <v>29.5.2026</v>
      </c>
      <c r="L142" s="153">
        <v>131</v>
      </c>
      <c r="M142" s="92"/>
    </row>
    <row r="143" spans="1:13" ht="21.6" x14ac:dyDescent="0.65">
      <c r="A143" s="195"/>
      <c r="B143" s="140">
        <v>140</v>
      </c>
      <c r="C143" s="2"/>
      <c r="D143" s="1"/>
      <c r="E143" s="3"/>
      <c r="F143" s="1"/>
      <c r="G143" s="141">
        <f>IF(Basic34[[#This Row],[نوع الخدمة]]="مخالفات", 50,
IF(Basic34[[#This Row],[نوع الخدمة]]="كاش ان",
    IF(F143&lt;=100, 18, IF(F143&lt;=250, 23, IF(F143&lt;=500, 35, IF(F143&lt;=1000, 40, F143*0.04)))),
IF(Basic34[[#This Row],[نوع الخدمة]]="كاش اوت",
    IF(F143&lt;=100, 15, IF(F143&lt;=250, 20, IF(F143&lt;=500, 30, IF(F143&lt;=1000, 35, F143*0.035)))),
0)))</f>
        <v>0</v>
      </c>
      <c r="H143" s="159">
        <f>IF(I143="مخالفات",50,Basic34[[#This Row],[قيمة الرسوم / العموله]]+Basic34[[#This Row],[قيمة الشحنه]])</f>
        <v>0</v>
      </c>
      <c r="I143" s="90"/>
      <c r="J143" s="142" t="str">
        <f t="shared" si="2"/>
        <v>29.5.2026</v>
      </c>
      <c r="L143" s="153">
        <v>132</v>
      </c>
      <c r="M143" s="92"/>
    </row>
    <row r="144" spans="1:13" ht="21.6" x14ac:dyDescent="0.65">
      <c r="A144" s="195"/>
      <c r="B144" s="140">
        <v>141</v>
      </c>
      <c r="C144" s="2"/>
      <c r="D144" s="1"/>
      <c r="E144" s="3"/>
      <c r="F144" s="1"/>
      <c r="G144" s="141">
        <f>IF(Basic34[[#This Row],[نوع الخدمة]]="مخالفات", 50,
IF(Basic34[[#This Row],[نوع الخدمة]]="كاش ان",
    IF(F144&lt;=100, 18, IF(F144&lt;=250, 23, IF(F144&lt;=500, 35, IF(F144&lt;=1000, 40, F144*0.04)))),
IF(Basic34[[#This Row],[نوع الخدمة]]="كاش اوت",
    IF(F144&lt;=100, 15, IF(F144&lt;=250, 20, IF(F144&lt;=500, 30, IF(F144&lt;=1000, 35, F144*0.035)))),
0)))</f>
        <v>0</v>
      </c>
      <c r="H144" s="159">
        <f>IF(I144="مخالفات",50,Basic34[[#This Row],[قيمة الرسوم / العموله]]+Basic34[[#This Row],[قيمة الشحنه]])</f>
        <v>0</v>
      </c>
      <c r="I144" s="90"/>
      <c r="J144" s="142" t="str">
        <f t="shared" si="2"/>
        <v>29.5.2026</v>
      </c>
      <c r="L144" s="153">
        <v>133</v>
      </c>
      <c r="M144" s="92"/>
    </row>
    <row r="145" spans="1:13" ht="21.6" x14ac:dyDescent="0.65">
      <c r="A145" s="195"/>
      <c r="B145" s="144">
        <v>142</v>
      </c>
      <c r="C145" s="2"/>
      <c r="D145" s="1"/>
      <c r="E145" s="3"/>
      <c r="F145" s="1"/>
      <c r="G145" s="141">
        <f>IF(Basic34[[#This Row],[نوع الخدمة]]="مخالفات", 50,
IF(Basic34[[#This Row],[نوع الخدمة]]="كاش ان",
    IF(F145&lt;=100, 18, IF(F145&lt;=250, 23, IF(F145&lt;=500, 35, IF(F145&lt;=1000, 40, F145*0.04)))),
IF(Basic34[[#This Row],[نوع الخدمة]]="كاش اوت",
    IF(F145&lt;=100, 15, IF(F145&lt;=250, 20, IF(F145&lt;=500, 30, IF(F145&lt;=1000, 35, F145*0.035)))),
0)))</f>
        <v>0</v>
      </c>
      <c r="H145" s="159">
        <f>IF(I145="مخالفات",50,Basic34[[#This Row],[قيمة الرسوم / العموله]]+Basic34[[#This Row],[قيمة الشحنه]])</f>
        <v>0</v>
      </c>
      <c r="I145" s="90"/>
      <c r="J145" s="142" t="str">
        <f t="shared" si="2"/>
        <v>29.5.2026</v>
      </c>
      <c r="L145" s="153">
        <v>134</v>
      </c>
      <c r="M145" s="92"/>
    </row>
    <row r="146" spans="1:13" ht="21.6" x14ac:dyDescent="0.65">
      <c r="A146" s="195"/>
      <c r="B146" s="140">
        <v>143</v>
      </c>
      <c r="C146" s="2"/>
      <c r="D146" s="1"/>
      <c r="E146" s="3"/>
      <c r="F146" s="1"/>
      <c r="G146" s="141">
        <f>IF(Basic34[[#This Row],[نوع الخدمة]]="مخالفات", 50,
IF(Basic34[[#This Row],[نوع الخدمة]]="كاش ان",
    IF(F146&lt;=100, 18, IF(F146&lt;=250, 23, IF(F146&lt;=500, 35, IF(F146&lt;=1000, 40, F146*0.04)))),
IF(Basic34[[#This Row],[نوع الخدمة]]="كاش اوت",
    IF(F146&lt;=100, 15, IF(F146&lt;=250, 20, IF(F146&lt;=500, 30, IF(F146&lt;=1000, 35, F146*0.035)))),
0)))</f>
        <v>0</v>
      </c>
      <c r="H146" s="159">
        <f>IF(I146="مخالفات",50,Basic34[[#This Row],[قيمة الرسوم / العموله]]+Basic34[[#This Row],[قيمة الشحنه]])</f>
        <v>0</v>
      </c>
      <c r="I146" s="90"/>
      <c r="J146" s="142" t="str">
        <f t="shared" si="2"/>
        <v>29.5.2026</v>
      </c>
      <c r="L146" s="153">
        <v>135</v>
      </c>
      <c r="M146" s="92"/>
    </row>
    <row r="147" spans="1:13" ht="21.6" x14ac:dyDescent="0.65">
      <c r="A147" s="195"/>
      <c r="B147" s="140">
        <v>144</v>
      </c>
      <c r="C147" s="2"/>
      <c r="D147" s="1"/>
      <c r="E147" s="3"/>
      <c r="F147" s="1"/>
      <c r="G147" s="141">
        <f>IF(Basic34[[#This Row],[نوع الخدمة]]="مخالفات", 50,
IF(Basic34[[#This Row],[نوع الخدمة]]="كاش ان",
    IF(F147&lt;=100, 18, IF(F147&lt;=250, 23, IF(F147&lt;=500, 35, IF(F147&lt;=1000, 40, F147*0.04)))),
IF(Basic34[[#This Row],[نوع الخدمة]]="كاش اوت",
    IF(F147&lt;=100, 15, IF(F147&lt;=250, 20, IF(F147&lt;=500, 30, IF(F147&lt;=1000, 35, F147*0.035)))),
0)))</f>
        <v>0</v>
      </c>
      <c r="H147" s="159">
        <f>IF(I147="مخالفات",50,Basic34[[#This Row],[قيمة الرسوم / العموله]]+Basic34[[#This Row],[قيمة الشحنه]])</f>
        <v>0</v>
      </c>
      <c r="I147" s="90"/>
      <c r="J147" s="142" t="str">
        <f t="shared" si="2"/>
        <v>29.5.2026</v>
      </c>
      <c r="L147" s="153">
        <v>136</v>
      </c>
      <c r="M147" s="92"/>
    </row>
    <row r="148" spans="1:13" ht="21.6" x14ac:dyDescent="0.65">
      <c r="A148" s="195"/>
      <c r="B148" s="140">
        <v>145</v>
      </c>
      <c r="C148" s="2"/>
      <c r="D148" s="1"/>
      <c r="E148" s="3"/>
      <c r="F148" s="1"/>
      <c r="G148" s="141">
        <f>IF(Basic34[[#This Row],[نوع الخدمة]]="مخالفات", 50,
IF(Basic34[[#This Row],[نوع الخدمة]]="كاش ان",
    IF(F148&lt;=100, 18, IF(F148&lt;=250, 23, IF(F148&lt;=500, 35, IF(F148&lt;=1000, 40, F148*0.04)))),
IF(Basic34[[#This Row],[نوع الخدمة]]="كاش اوت",
    IF(F148&lt;=100, 15, IF(F148&lt;=250, 20, IF(F148&lt;=500, 30, IF(F148&lt;=1000, 35, F148*0.035)))),
0)))</f>
        <v>0</v>
      </c>
      <c r="H148" s="159">
        <f>IF(I148="مخالفات",50,Basic34[[#This Row],[قيمة الرسوم / العموله]]+Basic34[[#This Row],[قيمة الشحنه]])</f>
        <v>0</v>
      </c>
      <c r="I148" s="90"/>
      <c r="J148" s="142" t="str">
        <f t="shared" si="2"/>
        <v>29.5.2026</v>
      </c>
      <c r="L148" s="153">
        <v>137</v>
      </c>
      <c r="M148" s="92"/>
    </row>
    <row r="149" spans="1:13" ht="21.6" x14ac:dyDescent="0.65">
      <c r="A149" s="195"/>
      <c r="B149" s="144">
        <v>146</v>
      </c>
      <c r="C149" s="2"/>
      <c r="D149" s="1"/>
      <c r="E149" s="3"/>
      <c r="F149" s="1"/>
      <c r="G149" s="141">
        <f>IF(Basic34[[#This Row],[نوع الخدمة]]="مخالفات", 50,
IF(Basic34[[#This Row],[نوع الخدمة]]="كاش ان",
    IF(F149&lt;=100, 18, IF(F149&lt;=250, 23, IF(F149&lt;=500, 35, IF(F149&lt;=1000, 40, F149*0.04)))),
IF(Basic34[[#This Row],[نوع الخدمة]]="كاش اوت",
    IF(F149&lt;=100, 15, IF(F149&lt;=250, 20, IF(F149&lt;=500, 30, IF(F149&lt;=1000, 35, F149*0.035)))),
0)))</f>
        <v>0</v>
      </c>
      <c r="H149" s="159">
        <f>IF(I149="مخالفات",50,Basic34[[#This Row],[قيمة الرسوم / العموله]]+Basic34[[#This Row],[قيمة الشحنه]])</f>
        <v>0</v>
      </c>
      <c r="I149" s="90"/>
      <c r="J149" s="142" t="str">
        <f t="shared" si="2"/>
        <v>29.5.2026</v>
      </c>
      <c r="L149" s="153">
        <v>138</v>
      </c>
      <c r="M149" s="92"/>
    </row>
    <row r="150" spans="1:13" ht="21.6" x14ac:dyDescent="0.65">
      <c r="A150" s="195"/>
      <c r="B150" s="140">
        <v>147</v>
      </c>
      <c r="C150" s="2"/>
      <c r="D150" s="1"/>
      <c r="E150" s="3"/>
      <c r="F150" s="1"/>
      <c r="G150" s="141">
        <f>IF(Basic34[[#This Row],[نوع الخدمة]]="مخالفات", 50,
IF(Basic34[[#This Row],[نوع الخدمة]]="كاش ان",
    IF(F150&lt;=100, 18, IF(F150&lt;=250, 23, IF(F150&lt;=500, 35, IF(F150&lt;=1000, 40, F150*0.04)))),
IF(Basic34[[#This Row],[نوع الخدمة]]="كاش اوت",
    IF(F150&lt;=100, 15, IF(F150&lt;=250, 20, IF(F150&lt;=500, 30, IF(F150&lt;=1000, 35, F150*0.035)))),
0)))</f>
        <v>0</v>
      </c>
      <c r="H150" s="159">
        <f>IF(I150="مخالفات",50,Basic34[[#This Row],[قيمة الرسوم / العموله]]+Basic34[[#This Row],[قيمة الشحنه]])</f>
        <v>0</v>
      </c>
      <c r="I150" s="90"/>
      <c r="J150" s="142" t="str">
        <f t="shared" si="2"/>
        <v>29.5.2026</v>
      </c>
      <c r="L150" s="153">
        <v>139</v>
      </c>
      <c r="M150" s="92"/>
    </row>
    <row r="151" spans="1:13" ht="21.6" x14ac:dyDescent="0.65">
      <c r="A151" s="195"/>
      <c r="B151" s="140">
        <v>148</v>
      </c>
      <c r="C151" s="2"/>
      <c r="D151" s="1"/>
      <c r="E151" s="3"/>
      <c r="F151" s="1"/>
      <c r="G151" s="141">
        <f>IF(Basic34[[#This Row],[نوع الخدمة]]="مخالفات", 50,
IF(Basic34[[#This Row],[نوع الخدمة]]="كاش ان",
    IF(F151&lt;=100, 18, IF(F151&lt;=250, 23, IF(F151&lt;=500, 35, IF(F151&lt;=1000, 40, F151*0.04)))),
IF(Basic34[[#This Row],[نوع الخدمة]]="كاش اوت",
    IF(F151&lt;=100, 15, IF(F151&lt;=250, 20, IF(F151&lt;=500, 30, IF(F151&lt;=1000, 35, F151*0.035)))),
0)))</f>
        <v>0</v>
      </c>
      <c r="H151" s="159">
        <f>IF(I151="مخالفات",50,Basic34[[#This Row],[قيمة الرسوم / العموله]]+Basic34[[#This Row],[قيمة الشحنه]])</f>
        <v>0</v>
      </c>
      <c r="I151" s="90"/>
      <c r="J151" s="142" t="str">
        <f t="shared" si="2"/>
        <v>29.5.2026</v>
      </c>
      <c r="L151" s="153">
        <v>140</v>
      </c>
      <c r="M151" s="92"/>
    </row>
    <row r="152" spans="1:13" ht="21.6" x14ac:dyDescent="0.65">
      <c r="A152" s="195"/>
      <c r="B152" s="140">
        <v>149</v>
      </c>
      <c r="C152" s="2"/>
      <c r="D152" s="1"/>
      <c r="E152" s="3"/>
      <c r="F152" s="1"/>
      <c r="G152" s="141">
        <f>IF(Basic34[[#This Row],[نوع الخدمة]]="مخالفات", 50,
IF(Basic34[[#This Row],[نوع الخدمة]]="كاش ان",
    IF(F152&lt;=100, 18, IF(F152&lt;=250, 23, IF(F152&lt;=500, 35, IF(F152&lt;=1000, 40, F152*0.04)))),
IF(Basic34[[#This Row],[نوع الخدمة]]="كاش اوت",
    IF(F152&lt;=100, 15, IF(F152&lt;=250, 20, IF(F152&lt;=500, 30, IF(F152&lt;=1000, 35, F152*0.035)))),
0)))</f>
        <v>0</v>
      </c>
      <c r="H152" s="159">
        <f>IF(I152="مخالفات",50,Basic34[[#This Row],[قيمة الرسوم / العموله]]+Basic34[[#This Row],[قيمة الشحنه]])</f>
        <v>0</v>
      </c>
      <c r="I152" s="90"/>
      <c r="J152" s="142" t="str">
        <f t="shared" si="2"/>
        <v>29.5.2026</v>
      </c>
      <c r="L152" s="153">
        <v>141</v>
      </c>
      <c r="M152" s="92"/>
    </row>
    <row r="153" spans="1:13" ht="21.6" x14ac:dyDescent="0.65">
      <c r="A153" s="195"/>
      <c r="B153" s="144">
        <v>150</v>
      </c>
      <c r="C153" s="2"/>
      <c r="D153" s="1"/>
      <c r="E153" s="3"/>
      <c r="F153" s="1"/>
      <c r="G153" s="141">
        <f>IF(Basic34[[#This Row],[نوع الخدمة]]="مخالفات", 50,
IF(Basic34[[#This Row],[نوع الخدمة]]="كاش ان",
    IF(F153&lt;=100, 18, IF(F153&lt;=250, 23, IF(F153&lt;=500, 35, IF(F153&lt;=1000, 40, F153*0.04)))),
IF(Basic34[[#This Row],[نوع الخدمة]]="كاش اوت",
    IF(F153&lt;=100, 15, IF(F153&lt;=250, 20, IF(F153&lt;=500, 30, IF(F153&lt;=1000, 35, F153*0.035)))),
0)))</f>
        <v>0</v>
      </c>
      <c r="H153" s="159">
        <f>IF(I153="مخالفات",50,Basic34[[#This Row],[قيمة الرسوم / العموله]]+Basic34[[#This Row],[قيمة الشحنه]])</f>
        <v>0</v>
      </c>
      <c r="I153" s="90"/>
      <c r="J153" s="142" t="str">
        <f t="shared" si="2"/>
        <v>29.5.2026</v>
      </c>
      <c r="L153" s="153">
        <v>142</v>
      </c>
      <c r="M153" s="92"/>
    </row>
    <row r="154" spans="1:13" ht="21.6" x14ac:dyDescent="0.65">
      <c r="A154" s="195"/>
      <c r="B154" s="140">
        <v>151</v>
      </c>
      <c r="C154" s="2"/>
      <c r="D154" s="1"/>
      <c r="E154" s="3"/>
      <c r="F154" s="1"/>
      <c r="G154" s="141">
        <f>IF(Basic34[[#This Row],[نوع الخدمة]]="مخالفات", 50,
IF(Basic34[[#This Row],[نوع الخدمة]]="كاش ان",
    IF(F154&lt;=100, 18, IF(F154&lt;=250, 23, IF(F154&lt;=500, 35, IF(F154&lt;=1000, 40, F154*0.04)))),
IF(Basic34[[#This Row],[نوع الخدمة]]="كاش اوت",
    IF(F154&lt;=100, 15, IF(F154&lt;=250, 20, IF(F154&lt;=500, 30, IF(F154&lt;=1000, 35, F154*0.035)))),
0)))</f>
        <v>0</v>
      </c>
      <c r="H154" s="159">
        <f>IF(I154="مخالفات",50,Basic34[[#This Row],[قيمة الرسوم / العموله]]+Basic34[[#This Row],[قيمة الشحنه]])</f>
        <v>0</v>
      </c>
      <c r="I154" s="90"/>
      <c r="J154" s="142" t="str">
        <f t="shared" si="2"/>
        <v>29.5.2026</v>
      </c>
      <c r="L154" s="153">
        <v>143</v>
      </c>
      <c r="M154" s="92"/>
    </row>
    <row r="155" spans="1:13" ht="21.6" x14ac:dyDescent="0.65">
      <c r="A155" s="195"/>
      <c r="B155" s="140">
        <v>152</v>
      </c>
      <c r="C155" s="2"/>
      <c r="D155" s="1"/>
      <c r="E155" s="3"/>
      <c r="F155" s="1"/>
      <c r="G155" s="141">
        <f>IF(Basic34[[#This Row],[نوع الخدمة]]="مخالفات", 50,
IF(Basic34[[#This Row],[نوع الخدمة]]="كاش ان",
    IF(F155&lt;=100, 18, IF(F155&lt;=250, 23, IF(F155&lt;=500, 35, IF(F155&lt;=1000, 40, F155*0.04)))),
IF(Basic34[[#This Row],[نوع الخدمة]]="كاش اوت",
    IF(F155&lt;=100, 15, IF(F155&lt;=250, 20, IF(F155&lt;=500, 30, IF(F155&lt;=1000, 35, F155*0.035)))),
0)))</f>
        <v>0</v>
      </c>
      <c r="H155" s="159">
        <f>IF(I155="مخالفات",50,Basic34[[#This Row],[قيمة الرسوم / العموله]]+Basic34[[#This Row],[قيمة الشحنه]])</f>
        <v>0</v>
      </c>
      <c r="I155" s="90"/>
      <c r="J155" s="142" t="str">
        <f t="shared" si="2"/>
        <v>29.5.2026</v>
      </c>
      <c r="L155" s="153">
        <v>144</v>
      </c>
      <c r="M155" s="92"/>
    </row>
    <row r="156" spans="1:13" ht="21.6" x14ac:dyDescent="0.65">
      <c r="A156" s="195"/>
      <c r="B156" s="140">
        <v>153</v>
      </c>
      <c r="C156" s="2"/>
      <c r="D156" s="1"/>
      <c r="E156" s="3"/>
      <c r="F156" s="1"/>
      <c r="G156" s="141">
        <f>IF(Basic34[[#This Row],[نوع الخدمة]]="مخالفات", 50,
IF(Basic34[[#This Row],[نوع الخدمة]]="كاش ان",
    IF(F156&lt;=100, 18, IF(F156&lt;=250, 23, IF(F156&lt;=500, 35, IF(F156&lt;=1000, 40, F156*0.04)))),
IF(Basic34[[#This Row],[نوع الخدمة]]="كاش اوت",
    IF(F156&lt;=100, 15, IF(F156&lt;=250, 20, IF(F156&lt;=500, 30, IF(F156&lt;=1000, 35, F156*0.035)))),
0)))</f>
        <v>0</v>
      </c>
      <c r="H156" s="159">
        <f>IF(I156="مخالفات",50,Basic34[[#This Row],[قيمة الرسوم / العموله]]+Basic34[[#This Row],[قيمة الشحنه]])</f>
        <v>0</v>
      </c>
      <c r="I156" s="90"/>
      <c r="J156" s="142" t="str">
        <f t="shared" si="2"/>
        <v>29.5.2026</v>
      </c>
      <c r="L156" s="153">
        <v>145</v>
      </c>
      <c r="M156" s="92"/>
    </row>
    <row r="157" spans="1:13" ht="21.6" x14ac:dyDescent="0.65">
      <c r="A157" s="195"/>
      <c r="B157" s="144">
        <v>154</v>
      </c>
      <c r="C157" s="2"/>
      <c r="D157" s="1"/>
      <c r="E157" s="3"/>
      <c r="F157" s="1"/>
      <c r="G157" s="141">
        <f>IF(Basic34[[#This Row],[نوع الخدمة]]="مخالفات", 50,
IF(Basic34[[#This Row],[نوع الخدمة]]="كاش ان",
    IF(F157&lt;=100, 18, IF(F157&lt;=250, 23, IF(F157&lt;=500, 35, IF(F157&lt;=1000, 40, F157*0.04)))),
IF(Basic34[[#This Row],[نوع الخدمة]]="كاش اوت",
    IF(F157&lt;=100, 15, IF(F157&lt;=250, 20, IF(F157&lt;=500, 30, IF(F157&lt;=1000, 35, F157*0.035)))),
0)))</f>
        <v>0</v>
      </c>
      <c r="H157" s="159">
        <f>IF(I157="مخالفات",50,Basic34[[#This Row],[قيمة الرسوم / العموله]]+Basic34[[#This Row],[قيمة الشحنه]])</f>
        <v>0</v>
      </c>
      <c r="I157" s="90"/>
      <c r="J157" s="142" t="str">
        <f t="shared" si="2"/>
        <v>29.5.2026</v>
      </c>
      <c r="L157" s="153">
        <v>146</v>
      </c>
      <c r="M157" s="92"/>
    </row>
    <row r="158" spans="1:13" ht="21.6" x14ac:dyDescent="0.65">
      <c r="A158" s="195"/>
      <c r="B158" s="140">
        <v>155</v>
      </c>
      <c r="C158" s="2"/>
      <c r="D158" s="1"/>
      <c r="E158" s="3"/>
      <c r="F158" s="1"/>
      <c r="G158" s="141">
        <f>IF(Basic34[[#This Row],[نوع الخدمة]]="مخالفات", 50,
IF(Basic34[[#This Row],[نوع الخدمة]]="كاش ان",
    IF(F158&lt;=100, 18, IF(F158&lt;=250, 23, IF(F158&lt;=500, 35, IF(F158&lt;=1000, 40, F158*0.04)))),
IF(Basic34[[#This Row],[نوع الخدمة]]="كاش اوت",
    IF(F158&lt;=100, 15, IF(F158&lt;=250, 20, IF(F158&lt;=500, 30, IF(F158&lt;=1000, 35, F158*0.035)))),
0)))</f>
        <v>0</v>
      </c>
      <c r="H158" s="159">
        <f>IF(I158="مخالفات",50,Basic34[[#This Row],[قيمة الرسوم / العموله]]+Basic34[[#This Row],[قيمة الشحنه]])</f>
        <v>0</v>
      </c>
      <c r="I158" s="90"/>
      <c r="J158" s="142" t="str">
        <f t="shared" si="2"/>
        <v>29.5.2026</v>
      </c>
      <c r="L158" s="153">
        <v>147</v>
      </c>
      <c r="M158" s="92"/>
    </row>
    <row r="159" spans="1:13" ht="21.6" x14ac:dyDescent="0.65">
      <c r="A159" s="195"/>
      <c r="B159" s="140">
        <v>156</v>
      </c>
      <c r="C159" s="2"/>
      <c r="D159" s="1"/>
      <c r="E159" s="3"/>
      <c r="F159" s="1"/>
      <c r="G159" s="141">
        <f>IF(Basic34[[#This Row],[نوع الخدمة]]="مخالفات", 50,
IF(Basic34[[#This Row],[نوع الخدمة]]="كاش ان",
    IF(F159&lt;=100, 18, IF(F159&lt;=250, 23, IF(F159&lt;=500, 35, IF(F159&lt;=1000, 40, F159*0.04)))),
IF(Basic34[[#This Row],[نوع الخدمة]]="كاش اوت",
    IF(F159&lt;=100, 15, IF(F159&lt;=250, 20, IF(F159&lt;=500, 30, IF(F159&lt;=1000, 35, F159*0.035)))),
0)))</f>
        <v>0</v>
      </c>
      <c r="H159" s="159">
        <f>IF(I159="مخالفات",50,Basic34[[#This Row],[قيمة الرسوم / العموله]]+Basic34[[#This Row],[قيمة الشحنه]])</f>
        <v>0</v>
      </c>
      <c r="I159" s="90"/>
      <c r="J159" s="142" t="str">
        <f t="shared" si="2"/>
        <v>29.5.2026</v>
      </c>
      <c r="L159" s="153">
        <v>148</v>
      </c>
      <c r="M159" s="92"/>
    </row>
    <row r="160" spans="1:13" ht="21.6" x14ac:dyDescent="0.65">
      <c r="A160" s="195"/>
      <c r="B160" s="140">
        <v>157</v>
      </c>
      <c r="C160" s="2"/>
      <c r="D160" s="1"/>
      <c r="E160" s="3"/>
      <c r="F160" s="1"/>
      <c r="G160" s="141">
        <f>IF(Basic34[[#This Row],[نوع الخدمة]]="مخالفات", 50,
IF(Basic34[[#This Row],[نوع الخدمة]]="كاش ان",
    IF(F160&lt;=100, 18, IF(F160&lt;=250, 23, IF(F160&lt;=500, 35, IF(F160&lt;=1000, 40, F160*0.04)))),
IF(Basic34[[#This Row],[نوع الخدمة]]="كاش اوت",
    IF(F160&lt;=100, 15, IF(F160&lt;=250, 20, IF(F160&lt;=500, 30, IF(F160&lt;=1000, 35, F160*0.035)))),
0)))</f>
        <v>0</v>
      </c>
      <c r="H160" s="159">
        <f>IF(I160="مخالفات",50,Basic34[[#This Row],[قيمة الرسوم / العموله]]+Basic34[[#This Row],[قيمة الشحنه]])</f>
        <v>0</v>
      </c>
      <c r="I160" s="90"/>
      <c r="J160" s="142" t="str">
        <f t="shared" si="2"/>
        <v>29.5.2026</v>
      </c>
      <c r="L160" s="153">
        <v>149</v>
      </c>
      <c r="M160" s="92"/>
    </row>
    <row r="161" spans="1:13" ht="21.6" x14ac:dyDescent="0.65">
      <c r="A161" s="195"/>
      <c r="B161" s="144">
        <v>158</v>
      </c>
      <c r="C161" s="2"/>
      <c r="D161" s="1"/>
      <c r="E161" s="3"/>
      <c r="F161" s="1"/>
      <c r="G161" s="141">
        <f>IF(Basic34[[#This Row],[نوع الخدمة]]="مخالفات", 50,
IF(Basic34[[#This Row],[نوع الخدمة]]="كاش ان",
    IF(F161&lt;=100, 18, IF(F161&lt;=250, 23, IF(F161&lt;=500, 35, IF(F161&lt;=1000, 40, F161*0.04)))),
IF(Basic34[[#This Row],[نوع الخدمة]]="كاش اوت",
    IF(F161&lt;=100, 15, IF(F161&lt;=250, 20, IF(F161&lt;=500, 30, IF(F161&lt;=1000, 35, F161*0.035)))),
0)))</f>
        <v>0</v>
      </c>
      <c r="H161" s="159">
        <f>IF(I161="مخالفات",50,Basic34[[#This Row],[قيمة الرسوم / العموله]]+Basic34[[#This Row],[قيمة الشحنه]])</f>
        <v>0</v>
      </c>
      <c r="I161" s="90"/>
      <c r="J161" s="142" t="str">
        <f t="shared" si="2"/>
        <v>29.5.2026</v>
      </c>
      <c r="L161" s="153">
        <v>150</v>
      </c>
      <c r="M161" s="92"/>
    </row>
    <row r="162" spans="1:13" ht="21.6" x14ac:dyDescent="0.65">
      <c r="A162" s="195"/>
      <c r="B162" s="140">
        <v>159</v>
      </c>
      <c r="C162" s="2"/>
      <c r="D162" s="1"/>
      <c r="E162" s="3"/>
      <c r="F162" s="1"/>
      <c r="G162" s="141">
        <f>IF(Basic34[[#This Row],[نوع الخدمة]]="مخالفات", 50,
IF(Basic34[[#This Row],[نوع الخدمة]]="كاش ان",
    IF(F162&lt;=100, 18, IF(F162&lt;=250, 23, IF(F162&lt;=500, 35, IF(F162&lt;=1000, 40, F162*0.04)))),
IF(Basic34[[#This Row],[نوع الخدمة]]="كاش اوت",
    IF(F162&lt;=100, 15, IF(F162&lt;=250, 20, IF(F162&lt;=500, 30, IF(F162&lt;=1000, 35, F162*0.035)))),
0)))</f>
        <v>0</v>
      </c>
      <c r="H162" s="159">
        <f>IF(I162="مخالفات",50,Basic34[[#This Row],[قيمة الرسوم / العموله]]+Basic34[[#This Row],[قيمة الشحنه]])</f>
        <v>0</v>
      </c>
      <c r="I162" s="90"/>
      <c r="J162" s="142" t="str">
        <f t="shared" si="2"/>
        <v>29.5.2026</v>
      </c>
      <c r="L162" s="153">
        <v>151</v>
      </c>
      <c r="M162" s="92"/>
    </row>
    <row r="163" spans="1:13" ht="21.6" x14ac:dyDescent="0.65">
      <c r="A163" s="195"/>
      <c r="B163" s="140">
        <v>160</v>
      </c>
      <c r="C163" s="2"/>
      <c r="D163" s="1"/>
      <c r="E163" s="3"/>
      <c r="F163" s="1"/>
      <c r="G163" s="141">
        <f>IF(Basic34[[#This Row],[نوع الخدمة]]="مخالفات", 50,
IF(Basic34[[#This Row],[نوع الخدمة]]="كاش ان",
    IF(F163&lt;=100, 18, IF(F163&lt;=250, 23, IF(F163&lt;=500, 35, IF(F163&lt;=1000, 40, F163*0.04)))),
IF(Basic34[[#This Row],[نوع الخدمة]]="كاش اوت",
    IF(F163&lt;=100, 15, IF(F163&lt;=250, 20, IF(F163&lt;=500, 30, IF(F163&lt;=1000, 35, F163*0.035)))),
0)))</f>
        <v>0</v>
      </c>
      <c r="H163" s="159">
        <f>IF(I163="مخالفات",50,Basic34[[#This Row],[قيمة الرسوم / العموله]]+Basic34[[#This Row],[قيمة الشحنه]])</f>
        <v>0</v>
      </c>
      <c r="I163" s="90"/>
      <c r="J163" s="142" t="str">
        <f t="shared" si="2"/>
        <v>29.5.2026</v>
      </c>
      <c r="L163" s="153">
        <v>152</v>
      </c>
      <c r="M163" s="92"/>
    </row>
    <row r="164" spans="1:13" ht="21.6" x14ac:dyDescent="0.65">
      <c r="A164" s="195"/>
      <c r="B164" s="140">
        <v>161</v>
      </c>
      <c r="C164" s="2"/>
      <c r="D164" s="1"/>
      <c r="E164" s="3"/>
      <c r="F164" s="1"/>
      <c r="G164" s="141">
        <f>IF(Basic34[[#This Row],[نوع الخدمة]]="مخالفات", 50,
IF(Basic34[[#This Row],[نوع الخدمة]]="كاش ان",
    IF(F164&lt;=100, 18, IF(F164&lt;=250, 23, IF(F164&lt;=500, 35, IF(F164&lt;=1000, 40, F164*0.04)))),
IF(Basic34[[#This Row],[نوع الخدمة]]="كاش اوت",
    IF(F164&lt;=100, 15, IF(F164&lt;=250, 20, IF(F164&lt;=500, 30, IF(F164&lt;=1000, 35, F164*0.035)))),
0)))</f>
        <v>0</v>
      </c>
      <c r="H164" s="159">
        <f>IF(I164="مخالفات",50,Basic34[[#This Row],[قيمة الرسوم / العموله]]+Basic34[[#This Row],[قيمة الشحنه]])</f>
        <v>0</v>
      </c>
      <c r="I164" s="90"/>
      <c r="J164" s="142" t="str">
        <f t="shared" si="2"/>
        <v>29.5.2026</v>
      </c>
      <c r="L164" s="153">
        <v>153</v>
      </c>
      <c r="M164" s="92"/>
    </row>
    <row r="165" spans="1:13" ht="21.6" x14ac:dyDescent="0.65">
      <c r="A165" s="195"/>
      <c r="B165" s="144">
        <v>162</v>
      </c>
      <c r="C165" s="2"/>
      <c r="D165" s="1"/>
      <c r="E165" s="3"/>
      <c r="F165" s="1"/>
      <c r="G165" s="141">
        <f>IF(Basic34[[#This Row],[نوع الخدمة]]="مخالفات", 50,
IF(Basic34[[#This Row],[نوع الخدمة]]="كاش ان",
    IF(F165&lt;=100, 18, IF(F165&lt;=250, 23, IF(F165&lt;=500, 35, IF(F165&lt;=1000, 40, F165*0.04)))),
IF(Basic34[[#This Row],[نوع الخدمة]]="كاش اوت",
    IF(F165&lt;=100, 15, IF(F165&lt;=250, 20, IF(F165&lt;=500, 30, IF(F165&lt;=1000, 35, F165*0.035)))),
0)))</f>
        <v>0</v>
      </c>
      <c r="H165" s="159">
        <f>IF(I165="مخالفات",50,Basic34[[#This Row],[قيمة الرسوم / العموله]]+Basic34[[#This Row],[قيمة الشحنه]])</f>
        <v>0</v>
      </c>
      <c r="I165" s="90"/>
      <c r="J165" s="142" t="str">
        <f t="shared" si="2"/>
        <v>29.5.2026</v>
      </c>
      <c r="L165" s="153">
        <v>154</v>
      </c>
      <c r="M165" s="92"/>
    </row>
    <row r="166" spans="1:13" ht="21.6" x14ac:dyDescent="0.65">
      <c r="A166" s="195"/>
      <c r="B166" s="140">
        <v>163</v>
      </c>
      <c r="C166" s="2"/>
      <c r="D166" s="1"/>
      <c r="E166" s="3"/>
      <c r="F166" s="1"/>
      <c r="G166" s="141">
        <f>IF(Basic34[[#This Row],[نوع الخدمة]]="مخالفات", 50,
IF(Basic34[[#This Row],[نوع الخدمة]]="كاش ان",
    IF(F166&lt;=100, 18, IF(F166&lt;=250, 23, IF(F166&lt;=500, 35, IF(F166&lt;=1000, 40, F166*0.04)))),
IF(Basic34[[#This Row],[نوع الخدمة]]="كاش اوت",
    IF(F166&lt;=100, 15, IF(F166&lt;=250, 20, IF(F166&lt;=500, 30, IF(F166&lt;=1000, 35, F166*0.035)))),
0)))</f>
        <v>0</v>
      </c>
      <c r="H166" s="159">
        <f>IF(I166="مخالفات",50,Basic34[[#This Row],[قيمة الرسوم / العموله]]+Basic34[[#This Row],[قيمة الشحنه]])</f>
        <v>0</v>
      </c>
      <c r="I166" s="90"/>
      <c r="J166" s="142" t="str">
        <f t="shared" si="2"/>
        <v>29.5.2026</v>
      </c>
      <c r="L166" s="153">
        <v>155</v>
      </c>
      <c r="M166" s="92"/>
    </row>
    <row r="167" spans="1:13" ht="21.6" x14ac:dyDescent="0.65">
      <c r="A167" s="195"/>
      <c r="B167" s="140">
        <v>164</v>
      </c>
      <c r="C167" s="2"/>
      <c r="D167" s="1"/>
      <c r="E167" s="3"/>
      <c r="F167" s="1"/>
      <c r="G167" s="141">
        <f>IF(Basic34[[#This Row],[نوع الخدمة]]="مخالفات", 50,
IF(Basic34[[#This Row],[نوع الخدمة]]="كاش ان",
    IF(F167&lt;=100, 18, IF(F167&lt;=250, 23, IF(F167&lt;=500, 35, IF(F167&lt;=1000, 40, F167*0.04)))),
IF(Basic34[[#This Row],[نوع الخدمة]]="كاش اوت",
    IF(F167&lt;=100, 15, IF(F167&lt;=250, 20, IF(F167&lt;=500, 30, IF(F167&lt;=1000, 35, F167*0.035)))),
0)))</f>
        <v>0</v>
      </c>
      <c r="H167" s="159">
        <f>IF(I167="مخالفات",50,Basic34[[#This Row],[قيمة الرسوم / العموله]]+Basic34[[#This Row],[قيمة الشحنه]])</f>
        <v>0</v>
      </c>
      <c r="I167" s="90"/>
      <c r="J167" s="142" t="str">
        <f t="shared" si="2"/>
        <v>29.5.2026</v>
      </c>
      <c r="L167" s="153">
        <v>156</v>
      </c>
      <c r="M167" s="92"/>
    </row>
    <row r="168" spans="1:13" ht="21.6" x14ac:dyDescent="0.65">
      <c r="A168" s="195"/>
      <c r="B168" s="140">
        <v>165</v>
      </c>
      <c r="C168" s="2"/>
      <c r="D168" s="1"/>
      <c r="E168" s="3"/>
      <c r="F168" s="1"/>
      <c r="G168" s="141">
        <f>IF(Basic34[[#This Row],[نوع الخدمة]]="مخالفات", 50,
IF(Basic34[[#This Row],[نوع الخدمة]]="كاش ان",
    IF(F168&lt;=100, 18, IF(F168&lt;=250, 23, IF(F168&lt;=500, 35, IF(F168&lt;=1000, 40, F168*0.04)))),
IF(Basic34[[#This Row],[نوع الخدمة]]="كاش اوت",
    IF(F168&lt;=100, 15, IF(F168&lt;=250, 20, IF(F168&lt;=500, 30, IF(F168&lt;=1000, 35, F168*0.035)))),
0)))</f>
        <v>0</v>
      </c>
      <c r="H168" s="159">
        <f>IF(I168="مخالفات",50,Basic34[[#This Row],[قيمة الرسوم / العموله]]+Basic34[[#This Row],[قيمة الشحنه]])</f>
        <v>0</v>
      </c>
      <c r="I168" s="90"/>
      <c r="J168" s="142" t="str">
        <f t="shared" si="2"/>
        <v>29.5.2026</v>
      </c>
      <c r="L168" s="153">
        <v>157</v>
      </c>
      <c r="M168" s="92"/>
    </row>
    <row r="169" spans="1:13" ht="21.6" x14ac:dyDescent="0.65">
      <c r="A169" s="195"/>
      <c r="B169" s="144">
        <v>166</v>
      </c>
      <c r="C169" s="2"/>
      <c r="D169" s="1"/>
      <c r="E169" s="3"/>
      <c r="F169" s="1"/>
      <c r="G169" s="141">
        <f>IF(Basic34[[#This Row],[نوع الخدمة]]="مخالفات", 50,
IF(Basic34[[#This Row],[نوع الخدمة]]="كاش ان",
    IF(F169&lt;=100, 18, IF(F169&lt;=250, 23, IF(F169&lt;=500, 35, IF(F169&lt;=1000, 40, F169*0.04)))),
IF(Basic34[[#This Row],[نوع الخدمة]]="كاش اوت",
    IF(F169&lt;=100, 15, IF(F169&lt;=250, 20, IF(F169&lt;=500, 30, IF(F169&lt;=1000, 35, F169*0.035)))),
0)))</f>
        <v>0</v>
      </c>
      <c r="H169" s="159">
        <f>IF(I169="مخالفات",50,Basic34[[#This Row],[قيمة الرسوم / العموله]]+Basic34[[#This Row],[قيمة الشحنه]])</f>
        <v>0</v>
      </c>
      <c r="I169" s="90"/>
      <c r="J169" s="142" t="str">
        <f t="shared" si="2"/>
        <v>29.5.2026</v>
      </c>
      <c r="L169" s="153">
        <v>158</v>
      </c>
      <c r="M169" s="92"/>
    </row>
    <row r="170" spans="1:13" ht="21.6" x14ac:dyDescent="0.65">
      <c r="A170" s="195"/>
      <c r="B170" s="140">
        <v>167</v>
      </c>
      <c r="C170" s="2"/>
      <c r="D170" s="1"/>
      <c r="E170" s="3"/>
      <c r="F170" s="1"/>
      <c r="G170" s="141">
        <f>IF(Basic34[[#This Row],[نوع الخدمة]]="مخالفات", 50,
IF(Basic34[[#This Row],[نوع الخدمة]]="كاش ان",
    IF(F170&lt;=100, 18, IF(F170&lt;=250, 23, IF(F170&lt;=500, 35, IF(F170&lt;=1000, 40, F170*0.04)))),
IF(Basic34[[#This Row],[نوع الخدمة]]="كاش اوت",
    IF(F170&lt;=100, 15, IF(F170&lt;=250, 20, IF(F170&lt;=500, 30, IF(F170&lt;=1000, 35, F170*0.035)))),
0)))</f>
        <v>0</v>
      </c>
      <c r="H170" s="159">
        <f>IF(I170="مخالفات",50,Basic34[[#This Row],[قيمة الرسوم / العموله]]+Basic34[[#This Row],[قيمة الشحنه]])</f>
        <v>0</v>
      </c>
      <c r="I170" s="90"/>
      <c r="J170" s="142" t="str">
        <f t="shared" si="2"/>
        <v>29.5.2026</v>
      </c>
      <c r="L170" s="153">
        <v>159</v>
      </c>
      <c r="M170" s="92"/>
    </row>
    <row r="171" spans="1:13" ht="21.6" x14ac:dyDescent="0.65">
      <c r="A171" s="195"/>
      <c r="B171" s="140">
        <v>168</v>
      </c>
      <c r="C171" s="2"/>
      <c r="D171" s="1"/>
      <c r="E171" s="3"/>
      <c r="F171" s="1"/>
      <c r="G171" s="141">
        <f>IF(Basic34[[#This Row],[نوع الخدمة]]="مخالفات", 50,
IF(Basic34[[#This Row],[نوع الخدمة]]="كاش ان",
    IF(F171&lt;=100, 18, IF(F171&lt;=250, 23, IF(F171&lt;=500, 35, IF(F171&lt;=1000, 40, F171*0.04)))),
IF(Basic34[[#This Row],[نوع الخدمة]]="كاش اوت",
    IF(F171&lt;=100, 15, IF(F171&lt;=250, 20, IF(F171&lt;=500, 30, IF(F171&lt;=1000, 35, F171*0.035)))),
0)))</f>
        <v>0</v>
      </c>
      <c r="H171" s="159">
        <f>IF(I171="مخالفات",50,Basic34[[#This Row],[قيمة الرسوم / العموله]]+Basic34[[#This Row],[قيمة الشحنه]])</f>
        <v>0</v>
      </c>
      <c r="I171" s="90"/>
      <c r="J171" s="142" t="str">
        <f t="shared" si="2"/>
        <v>29.5.2026</v>
      </c>
      <c r="L171" s="153">
        <v>160</v>
      </c>
      <c r="M171" s="92"/>
    </row>
    <row r="172" spans="1:13" ht="21.6" x14ac:dyDescent="0.65">
      <c r="A172" s="195"/>
      <c r="B172" s="140">
        <v>169</v>
      </c>
      <c r="C172" s="2"/>
      <c r="D172" s="1"/>
      <c r="E172" s="3"/>
      <c r="F172" s="1"/>
      <c r="G172" s="141">
        <f>IF(Basic34[[#This Row],[نوع الخدمة]]="مخالفات", 50,
IF(Basic34[[#This Row],[نوع الخدمة]]="كاش ان",
    IF(F172&lt;=100, 18, IF(F172&lt;=250, 23, IF(F172&lt;=500, 35, IF(F172&lt;=1000, 40, F172*0.04)))),
IF(Basic34[[#This Row],[نوع الخدمة]]="كاش اوت",
    IF(F172&lt;=100, 15, IF(F172&lt;=250, 20, IF(F172&lt;=500, 30, IF(F172&lt;=1000, 35, F172*0.035)))),
0)))</f>
        <v>0</v>
      </c>
      <c r="H172" s="159">
        <f>IF(I172="مخالفات",50,Basic34[[#This Row],[قيمة الرسوم / العموله]]+Basic34[[#This Row],[قيمة الشحنه]])</f>
        <v>0</v>
      </c>
      <c r="I172" s="90"/>
      <c r="J172" s="142" t="str">
        <f t="shared" si="2"/>
        <v>29.5.2026</v>
      </c>
      <c r="L172" s="153">
        <v>161</v>
      </c>
      <c r="M172" s="92"/>
    </row>
    <row r="173" spans="1:13" ht="21.6" x14ac:dyDescent="0.65">
      <c r="A173" s="195"/>
      <c r="B173" s="144">
        <v>170</v>
      </c>
      <c r="C173" s="2"/>
      <c r="D173" s="1"/>
      <c r="E173" s="3"/>
      <c r="F173" s="1"/>
      <c r="G173" s="141">
        <f>IF(Basic34[[#This Row],[نوع الخدمة]]="مخالفات", 50,
IF(Basic34[[#This Row],[نوع الخدمة]]="كاش ان",
    IF(F173&lt;=100, 18, IF(F173&lt;=250, 23, IF(F173&lt;=500, 35, IF(F173&lt;=1000, 40, F173*0.04)))),
IF(Basic34[[#This Row],[نوع الخدمة]]="كاش اوت",
    IF(F173&lt;=100, 15, IF(F173&lt;=250, 20, IF(F173&lt;=500, 30, IF(F173&lt;=1000, 35, F173*0.035)))),
0)))</f>
        <v>0</v>
      </c>
      <c r="H173" s="159">
        <f>IF(I173="مخالفات",50,Basic34[[#This Row],[قيمة الرسوم / العموله]]+Basic34[[#This Row],[قيمة الشحنه]])</f>
        <v>0</v>
      </c>
      <c r="I173" s="90"/>
      <c r="J173" s="142" t="str">
        <f t="shared" si="2"/>
        <v>29.5.2026</v>
      </c>
      <c r="L173" s="153">
        <v>162</v>
      </c>
      <c r="M173" s="92"/>
    </row>
    <row r="174" spans="1:13" ht="21.6" x14ac:dyDescent="0.65">
      <c r="A174" s="195"/>
      <c r="B174" s="140">
        <v>171</v>
      </c>
      <c r="C174" s="2"/>
      <c r="D174" s="1"/>
      <c r="E174" s="3"/>
      <c r="F174" s="1"/>
      <c r="G174" s="141">
        <f>IF(Basic34[[#This Row],[نوع الخدمة]]="مخالفات", 50,
IF(Basic34[[#This Row],[نوع الخدمة]]="كاش ان",
    IF(F174&lt;=100, 18, IF(F174&lt;=250, 23, IF(F174&lt;=500, 35, IF(F174&lt;=1000, 40, F174*0.04)))),
IF(Basic34[[#This Row],[نوع الخدمة]]="كاش اوت",
    IF(F174&lt;=100, 15, IF(F174&lt;=250, 20, IF(F174&lt;=500, 30, IF(F174&lt;=1000, 35, F174*0.035)))),
0)))</f>
        <v>0</v>
      </c>
      <c r="H174" s="159">
        <f>IF(I174="مخالفات",50,Basic34[[#This Row],[قيمة الرسوم / العموله]]+Basic34[[#This Row],[قيمة الشحنه]])</f>
        <v>0</v>
      </c>
      <c r="I174" s="90"/>
      <c r="J174" s="142" t="str">
        <f t="shared" si="2"/>
        <v>29.5.2026</v>
      </c>
      <c r="L174" s="153">
        <v>163</v>
      </c>
      <c r="M174" s="92"/>
    </row>
    <row r="175" spans="1:13" ht="21.6" x14ac:dyDescent="0.65">
      <c r="A175" s="195"/>
      <c r="B175" s="140">
        <v>172</v>
      </c>
      <c r="C175" s="2"/>
      <c r="D175" s="1"/>
      <c r="E175" s="3"/>
      <c r="F175" s="1"/>
      <c r="G175" s="141">
        <f>IF(Basic34[[#This Row],[نوع الخدمة]]="مخالفات", 50,
IF(Basic34[[#This Row],[نوع الخدمة]]="كاش ان",
    IF(F175&lt;=100, 18, IF(F175&lt;=250, 23, IF(F175&lt;=500, 35, IF(F175&lt;=1000, 40, F175*0.04)))),
IF(Basic34[[#This Row],[نوع الخدمة]]="كاش اوت",
    IF(F175&lt;=100, 15, IF(F175&lt;=250, 20, IF(F175&lt;=500, 30, IF(F175&lt;=1000, 35, F175*0.035)))),
0)))</f>
        <v>0</v>
      </c>
      <c r="H175" s="159">
        <f>IF(I175="مخالفات",50,Basic34[[#This Row],[قيمة الرسوم / العموله]]+Basic34[[#This Row],[قيمة الشحنه]])</f>
        <v>0</v>
      </c>
      <c r="I175" s="90"/>
      <c r="J175" s="142" t="str">
        <f t="shared" si="2"/>
        <v>29.5.2026</v>
      </c>
      <c r="L175" s="153">
        <v>164</v>
      </c>
      <c r="M175" s="92"/>
    </row>
    <row r="176" spans="1:13" ht="21.6" x14ac:dyDescent="0.65">
      <c r="A176" s="195"/>
      <c r="B176" s="140">
        <v>173</v>
      </c>
      <c r="C176" s="2"/>
      <c r="D176" s="1"/>
      <c r="E176" s="3"/>
      <c r="F176" s="1"/>
      <c r="G176" s="141">
        <f>IF(Basic34[[#This Row],[نوع الخدمة]]="مخالفات", 50,
IF(Basic34[[#This Row],[نوع الخدمة]]="كاش ان",
    IF(F176&lt;=100, 18, IF(F176&lt;=250, 23, IF(F176&lt;=500, 35, IF(F176&lt;=1000, 40, F176*0.04)))),
IF(Basic34[[#This Row],[نوع الخدمة]]="كاش اوت",
    IF(F176&lt;=100, 15, IF(F176&lt;=250, 20, IF(F176&lt;=500, 30, IF(F176&lt;=1000, 35, F176*0.035)))),
0)))</f>
        <v>0</v>
      </c>
      <c r="H176" s="159">
        <f>IF(I176="مخالفات",50,Basic34[[#This Row],[قيمة الرسوم / العموله]]+Basic34[[#This Row],[قيمة الشحنه]])</f>
        <v>0</v>
      </c>
      <c r="I176" s="90"/>
      <c r="J176" s="142" t="str">
        <f t="shared" si="2"/>
        <v>29.5.2026</v>
      </c>
      <c r="L176" s="153">
        <v>165</v>
      </c>
      <c r="M176" s="92"/>
    </row>
    <row r="177" spans="1:13" ht="21.6" x14ac:dyDescent="0.65">
      <c r="A177" s="195"/>
      <c r="B177" s="144">
        <v>174</v>
      </c>
      <c r="C177" s="2"/>
      <c r="D177" s="1"/>
      <c r="E177" s="3"/>
      <c r="F177" s="1"/>
      <c r="G177" s="141">
        <f>IF(Basic34[[#This Row],[نوع الخدمة]]="مخالفات", 50,
IF(Basic34[[#This Row],[نوع الخدمة]]="كاش ان",
    IF(F177&lt;=100, 18, IF(F177&lt;=250, 23, IF(F177&lt;=500, 35, IF(F177&lt;=1000, 40, F177*0.04)))),
IF(Basic34[[#This Row],[نوع الخدمة]]="كاش اوت",
    IF(F177&lt;=100, 15, IF(F177&lt;=250, 20, IF(F177&lt;=500, 30, IF(F177&lt;=1000, 35, F177*0.035)))),
0)))</f>
        <v>0</v>
      </c>
      <c r="H177" s="159">
        <f>IF(I177="مخالفات",50,Basic34[[#This Row],[قيمة الرسوم / العموله]]+Basic34[[#This Row],[قيمة الشحنه]])</f>
        <v>0</v>
      </c>
      <c r="I177" s="90"/>
      <c r="J177" s="142" t="str">
        <f t="shared" si="2"/>
        <v>29.5.2026</v>
      </c>
      <c r="L177" s="153">
        <v>166</v>
      </c>
      <c r="M177" s="92"/>
    </row>
    <row r="178" spans="1:13" ht="21.6" x14ac:dyDescent="0.65">
      <c r="A178" s="195"/>
      <c r="B178" s="140">
        <v>175</v>
      </c>
      <c r="C178" s="2"/>
      <c r="D178" s="1"/>
      <c r="E178" s="3"/>
      <c r="F178" s="1"/>
      <c r="G178" s="141">
        <f>IF(Basic34[[#This Row],[نوع الخدمة]]="مخالفات", 50,
IF(Basic34[[#This Row],[نوع الخدمة]]="كاش ان",
    IF(F178&lt;=100, 18, IF(F178&lt;=250, 23, IF(F178&lt;=500, 35, IF(F178&lt;=1000, 40, F178*0.04)))),
IF(Basic34[[#This Row],[نوع الخدمة]]="كاش اوت",
    IF(F178&lt;=100, 15, IF(F178&lt;=250, 20, IF(F178&lt;=500, 30, IF(F178&lt;=1000, 35, F178*0.035)))),
0)))</f>
        <v>0</v>
      </c>
      <c r="H178" s="159">
        <f>IF(I178="مخالفات",50,Basic34[[#This Row],[قيمة الرسوم / العموله]]+Basic34[[#This Row],[قيمة الشحنه]])</f>
        <v>0</v>
      </c>
      <c r="I178" s="90"/>
      <c r="J178" s="142" t="str">
        <f t="shared" si="2"/>
        <v>29.5.2026</v>
      </c>
      <c r="L178" s="153">
        <v>167</v>
      </c>
      <c r="M178" s="92"/>
    </row>
    <row r="179" spans="1:13" ht="21.6" x14ac:dyDescent="0.65">
      <c r="A179" s="195"/>
      <c r="B179" s="140">
        <v>176</v>
      </c>
      <c r="C179" s="2"/>
      <c r="D179" s="1"/>
      <c r="E179" s="3"/>
      <c r="F179" s="1"/>
      <c r="G179" s="141">
        <f>IF(Basic34[[#This Row],[نوع الخدمة]]="مخالفات", 50,
IF(Basic34[[#This Row],[نوع الخدمة]]="كاش ان",
    IF(F179&lt;=100, 18, IF(F179&lt;=250, 23, IF(F179&lt;=500, 35, IF(F179&lt;=1000, 40, F179*0.04)))),
IF(Basic34[[#This Row],[نوع الخدمة]]="كاش اوت",
    IF(F179&lt;=100, 15, IF(F179&lt;=250, 20, IF(F179&lt;=500, 30, IF(F179&lt;=1000, 35, F179*0.035)))),
0)))</f>
        <v>0</v>
      </c>
      <c r="H179" s="159">
        <f>IF(I179="مخالفات",50,Basic34[[#This Row],[قيمة الرسوم / العموله]]+Basic34[[#This Row],[قيمة الشحنه]])</f>
        <v>0</v>
      </c>
      <c r="I179" s="90"/>
      <c r="J179" s="142" t="str">
        <f t="shared" si="2"/>
        <v>29.5.2026</v>
      </c>
      <c r="L179" s="153">
        <v>168</v>
      </c>
      <c r="M179" s="92"/>
    </row>
    <row r="180" spans="1:13" ht="21.6" x14ac:dyDescent="0.65">
      <c r="A180" s="195"/>
      <c r="B180" s="140">
        <v>177</v>
      </c>
      <c r="C180" s="2"/>
      <c r="D180" s="1"/>
      <c r="E180" s="3"/>
      <c r="F180" s="1"/>
      <c r="G180" s="141">
        <f>IF(Basic34[[#This Row],[نوع الخدمة]]="مخالفات", 50,
IF(Basic34[[#This Row],[نوع الخدمة]]="كاش ان",
    IF(F180&lt;=100, 18, IF(F180&lt;=250, 23, IF(F180&lt;=500, 35, IF(F180&lt;=1000, 40, F180*0.04)))),
IF(Basic34[[#This Row],[نوع الخدمة]]="كاش اوت",
    IF(F180&lt;=100, 15, IF(F180&lt;=250, 20, IF(F180&lt;=500, 30, IF(F180&lt;=1000, 35, F180*0.035)))),
0)))</f>
        <v>0</v>
      </c>
      <c r="H180" s="159">
        <f>IF(I180="مخالفات",50,Basic34[[#This Row],[قيمة الرسوم / العموله]]+Basic34[[#This Row],[قيمة الشحنه]])</f>
        <v>0</v>
      </c>
      <c r="I180" s="90"/>
      <c r="J180" s="142" t="str">
        <f t="shared" si="2"/>
        <v>29.5.2026</v>
      </c>
      <c r="L180" s="153">
        <v>169</v>
      </c>
      <c r="M180" s="92"/>
    </row>
    <row r="181" spans="1:13" ht="21.6" x14ac:dyDescent="0.65">
      <c r="A181" s="195"/>
      <c r="B181" s="144">
        <v>178</v>
      </c>
      <c r="C181" s="2"/>
      <c r="D181" s="1"/>
      <c r="E181" s="3"/>
      <c r="F181" s="1"/>
      <c r="G181" s="141">
        <f>IF(Basic34[[#This Row],[نوع الخدمة]]="مخالفات", 50,
IF(Basic34[[#This Row],[نوع الخدمة]]="كاش ان",
    IF(F181&lt;=100, 18, IF(F181&lt;=250, 23, IF(F181&lt;=500, 35, IF(F181&lt;=1000, 40, F181*0.04)))),
IF(Basic34[[#This Row],[نوع الخدمة]]="كاش اوت",
    IF(F181&lt;=100, 15, IF(F181&lt;=250, 20, IF(F181&lt;=500, 30, IF(F181&lt;=1000, 35, F181*0.035)))),
0)))</f>
        <v>0</v>
      </c>
      <c r="H181" s="159">
        <f>IF(I181="مخالفات",50,Basic34[[#This Row],[قيمة الرسوم / العموله]]+Basic34[[#This Row],[قيمة الشحنه]])</f>
        <v>0</v>
      </c>
      <c r="I181" s="90"/>
      <c r="J181" s="142" t="str">
        <f t="shared" si="2"/>
        <v>29.5.2026</v>
      </c>
      <c r="L181" s="153">
        <v>170</v>
      </c>
      <c r="M181" s="92"/>
    </row>
    <row r="182" spans="1:13" ht="21.6" x14ac:dyDescent="0.65">
      <c r="A182" s="195"/>
      <c r="B182" s="140">
        <v>179</v>
      </c>
      <c r="C182" s="2"/>
      <c r="D182" s="1"/>
      <c r="E182" s="3"/>
      <c r="F182" s="1"/>
      <c r="G182" s="141">
        <f>IF(Basic34[[#This Row],[نوع الخدمة]]="مخالفات", 50,
IF(Basic34[[#This Row],[نوع الخدمة]]="كاش ان",
    IF(F182&lt;=100, 18, IF(F182&lt;=250, 23, IF(F182&lt;=500, 35, IF(F182&lt;=1000, 40, F182*0.04)))),
IF(Basic34[[#This Row],[نوع الخدمة]]="كاش اوت",
    IF(F182&lt;=100, 15, IF(F182&lt;=250, 20, IF(F182&lt;=500, 30, IF(F182&lt;=1000, 35, F182*0.035)))),
0)))</f>
        <v>0</v>
      </c>
      <c r="H182" s="159">
        <f>IF(I182="مخالفات",50,Basic34[[#This Row],[قيمة الرسوم / العموله]]+Basic34[[#This Row],[قيمة الشحنه]])</f>
        <v>0</v>
      </c>
      <c r="I182" s="90"/>
      <c r="J182" s="142" t="str">
        <f t="shared" si="2"/>
        <v>29.5.2026</v>
      </c>
      <c r="L182" s="153">
        <v>171</v>
      </c>
      <c r="M182" s="92"/>
    </row>
    <row r="183" spans="1:13" ht="21.6" x14ac:dyDescent="0.65">
      <c r="A183" s="195"/>
      <c r="B183" s="140">
        <v>180</v>
      </c>
      <c r="C183" s="2"/>
      <c r="D183" s="1"/>
      <c r="E183" s="3"/>
      <c r="F183" s="1"/>
      <c r="G183" s="141">
        <f>IF(Basic34[[#This Row],[نوع الخدمة]]="مخالفات", 50,
IF(Basic34[[#This Row],[نوع الخدمة]]="كاش ان",
    IF(F183&lt;=100, 18, IF(F183&lt;=250, 23, IF(F183&lt;=500, 35, IF(F183&lt;=1000, 40, F183*0.04)))),
IF(Basic34[[#This Row],[نوع الخدمة]]="كاش اوت",
    IF(F183&lt;=100, 15, IF(F183&lt;=250, 20, IF(F183&lt;=500, 30, IF(F183&lt;=1000, 35, F183*0.035)))),
0)))</f>
        <v>0</v>
      </c>
      <c r="H183" s="159">
        <f>IF(I183="مخالفات",50,Basic34[[#This Row],[قيمة الرسوم / العموله]]+Basic34[[#This Row],[قيمة الشحنه]])</f>
        <v>0</v>
      </c>
      <c r="I183" s="90"/>
      <c r="J183" s="142" t="str">
        <f t="shared" si="2"/>
        <v>29.5.2026</v>
      </c>
      <c r="L183" s="153">
        <v>172</v>
      </c>
      <c r="M183" s="92"/>
    </row>
    <row r="184" spans="1:13" ht="21.6" x14ac:dyDescent="0.65">
      <c r="A184" s="195"/>
      <c r="B184" s="140">
        <v>181</v>
      </c>
      <c r="C184" s="2"/>
      <c r="D184" s="1"/>
      <c r="E184" s="3"/>
      <c r="F184" s="1"/>
      <c r="G184" s="141">
        <f>IF(Basic34[[#This Row],[نوع الخدمة]]="مخالفات", 50,
IF(Basic34[[#This Row],[نوع الخدمة]]="كاش ان",
    IF(F184&lt;=100, 18, IF(F184&lt;=250, 23, IF(F184&lt;=500, 35, IF(F184&lt;=1000, 40, F184*0.04)))),
IF(Basic34[[#This Row],[نوع الخدمة]]="كاش اوت",
    IF(F184&lt;=100, 15, IF(F184&lt;=250, 20, IF(F184&lt;=500, 30, IF(F184&lt;=1000, 35, F184*0.035)))),
0)))</f>
        <v>0</v>
      </c>
      <c r="H184" s="159">
        <f>IF(I184="مخالفات",50,Basic34[[#This Row],[قيمة الرسوم / العموله]]+Basic34[[#This Row],[قيمة الشحنه]])</f>
        <v>0</v>
      </c>
      <c r="I184" s="90"/>
      <c r="J184" s="142" t="str">
        <f t="shared" si="2"/>
        <v>29.5.2026</v>
      </c>
      <c r="L184" s="153">
        <v>173</v>
      </c>
      <c r="M184" s="92"/>
    </row>
    <row r="185" spans="1:13" ht="21.6" x14ac:dyDescent="0.65">
      <c r="A185" s="195"/>
      <c r="B185" s="144">
        <v>182</v>
      </c>
      <c r="C185" s="2"/>
      <c r="D185" s="1"/>
      <c r="E185" s="3"/>
      <c r="F185" s="1"/>
      <c r="G185" s="141">
        <f>IF(Basic34[[#This Row],[نوع الخدمة]]="مخالفات", 50,
IF(Basic34[[#This Row],[نوع الخدمة]]="كاش ان",
    IF(F185&lt;=100, 18, IF(F185&lt;=250, 23, IF(F185&lt;=500, 35, IF(F185&lt;=1000, 40, F185*0.04)))),
IF(Basic34[[#This Row],[نوع الخدمة]]="كاش اوت",
    IF(F185&lt;=100, 15, IF(F185&lt;=250, 20, IF(F185&lt;=500, 30, IF(F185&lt;=1000, 35, F185*0.035)))),
0)))</f>
        <v>0</v>
      </c>
      <c r="H185" s="159">
        <f>IF(I185="مخالفات",50,Basic34[[#This Row],[قيمة الرسوم / العموله]]+Basic34[[#This Row],[قيمة الشحنه]])</f>
        <v>0</v>
      </c>
      <c r="I185" s="90"/>
      <c r="J185" s="142" t="str">
        <f t="shared" si="2"/>
        <v>29.5.2026</v>
      </c>
      <c r="L185" s="153">
        <v>174</v>
      </c>
      <c r="M185" s="92"/>
    </row>
    <row r="186" spans="1:13" ht="21.6" x14ac:dyDescent="0.65">
      <c r="A186" s="195"/>
      <c r="B186" s="140">
        <v>183</v>
      </c>
      <c r="C186" s="2"/>
      <c r="D186" s="1"/>
      <c r="E186" s="3"/>
      <c r="F186" s="1"/>
      <c r="G186" s="141">
        <f>IF(Basic34[[#This Row],[نوع الخدمة]]="مخالفات", 50,
IF(Basic34[[#This Row],[نوع الخدمة]]="كاش ان",
    IF(F186&lt;=100, 18, IF(F186&lt;=250, 23, IF(F186&lt;=500, 35, IF(F186&lt;=1000, 40, F186*0.04)))),
IF(Basic34[[#This Row],[نوع الخدمة]]="كاش اوت",
    IF(F186&lt;=100, 15, IF(F186&lt;=250, 20, IF(F186&lt;=500, 30, IF(F186&lt;=1000, 35, F186*0.035)))),
0)))</f>
        <v>0</v>
      </c>
      <c r="H186" s="159">
        <f>IF(I186="مخالفات",50,Basic34[[#This Row],[قيمة الرسوم / العموله]]+Basic34[[#This Row],[قيمة الشحنه]])</f>
        <v>0</v>
      </c>
      <c r="I186" s="90"/>
      <c r="J186" s="142" t="str">
        <f t="shared" si="2"/>
        <v>29.5.2026</v>
      </c>
      <c r="L186" s="153">
        <v>175</v>
      </c>
      <c r="M186" s="92"/>
    </row>
    <row r="187" spans="1:13" ht="21.6" x14ac:dyDescent="0.65">
      <c r="A187" s="195"/>
      <c r="B187" s="140">
        <v>184</v>
      </c>
      <c r="C187" s="2"/>
      <c r="D187" s="1"/>
      <c r="E187" s="3"/>
      <c r="F187" s="1"/>
      <c r="G187" s="141">
        <f>IF(Basic34[[#This Row],[نوع الخدمة]]="مخالفات", 50,
IF(Basic34[[#This Row],[نوع الخدمة]]="كاش ان",
    IF(F187&lt;=100, 18, IF(F187&lt;=250, 23, IF(F187&lt;=500, 35, IF(F187&lt;=1000, 40, F187*0.04)))),
IF(Basic34[[#This Row],[نوع الخدمة]]="كاش اوت",
    IF(F187&lt;=100, 15, IF(F187&lt;=250, 20, IF(F187&lt;=500, 30, IF(F187&lt;=1000, 35, F187*0.035)))),
0)))</f>
        <v>0</v>
      </c>
      <c r="H187" s="159">
        <f>IF(I187="مخالفات",50,Basic34[[#This Row],[قيمة الرسوم / العموله]]+Basic34[[#This Row],[قيمة الشحنه]])</f>
        <v>0</v>
      </c>
      <c r="I187" s="90"/>
      <c r="J187" s="142" t="str">
        <f t="shared" si="2"/>
        <v>29.5.2026</v>
      </c>
      <c r="L187" s="153">
        <v>176</v>
      </c>
      <c r="M187" s="92"/>
    </row>
    <row r="188" spans="1:13" ht="21.6" x14ac:dyDescent="0.65">
      <c r="A188" s="195"/>
      <c r="B188" s="140">
        <v>185</v>
      </c>
      <c r="C188" s="2"/>
      <c r="D188" s="1"/>
      <c r="E188" s="3"/>
      <c r="F188" s="1"/>
      <c r="G188" s="141">
        <f>IF(Basic34[[#This Row],[نوع الخدمة]]="مخالفات", 50,
IF(Basic34[[#This Row],[نوع الخدمة]]="كاش ان",
    IF(F188&lt;=100, 18, IF(F188&lt;=250, 23, IF(F188&lt;=500, 35, IF(F188&lt;=1000, 40, F188*0.04)))),
IF(Basic34[[#This Row],[نوع الخدمة]]="كاش اوت",
    IF(F188&lt;=100, 15, IF(F188&lt;=250, 20, IF(F188&lt;=500, 30, IF(F188&lt;=1000, 35, F188*0.035)))),
0)))</f>
        <v>0</v>
      </c>
      <c r="H188" s="159">
        <f>IF(I188="مخالفات",50,Basic34[[#This Row],[قيمة الرسوم / العموله]]+Basic34[[#This Row],[قيمة الشحنه]])</f>
        <v>0</v>
      </c>
      <c r="I188" s="90"/>
      <c r="J188" s="142" t="str">
        <f t="shared" si="2"/>
        <v>29.5.2026</v>
      </c>
      <c r="L188" s="153">
        <v>177</v>
      </c>
      <c r="M188" s="92"/>
    </row>
    <row r="189" spans="1:13" ht="21.6" x14ac:dyDescent="0.65">
      <c r="A189" s="195"/>
      <c r="B189" s="144">
        <v>186</v>
      </c>
      <c r="C189" s="2"/>
      <c r="D189" s="1"/>
      <c r="E189" s="3"/>
      <c r="F189" s="1"/>
      <c r="G189" s="141">
        <f>IF(Basic34[[#This Row],[نوع الخدمة]]="مخالفات", 50,
IF(Basic34[[#This Row],[نوع الخدمة]]="كاش ان",
    IF(F189&lt;=100, 18, IF(F189&lt;=250, 23, IF(F189&lt;=500, 35, IF(F189&lt;=1000, 40, F189*0.04)))),
IF(Basic34[[#This Row],[نوع الخدمة]]="كاش اوت",
    IF(F189&lt;=100, 15, IF(F189&lt;=250, 20, IF(F189&lt;=500, 30, IF(F189&lt;=1000, 35, F189*0.035)))),
0)))</f>
        <v>0</v>
      </c>
      <c r="H189" s="159">
        <f>IF(I189="مخالفات",50,Basic34[[#This Row],[قيمة الرسوم / العموله]]+Basic34[[#This Row],[قيمة الشحنه]])</f>
        <v>0</v>
      </c>
      <c r="I189" s="90"/>
      <c r="J189" s="142" t="str">
        <f t="shared" si="2"/>
        <v>29.5.2026</v>
      </c>
      <c r="L189" s="153">
        <v>178</v>
      </c>
      <c r="M189" s="92"/>
    </row>
    <row r="190" spans="1:13" ht="21.6" x14ac:dyDescent="0.65">
      <c r="A190" s="195"/>
      <c r="B190" s="140">
        <v>187</v>
      </c>
      <c r="C190" s="2"/>
      <c r="D190" s="1"/>
      <c r="E190" s="3"/>
      <c r="F190" s="1"/>
      <c r="G190" s="141">
        <f>IF(Basic34[[#This Row],[نوع الخدمة]]="مخالفات", 50,
IF(Basic34[[#This Row],[نوع الخدمة]]="كاش ان",
    IF(F190&lt;=100, 18, IF(F190&lt;=250, 23, IF(F190&lt;=500, 35, IF(F190&lt;=1000, 40, F190*0.04)))),
IF(Basic34[[#This Row],[نوع الخدمة]]="كاش اوت",
    IF(F190&lt;=100, 15, IF(F190&lt;=250, 20, IF(F190&lt;=500, 30, IF(F190&lt;=1000, 35, F190*0.035)))),
0)))</f>
        <v>0</v>
      </c>
      <c r="H190" s="159">
        <f>IF(I190="مخالفات",50,Basic34[[#This Row],[قيمة الرسوم / العموله]]+Basic34[[#This Row],[قيمة الشحنه]])</f>
        <v>0</v>
      </c>
      <c r="I190" s="90"/>
      <c r="J190" s="142" t="str">
        <f t="shared" si="2"/>
        <v>29.5.2026</v>
      </c>
      <c r="L190" s="153">
        <v>179</v>
      </c>
      <c r="M190" s="92"/>
    </row>
    <row r="191" spans="1:13" ht="21.6" x14ac:dyDescent="0.65">
      <c r="A191" s="195"/>
      <c r="B191" s="140">
        <v>188</v>
      </c>
      <c r="C191" s="2"/>
      <c r="D191" s="1"/>
      <c r="E191" s="3"/>
      <c r="F191" s="1"/>
      <c r="G191" s="141">
        <f>IF(Basic34[[#This Row],[نوع الخدمة]]="مخالفات", 50,
IF(Basic34[[#This Row],[نوع الخدمة]]="كاش ان",
    IF(F191&lt;=100, 18, IF(F191&lt;=250, 23, IF(F191&lt;=500, 35, IF(F191&lt;=1000, 40, F191*0.04)))),
IF(Basic34[[#This Row],[نوع الخدمة]]="كاش اوت",
    IF(F191&lt;=100, 15, IF(F191&lt;=250, 20, IF(F191&lt;=500, 30, IF(F191&lt;=1000, 35, F191*0.035)))),
0)))</f>
        <v>0</v>
      </c>
      <c r="H191" s="159">
        <f>IF(I191="مخالفات",50,Basic34[[#This Row],[قيمة الرسوم / العموله]]+Basic34[[#This Row],[قيمة الشحنه]])</f>
        <v>0</v>
      </c>
      <c r="I191" s="90"/>
      <c r="J191" s="142" t="str">
        <f t="shared" si="2"/>
        <v>29.5.2026</v>
      </c>
      <c r="L191" s="153">
        <v>180</v>
      </c>
      <c r="M191" s="92"/>
    </row>
    <row r="192" spans="1:13" ht="21.6" x14ac:dyDescent="0.65">
      <c r="A192" s="195"/>
      <c r="B192" s="140">
        <v>189</v>
      </c>
      <c r="C192" s="2"/>
      <c r="D192" s="1"/>
      <c r="E192" s="3"/>
      <c r="F192" s="1"/>
      <c r="G192" s="141">
        <f>IF(Basic34[[#This Row],[نوع الخدمة]]="مخالفات", 50,
IF(Basic34[[#This Row],[نوع الخدمة]]="كاش ان",
    IF(F192&lt;=100, 18, IF(F192&lt;=250, 23, IF(F192&lt;=500, 35, IF(F192&lt;=1000, 40, F192*0.04)))),
IF(Basic34[[#This Row],[نوع الخدمة]]="كاش اوت",
    IF(F192&lt;=100, 15, IF(F192&lt;=250, 20, IF(F192&lt;=500, 30, IF(F192&lt;=1000, 35, F192*0.035)))),
0)))</f>
        <v>0</v>
      </c>
      <c r="H192" s="159">
        <f>IF(I192="مخالفات",50,Basic34[[#This Row],[قيمة الرسوم / العموله]]+Basic34[[#This Row],[قيمة الشحنه]])</f>
        <v>0</v>
      </c>
      <c r="I192" s="90"/>
      <c r="J192" s="142" t="str">
        <f t="shared" si="2"/>
        <v>29.5.2026</v>
      </c>
      <c r="L192" s="153">
        <v>181</v>
      </c>
      <c r="M192" s="92"/>
    </row>
    <row r="193" spans="1:13" ht="21.6" x14ac:dyDescent="0.65">
      <c r="A193" s="195"/>
      <c r="B193" s="144">
        <v>190</v>
      </c>
      <c r="C193" s="2"/>
      <c r="D193" s="1"/>
      <c r="E193" s="3"/>
      <c r="F193" s="1"/>
      <c r="G193" s="141">
        <f>IF(Basic34[[#This Row],[نوع الخدمة]]="مخالفات", 50,
IF(Basic34[[#This Row],[نوع الخدمة]]="كاش ان",
    IF(F193&lt;=100, 18, IF(F193&lt;=250, 23, IF(F193&lt;=500, 35, IF(F193&lt;=1000, 40, F193*0.04)))),
IF(Basic34[[#This Row],[نوع الخدمة]]="كاش اوت",
    IF(F193&lt;=100, 15, IF(F193&lt;=250, 20, IF(F193&lt;=500, 30, IF(F193&lt;=1000, 35, F193*0.035)))),
0)))</f>
        <v>0</v>
      </c>
      <c r="H193" s="159">
        <f>IF(I193="مخالفات",50,Basic34[[#This Row],[قيمة الرسوم / العموله]]+Basic34[[#This Row],[قيمة الشحنه]])</f>
        <v>0</v>
      </c>
      <c r="I193" s="90"/>
      <c r="J193" s="142" t="str">
        <f t="shared" si="2"/>
        <v>29.5.2026</v>
      </c>
      <c r="L193" s="153">
        <v>182</v>
      </c>
      <c r="M193" s="92"/>
    </row>
    <row r="194" spans="1:13" ht="21.6" x14ac:dyDescent="0.65">
      <c r="A194" s="195"/>
      <c r="B194" s="140">
        <v>191</v>
      </c>
      <c r="C194" s="2"/>
      <c r="D194" s="1"/>
      <c r="E194" s="3"/>
      <c r="F194" s="1"/>
      <c r="G194" s="141">
        <f>IF(Basic34[[#This Row],[نوع الخدمة]]="مخالفات", 50,
IF(Basic34[[#This Row],[نوع الخدمة]]="كاش ان",
    IF(F194&lt;=100, 18, IF(F194&lt;=250, 23, IF(F194&lt;=500, 35, IF(F194&lt;=1000, 40, F194*0.04)))),
IF(Basic34[[#This Row],[نوع الخدمة]]="كاش اوت",
    IF(F194&lt;=100, 15, IF(F194&lt;=250, 20, IF(F194&lt;=500, 30, IF(F194&lt;=1000, 35, F194*0.035)))),
0)))</f>
        <v>0</v>
      </c>
      <c r="H194" s="159">
        <f>IF(I194="مخالفات",50,Basic34[[#This Row],[قيمة الرسوم / العموله]]+Basic34[[#This Row],[قيمة الشحنه]])</f>
        <v>0</v>
      </c>
      <c r="I194" s="90"/>
      <c r="J194" s="142" t="str">
        <f t="shared" si="2"/>
        <v>29.5.2026</v>
      </c>
      <c r="L194" s="153">
        <v>183</v>
      </c>
      <c r="M194" s="92"/>
    </row>
    <row r="195" spans="1:13" ht="21.6" x14ac:dyDescent="0.65">
      <c r="A195" s="195"/>
      <c r="B195" s="140">
        <v>192</v>
      </c>
      <c r="C195" s="2"/>
      <c r="D195" s="1"/>
      <c r="E195" s="3"/>
      <c r="F195" s="1"/>
      <c r="G195" s="141">
        <f>IF(Basic34[[#This Row],[نوع الخدمة]]="مخالفات", 50,
IF(Basic34[[#This Row],[نوع الخدمة]]="كاش ان",
    IF(F195&lt;=100, 18, IF(F195&lt;=250, 23, IF(F195&lt;=500, 35, IF(F195&lt;=1000, 40, F195*0.04)))),
IF(Basic34[[#This Row],[نوع الخدمة]]="كاش اوت",
    IF(F195&lt;=100, 15, IF(F195&lt;=250, 20, IF(F195&lt;=500, 30, IF(F195&lt;=1000, 35, F195*0.035)))),
0)))</f>
        <v>0</v>
      </c>
      <c r="H195" s="159">
        <f>IF(I195="مخالفات",50,Basic34[[#This Row],[قيمة الرسوم / العموله]]+Basic34[[#This Row],[قيمة الشحنه]])</f>
        <v>0</v>
      </c>
      <c r="I195" s="90"/>
      <c r="J195" s="142" t="str">
        <f t="shared" si="2"/>
        <v>29.5.2026</v>
      </c>
      <c r="L195" s="153">
        <v>184</v>
      </c>
      <c r="M195" s="92"/>
    </row>
    <row r="196" spans="1:13" ht="21.6" x14ac:dyDescent="0.65">
      <c r="A196" s="195"/>
      <c r="B196" s="140">
        <v>193</v>
      </c>
      <c r="C196" s="2"/>
      <c r="D196" s="1"/>
      <c r="E196" s="3"/>
      <c r="F196" s="1"/>
      <c r="G196" s="141">
        <f>IF(Basic34[[#This Row],[نوع الخدمة]]="مخالفات", 50,
IF(Basic34[[#This Row],[نوع الخدمة]]="كاش ان",
    IF(F196&lt;=100, 18, IF(F196&lt;=250, 23, IF(F196&lt;=500, 35, IF(F196&lt;=1000, 40, F196*0.04)))),
IF(Basic34[[#This Row],[نوع الخدمة]]="كاش اوت",
    IF(F196&lt;=100, 15, IF(F196&lt;=250, 20, IF(F196&lt;=500, 30, IF(F196&lt;=1000, 35, F196*0.035)))),
0)))</f>
        <v>0</v>
      </c>
      <c r="H196" s="159">
        <f>IF(I196="مخالفات",50,Basic34[[#This Row],[قيمة الرسوم / العموله]]+Basic34[[#This Row],[قيمة الشحنه]])</f>
        <v>0</v>
      </c>
      <c r="I196" s="90"/>
      <c r="J196" s="142" t="str">
        <f t="shared" ref="J196:J226" si="3">M$3</f>
        <v>29.5.2026</v>
      </c>
      <c r="L196" s="153">
        <v>185</v>
      </c>
      <c r="M196" s="92"/>
    </row>
    <row r="197" spans="1:13" ht="21.6" x14ac:dyDescent="0.65">
      <c r="A197" s="195"/>
      <c r="B197" s="144">
        <v>194</v>
      </c>
      <c r="C197" s="2"/>
      <c r="D197" s="1"/>
      <c r="E197" s="3"/>
      <c r="F197" s="1"/>
      <c r="G197" s="141">
        <f>IF(Basic34[[#This Row],[نوع الخدمة]]="مخالفات", 50,
IF(Basic34[[#This Row],[نوع الخدمة]]="كاش ان",
    IF(F197&lt;=100, 18, IF(F197&lt;=250, 23, IF(F197&lt;=500, 35, IF(F197&lt;=1000, 40, F197*0.04)))),
IF(Basic34[[#This Row],[نوع الخدمة]]="كاش اوت",
    IF(F197&lt;=100, 15, IF(F197&lt;=250, 20, IF(F197&lt;=500, 30, IF(F197&lt;=1000, 35, F197*0.035)))),
0)))</f>
        <v>0</v>
      </c>
      <c r="H197" s="159">
        <f>IF(I197="مخالفات",50,Basic34[[#This Row],[قيمة الرسوم / العموله]]+Basic34[[#This Row],[قيمة الشحنه]])</f>
        <v>0</v>
      </c>
      <c r="I197" s="90"/>
      <c r="J197" s="142" t="str">
        <f t="shared" si="3"/>
        <v>29.5.2026</v>
      </c>
      <c r="L197" s="153">
        <v>186</v>
      </c>
      <c r="M197" s="92"/>
    </row>
    <row r="198" spans="1:13" ht="21.6" x14ac:dyDescent="0.65">
      <c r="A198" s="195"/>
      <c r="B198" s="140">
        <v>195</v>
      </c>
      <c r="C198" s="2"/>
      <c r="D198" s="1"/>
      <c r="E198" s="3"/>
      <c r="F198" s="1"/>
      <c r="G198" s="141">
        <f>IF(Basic34[[#This Row],[نوع الخدمة]]="مخالفات", 50,
IF(Basic34[[#This Row],[نوع الخدمة]]="كاش ان",
    IF(F198&lt;=100, 18, IF(F198&lt;=250, 23, IF(F198&lt;=500, 35, IF(F198&lt;=1000, 40, F198*0.04)))),
IF(Basic34[[#This Row],[نوع الخدمة]]="كاش اوت",
    IF(F198&lt;=100, 15, IF(F198&lt;=250, 20, IF(F198&lt;=500, 30, IF(F198&lt;=1000, 35, F198*0.035)))),
0)))</f>
        <v>0</v>
      </c>
      <c r="H198" s="159">
        <f>IF(I198="مخالفات",50,Basic34[[#This Row],[قيمة الرسوم / العموله]]+Basic34[[#This Row],[قيمة الشحنه]])</f>
        <v>0</v>
      </c>
      <c r="I198" s="90"/>
      <c r="J198" s="142" t="str">
        <f t="shared" si="3"/>
        <v>29.5.2026</v>
      </c>
      <c r="L198" s="153">
        <v>187</v>
      </c>
      <c r="M198" s="92"/>
    </row>
    <row r="199" spans="1:13" ht="21.6" x14ac:dyDescent="0.65">
      <c r="A199" s="195"/>
      <c r="B199" s="140">
        <v>196</v>
      </c>
      <c r="C199" s="2"/>
      <c r="D199" s="1"/>
      <c r="E199" s="3"/>
      <c r="F199" s="1"/>
      <c r="G199" s="141">
        <f>IF(Basic34[[#This Row],[نوع الخدمة]]="مخالفات", 50,
IF(Basic34[[#This Row],[نوع الخدمة]]="كاش ان",
    IF(F199&lt;=100, 18, IF(F199&lt;=250, 23, IF(F199&lt;=500, 35, IF(F199&lt;=1000, 40, F199*0.04)))),
IF(Basic34[[#This Row],[نوع الخدمة]]="كاش اوت",
    IF(F199&lt;=100, 15, IF(F199&lt;=250, 20, IF(F199&lt;=500, 30, IF(F199&lt;=1000, 35, F199*0.035)))),
0)))</f>
        <v>0</v>
      </c>
      <c r="H199" s="159">
        <f>IF(I199="مخالفات",50,Basic34[[#This Row],[قيمة الرسوم / العموله]]+Basic34[[#This Row],[قيمة الشحنه]])</f>
        <v>0</v>
      </c>
      <c r="I199" s="90"/>
      <c r="J199" s="142" t="str">
        <f t="shared" si="3"/>
        <v>29.5.2026</v>
      </c>
      <c r="L199" s="153">
        <v>188</v>
      </c>
      <c r="M199" s="92"/>
    </row>
    <row r="200" spans="1:13" ht="21.6" x14ac:dyDescent="0.65">
      <c r="A200" s="195"/>
      <c r="B200" s="140">
        <v>197</v>
      </c>
      <c r="C200" s="2"/>
      <c r="D200" s="1"/>
      <c r="E200" s="3"/>
      <c r="F200" s="1"/>
      <c r="G200" s="141">
        <f>IF(Basic34[[#This Row],[نوع الخدمة]]="مخالفات", 50,
IF(Basic34[[#This Row],[نوع الخدمة]]="كاش ان",
    IF(F200&lt;=100, 18, IF(F200&lt;=250, 23, IF(F200&lt;=500, 35, IF(F200&lt;=1000, 40, F200*0.04)))),
IF(Basic34[[#This Row],[نوع الخدمة]]="كاش اوت",
    IF(F200&lt;=100, 15, IF(F200&lt;=250, 20, IF(F200&lt;=500, 30, IF(F200&lt;=1000, 35, F200*0.035)))),
0)))</f>
        <v>0</v>
      </c>
      <c r="H200" s="159">
        <f>IF(I200="مخالفات",50,Basic34[[#This Row],[قيمة الرسوم / العموله]]+Basic34[[#This Row],[قيمة الشحنه]])</f>
        <v>0</v>
      </c>
      <c r="I200" s="90"/>
      <c r="J200" s="142" t="str">
        <f t="shared" si="3"/>
        <v>29.5.2026</v>
      </c>
      <c r="L200" s="153">
        <v>189</v>
      </c>
      <c r="M200" s="92"/>
    </row>
    <row r="201" spans="1:13" ht="21.6" x14ac:dyDescent="0.65">
      <c r="A201" s="195"/>
      <c r="B201" s="144">
        <v>198</v>
      </c>
      <c r="C201" s="2"/>
      <c r="D201" s="1"/>
      <c r="E201" s="3"/>
      <c r="F201" s="1"/>
      <c r="G201" s="141">
        <f>IF(Basic34[[#This Row],[نوع الخدمة]]="مخالفات", 50,
IF(Basic34[[#This Row],[نوع الخدمة]]="كاش ان",
    IF(F201&lt;=100, 18, IF(F201&lt;=250, 23, IF(F201&lt;=500, 35, IF(F201&lt;=1000, 40, F201*0.04)))),
IF(Basic34[[#This Row],[نوع الخدمة]]="كاش اوت",
    IF(F201&lt;=100, 15, IF(F201&lt;=250, 20, IF(F201&lt;=500, 30, IF(F201&lt;=1000, 35, F201*0.035)))),
0)))</f>
        <v>0</v>
      </c>
      <c r="H201" s="159">
        <f>IF(I201="مخالفات",50,Basic34[[#This Row],[قيمة الرسوم / العموله]]+Basic34[[#This Row],[قيمة الشحنه]])</f>
        <v>0</v>
      </c>
      <c r="I201" s="90"/>
      <c r="J201" s="142" t="str">
        <f t="shared" si="3"/>
        <v>29.5.2026</v>
      </c>
      <c r="L201" s="153">
        <v>190</v>
      </c>
      <c r="M201" s="92"/>
    </row>
    <row r="202" spans="1:13" ht="21.6" x14ac:dyDescent="0.65">
      <c r="A202" s="195"/>
      <c r="B202" s="140">
        <v>199</v>
      </c>
      <c r="C202" s="2"/>
      <c r="D202" s="1"/>
      <c r="E202" s="3"/>
      <c r="F202" s="1"/>
      <c r="G202" s="141">
        <f>IF(Basic34[[#This Row],[نوع الخدمة]]="مخالفات", 50,
IF(Basic34[[#This Row],[نوع الخدمة]]="كاش ان",
    IF(F202&lt;=100, 18, IF(F202&lt;=250, 23, IF(F202&lt;=500, 35, IF(F202&lt;=1000, 40, F202*0.04)))),
IF(Basic34[[#This Row],[نوع الخدمة]]="كاش اوت",
    IF(F202&lt;=100, 15, IF(F202&lt;=250, 20, IF(F202&lt;=500, 30, IF(F202&lt;=1000, 35, F202*0.035)))),
0)))</f>
        <v>0</v>
      </c>
      <c r="H202" s="159">
        <f>IF(I202="مخالفات",50,Basic34[[#This Row],[قيمة الرسوم / العموله]]+Basic34[[#This Row],[قيمة الشحنه]])</f>
        <v>0</v>
      </c>
      <c r="I202" s="90"/>
      <c r="J202" s="142" t="str">
        <f t="shared" si="3"/>
        <v>29.5.2026</v>
      </c>
      <c r="L202" s="153">
        <v>191</v>
      </c>
      <c r="M202" s="92"/>
    </row>
    <row r="203" spans="1:13" ht="21.6" x14ac:dyDescent="0.65">
      <c r="A203" s="195"/>
      <c r="B203" s="140">
        <v>200</v>
      </c>
      <c r="C203" s="2"/>
      <c r="D203" s="1"/>
      <c r="E203" s="3"/>
      <c r="F203" s="1"/>
      <c r="G203" s="141">
        <f>IF(Basic34[[#This Row],[نوع الخدمة]]="مخالفات", 50,
IF(Basic34[[#This Row],[نوع الخدمة]]="كاش ان",
    IF(F203&lt;=100, 18, IF(F203&lt;=250, 23, IF(F203&lt;=500, 35, IF(F203&lt;=1000, 40, F203*0.04)))),
IF(Basic34[[#This Row],[نوع الخدمة]]="كاش اوت",
    IF(F203&lt;=100, 15, IF(F203&lt;=250, 20, IF(F203&lt;=500, 30, IF(F203&lt;=1000, 35, F203*0.035)))),
0)))</f>
        <v>0</v>
      </c>
      <c r="H203" s="159">
        <f>IF(I203="مخالفات",50,Basic34[[#This Row],[قيمة الرسوم / العموله]]+Basic34[[#This Row],[قيمة الشحنه]])</f>
        <v>0</v>
      </c>
      <c r="I203" s="90"/>
      <c r="J203" s="142" t="str">
        <f t="shared" si="3"/>
        <v>29.5.2026</v>
      </c>
      <c r="L203" s="153">
        <v>192</v>
      </c>
      <c r="M203" s="92"/>
    </row>
    <row r="204" spans="1:13" ht="21.6" x14ac:dyDescent="0.65">
      <c r="A204" s="195"/>
      <c r="B204" s="140">
        <v>201</v>
      </c>
      <c r="C204" s="2"/>
      <c r="D204" s="1"/>
      <c r="E204" s="3"/>
      <c r="F204" s="1"/>
      <c r="G204" s="141">
        <f>IF(Basic34[[#This Row],[نوع الخدمة]]="مخالفات", 50,
IF(Basic34[[#This Row],[نوع الخدمة]]="كاش ان",
    IF(F204&lt;=100, 18, IF(F204&lt;=250, 23, IF(F204&lt;=500, 35, IF(F204&lt;=1000, 40, F204*0.04)))),
IF(Basic34[[#This Row],[نوع الخدمة]]="كاش اوت",
    IF(F204&lt;=100, 15, IF(F204&lt;=250, 20, IF(F204&lt;=500, 30, IF(F204&lt;=1000, 35, F204*0.035)))),
0)))</f>
        <v>0</v>
      </c>
      <c r="H204" s="159">
        <f>IF(I204="مخالفات",50,Basic34[[#This Row],[قيمة الرسوم / العموله]]+Basic34[[#This Row],[قيمة الشحنه]])</f>
        <v>0</v>
      </c>
      <c r="I204" s="90"/>
      <c r="J204" s="142" t="str">
        <f t="shared" si="3"/>
        <v>29.5.2026</v>
      </c>
      <c r="L204" s="153">
        <v>193</v>
      </c>
      <c r="M204" s="92"/>
    </row>
    <row r="205" spans="1:13" ht="21.6" x14ac:dyDescent="0.65">
      <c r="A205" s="195"/>
      <c r="B205" s="144">
        <v>202</v>
      </c>
      <c r="C205" s="2"/>
      <c r="D205" s="1"/>
      <c r="E205" s="3"/>
      <c r="F205" s="1"/>
      <c r="G205" s="141">
        <f>IF(Basic34[[#This Row],[نوع الخدمة]]="مخالفات", 50,
IF(Basic34[[#This Row],[نوع الخدمة]]="كاش ان",
    IF(F205&lt;=100, 18, IF(F205&lt;=250, 23, IF(F205&lt;=500, 35, IF(F205&lt;=1000, 40, F205*0.04)))),
IF(Basic34[[#This Row],[نوع الخدمة]]="كاش اوت",
    IF(F205&lt;=100, 15, IF(F205&lt;=250, 20, IF(F205&lt;=500, 30, IF(F205&lt;=1000, 35, F205*0.035)))),
0)))</f>
        <v>0</v>
      </c>
      <c r="H205" s="159">
        <f>IF(I205="مخالفات",50,Basic34[[#This Row],[قيمة الرسوم / العموله]]+Basic34[[#This Row],[قيمة الشحنه]])</f>
        <v>0</v>
      </c>
      <c r="I205" s="90"/>
      <c r="J205" s="142" t="str">
        <f t="shared" si="3"/>
        <v>29.5.2026</v>
      </c>
      <c r="L205" s="153">
        <v>194</v>
      </c>
      <c r="M205" s="92"/>
    </row>
    <row r="206" spans="1:13" ht="21.6" x14ac:dyDescent="0.65">
      <c r="A206" s="195"/>
      <c r="B206" s="140">
        <v>203</v>
      </c>
      <c r="C206" s="2"/>
      <c r="D206" s="1"/>
      <c r="E206" s="3"/>
      <c r="F206" s="1"/>
      <c r="G206" s="141">
        <f>IF(Basic34[[#This Row],[نوع الخدمة]]="مخالفات", 50,
IF(Basic34[[#This Row],[نوع الخدمة]]="كاش ان",
    IF(F206&lt;=100, 18, IF(F206&lt;=250, 23, IF(F206&lt;=500, 35, IF(F206&lt;=1000, 40, F206*0.04)))),
IF(Basic34[[#This Row],[نوع الخدمة]]="كاش اوت",
    IF(F206&lt;=100, 15, IF(F206&lt;=250, 20, IF(F206&lt;=500, 30, IF(F206&lt;=1000, 35, F206*0.035)))),
0)))</f>
        <v>0</v>
      </c>
      <c r="H206" s="159">
        <f>IF(I206="مخالفات",50,Basic34[[#This Row],[قيمة الرسوم / العموله]]+Basic34[[#This Row],[قيمة الشحنه]])</f>
        <v>0</v>
      </c>
      <c r="I206" s="90"/>
      <c r="J206" s="142" t="str">
        <f t="shared" si="3"/>
        <v>29.5.2026</v>
      </c>
      <c r="L206" s="153">
        <v>195</v>
      </c>
      <c r="M206" s="92"/>
    </row>
    <row r="207" spans="1:13" ht="21.6" x14ac:dyDescent="0.65">
      <c r="A207" s="195"/>
      <c r="B207" s="140">
        <v>204</v>
      </c>
      <c r="C207" s="2"/>
      <c r="D207" s="1"/>
      <c r="E207" s="3"/>
      <c r="F207" s="1"/>
      <c r="G207" s="141">
        <f>IF(Basic34[[#This Row],[نوع الخدمة]]="مخالفات", 50,
IF(Basic34[[#This Row],[نوع الخدمة]]="كاش ان",
    IF(F207&lt;=100, 18, IF(F207&lt;=250, 23, IF(F207&lt;=500, 35, IF(F207&lt;=1000, 40, F207*0.04)))),
IF(Basic34[[#This Row],[نوع الخدمة]]="كاش اوت",
    IF(F207&lt;=100, 15, IF(F207&lt;=250, 20, IF(F207&lt;=500, 30, IF(F207&lt;=1000, 35, F207*0.035)))),
0)))</f>
        <v>0</v>
      </c>
      <c r="H207" s="159">
        <f>IF(I207="مخالفات",50,Basic34[[#This Row],[قيمة الرسوم / العموله]]+Basic34[[#This Row],[قيمة الشحنه]])</f>
        <v>0</v>
      </c>
      <c r="I207" s="90"/>
      <c r="J207" s="142" t="str">
        <f t="shared" si="3"/>
        <v>29.5.2026</v>
      </c>
      <c r="L207" s="153">
        <v>196</v>
      </c>
      <c r="M207" s="92"/>
    </row>
    <row r="208" spans="1:13" ht="21.6" x14ac:dyDescent="0.65">
      <c r="A208" s="195"/>
      <c r="B208" s="140">
        <v>205</v>
      </c>
      <c r="C208" s="2"/>
      <c r="D208" s="1"/>
      <c r="E208" s="3"/>
      <c r="F208" s="1"/>
      <c r="G208" s="141">
        <f>IF(Basic34[[#This Row],[نوع الخدمة]]="مخالفات", 50,
IF(Basic34[[#This Row],[نوع الخدمة]]="كاش ان",
    IF(F208&lt;=100, 18, IF(F208&lt;=250, 23, IF(F208&lt;=500, 35, IF(F208&lt;=1000, 40, F208*0.04)))),
IF(Basic34[[#This Row],[نوع الخدمة]]="كاش اوت",
    IF(F208&lt;=100, 15, IF(F208&lt;=250, 20, IF(F208&lt;=500, 30, IF(F208&lt;=1000, 35, F208*0.035)))),
0)))</f>
        <v>0</v>
      </c>
      <c r="H208" s="159">
        <f>IF(I208="مخالفات",50,Basic34[[#This Row],[قيمة الرسوم / العموله]]+Basic34[[#This Row],[قيمة الشحنه]])</f>
        <v>0</v>
      </c>
      <c r="I208" s="90"/>
      <c r="J208" s="142" t="str">
        <f t="shared" si="3"/>
        <v>29.5.2026</v>
      </c>
      <c r="L208" s="153">
        <v>197</v>
      </c>
      <c r="M208" s="92"/>
    </row>
    <row r="209" spans="1:13" ht="21.6" x14ac:dyDescent="0.65">
      <c r="A209" s="195"/>
      <c r="B209" s="144">
        <v>206</v>
      </c>
      <c r="C209" s="2"/>
      <c r="D209" s="1"/>
      <c r="E209" s="3"/>
      <c r="F209" s="1"/>
      <c r="G209" s="141">
        <f>IF(Basic34[[#This Row],[نوع الخدمة]]="مخالفات", 50,
IF(Basic34[[#This Row],[نوع الخدمة]]="كاش ان",
    IF(F209&lt;=100, 18, IF(F209&lt;=250, 23, IF(F209&lt;=500, 35, IF(F209&lt;=1000, 40, F209*0.04)))),
IF(Basic34[[#This Row],[نوع الخدمة]]="كاش اوت",
    IF(F209&lt;=100, 15, IF(F209&lt;=250, 20, IF(F209&lt;=500, 30, IF(F209&lt;=1000, 35, F209*0.035)))),
0)))</f>
        <v>0</v>
      </c>
      <c r="H209" s="159">
        <f>IF(I209="مخالفات",50,Basic34[[#This Row],[قيمة الرسوم / العموله]]+Basic34[[#This Row],[قيمة الشحنه]])</f>
        <v>0</v>
      </c>
      <c r="I209" s="90"/>
      <c r="J209" s="142" t="str">
        <f t="shared" si="3"/>
        <v>29.5.2026</v>
      </c>
      <c r="L209" s="153">
        <v>198</v>
      </c>
      <c r="M209" s="92"/>
    </row>
    <row r="210" spans="1:13" ht="21.6" x14ac:dyDescent="0.65">
      <c r="A210" s="195"/>
      <c r="B210" s="140">
        <v>207</v>
      </c>
      <c r="C210" s="2"/>
      <c r="D210" s="1"/>
      <c r="E210" s="3"/>
      <c r="F210" s="1"/>
      <c r="G210" s="141">
        <f>IF(Basic34[[#This Row],[نوع الخدمة]]="مخالفات", 50,
IF(Basic34[[#This Row],[نوع الخدمة]]="كاش ان",
    IF(F210&lt;=100, 18, IF(F210&lt;=250, 23, IF(F210&lt;=500, 35, IF(F210&lt;=1000, 40, F210*0.04)))),
IF(Basic34[[#This Row],[نوع الخدمة]]="كاش اوت",
    IF(F210&lt;=100, 15, IF(F210&lt;=250, 20, IF(F210&lt;=500, 30, IF(F210&lt;=1000, 35, F210*0.035)))),
0)))</f>
        <v>0</v>
      </c>
      <c r="H210" s="159">
        <f>IF(I210="مخالفات",50,Basic34[[#This Row],[قيمة الرسوم / العموله]]+Basic34[[#This Row],[قيمة الشحنه]])</f>
        <v>0</v>
      </c>
      <c r="I210" s="90"/>
      <c r="J210" s="142" t="str">
        <f t="shared" si="3"/>
        <v>29.5.2026</v>
      </c>
      <c r="L210" s="153">
        <v>199</v>
      </c>
      <c r="M210" s="92"/>
    </row>
    <row r="211" spans="1:13" ht="21.6" x14ac:dyDescent="0.65">
      <c r="A211" s="195"/>
      <c r="B211" s="140">
        <v>208</v>
      </c>
      <c r="C211" s="2"/>
      <c r="D211" s="1"/>
      <c r="E211" s="3"/>
      <c r="F211" s="1"/>
      <c r="G211" s="141">
        <f>IF(Basic34[[#This Row],[نوع الخدمة]]="مخالفات", 50,
IF(Basic34[[#This Row],[نوع الخدمة]]="كاش ان",
    IF(F211&lt;=100, 18, IF(F211&lt;=250, 23, IF(F211&lt;=500, 35, IF(F211&lt;=1000, 40, F211*0.04)))),
IF(Basic34[[#This Row],[نوع الخدمة]]="كاش اوت",
    IF(F211&lt;=100, 15, IF(F211&lt;=250, 20, IF(F211&lt;=500, 30, IF(F211&lt;=1000, 35, F211*0.035)))),
0)))</f>
        <v>0</v>
      </c>
      <c r="H211" s="159">
        <f>IF(I211="مخالفات",50,Basic34[[#This Row],[قيمة الرسوم / العموله]]+Basic34[[#This Row],[قيمة الشحنه]])</f>
        <v>0</v>
      </c>
      <c r="I211" s="90"/>
      <c r="J211" s="142" t="str">
        <f t="shared" si="3"/>
        <v>29.5.2026</v>
      </c>
      <c r="L211" s="153">
        <v>200</v>
      </c>
      <c r="M211" s="92"/>
    </row>
    <row r="212" spans="1:13" ht="21.6" x14ac:dyDescent="0.65">
      <c r="A212" s="195"/>
      <c r="B212" s="140">
        <v>209</v>
      </c>
      <c r="C212" s="2"/>
      <c r="D212" s="1"/>
      <c r="E212" s="3"/>
      <c r="F212" s="1"/>
      <c r="G212" s="141">
        <f>IF(Basic34[[#This Row],[نوع الخدمة]]="مخالفات", 50,
IF(Basic34[[#This Row],[نوع الخدمة]]="كاش ان",
    IF(F212&lt;=100, 18, IF(F212&lt;=250, 23, IF(F212&lt;=500, 35, IF(F212&lt;=1000, 40, F212*0.04)))),
IF(Basic34[[#This Row],[نوع الخدمة]]="كاش اوت",
    IF(F212&lt;=100, 15, IF(F212&lt;=250, 20, IF(F212&lt;=500, 30, IF(F212&lt;=1000, 35, F212*0.035)))),
0)))</f>
        <v>0</v>
      </c>
      <c r="H212" s="159">
        <f>IF(I212="مخالفات",50,Basic34[[#This Row],[قيمة الرسوم / العموله]]+Basic34[[#This Row],[قيمة الشحنه]])</f>
        <v>0</v>
      </c>
      <c r="I212" s="90"/>
      <c r="J212" s="142" t="str">
        <f t="shared" si="3"/>
        <v>29.5.2026</v>
      </c>
      <c r="L212" s="153">
        <v>201</v>
      </c>
      <c r="M212" s="92"/>
    </row>
    <row r="213" spans="1:13" ht="21.6" x14ac:dyDescent="0.65">
      <c r="A213" s="195"/>
      <c r="B213" s="144">
        <v>210</v>
      </c>
      <c r="C213" s="2"/>
      <c r="D213" s="1"/>
      <c r="E213" s="3"/>
      <c r="F213" s="1"/>
      <c r="G213" s="141">
        <f>IF(Basic34[[#This Row],[نوع الخدمة]]="مخالفات", 50,
IF(Basic34[[#This Row],[نوع الخدمة]]="كاش ان",
    IF(F213&lt;=100, 18, IF(F213&lt;=250, 23, IF(F213&lt;=500, 35, IF(F213&lt;=1000, 40, F213*0.04)))),
IF(Basic34[[#This Row],[نوع الخدمة]]="كاش اوت",
    IF(F213&lt;=100, 15, IF(F213&lt;=250, 20, IF(F213&lt;=500, 30, IF(F213&lt;=1000, 35, F213*0.035)))),
0)))</f>
        <v>0</v>
      </c>
      <c r="H213" s="159">
        <f>IF(I213="مخالفات",50,Basic34[[#This Row],[قيمة الرسوم / العموله]]+Basic34[[#This Row],[قيمة الشحنه]])</f>
        <v>0</v>
      </c>
      <c r="I213" s="90"/>
      <c r="J213" s="142" t="str">
        <f t="shared" si="3"/>
        <v>29.5.2026</v>
      </c>
      <c r="L213" s="153">
        <v>202</v>
      </c>
      <c r="M213" s="92"/>
    </row>
    <row r="214" spans="1:13" ht="21.6" x14ac:dyDescent="0.65">
      <c r="A214" s="195"/>
      <c r="B214" s="140">
        <v>211</v>
      </c>
      <c r="C214" s="2"/>
      <c r="D214" s="1"/>
      <c r="E214" s="3"/>
      <c r="F214" s="1"/>
      <c r="G214" s="141">
        <f>IF(Basic34[[#This Row],[نوع الخدمة]]="مخالفات", 50,
IF(Basic34[[#This Row],[نوع الخدمة]]="كاش ان",
    IF(F214&lt;=100, 18, IF(F214&lt;=250, 23, IF(F214&lt;=500, 35, IF(F214&lt;=1000, 40, F214*0.04)))),
IF(Basic34[[#This Row],[نوع الخدمة]]="كاش اوت",
    IF(F214&lt;=100, 15, IF(F214&lt;=250, 20, IF(F214&lt;=500, 30, IF(F214&lt;=1000, 35, F214*0.035)))),
0)))</f>
        <v>0</v>
      </c>
      <c r="H214" s="159">
        <f>IF(I214="مخالفات",50,Basic34[[#This Row],[قيمة الرسوم / العموله]]+Basic34[[#This Row],[قيمة الشحنه]])</f>
        <v>0</v>
      </c>
      <c r="I214" s="90"/>
      <c r="J214" s="142" t="str">
        <f t="shared" si="3"/>
        <v>29.5.2026</v>
      </c>
      <c r="L214" s="153">
        <v>203</v>
      </c>
      <c r="M214" s="92"/>
    </row>
    <row r="215" spans="1:13" ht="21.6" x14ac:dyDescent="0.65">
      <c r="A215" s="195"/>
      <c r="B215" s="140">
        <v>212</v>
      </c>
      <c r="C215" s="2"/>
      <c r="D215" s="1"/>
      <c r="E215" s="3"/>
      <c r="F215" s="1"/>
      <c r="G215" s="141">
        <f>IF(Basic34[[#This Row],[نوع الخدمة]]="مخالفات", 50,
IF(Basic34[[#This Row],[نوع الخدمة]]="كاش ان",
    IF(F215&lt;=100, 18, IF(F215&lt;=250, 23, IF(F215&lt;=500, 35, IF(F215&lt;=1000, 40, F215*0.04)))),
IF(Basic34[[#This Row],[نوع الخدمة]]="كاش اوت",
    IF(F215&lt;=100, 15, IF(F215&lt;=250, 20, IF(F215&lt;=500, 30, IF(F215&lt;=1000, 35, F215*0.035)))),
0)))</f>
        <v>0</v>
      </c>
      <c r="H215" s="159">
        <f>IF(I215="مخالفات",50,Basic34[[#This Row],[قيمة الرسوم / العموله]]+Basic34[[#This Row],[قيمة الشحنه]])</f>
        <v>0</v>
      </c>
      <c r="I215" s="90"/>
      <c r="J215" s="142" t="str">
        <f t="shared" si="3"/>
        <v>29.5.2026</v>
      </c>
      <c r="L215" s="153">
        <v>204</v>
      </c>
      <c r="M215" s="92"/>
    </row>
    <row r="216" spans="1:13" ht="21.6" x14ac:dyDescent="0.65">
      <c r="A216" s="195"/>
      <c r="B216" s="140">
        <v>213</v>
      </c>
      <c r="C216" s="2"/>
      <c r="D216" s="1"/>
      <c r="E216" s="3"/>
      <c r="F216" s="1"/>
      <c r="G216" s="141">
        <f>IF(Basic34[[#This Row],[نوع الخدمة]]="مخالفات", 50,
IF(Basic34[[#This Row],[نوع الخدمة]]="كاش ان",
    IF(F216&lt;=100, 18, IF(F216&lt;=250, 23, IF(F216&lt;=500, 35, IF(F216&lt;=1000, 40, F216*0.04)))),
IF(Basic34[[#This Row],[نوع الخدمة]]="كاش اوت",
    IF(F216&lt;=100, 15, IF(F216&lt;=250, 20, IF(F216&lt;=500, 30, IF(F216&lt;=1000, 35, F216*0.035)))),
0)))</f>
        <v>0</v>
      </c>
      <c r="H216" s="159">
        <f>IF(I216="مخالفات",50,Basic34[[#This Row],[قيمة الرسوم / العموله]]+Basic34[[#This Row],[قيمة الشحنه]])</f>
        <v>0</v>
      </c>
      <c r="I216" s="90"/>
      <c r="J216" s="142" t="str">
        <f t="shared" si="3"/>
        <v>29.5.2026</v>
      </c>
      <c r="L216" s="153">
        <v>205</v>
      </c>
      <c r="M216" s="92"/>
    </row>
    <row r="217" spans="1:13" ht="21.6" x14ac:dyDescent="0.65">
      <c r="A217" s="195"/>
      <c r="B217" s="144">
        <v>214</v>
      </c>
      <c r="C217" s="2"/>
      <c r="D217" s="1"/>
      <c r="E217" s="3"/>
      <c r="F217" s="1"/>
      <c r="G217" s="141">
        <f>IF(Basic34[[#This Row],[نوع الخدمة]]="مخالفات", 50,
IF(Basic34[[#This Row],[نوع الخدمة]]="كاش ان",
    IF(F217&lt;=100, 18, IF(F217&lt;=250, 23, IF(F217&lt;=500, 35, IF(F217&lt;=1000, 40, F217*0.04)))),
IF(Basic34[[#This Row],[نوع الخدمة]]="كاش اوت",
    IF(F217&lt;=100, 15, IF(F217&lt;=250, 20, IF(F217&lt;=500, 30, IF(F217&lt;=1000, 35, F217*0.035)))),
0)))</f>
        <v>0</v>
      </c>
      <c r="H217" s="159">
        <f>IF(I217="مخالفات",50,Basic34[[#This Row],[قيمة الرسوم / العموله]]+Basic34[[#This Row],[قيمة الشحنه]])</f>
        <v>0</v>
      </c>
      <c r="I217" s="90"/>
      <c r="J217" s="142" t="str">
        <f t="shared" si="3"/>
        <v>29.5.2026</v>
      </c>
      <c r="L217" s="153">
        <v>206</v>
      </c>
      <c r="M217" s="92"/>
    </row>
    <row r="218" spans="1:13" ht="21.6" x14ac:dyDescent="0.65">
      <c r="A218" s="195"/>
      <c r="B218" s="140">
        <v>215</v>
      </c>
      <c r="C218" s="2"/>
      <c r="D218" s="1"/>
      <c r="E218" s="3"/>
      <c r="F218" s="1"/>
      <c r="G218" s="141">
        <f>IF(Basic34[[#This Row],[نوع الخدمة]]="مخالفات", 50,
IF(Basic34[[#This Row],[نوع الخدمة]]="كاش ان",
    IF(F218&lt;=100, 18, IF(F218&lt;=250, 23, IF(F218&lt;=500, 35, IF(F218&lt;=1000, 40, F218*0.04)))),
IF(Basic34[[#This Row],[نوع الخدمة]]="كاش اوت",
    IF(F218&lt;=100, 15, IF(F218&lt;=250, 20, IF(F218&lt;=500, 30, IF(F218&lt;=1000, 35, F218*0.035)))),
0)))</f>
        <v>0</v>
      </c>
      <c r="H218" s="159">
        <f>IF(I218="مخالفات",50,Basic34[[#This Row],[قيمة الرسوم / العموله]]+Basic34[[#This Row],[قيمة الشحنه]])</f>
        <v>0</v>
      </c>
      <c r="I218" s="90"/>
      <c r="J218" s="142" t="str">
        <f t="shared" si="3"/>
        <v>29.5.2026</v>
      </c>
      <c r="L218" s="153">
        <v>207</v>
      </c>
      <c r="M218" s="92"/>
    </row>
    <row r="219" spans="1:13" ht="21.6" x14ac:dyDescent="0.65">
      <c r="A219" s="195"/>
      <c r="B219" s="140">
        <v>216</v>
      </c>
      <c r="C219" s="2"/>
      <c r="D219" s="1"/>
      <c r="E219" s="3"/>
      <c r="F219" s="1"/>
      <c r="G219" s="141">
        <f>IF(Basic34[[#This Row],[نوع الخدمة]]="مخالفات", 50,
IF(Basic34[[#This Row],[نوع الخدمة]]="كاش ان",
    IF(F219&lt;=100, 18, IF(F219&lt;=250, 23, IF(F219&lt;=500, 35, IF(F219&lt;=1000, 40, F219*0.04)))),
IF(Basic34[[#This Row],[نوع الخدمة]]="كاش اوت",
    IF(F219&lt;=100, 15, IF(F219&lt;=250, 20, IF(F219&lt;=500, 30, IF(F219&lt;=1000, 35, F219*0.035)))),
0)))</f>
        <v>0</v>
      </c>
      <c r="H219" s="159">
        <f>IF(I219="مخالفات",50,Basic34[[#This Row],[قيمة الرسوم / العموله]]+Basic34[[#This Row],[قيمة الشحنه]])</f>
        <v>0</v>
      </c>
      <c r="I219" s="90"/>
      <c r="J219" s="142" t="str">
        <f t="shared" si="3"/>
        <v>29.5.2026</v>
      </c>
      <c r="L219" s="153">
        <v>208</v>
      </c>
      <c r="M219" s="92"/>
    </row>
    <row r="220" spans="1:13" ht="21.6" x14ac:dyDescent="0.65">
      <c r="A220" s="195"/>
      <c r="B220" s="140">
        <v>217</v>
      </c>
      <c r="C220" s="2"/>
      <c r="D220" s="1"/>
      <c r="E220" s="3"/>
      <c r="F220" s="1"/>
      <c r="G220" s="141">
        <f>IF(Basic34[[#This Row],[نوع الخدمة]]="مخالفات", 50,
IF(Basic34[[#This Row],[نوع الخدمة]]="كاش ان",
    IF(F220&lt;=100, 18, IF(F220&lt;=250, 23, IF(F220&lt;=500, 35, IF(F220&lt;=1000, 40, F220*0.04)))),
IF(Basic34[[#This Row],[نوع الخدمة]]="كاش اوت",
    IF(F220&lt;=100, 15, IF(F220&lt;=250, 20, IF(F220&lt;=500, 30, IF(F220&lt;=1000, 35, F220*0.035)))),
0)))</f>
        <v>0</v>
      </c>
      <c r="H220" s="159">
        <f>IF(I220="مخالفات",50,Basic34[[#This Row],[قيمة الرسوم / العموله]]+Basic34[[#This Row],[قيمة الشحنه]])</f>
        <v>0</v>
      </c>
      <c r="I220" s="90"/>
      <c r="J220" s="142" t="str">
        <f t="shared" si="3"/>
        <v>29.5.2026</v>
      </c>
      <c r="L220" s="153">
        <v>209</v>
      </c>
      <c r="M220" s="92"/>
    </row>
    <row r="221" spans="1:13" ht="21.6" x14ac:dyDescent="0.65">
      <c r="A221" s="195"/>
      <c r="B221" s="144">
        <v>218</v>
      </c>
      <c r="C221" s="2"/>
      <c r="D221" s="1"/>
      <c r="E221" s="3"/>
      <c r="F221" s="1"/>
      <c r="G221" s="141">
        <f>IF(Basic34[[#This Row],[نوع الخدمة]]="مخالفات", 50,
IF(Basic34[[#This Row],[نوع الخدمة]]="كاش ان",
    IF(F221&lt;=100, 18, IF(F221&lt;=250, 23, IF(F221&lt;=500, 35, IF(F221&lt;=1000, 40, F221*0.04)))),
IF(Basic34[[#This Row],[نوع الخدمة]]="كاش اوت",
    IF(F221&lt;=100, 15, IF(F221&lt;=250, 20, IF(F221&lt;=500, 30, IF(F221&lt;=1000, 35, F221*0.035)))),
0)))</f>
        <v>0</v>
      </c>
      <c r="H221" s="159">
        <f>IF(I221="مخالفات",50,Basic34[[#This Row],[قيمة الرسوم / العموله]]+Basic34[[#This Row],[قيمة الشحنه]])</f>
        <v>0</v>
      </c>
      <c r="I221" s="90"/>
      <c r="J221" s="142" t="str">
        <f t="shared" si="3"/>
        <v>29.5.2026</v>
      </c>
      <c r="L221" s="153">
        <v>210</v>
      </c>
      <c r="M221" s="92"/>
    </row>
    <row r="222" spans="1:13" ht="21.6" x14ac:dyDescent="0.65">
      <c r="A222" s="195"/>
      <c r="B222" s="140">
        <v>219</v>
      </c>
      <c r="C222" s="2"/>
      <c r="D222" s="1"/>
      <c r="E222" s="3"/>
      <c r="F222" s="1"/>
      <c r="G222" s="141">
        <f>IF(Basic34[[#This Row],[نوع الخدمة]]="مخالفات", 50,
IF(Basic34[[#This Row],[نوع الخدمة]]="كاش ان",
    IF(F222&lt;=100, 18, IF(F222&lt;=250, 23, IF(F222&lt;=500, 35, IF(F222&lt;=1000, 40, F222*0.04)))),
IF(Basic34[[#This Row],[نوع الخدمة]]="كاش اوت",
    IF(F222&lt;=100, 15, IF(F222&lt;=250, 20, IF(F222&lt;=500, 30, IF(F222&lt;=1000, 35, F222*0.035)))),
0)))</f>
        <v>0</v>
      </c>
      <c r="H222" s="159">
        <f>IF(I222="مخالفات",50,Basic34[[#This Row],[قيمة الرسوم / العموله]]+Basic34[[#This Row],[قيمة الشحنه]])</f>
        <v>0</v>
      </c>
      <c r="I222" s="90"/>
      <c r="J222" s="142" t="str">
        <f t="shared" si="3"/>
        <v>29.5.2026</v>
      </c>
      <c r="L222" s="153">
        <v>211</v>
      </c>
      <c r="M222" s="92"/>
    </row>
    <row r="223" spans="1:13" ht="21.6" x14ac:dyDescent="0.65">
      <c r="A223" s="195"/>
      <c r="B223" s="140">
        <v>220</v>
      </c>
      <c r="C223" s="2"/>
      <c r="D223" s="1"/>
      <c r="E223" s="3"/>
      <c r="F223" s="1"/>
      <c r="G223" s="141">
        <f>IF(Basic34[[#This Row],[نوع الخدمة]]="مخالفات", 50,
IF(Basic34[[#This Row],[نوع الخدمة]]="كاش ان",
    IF(F223&lt;=100, 18, IF(F223&lt;=250, 23, IF(F223&lt;=500, 35, IF(F223&lt;=1000, 40, F223*0.04)))),
IF(Basic34[[#This Row],[نوع الخدمة]]="كاش اوت",
    IF(F223&lt;=100, 15, IF(F223&lt;=250, 20, IF(F223&lt;=500, 30, IF(F223&lt;=1000, 35, F223*0.035)))),
0)))</f>
        <v>0</v>
      </c>
      <c r="H223" s="159">
        <f>IF(I223="مخالفات",50,Basic34[[#This Row],[قيمة الرسوم / العموله]]+Basic34[[#This Row],[قيمة الشحنه]])</f>
        <v>0</v>
      </c>
      <c r="I223" s="90"/>
      <c r="J223" s="142" t="str">
        <f t="shared" si="3"/>
        <v>29.5.2026</v>
      </c>
      <c r="L223" s="153">
        <v>212</v>
      </c>
      <c r="M223" s="92"/>
    </row>
    <row r="224" spans="1:13" ht="21.6" x14ac:dyDescent="0.65">
      <c r="A224" s="195"/>
      <c r="B224" s="140">
        <v>221</v>
      </c>
      <c r="C224" s="2"/>
      <c r="D224" s="1"/>
      <c r="E224" s="3"/>
      <c r="F224" s="1"/>
      <c r="G224" s="141">
        <f>IF(Basic34[[#This Row],[نوع الخدمة]]="مخالفات", 50,
IF(Basic34[[#This Row],[نوع الخدمة]]="كاش ان",
    IF(F224&lt;=100, 18, IF(F224&lt;=250, 23, IF(F224&lt;=500, 35, IF(F224&lt;=1000, 40, F224*0.04)))),
IF(Basic34[[#This Row],[نوع الخدمة]]="كاش اوت",
    IF(F224&lt;=100, 15, IF(F224&lt;=250, 20, IF(F224&lt;=500, 30, IF(F224&lt;=1000, 35, F224*0.035)))),
0)))</f>
        <v>0</v>
      </c>
      <c r="H224" s="159">
        <f>IF(I224="مخالفات",50,Basic34[[#This Row],[قيمة الرسوم / العموله]]+Basic34[[#This Row],[قيمة الشحنه]])</f>
        <v>0</v>
      </c>
      <c r="I224" s="90"/>
      <c r="J224" s="142" t="str">
        <f t="shared" si="3"/>
        <v>29.5.2026</v>
      </c>
      <c r="L224" s="153">
        <v>213</v>
      </c>
      <c r="M224" s="92"/>
    </row>
    <row r="225" spans="1:13" ht="21.6" x14ac:dyDescent="0.65">
      <c r="A225" s="195"/>
      <c r="B225" s="144">
        <v>222</v>
      </c>
      <c r="C225" s="2"/>
      <c r="D225" s="1"/>
      <c r="E225" s="3"/>
      <c r="F225" s="1"/>
      <c r="G225" s="141">
        <f>IF(Basic34[[#This Row],[نوع الخدمة]]="مخالفات", 50,
IF(Basic34[[#This Row],[نوع الخدمة]]="كاش ان",
    IF(F225&lt;=100, 18, IF(F225&lt;=250, 23, IF(F225&lt;=500, 35, IF(F225&lt;=1000, 40, F225*0.04)))),
IF(Basic34[[#This Row],[نوع الخدمة]]="كاش اوت",
    IF(F225&lt;=100, 15, IF(F225&lt;=250, 20, IF(F225&lt;=500, 30, IF(F225&lt;=1000, 35, F225*0.035)))),
0)))</f>
        <v>0</v>
      </c>
      <c r="H225" s="159">
        <f>IF(I225="مخالفات",50,Basic34[[#This Row],[قيمة الرسوم / العموله]]+Basic34[[#This Row],[قيمة الشحنه]])</f>
        <v>0</v>
      </c>
      <c r="I225" s="90"/>
      <c r="J225" s="142" t="str">
        <f t="shared" si="3"/>
        <v>29.5.2026</v>
      </c>
      <c r="L225" s="153">
        <v>214</v>
      </c>
      <c r="M225" s="92"/>
    </row>
    <row r="226" spans="1:13" ht="21.6" x14ac:dyDescent="0.65">
      <c r="A226" s="195"/>
      <c r="B226" s="140">
        <v>223</v>
      </c>
      <c r="C226" s="4"/>
      <c r="D226" s="5"/>
      <c r="E226" s="6"/>
      <c r="F226" s="5"/>
      <c r="G226" s="141">
        <f>IF(Basic34[[#This Row],[نوع الخدمة]]="مخالفات", 50,
IF(Basic34[[#This Row],[نوع الخدمة]]="كاش ان",
    IF(F226&lt;=100, 18, IF(F226&lt;=250, 23, IF(F226&lt;=500, 35, IF(F226&lt;=1000, 40, F226*0.04)))),
IF(Basic34[[#This Row],[نوع الخدمة]]="كاش اوت",
    IF(F226&lt;=100, 15, IF(F226&lt;=250, 20, IF(F226&lt;=500, 30, IF(F226&lt;=1000, 35, F226*0.035)))),
0)))</f>
        <v>0</v>
      </c>
      <c r="H226" s="160">
        <f>IF(I226="مخالفات",50,Basic34[[#This Row],[قيمة الرسوم / العموله]]+Basic34[[#This Row],[قيمة الشحنه]])</f>
        <v>0</v>
      </c>
      <c r="I226" s="90"/>
      <c r="J226" s="142" t="str">
        <f t="shared" si="3"/>
        <v>29.5.2026</v>
      </c>
      <c r="L226" s="156">
        <v>215</v>
      </c>
      <c r="M226" s="93"/>
    </row>
  </sheetData>
  <sheetProtection algorithmName="SHA-512" hashValue="xTaBpA/3BMe5P/B0mI0zLP0GRTE+hoiQdZ+YEeDsjmaUau6TmNkoaWkj0hE9bdTGb8t57tqyf8RLXeg00bno6w==" saltValue="lcYQBNOpYAEwfZIqL/Od0w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11" priority="12" operator="equal">
      <formula>$BH$10</formula>
    </cfRule>
    <cfRule type="cellIs" dxfId="10" priority="13" operator="equal">
      <formula>$BH$9</formula>
    </cfRule>
    <cfRule type="cellIs" dxfId="9" priority="14" operator="equal">
      <formula>$BH$8</formula>
    </cfRule>
  </conditionalFormatting>
  <conditionalFormatting sqref="P11">
    <cfRule type="cellIs" dxfId="8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{0071316D-8F7A-4F61-A8EE-D6378B9527DD}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{B0475FAC-A841-43C9-9F13-10B2039CA173}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{05954F29-EFB7-4B80-A26E-DD4D4A6CAEDF}</x14:id>
        </ext>
      </extLst>
    </cfRule>
  </conditionalFormatting>
  <dataValidations count="2">
    <dataValidation type="list" allowBlank="1" showInputMessage="1" showErrorMessage="1" sqref="I4:I226" xr:uid="{00000000-0002-0000-1C00-000000000000}">
      <formula1>$BH$8:$BH$10</formula1>
    </dataValidation>
    <dataValidation type="textLength" operator="equal" allowBlank="1" showInputMessage="1" showErrorMessage="1" errorTitle="يجب إخال رقم IPN صحيح 13 رقم" sqref="C1:C1048576" xr:uid="{00000000-0002-0000-1C00-000001000000}">
      <formula1>13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71316D-8F7A-4F61-A8EE-D6378B9527DD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B0475FAC-A841-43C9-9F13-10B2039CA173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05954F29-EFB7-4B80-A26E-DD4D4A6CAEDF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BH226"/>
  <sheetViews>
    <sheetView showGridLines="0" showRowColHeaders="0" rightToLeft="1" topLeftCell="E1" zoomScale="80" zoomScaleNormal="80" workbookViewId="0">
      <selection activeCell="R10" sqref="R10:W10"/>
    </sheetView>
  </sheetViews>
  <sheetFormatPr defaultColWidth="9.109375" defaultRowHeight="14.4" x14ac:dyDescent="0.3"/>
  <cols>
    <col min="1" max="1" width="4.109375" style="124" customWidth="1"/>
    <col min="2" max="2" width="6.5546875" style="125" bestFit="1" customWidth="1"/>
    <col min="3" max="3" width="25" style="126" customWidth="1"/>
    <col min="4" max="4" width="18.88671875" style="124" customWidth="1"/>
    <col min="5" max="5" width="17.5546875" style="157" customWidth="1"/>
    <col min="6" max="6" width="14" style="124" customWidth="1"/>
    <col min="7" max="7" width="19" style="124" bestFit="1" customWidth="1"/>
    <col min="8" max="8" width="19" style="124" customWidth="1"/>
    <col min="9" max="9" width="12.44140625" style="128" bestFit="1" customWidth="1"/>
    <col min="10" max="10" width="10.6640625" style="129" bestFit="1" customWidth="1"/>
    <col min="11" max="11" width="3.5546875" style="124" customWidth="1"/>
    <col min="12" max="12" width="8.5546875" style="124" bestFit="1" customWidth="1"/>
    <col min="13" max="13" width="24.6640625" style="124" customWidth="1"/>
    <col min="14" max="14" width="4.44140625" style="124" customWidth="1"/>
    <col min="15" max="15" width="26.5546875" style="124" bestFit="1" customWidth="1"/>
    <col min="16" max="16" width="13" style="124" customWidth="1"/>
    <col min="17" max="17" width="3.5546875" style="124" customWidth="1"/>
    <col min="18" max="18" width="17.6640625" style="124" customWidth="1"/>
    <col min="19" max="19" width="15.109375" style="124" customWidth="1"/>
    <col min="20" max="20" width="12.44140625" style="124" customWidth="1"/>
    <col min="21" max="21" width="12.6640625" style="124" customWidth="1"/>
    <col min="22" max="22" width="11.5546875" style="124" customWidth="1"/>
    <col min="23" max="23" width="8.33203125" style="124" customWidth="1"/>
    <col min="24" max="24" width="12.6640625" style="124" customWidth="1"/>
    <col min="25" max="16384" width="9.109375" style="124"/>
  </cols>
  <sheetData>
    <row r="1" spans="1:60" x14ac:dyDescent="0.3">
      <c r="E1" s="127">
        <f>Total!F5</f>
        <v>69</v>
      </c>
      <c r="F1" s="192" t="str">
        <f>Total!G5</f>
        <v>العبور</v>
      </c>
      <c r="G1" s="192"/>
      <c r="H1" s="192"/>
    </row>
    <row r="3" spans="1:60" ht="15.6" x14ac:dyDescent="0.3">
      <c r="B3" s="130" t="s">
        <v>0</v>
      </c>
      <c r="C3" s="131" t="s">
        <v>1</v>
      </c>
      <c r="D3" s="132" t="s">
        <v>2</v>
      </c>
      <c r="E3" s="133" t="s">
        <v>3</v>
      </c>
      <c r="F3" s="132" t="s">
        <v>4</v>
      </c>
      <c r="G3" s="132" t="s">
        <v>5</v>
      </c>
      <c r="H3" s="132" t="s">
        <v>76</v>
      </c>
      <c r="I3" s="132" t="s">
        <v>6</v>
      </c>
      <c r="J3" s="134" t="s">
        <v>7</v>
      </c>
      <c r="L3" s="135" t="s">
        <v>7</v>
      </c>
      <c r="M3" s="136" t="s">
        <v>82</v>
      </c>
      <c r="O3" s="137" t="s">
        <v>17</v>
      </c>
      <c r="P3" s="138">
        <f>M5+M6</f>
        <v>0</v>
      </c>
      <c r="T3" s="139"/>
      <c r="U3" s="139"/>
      <c r="V3" s="139"/>
      <c r="W3" s="139"/>
      <c r="X3" s="139"/>
    </row>
    <row r="4" spans="1:60" ht="21.6" x14ac:dyDescent="0.65">
      <c r="A4" s="195"/>
      <c r="B4" s="140">
        <v>1</v>
      </c>
      <c r="C4" s="8"/>
      <c r="D4" s="9"/>
      <c r="E4" s="10"/>
      <c r="F4" s="9"/>
      <c r="G4" s="141">
        <f>IF(Basic3[[#This Row],[نوع الخدمة]]="مخالفات", 50,
IF(Basic3[[#This Row],[نوع الخدمة]]="كاش ان",
    IF(F4&lt;=100, 18, IF(F4&lt;=250, 23, IF(F4&lt;=500, 35, IF(F4&lt;=1000, 40, F4*0.04)))),
IF(Basic3[[#This Row],[نوع الخدمة]]="كاش اوت",
    IF(F4&lt;=100, 15, IF(F4&lt;=250, 20, IF(F4&lt;=500, 30, IF(F4&lt;=1000, 35, F4*0.035)))),
0)))</f>
        <v>0</v>
      </c>
      <c r="H4" s="141">
        <f>IF(I4="مخالفات",50,Basic3[[#This Row],[قيمة الرسوم / العموله]]+Basic3[[#This Row],[قيمة الشحنه]])</f>
        <v>0</v>
      </c>
      <c r="I4" s="90"/>
      <c r="J4" s="142" t="str">
        <f t="shared" ref="J4:J67" si="0">M$3</f>
        <v>30.5.2026</v>
      </c>
      <c r="L4" s="135" t="s">
        <v>26</v>
      </c>
      <c r="M4" s="90">
        <v>0</v>
      </c>
      <c r="O4" s="137" t="s">
        <v>18</v>
      </c>
      <c r="P4" s="138">
        <f>M4</f>
        <v>0</v>
      </c>
      <c r="S4" s="143" t="s">
        <v>22</v>
      </c>
      <c r="T4" s="143" t="s">
        <v>23</v>
      </c>
      <c r="U4" s="139"/>
      <c r="V4" s="139"/>
      <c r="W4" s="139"/>
    </row>
    <row r="5" spans="1:60" ht="21.6" x14ac:dyDescent="0.65">
      <c r="A5" s="195"/>
      <c r="B5" s="144">
        <v>2</v>
      </c>
      <c r="C5" s="8"/>
      <c r="D5" s="9"/>
      <c r="E5" s="10"/>
      <c r="F5" s="9"/>
      <c r="G5" s="141">
        <f>IF(Basic3[[#This Row],[نوع الخدمة]]="مخالفات", 50,
IF(Basic3[[#This Row],[نوع الخدمة]]="كاش ان",
    IF(F5&lt;=100, 18, IF(F5&lt;=250, 23, IF(F5&lt;=500, 35, IF(F5&lt;=1000, 40, F5*0.04)))),
IF(Basic3[[#This Row],[نوع الخدمة]]="كاش اوت",
    IF(F5&lt;=100, 15, IF(F5&lt;=250, 20, IF(F5&lt;=500, 30, IF(F5&lt;=1000, 35, F5*0.035)))),
0)))</f>
        <v>0</v>
      </c>
      <c r="H5" s="141">
        <f>IF(I5="مخالفات",50,Basic3[[#This Row],[قيمة الرسوم / العموله]]+Basic3[[#This Row],[قيمة الشحنه]])</f>
        <v>0</v>
      </c>
      <c r="I5" s="90"/>
      <c r="J5" s="142" t="str">
        <f t="shared" si="0"/>
        <v>30.5.2026</v>
      </c>
      <c r="L5" s="135" t="s">
        <v>27</v>
      </c>
      <c r="M5" s="90"/>
      <c r="O5" s="137" t="s">
        <v>19</v>
      </c>
      <c r="P5" s="138">
        <f>SUMIF(Basic3[نوع الخدمة],"كاش ان",Basic3[قيمة الشحنه])</f>
        <v>0</v>
      </c>
      <c r="S5" s="145">
        <f>P5+P9+P12+P7</f>
        <v>0</v>
      </c>
      <c r="T5" s="145">
        <f>P3</f>
        <v>0</v>
      </c>
    </row>
    <row r="6" spans="1:60" ht="21.6" x14ac:dyDescent="0.65">
      <c r="A6" s="195"/>
      <c r="B6" s="140">
        <v>3</v>
      </c>
      <c r="C6" s="8"/>
      <c r="D6" s="9"/>
      <c r="E6" s="10"/>
      <c r="F6" s="9"/>
      <c r="G6" s="141">
        <f>IF(Basic3[[#This Row],[نوع الخدمة]]="مخالفات", 50,
IF(Basic3[[#This Row],[نوع الخدمة]]="كاش ان",
    IF(F6&lt;=100, 18, IF(F6&lt;=250, 23, IF(F6&lt;=500, 35, IF(F6&lt;=1000, 40, F6*0.04)))),
IF(Basic3[[#This Row],[نوع الخدمة]]="كاش اوت",
    IF(F6&lt;=100, 15, IF(F6&lt;=250, 20, IF(F6&lt;=500, 30, IF(F6&lt;=1000, 35, F6*0.035)))),
0)))</f>
        <v>0</v>
      </c>
      <c r="H6" s="141">
        <f>IF(I6="مخالفات",50,Basic3[[#This Row],[قيمة الرسوم / العموله]]+Basic3[[#This Row],[قيمة الشحنه]])</f>
        <v>0</v>
      </c>
      <c r="I6" s="90"/>
      <c r="J6" s="142" t="str">
        <f t="shared" si="0"/>
        <v>30.5.2026</v>
      </c>
      <c r="L6" s="135" t="s">
        <v>28</v>
      </c>
      <c r="M6" s="90"/>
      <c r="O6" s="146" t="s">
        <v>12</v>
      </c>
      <c r="P6" s="138">
        <f>P3*150</f>
        <v>0</v>
      </c>
    </row>
    <row r="7" spans="1:60" ht="21.6" x14ac:dyDescent="0.65">
      <c r="A7" s="195"/>
      <c r="B7" s="140">
        <v>4</v>
      </c>
      <c r="C7" s="8"/>
      <c r="D7" s="9"/>
      <c r="E7" s="10"/>
      <c r="F7" s="9"/>
      <c r="G7" s="141">
        <f>IF(Basic3[[#This Row],[نوع الخدمة]]="مخالفات", 50,
IF(Basic3[[#This Row],[نوع الخدمة]]="كاش ان",
    IF(F7&lt;=100, 18, IF(F7&lt;=250, 23, IF(F7&lt;=500, 35, IF(F7&lt;=1000, 40, F7*0.04)))),
IF(Basic3[[#This Row],[نوع الخدمة]]="كاش اوت",
    IF(F7&lt;=100, 15, IF(F7&lt;=250, 20, IF(F7&lt;=500, 30, IF(F7&lt;=1000, 35, F7*0.035)))),
0)))</f>
        <v>0</v>
      </c>
      <c r="H7" s="141">
        <f>IF(I7="مخالفات",50,Basic3[[#This Row],[قيمة الرسوم / العموله]]+Basic3[[#This Row],[قيمة الشحنه]])</f>
        <v>0</v>
      </c>
      <c r="I7" s="90"/>
      <c r="J7" s="142" t="str">
        <f t="shared" si="0"/>
        <v>30.5.2026</v>
      </c>
      <c r="L7" s="137" t="s">
        <v>11</v>
      </c>
      <c r="M7" s="165"/>
      <c r="O7" s="146" t="s">
        <v>75</v>
      </c>
      <c r="P7" s="138">
        <f>SUMIF(Basic3[نوع الخدمة],"مخالفات",Basic3[الاجمــــــــــالي])</f>
        <v>0</v>
      </c>
      <c r="R7" s="139"/>
      <c r="S7" s="139"/>
    </row>
    <row r="8" spans="1:60" ht="21.6" x14ac:dyDescent="0.65">
      <c r="A8" s="195"/>
      <c r="B8" s="140">
        <v>5</v>
      </c>
      <c r="C8" s="8"/>
      <c r="D8" s="9"/>
      <c r="E8" s="10"/>
      <c r="F8" s="9"/>
      <c r="G8" s="141">
        <f>IF(Basic3[[#This Row],[نوع الخدمة]]="مخالفات", 50,
IF(Basic3[[#This Row],[نوع الخدمة]]="كاش ان",
    IF(F8&lt;=100, 18, IF(F8&lt;=250, 23, IF(F8&lt;=500, 35, IF(F8&lt;=1000, 40, F8*0.04)))),
IF(Basic3[[#This Row],[نوع الخدمة]]="كاش اوت",
    IF(F8&lt;=100, 15, IF(F8&lt;=250, 20, IF(F8&lt;=500, 30, IF(F8&lt;=1000, 35, F8*0.035)))),
0)))</f>
        <v>0</v>
      </c>
      <c r="H8" s="141">
        <f>IF(I8="مخالفات",50,Basic3[[#This Row],[قيمة الرسوم / العموله]]+Basic3[[#This Row],[قيمة الشحنه]])</f>
        <v>0</v>
      </c>
      <c r="I8" s="90"/>
      <c r="J8" s="142" t="str">
        <f t="shared" si="0"/>
        <v>30.5.2026</v>
      </c>
      <c r="L8" s="166" t="s">
        <v>79</v>
      </c>
      <c r="M8" s="167">
        <v>0</v>
      </c>
      <c r="O8" s="137" t="s">
        <v>11</v>
      </c>
      <c r="P8" s="138">
        <f>M7</f>
        <v>0</v>
      </c>
      <c r="R8" s="143" t="s">
        <v>72</v>
      </c>
      <c r="S8" s="143" t="s">
        <v>25</v>
      </c>
      <c r="T8" s="143" t="s">
        <v>24</v>
      </c>
      <c r="U8" s="143" t="s">
        <v>73</v>
      </c>
      <c r="V8" s="143" t="s">
        <v>25</v>
      </c>
      <c r="W8" s="143" t="s">
        <v>24</v>
      </c>
      <c r="BH8" s="148" t="s">
        <v>8</v>
      </c>
    </row>
    <row r="9" spans="1:60" ht="18" customHeight="1" x14ac:dyDescent="0.65">
      <c r="A9" s="195"/>
      <c r="B9" s="144">
        <v>6</v>
      </c>
      <c r="C9" s="8"/>
      <c r="D9" s="9"/>
      <c r="E9" s="10"/>
      <c r="F9" s="9"/>
      <c r="G9" s="141">
        <f>IF(Basic3[[#This Row],[نوع الخدمة]]="مخالفات", 50,
IF(Basic3[[#This Row],[نوع الخدمة]]="كاش ان",
    IF(F9&lt;=100, 18, IF(F9&lt;=250, 23, IF(F9&lt;=500, 35, IF(F9&lt;=1000, 40, F9*0.04)))),
IF(Basic3[[#This Row],[نوع الخدمة]]="كاش اوت",
    IF(F9&lt;=100, 15, IF(F9&lt;=250, 20, IF(F9&lt;=500, 30, IF(F9&lt;=1000, 35, F9*0.035)))),
0)))</f>
        <v>0</v>
      </c>
      <c r="H9" s="141">
        <f>IF(I9="مخالفات",50,Basic3[[#This Row],[قيمة الرسوم / العموله]]+Basic3[[#This Row],[قيمة الشحنه]])</f>
        <v>0</v>
      </c>
      <c r="I9" s="90"/>
      <c r="J9" s="142" t="str">
        <f t="shared" si="0"/>
        <v>30.5.2026</v>
      </c>
      <c r="L9" s="166" t="s">
        <v>80</v>
      </c>
      <c r="M9" s="167">
        <v>0</v>
      </c>
      <c r="O9" s="137" t="s">
        <v>20</v>
      </c>
      <c r="P9" s="138">
        <f>SUMIF(Basic3[نوع الخدمة],"كاش ان",Basic3[قيمة الرسوم / العموله])</f>
        <v>0</v>
      </c>
      <c r="R9" s="149">
        <f>Total!H5/24</f>
        <v>29166.666666666668</v>
      </c>
      <c r="S9" s="149">
        <f>S5</f>
        <v>0</v>
      </c>
      <c r="T9" s="150">
        <f>S9/R9</f>
        <v>0</v>
      </c>
      <c r="U9" s="149">
        <f>Total!K5/24</f>
        <v>2.9166666666666665</v>
      </c>
      <c r="V9" s="149">
        <f>T5</f>
        <v>0</v>
      </c>
      <c r="W9" s="150">
        <f>V9/U9</f>
        <v>0</v>
      </c>
      <c r="BH9" s="148" t="s">
        <v>9</v>
      </c>
    </row>
    <row r="10" spans="1:60" ht="21.6" x14ac:dyDescent="0.65">
      <c r="A10" s="195"/>
      <c r="B10" s="140">
        <v>7</v>
      </c>
      <c r="C10" s="8"/>
      <c r="D10" s="9"/>
      <c r="E10" s="10"/>
      <c r="F10" s="9"/>
      <c r="G10" s="141">
        <f>IF(Basic3[[#This Row],[نوع الخدمة]]="مخالفات", 50,
IF(Basic3[[#This Row],[نوع الخدمة]]="كاش ان",
    IF(F10&lt;=100, 18, IF(F10&lt;=250, 23, IF(F10&lt;=500, 35, IF(F10&lt;=1000, 40, F10*0.04)))),
IF(Basic3[[#This Row],[نوع الخدمة]]="كاش اوت",
    IF(F10&lt;=100, 15, IF(F10&lt;=250, 20, IF(F10&lt;=500, 30, IF(F10&lt;=1000, 35, F10*0.035)))),
0)))</f>
        <v>0</v>
      </c>
      <c r="H10" s="141">
        <f>IF(I10="مخالفات",50,Basic3[[#This Row],[قيمة الرسوم / العموله]]+Basic3[[#This Row],[قيمة الشحنه]])</f>
        <v>0</v>
      </c>
      <c r="I10" s="90"/>
      <c r="J10" s="142" t="str">
        <f t="shared" si="0"/>
        <v>30.5.2026</v>
      </c>
      <c r="O10" s="137" t="s">
        <v>16</v>
      </c>
      <c r="P10" s="138">
        <f>SUMIF(Basic3[نوع الخدمة],"كاش اوت",Basic3[قيمة الشحنه])</f>
        <v>0</v>
      </c>
      <c r="R10" s="191">
        <f>(W9+T9)/2</f>
        <v>0</v>
      </c>
      <c r="S10" s="191"/>
      <c r="T10" s="191"/>
      <c r="U10" s="191"/>
      <c r="V10" s="191"/>
      <c r="W10" s="191"/>
      <c r="BH10" s="148" t="s">
        <v>10</v>
      </c>
    </row>
    <row r="11" spans="1:60" ht="21.6" x14ac:dyDescent="0.65">
      <c r="A11" s="195"/>
      <c r="B11" s="140">
        <v>8</v>
      </c>
      <c r="C11" s="8"/>
      <c r="D11" s="9"/>
      <c r="E11" s="10"/>
      <c r="F11" s="9"/>
      <c r="G11" s="141">
        <f>IF(Basic3[[#This Row],[نوع الخدمة]]="مخالفات", 50,
IF(Basic3[[#This Row],[نوع الخدمة]]="كاش ان",
    IF(F11&lt;=100, 18, IF(F11&lt;=250, 23, IF(F11&lt;=500, 35, IF(F11&lt;=1000, 40, F11*0.04)))),
IF(Basic3[[#This Row],[نوع الخدمة]]="كاش اوت",
    IF(F11&lt;=100, 15, IF(F11&lt;=250, 20, IF(F11&lt;=500, 30, IF(F11&lt;=1000, 35, F11*0.035)))),
0)))</f>
        <v>0</v>
      </c>
      <c r="H11" s="141">
        <f>IF(I11="مخالفات",50,Basic3[[#This Row],[قيمة الرسوم / العموله]]+Basic3[[#This Row],[قيمة الشحنه]])</f>
        <v>0</v>
      </c>
      <c r="I11" s="90"/>
      <c r="J11" s="142" t="str">
        <f t="shared" si="0"/>
        <v>30.5.2026</v>
      </c>
      <c r="L11" s="169" t="s">
        <v>77</v>
      </c>
      <c r="M11" s="168" t="s">
        <v>78</v>
      </c>
      <c r="O11" s="151" t="s">
        <v>21</v>
      </c>
      <c r="P11" s="152">
        <f>(P5+P6+P9+P7+P4)-P10-P8</f>
        <v>0</v>
      </c>
      <c r="T11" s="139"/>
    </row>
    <row r="12" spans="1:60" ht="21.6" x14ac:dyDescent="0.65">
      <c r="A12" s="195"/>
      <c r="B12" s="140">
        <v>9</v>
      </c>
      <c r="C12" s="8"/>
      <c r="D12" s="9"/>
      <c r="E12" s="10"/>
      <c r="F12" s="9"/>
      <c r="G12" s="141">
        <f>IF(Basic3[[#This Row],[نوع الخدمة]]="مخالفات", 50,
IF(Basic3[[#This Row],[نوع الخدمة]]="كاش ان",
    IF(F12&lt;=100, 18, IF(F12&lt;=250, 23, IF(F12&lt;=500, 35, IF(F12&lt;=1000, 40, F12*0.04)))),
IF(Basic3[[#This Row],[نوع الخدمة]]="كاش اوت",
    IF(F12&lt;=100, 15, IF(F12&lt;=250, 20, IF(F12&lt;=500, 30, IF(F12&lt;=1000, 35, F12*0.035)))),
0)))</f>
        <v>0</v>
      </c>
      <c r="H12" s="141">
        <f>IF(I12="مخالفات",50,Basic3[[#This Row],[قيمة الرسوم / العموله]]+Basic3[[#This Row],[قيمة الشحنه]])</f>
        <v>0</v>
      </c>
      <c r="I12" s="90"/>
      <c r="J12" s="142" t="str">
        <f t="shared" si="0"/>
        <v>30.5.2026</v>
      </c>
      <c r="L12" s="153">
        <v>1</v>
      </c>
      <c r="M12" s="91"/>
      <c r="O12" s="137" t="s">
        <v>29</v>
      </c>
      <c r="P12" s="138">
        <f>SUMIF(Basic3[نوع الخدمة],"كاش اوت",Basic3[الاجمــــــــــالي])</f>
        <v>0</v>
      </c>
    </row>
    <row r="13" spans="1:60" ht="21.6" x14ac:dyDescent="0.65">
      <c r="A13" s="195"/>
      <c r="B13" s="144">
        <v>10</v>
      </c>
      <c r="C13" s="8"/>
      <c r="D13" s="9"/>
      <c r="E13" s="10"/>
      <c r="F13" s="9"/>
      <c r="G13" s="141">
        <f>IF(Basic3[[#This Row],[نوع الخدمة]]="مخالفات", 50,
IF(Basic3[[#This Row],[نوع الخدمة]]="كاش ان",
    IF(F13&lt;=100, 18, IF(F13&lt;=250, 23, IF(F13&lt;=500, 35, IF(F13&lt;=1000, 40, F13*0.04)))),
IF(Basic3[[#This Row],[نوع الخدمة]]="كاش اوت",
    IF(F13&lt;=100, 15, IF(F13&lt;=250, 20, IF(F13&lt;=500, 30, IF(F13&lt;=1000, 35, F13*0.035)))),
0)))</f>
        <v>0</v>
      </c>
      <c r="H13" s="141">
        <f>IF(I13="مخالفات",50,Basic3[[#This Row],[قيمة الرسوم / العموله]]+Basic3[[#This Row],[قيمة الشحنه]])</f>
        <v>0</v>
      </c>
      <c r="I13" s="90"/>
      <c r="J13" s="142" t="str">
        <f t="shared" si="0"/>
        <v>30.5.2026</v>
      </c>
      <c r="L13" s="153">
        <v>2</v>
      </c>
      <c r="M13" s="92"/>
    </row>
    <row r="14" spans="1:60" ht="21.6" x14ac:dyDescent="0.65">
      <c r="A14" s="195"/>
      <c r="B14" s="140">
        <v>11</v>
      </c>
      <c r="C14" s="2"/>
      <c r="D14" s="1"/>
      <c r="E14" s="3"/>
      <c r="F14" s="1"/>
      <c r="G14" s="141">
        <f>IF(Basic3[[#This Row],[نوع الخدمة]]="مخالفات", 50,
IF(Basic3[[#This Row],[نوع الخدمة]]="كاش ان",
    IF(F14&lt;=100, 18, IF(F14&lt;=250, 23, IF(F14&lt;=500, 35, IF(F14&lt;=1000, 40, F14*0.04)))),
IF(Basic3[[#This Row],[نوع الخدمة]]="كاش اوت",
    IF(F14&lt;=100, 15, IF(F14&lt;=250, 20, IF(F14&lt;=500, 30, IF(F14&lt;=1000, 35, F14*0.035)))),
0)))</f>
        <v>0</v>
      </c>
      <c r="H14" s="159">
        <f>IF(I14="مخالفات",50,Basic3[[#This Row],[قيمة الرسوم / العموله]]+Basic3[[#This Row],[قيمة الشحنه]])</f>
        <v>0</v>
      </c>
      <c r="I14" s="90"/>
      <c r="J14" s="142" t="str">
        <f t="shared" si="0"/>
        <v>30.5.2026</v>
      </c>
      <c r="L14" s="153">
        <v>3</v>
      </c>
      <c r="M14" s="92"/>
    </row>
    <row r="15" spans="1:60" ht="21.6" x14ac:dyDescent="0.65">
      <c r="A15" s="195"/>
      <c r="B15" s="140">
        <v>12</v>
      </c>
      <c r="C15" s="2"/>
      <c r="D15" s="1"/>
      <c r="E15" s="3"/>
      <c r="F15" s="1"/>
      <c r="G15" s="141">
        <f>IF(Basic3[[#This Row],[نوع الخدمة]]="مخالفات", 50,
IF(Basic3[[#This Row],[نوع الخدمة]]="كاش ان",
    IF(F15&lt;=100, 18, IF(F15&lt;=250, 23, IF(F15&lt;=500, 35, IF(F15&lt;=1000, 40, F15*0.04)))),
IF(Basic3[[#This Row],[نوع الخدمة]]="كاش اوت",
    IF(F15&lt;=100, 15, IF(F15&lt;=250, 20, IF(F15&lt;=500, 30, IF(F15&lt;=1000, 35, F15*0.035)))),
0)))</f>
        <v>0</v>
      </c>
      <c r="H15" s="159">
        <f>IF(I15="مخالفات",50,Basic3[[#This Row],[قيمة الرسوم / العموله]]+Basic3[[#This Row],[قيمة الشحنه]])</f>
        <v>0</v>
      </c>
      <c r="I15" s="90"/>
      <c r="J15" s="142" t="str">
        <f t="shared" si="0"/>
        <v>30.5.2026</v>
      </c>
      <c r="L15" s="153">
        <v>4</v>
      </c>
      <c r="M15" s="92"/>
      <c r="O15" s="154" t="s">
        <v>10</v>
      </c>
      <c r="P15" s="155">
        <f>COUNTIF(Basic3[نوع الخدمة],"مخالفات")</f>
        <v>0</v>
      </c>
    </row>
    <row r="16" spans="1:60" ht="21.6" x14ac:dyDescent="0.65">
      <c r="A16" s="195"/>
      <c r="B16" s="140">
        <v>13</v>
      </c>
      <c r="C16" s="2"/>
      <c r="D16" s="1"/>
      <c r="E16" s="3"/>
      <c r="F16" s="1"/>
      <c r="G16" s="141">
        <f>IF(Basic3[[#This Row],[نوع الخدمة]]="مخالفات", 50,
IF(Basic3[[#This Row],[نوع الخدمة]]="كاش ان",
    IF(F16&lt;=100, 18, IF(F16&lt;=250, 23, IF(F16&lt;=500, 35, IF(F16&lt;=1000, 40, F16*0.04)))),
IF(Basic3[[#This Row],[نوع الخدمة]]="كاش اوت",
    IF(F16&lt;=100, 15, IF(F16&lt;=250, 20, IF(F16&lt;=500, 30, IF(F16&lt;=1000, 35, F16*0.035)))),
0)))</f>
        <v>0</v>
      </c>
      <c r="H16" s="159">
        <f>IF(I16="مخالفات",50,Basic3[[#This Row],[قيمة الرسوم / العموله]]+Basic3[[#This Row],[قيمة الشحنه]])</f>
        <v>0</v>
      </c>
      <c r="I16" s="90"/>
      <c r="J16" s="142" t="str">
        <f t="shared" si="0"/>
        <v>30.5.2026</v>
      </c>
      <c r="L16" s="153">
        <v>5</v>
      </c>
      <c r="M16" s="92"/>
      <c r="O16" s="154" t="s">
        <v>13</v>
      </c>
      <c r="P16" s="155">
        <f>COUNTIF(Basic3[نوع الخدمة],"كاش ان")</f>
        <v>0</v>
      </c>
    </row>
    <row r="17" spans="1:21" ht="21.6" x14ac:dyDescent="0.65">
      <c r="A17" s="195"/>
      <c r="B17" s="144">
        <v>14</v>
      </c>
      <c r="C17" s="2"/>
      <c r="D17" s="1"/>
      <c r="E17" s="3"/>
      <c r="F17" s="1"/>
      <c r="G17" s="141">
        <f>IF(Basic3[[#This Row],[نوع الخدمة]]="مخالفات", 50,
IF(Basic3[[#This Row],[نوع الخدمة]]="كاش ان",
    IF(F17&lt;=100, 18, IF(F17&lt;=250, 23, IF(F17&lt;=500, 35, IF(F17&lt;=1000, 40, F17*0.04)))),
IF(Basic3[[#This Row],[نوع الخدمة]]="كاش اوت",
    IF(F17&lt;=100, 15, IF(F17&lt;=250, 20, IF(F17&lt;=500, 30, IF(F17&lt;=1000, 35, F17*0.035)))),
0)))</f>
        <v>0</v>
      </c>
      <c r="H17" s="159">
        <f>IF(I17="مخالفات",50,Basic3[[#This Row],[قيمة الرسوم / العموله]]+Basic3[[#This Row],[قيمة الشحنه]])</f>
        <v>0</v>
      </c>
      <c r="I17" s="90"/>
      <c r="J17" s="142" t="str">
        <f t="shared" si="0"/>
        <v>30.5.2026</v>
      </c>
      <c r="L17" s="153">
        <v>6</v>
      </c>
      <c r="M17" s="92"/>
      <c r="O17" s="154" t="s">
        <v>14</v>
      </c>
      <c r="P17" s="155">
        <f>COUNTIF(Basic3[نوع الخدمة],"كاش اوت")</f>
        <v>0</v>
      </c>
    </row>
    <row r="18" spans="1:21" ht="21.6" x14ac:dyDescent="0.65">
      <c r="A18" s="195"/>
      <c r="B18" s="140">
        <v>15</v>
      </c>
      <c r="C18" s="2"/>
      <c r="D18" s="1"/>
      <c r="E18" s="3"/>
      <c r="F18" s="1"/>
      <c r="G18" s="141">
        <f>IF(Basic3[[#This Row],[نوع الخدمة]]="مخالفات", 50,
IF(Basic3[[#This Row],[نوع الخدمة]]="كاش ان",
    IF(F18&lt;=100, 18, IF(F18&lt;=250, 23, IF(F18&lt;=500, 35, IF(F18&lt;=1000, 40, F18*0.04)))),
IF(Basic3[[#This Row],[نوع الخدمة]]="كاش اوت",
    IF(F18&lt;=100, 15, IF(F18&lt;=250, 20, IF(F18&lt;=500, 30, IF(F18&lt;=1000, 35, F18*0.035)))),
0)))</f>
        <v>0</v>
      </c>
      <c r="H18" s="159">
        <f>IF(I18="مخالفات",50,Basic3[[#This Row],[قيمة الرسوم / العموله]]+Basic3[[#This Row],[قيمة الشحنه]])</f>
        <v>0</v>
      </c>
      <c r="I18" s="90"/>
      <c r="J18" s="142" t="str">
        <f t="shared" si="0"/>
        <v>30.5.2026</v>
      </c>
      <c r="L18" s="153">
        <v>7</v>
      </c>
      <c r="M18" s="92"/>
      <c r="O18" s="154" t="s">
        <v>15</v>
      </c>
      <c r="P18" s="155">
        <f>P16+P17</f>
        <v>0</v>
      </c>
    </row>
    <row r="19" spans="1:21" ht="21.6" x14ac:dyDescent="0.65">
      <c r="A19" s="195"/>
      <c r="B19" s="140">
        <v>16</v>
      </c>
      <c r="C19" s="2"/>
      <c r="D19" s="1"/>
      <c r="E19" s="3"/>
      <c r="F19" s="1"/>
      <c r="G19" s="141">
        <f>IF(Basic3[[#This Row],[نوع الخدمة]]="مخالفات", 50,
IF(Basic3[[#This Row],[نوع الخدمة]]="كاش ان",
    IF(F19&lt;=100, 18, IF(F19&lt;=250, 23, IF(F19&lt;=500, 35, IF(F19&lt;=1000, 40, F19*0.04)))),
IF(Basic3[[#This Row],[نوع الخدمة]]="كاش اوت",
    IF(F19&lt;=100, 15, IF(F19&lt;=250, 20, IF(F19&lt;=500, 30, IF(F19&lt;=1000, 35, F19*0.035)))),
0)))</f>
        <v>0</v>
      </c>
      <c r="H19" s="159">
        <f>IF(I19="مخالفات",50,Basic3[[#This Row],[قيمة الرسوم / العموله]]+Basic3[[#This Row],[قيمة الشحنه]])</f>
        <v>0</v>
      </c>
      <c r="I19" s="90"/>
      <c r="J19" s="142" t="str">
        <f t="shared" si="0"/>
        <v>30.5.2026</v>
      </c>
      <c r="L19" s="153">
        <v>8</v>
      </c>
      <c r="M19" s="92"/>
    </row>
    <row r="20" spans="1:21" ht="21.6" x14ac:dyDescent="0.65">
      <c r="A20" s="195"/>
      <c r="B20" s="140">
        <v>17</v>
      </c>
      <c r="C20" s="2"/>
      <c r="D20" s="1"/>
      <c r="E20" s="3"/>
      <c r="F20" s="1"/>
      <c r="G20" s="141">
        <f>IF(Basic3[[#This Row],[نوع الخدمة]]="مخالفات", 50,
IF(Basic3[[#This Row],[نوع الخدمة]]="كاش ان",
    IF(F20&lt;=100, 18, IF(F20&lt;=250, 23, IF(F20&lt;=500, 35, IF(F20&lt;=1000, 40, F20*0.04)))),
IF(Basic3[[#This Row],[نوع الخدمة]]="كاش اوت",
    IF(F20&lt;=100, 15, IF(F20&lt;=250, 20, IF(F20&lt;=500, 30, IF(F20&lt;=1000, 35, F20*0.035)))),
0)))</f>
        <v>0</v>
      </c>
      <c r="H20" s="159">
        <f>IF(I20="مخالفات",50,Basic3[[#This Row],[قيمة الرسوم / العموله]]+Basic3[[#This Row],[قيمة الشحنه]])</f>
        <v>0</v>
      </c>
      <c r="I20" s="90"/>
      <c r="J20" s="142" t="str">
        <f t="shared" si="0"/>
        <v>30.5.2026</v>
      </c>
      <c r="L20" s="153">
        <v>9</v>
      </c>
      <c r="M20" s="92"/>
      <c r="O20" s="193" t="s">
        <v>30</v>
      </c>
      <c r="P20" s="194"/>
    </row>
    <row r="21" spans="1:21" ht="21.6" x14ac:dyDescent="0.65">
      <c r="A21" s="195"/>
      <c r="B21" s="144">
        <v>18</v>
      </c>
      <c r="C21" s="2"/>
      <c r="D21" s="1"/>
      <c r="E21" s="3"/>
      <c r="F21" s="1"/>
      <c r="G21" s="141">
        <f>IF(Basic3[[#This Row],[نوع الخدمة]]="مخالفات", 50,
IF(Basic3[[#This Row],[نوع الخدمة]]="كاش ان",
    IF(F21&lt;=100, 18, IF(F21&lt;=250, 23, IF(F21&lt;=500, 35, IF(F21&lt;=1000, 40, F21*0.04)))),
IF(Basic3[[#This Row],[نوع الخدمة]]="كاش اوت",
    IF(F21&lt;=100, 15, IF(F21&lt;=250, 20, IF(F21&lt;=500, 30, IF(F21&lt;=1000, 35, F21*0.035)))),
0)))</f>
        <v>0</v>
      </c>
      <c r="H21" s="159">
        <f>IF(I21="مخالفات",50,Basic3[[#This Row],[قيمة الرسوم / العموله]]+Basic3[[#This Row],[قيمة الشحنه]])</f>
        <v>0</v>
      </c>
      <c r="I21" s="90"/>
      <c r="J21" s="142" t="str">
        <f t="shared" si="0"/>
        <v>30.5.2026</v>
      </c>
      <c r="L21" s="153">
        <v>10</v>
      </c>
      <c r="M21" s="92"/>
      <c r="O21" s="196" t="s">
        <v>31</v>
      </c>
      <c r="P21" s="197"/>
    </row>
    <row r="22" spans="1:21" ht="21.6" x14ac:dyDescent="0.65">
      <c r="A22" s="195"/>
      <c r="B22" s="140">
        <v>19</v>
      </c>
      <c r="C22" s="2"/>
      <c r="D22" s="1"/>
      <c r="E22" s="3"/>
      <c r="F22" s="1"/>
      <c r="G22" s="141">
        <f>IF(Basic3[[#This Row],[نوع الخدمة]]="مخالفات", 50,
IF(Basic3[[#This Row],[نوع الخدمة]]="كاش ان",
    IF(F22&lt;=100, 18, IF(F22&lt;=250, 23, IF(F22&lt;=500, 35, IF(F22&lt;=1000, 40, F22*0.04)))),
IF(Basic3[[#This Row],[نوع الخدمة]]="كاش اوت",
    IF(F22&lt;=100, 15, IF(F22&lt;=250, 20, IF(F22&lt;=500, 30, IF(F22&lt;=1000, 35, F22*0.035)))),
0)))</f>
        <v>0</v>
      </c>
      <c r="H22" s="159">
        <f>IF(I22="مخالفات",50,Basic3[[#This Row],[قيمة الرسوم / العموله]]+Basic3[[#This Row],[قيمة الشحنه]])</f>
        <v>0</v>
      </c>
      <c r="I22" s="90"/>
      <c r="J22" s="142" t="str">
        <f t="shared" si="0"/>
        <v>30.5.2026</v>
      </c>
      <c r="L22" s="153">
        <v>11</v>
      </c>
      <c r="M22" s="92"/>
      <c r="O22" s="147" t="s">
        <v>27</v>
      </c>
      <c r="P22" s="135">
        <f>M8+'29'!P28</f>
        <v>-4</v>
      </c>
    </row>
    <row r="23" spans="1:21" ht="21.6" x14ac:dyDescent="0.65">
      <c r="A23" s="195"/>
      <c r="B23" s="140">
        <v>20</v>
      </c>
      <c r="C23" s="2"/>
      <c r="D23" s="1"/>
      <c r="E23" s="3"/>
      <c r="F23" s="1"/>
      <c r="G23" s="141">
        <f>IF(Basic3[[#This Row],[نوع الخدمة]]="مخالفات", 50,
IF(Basic3[[#This Row],[نوع الخدمة]]="كاش ان",
    IF(F23&lt;=100, 18, IF(F23&lt;=250, 23, IF(F23&lt;=500, 35, IF(F23&lt;=1000, 40, F23*0.04)))),
IF(Basic3[[#This Row],[نوع الخدمة]]="كاش اوت",
    IF(F23&lt;=100, 15, IF(F23&lt;=250, 20, IF(F23&lt;=500, 30, IF(F23&lt;=1000, 35, F23*0.035)))),
0)))</f>
        <v>0</v>
      </c>
      <c r="H23" s="159">
        <f>IF(I23="مخالفات",50,Basic3[[#This Row],[قيمة الرسوم / العموله]]+Basic3[[#This Row],[قيمة الشحنه]])</f>
        <v>0</v>
      </c>
      <c r="I23" s="90"/>
      <c r="J23" s="142" t="str">
        <f t="shared" si="0"/>
        <v>30.5.2026</v>
      </c>
      <c r="L23" s="153">
        <v>12</v>
      </c>
      <c r="M23" s="92"/>
      <c r="O23" s="147" t="s">
        <v>28</v>
      </c>
      <c r="P23" s="135">
        <f>M9+'29'!P29</f>
        <v>0</v>
      </c>
      <c r="T23" s="139"/>
      <c r="U23" s="139"/>
    </row>
    <row r="24" spans="1:21" ht="21.6" x14ac:dyDescent="0.65">
      <c r="A24" s="195"/>
      <c r="B24" s="140">
        <v>21</v>
      </c>
      <c r="C24" s="2"/>
      <c r="D24" s="1"/>
      <c r="E24" s="3"/>
      <c r="F24" s="1"/>
      <c r="G24" s="141">
        <f>IF(Basic3[[#This Row],[نوع الخدمة]]="مخالفات", 50,
IF(Basic3[[#This Row],[نوع الخدمة]]="كاش ان",
    IF(F24&lt;=100, 18, IF(F24&lt;=250, 23, IF(F24&lt;=500, 35, IF(F24&lt;=1000, 40, F24*0.04)))),
IF(Basic3[[#This Row],[نوع الخدمة]]="كاش اوت",
    IF(F24&lt;=100, 15, IF(F24&lt;=250, 20, IF(F24&lt;=500, 30, IF(F24&lt;=1000, 35, F24*0.035)))),
0)))</f>
        <v>0</v>
      </c>
      <c r="H24" s="159">
        <f>IF(I24="مخالفات",50,Basic3[[#This Row],[قيمة الرسوم / العموله]]+Basic3[[#This Row],[قيمة الشحنه]])</f>
        <v>0</v>
      </c>
      <c r="I24" s="90"/>
      <c r="J24" s="142" t="str">
        <f t="shared" si="0"/>
        <v>30.5.2026</v>
      </c>
      <c r="L24" s="153">
        <v>13</v>
      </c>
      <c r="M24" s="92"/>
      <c r="O24" s="196" t="s">
        <v>32</v>
      </c>
      <c r="P24" s="197"/>
    </row>
    <row r="25" spans="1:21" ht="21.6" x14ac:dyDescent="0.65">
      <c r="A25" s="195"/>
      <c r="B25" s="144">
        <v>22</v>
      </c>
      <c r="C25" s="2"/>
      <c r="D25" s="1"/>
      <c r="E25" s="3"/>
      <c r="F25" s="1"/>
      <c r="G25" s="141">
        <f>IF(Basic3[[#This Row],[نوع الخدمة]]="مخالفات", 50,
IF(Basic3[[#This Row],[نوع الخدمة]]="كاش ان",
    IF(F25&lt;=100, 18, IF(F25&lt;=250, 23, IF(F25&lt;=500, 35, IF(F25&lt;=1000, 40, F25*0.04)))),
IF(Basic3[[#This Row],[نوع الخدمة]]="كاش اوت",
    IF(F25&lt;=100, 15, IF(F25&lt;=250, 20, IF(F25&lt;=500, 30, IF(F25&lt;=1000, 35, F25*0.035)))),
0)))</f>
        <v>0</v>
      </c>
      <c r="H25" s="159">
        <f>IF(I25="مخالفات",50,Basic3[[#This Row],[قيمة الرسوم / العموله]]+Basic3[[#This Row],[قيمة الشحنه]])</f>
        <v>0</v>
      </c>
      <c r="I25" s="90"/>
      <c r="J25" s="142" t="str">
        <f t="shared" si="0"/>
        <v>30.5.2026</v>
      </c>
      <c r="L25" s="153">
        <v>14</v>
      </c>
      <c r="M25" s="92"/>
      <c r="O25" s="147" t="s">
        <v>27</v>
      </c>
      <c r="P25" s="135">
        <f>M5</f>
        <v>0</v>
      </c>
    </row>
    <row r="26" spans="1:21" ht="21.6" x14ac:dyDescent="0.65">
      <c r="A26" s="195"/>
      <c r="B26" s="140">
        <v>23</v>
      </c>
      <c r="C26" s="2"/>
      <c r="D26" s="1"/>
      <c r="E26" s="3"/>
      <c r="F26" s="1"/>
      <c r="G26" s="141">
        <f>IF(Basic3[[#This Row],[نوع الخدمة]]="مخالفات", 50,
IF(Basic3[[#This Row],[نوع الخدمة]]="كاش ان",
    IF(F26&lt;=100, 18, IF(F26&lt;=250, 23, IF(F26&lt;=500, 35, IF(F26&lt;=1000, 40, F26*0.04)))),
IF(Basic3[[#This Row],[نوع الخدمة]]="كاش اوت",
    IF(F26&lt;=100, 15, IF(F26&lt;=250, 20, IF(F26&lt;=500, 30, IF(F26&lt;=1000, 35, F26*0.035)))),
0)))</f>
        <v>0</v>
      </c>
      <c r="H26" s="159">
        <f>IF(I26="مخالفات",50,Basic3[[#This Row],[قيمة الرسوم / العموله]]+Basic3[[#This Row],[قيمة الشحنه]])</f>
        <v>0</v>
      </c>
      <c r="I26" s="90"/>
      <c r="J26" s="142" t="str">
        <f t="shared" si="0"/>
        <v>30.5.2026</v>
      </c>
      <c r="L26" s="153">
        <v>15</v>
      </c>
      <c r="M26" s="92"/>
      <c r="O26" s="147" t="s">
        <v>28</v>
      </c>
      <c r="P26" s="135">
        <f>M6</f>
        <v>0</v>
      </c>
    </row>
    <row r="27" spans="1:21" ht="21.6" x14ac:dyDescent="0.65">
      <c r="A27" s="195"/>
      <c r="B27" s="140">
        <v>24</v>
      </c>
      <c r="C27" s="2"/>
      <c r="D27" s="1"/>
      <c r="E27" s="3"/>
      <c r="F27" s="1"/>
      <c r="G27" s="141">
        <f>IF(Basic3[[#This Row],[نوع الخدمة]]="مخالفات", 50,
IF(Basic3[[#This Row],[نوع الخدمة]]="كاش ان",
    IF(F27&lt;=100, 18, IF(F27&lt;=250, 23, IF(F27&lt;=500, 35, IF(F27&lt;=1000, 40, F27*0.04)))),
IF(Basic3[[#This Row],[نوع الخدمة]]="كاش اوت",
    IF(F27&lt;=100, 15, IF(F27&lt;=250, 20, IF(F27&lt;=500, 30, IF(F27&lt;=1000, 35, F27*0.035)))),
0)))</f>
        <v>0</v>
      </c>
      <c r="H27" s="159">
        <f>IF(I27="مخالفات",50,Basic3[[#This Row],[قيمة الرسوم / العموله]]+Basic3[[#This Row],[قيمة الشحنه]])</f>
        <v>0</v>
      </c>
      <c r="I27" s="90"/>
      <c r="J27" s="142" t="str">
        <f t="shared" si="0"/>
        <v>30.5.2026</v>
      </c>
      <c r="L27" s="153">
        <v>16</v>
      </c>
      <c r="M27" s="92"/>
      <c r="O27" s="196" t="s">
        <v>33</v>
      </c>
      <c r="P27" s="197"/>
    </row>
    <row r="28" spans="1:21" ht="21.6" x14ac:dyDescent="0.65">
      <c r="A28" s="195"/>
      <c r="B28" s="140">
        <v>25</v>
      </c>
      <c r="C28" s="2"/>
      <c r="D28" s="1"/>
      <c r="E28" s="3"/>
      <c r="F28" s="1"/>
      <c r="G28" s="141">
        <f>IF(Basic3[[#This Row],[نوع الخدمة]]="مخالفات", 50,
IF(Basic3[[#This Row],[نوع الخدمة]]="كاش ان",
    IF(F28&lt;=100, 18, IF(F28&lt;=250, 23, IF(F28&lt;=500, 35, IF(F28&lt;=1000, 40, F28*0.04)))),
IF(Basic3[[#This Row],[نوع الخدمة]]="كاش اوت",
    IF(F28&lt;=100, 15, IF(F28&lt;=250, 20, IF(F28&lt;=500, 30, IF(F28&lt;=1000, 35, F28*0.035)))),
0)))</f>
        <v>0</v>
      </c>
      <c r="H28" s="159">
        <f>IF(I28="مخالفات",50,Basic3[[#This Row],[قيمة الرسوم / العموله]]+Basic3[[#This Row],[قيمة الشحنه]])</f>
        <v>0</v>
      </c>
      <c r="I28" s="90"/>
      <c r="J28" s="142" t="str">
        <f t="shared" si="0"/>
        <v>30.5.2026</v>
      </c>
      <c r="L28" s="153">
        <v>17</v>
      </c>
      <c r="M28" s="92"/>
      <c r="O28" s="147" t="s">
        <v>27</v>
      </c>
      <c r="P28" s="135">
        <f>P22-P25</f>
        <v>-4</v>
      </c>
    </row>
    <row r="29" spans="1:21" ht="21.6" x14ac:dyDescent="0.65">
      <c r="A29" s="195"/>
      <c r="B29" s="144">
        <v>26</v>
      </c>
      <c r="C29" s="2"/>
      <c r="D29" s="1"/>
      <c r="E29" s="3"/>
      <c r="F29" s="1"/>
      <c r="G29" s="141">
        <f>IF(Basic3[[#This Row],[نوع الخدمة]]="مخالفات", 50,
IF(Basic3[[#This Row],[نوع الخدمة]]="كاش ان",
    IF(F29&lt;=100, 18, IF(F29&lt;=250, 23, IF(F29&lt;=500, 35, IF(F29&lt;=1000, 40, F29*0.04)))),
IF(Basic3[[#This Row],[نوع الخدمة]]="كاش اوت",
    IF(F29&lt;=100, 15, IF(F29&lt;=250, 20, IF(F29&lt;=500, 30, IF(F29&lt;=1000, 35, F29*0.035)))),
0)))</f>
        <v>0</v>
      </c>
      <c r="H29" s="159">
        <f>IF(I29="مخالفات",50,Basic3[[#This Row],[قيمة الرسوم / العموله]]+Basic3[[#This Row],[قيمة الشحنه]])</f>
        <v>0</v>
      </c>
      <c r="I29" s="90"/>
      <c r="J29" s="142" t="str">
        <f t="shared" si="0"/>
        <v>30.5.2026</v>
      </c>
      <c r="L29" s="153">
        <v>18</v>
      </c>
      <c r="M29" s="92"/>
      <c r="O29" s="147" t="s">
        <v>28</v>
      </c>
      <c r="P29" s="135">
        <f>P23-P26</f>
        <v>0</v>
      </c>
    </row>
    <row r="30" spans="1:21" ht="21.6" x14ac:dyDescent="0.65">
      <c r="A30" s="195"/>
      <c r="B30" s="140">
        <v>27</v>
      </c>
      <c r="C30" s="2"/>
      <c r="D30" s="1"/>
      <c r="E30" s="3"/>
      <c r="F30" s="1"/>
      <c r="G30" s="141">
        <f>IF(Basic3[[#This Row],[نوع الخدمة]]="مخالفات", 50,
IF(Basic3[[#This Row],[نوع الخدمة]]="كاش ان",
    IF(F30&lt;=100, 18, IF(F30&lt;=250, 23, IF(F30&lt;=500, 35, IF(F30&lt;=1000, 40, F30*0.04)))),
IF(Basic3[[#This Row],[نوع الخدمة]]="كاش اوت",
    IF(F30&lt;=100, 15, IF(F30&lt;=250, 20, IF(F30&lt;=500, 30, IF(F30&lt;=1000, 35, F30*0.035)))),
0)))</f>
        <v>0</v>
      </c>
      <c r="H30" s="159">
        <f>IF(I30="مخالفات",50,Basic3[[#This Row],[قيمة الرسوم / العموله]]+Basic3[[#This Row],[قيمة الشحنه]])</f>
        <v>0</v>
      </c>
      <c r="I30" s="90"/>
      <c r="J30" s="142" t="str">
        <f t="shared" si="0"/>
        <v>30.5.2026</v>
      </c>
      <c r="L30" s="153">
        <v>19</v>
      </c>
      <c r="M30" s="92"/>
    </row>
    <row r="31" spans="1:21" ht="21.6" x14ac:dyDescent="0.65">
      <c r="A31" s="195"/>
      <c r="B31" s="140">
        <v>28</v>
      </c>
      <c r="C31" s="2"/>
      <c r="D31" s="1"/>
      <c r="E31" s="3"/>
      <c r="F31" s="1"/>
      <c r="G31" s="141">
        <f>IF(Basic3[[#This Row],[نوع الخدمة]]="مخالفات", 50,
IF(Basic3[[#This Row],[نوع الخدمة]]="كاش ان",
    IF(F31&lt;=100, 18, IF(F31&lt;=250, 23, IF(F31&lt;=500, 35, IF(F31&lt;=1000, 40, F31*0.04)))),
IF(Basic3[[#This Row],[نوع الخدمة]]="كاش اوت",
    IF(F31&lt;=100, 15, IF(F31&lt;=250, 20, IF(F31&lt;=500, 30, IF(F31&lt;=1000, 35, F31*0.035)))),
0)))</f>
        <v>0</v>
      </c>
      <c r="H31" s="159">
        <f>IF(I31="مخالفات",50,Basic3[[#This Row],[قيمة الرسوم / العموله]]+Basic3[[#This Row],[قيمة الشحنه]])</f>
        <v>0</v>
      </c>
      <c r="I31" s="90"/>
      <c r="J31" s="142" t="str">
        <f t="shared" si="0"/>
        <v>30.5.2026</v>
      </c>
      <c r="L31" s="153">
        <v>20</v>
      </c>
      <c r="M31" s="92"/>
    </row>
    <row r="32" spans="1:21" ht="21.6" x14ac:dyDescent="0.65">
      <c r="A32" s="195"/>
      <c r="B32" s="140">
        <v>29</v>
      </c>
      <c r="C32" s="2"/>
      <c r="D32" s="1"/>
      <c r="E32" s="3"/>
      <c r="F32" s="1"/>
      <c r="G32" s="141">
        <f>IF(Basic3[[#This Row],[نوع الخدمة]]="مخالفات", 50,
IF(Basic3[[#This Row],[نوع الخدمة]]="كاش ان",
    IF(F32&lt;=100, 18, IF(F32&lt;=250, 23, IF(F32&lt;=500, 35, IF(F32&lt;=1000, 40, F32*0.04)))),
IF(Basic3[[#This Row],[نوع الخدمة]]="كاش اوت",
    IF(F32&lt;=100, 15, IF(F32&lt;=250, 20, IF(F32&lt;=500, 30, IF(F32&lt;=1000, 35, F32*0.035)))),
0)))</f>
        <v>0</v>
      </c>
      <c r="H32" s="159">
        <f>IF(I32="مخالفات",50,Basic3[[#This Row],[قيمة الرسوم / العموله]]+Basic3[[#This Row],[قيمة الشحنه]])</f>
        <v>0</v>
      </c>
      <c r="I32" s="90"/>
      <c r="J32" s="142" t="str">
        <f t="shared" si="0"/>
        <v>30.5.2026</v>
      </c>
      <c r="L32" s="153">
        <v>21</v>
      </c>
      <c r="M32" s="92"/>
    </row>
    <row r="33" spans="1:13" ht="21.6" x14ac:dyDescent="0.65">
      <c r="A33" s="195"/>
      <c r="B33" s="144">
        <v>30</v>
      </c>
      <c r="C33" s="2"/>
      <c r="D33" s="1"/>
      <c r="E33" s="3"/>
      <c r="F33" s="1"/>
      <c r="G33" s="141">
        <f>IF(Basic3[[#This Row],[نوع الخدمة]]="مخالفات", 50,
IF(Basic3[[#This Row],[نوع الخدمة]]="كاش ان",
    IF(F33&lt;=100, 18, IF(F33&lt;=250, 23, IF(F33&lt;=500, 35, IF(F33&lt;=1000, 40, F33*0.04)))),
IF(Basic3[[#This Row],[نوع الخدمة]]="كاش اوت",
    IF(F33&lt;=100, 15, IF(F33&lt;=250, 20, IF(F33&lt;=500, 30, IF(F33&lt;=1000, 35, F33*0.035)))),
0)))</f>
        <v>0</v>
      </c>
      <c r="H33" s="159">
        <f>IF(I33="مخالفات",50,Basic3[[#This Row],[قيمة الرسوم / العموله]]+Basic3[[#This Row],[قيمة الشحنه]])</f>
        <v>0</v>
      </c>
      <c r="I33" s="90"/>
      <c r="J33" s="142" t="str">
        <f t="shared" si="0"/>
        <v>30.5.2026</v>
      </c>
      <c r="L33" s="153">
        <v>22</v>
      </c>
      <c r="M33" s="92"/>
    </row>
    <row r="34" spans="1:13" ht="21.6" x14ac:dyDescent="0.65">
      <c r="A34" s="195"/>
      <c r="B34" s="140">
        <v>31</v>
      </c>
      <c r="C34" s="2"/>
      <c r="D34" s="1"/>
      <c r="E34" s="3"/>
      <c r="F34" s="1"/>
      <c r="G34" s="141">
        <f>IF(Basic3[[#This Row],[نوع الخدمة]]="مخالفات", 50,
IF(Basic3[[#This Row],[نوع الخدمة]]="كاش ان",
    IF(F34&lt;=100, 18, IF(F34&lt;=250, 23, IF(F34&lt;=500, 35, IF(F34&lt;=1000, 40, F34*0.04)))),
IF(Basic3[[#This Row],[نوع الخدمة]]="كاش اوت",
    IF(F34&lt;=100, 15, IF(F34&lt;=250, 20, IF(F34&lt;=500, 30, IF(F34&lt;=1000, 35, F34*0.035)))),
0)))</f>
        <v>0</v>
      </c>
      <c r="H34" s="159">
        <f>IF(I34="مخالفات",50,Basic3[[#This Row],[قيمة الرسوم / العموله]]+Basic3[[#This Row],[قيمة الشحنه]])</f>
        <v>0</v>
      </c>
      <c r="I34" s="90"/>
      <c r="J34" s="142" t="str">
        <f t="shared" si="0"/>
        <v>30.5.2026</v>
      </c>
      <c r="L34" s="153">
        <v>23</v>
      </c>
      <c r="M34" s="92"/>
    </row>
    <row r="35" spans="1:13" ht="21.6" x14ac:dyDescent="0.65">
      <c r="A35" s="195"/>
      <c r="B35" s="140">
        <v>32</v>
      </c>
      <c r="C35" s="2"/>
      <c r="D35" s="1"/>
      <c r="E35" s="3"/>
      <c r="F35" s="1"/>
      <c r="G35" s="141">
        <f>IF(Basic3[[#This Row],[نوع الخدمة]]="مخالفات", 50,
IF(Basic3[[#This Row],[نوع الخدمة]]="كاش ان",
    IF(F35&lt;=100, 18, IF(F35&lt;=250, 23, IF(F35&lt;=500, 35, IF(F35&lt;=1000, 40, F35*0.04)))),
IF(Basic3[[#This Row],[نوع الخدمة]]="كاش اوت",
    IF(F35&lt;=100, 15, IF(F35&lt;=250, 20, IF(F35&lt;=500, 30, IF(F35&lt;=1000, 35, F35*0.035)))),
0)))</f>
        <v>0</v>
      </c>
      <c r="H35" s="159">
        <f>IF(I35="مخالفات",50,Basic3[[#This Row],[قيمة الرسوم / العموله]]+Basic3[[#This Row],[قيمة الشحنه]])</f>
        <v>0</v>
      </c>
      <c r="I35" s="90"/>
      <c r="J35" s="142" t="str">
        <f t="shared" si="0"/>
        <v>30.5.2026</v>
      </c>
      <c r="L35" s="153">
        <v>24</v>
      </c>
      <c r="M35" s="92"/>
    </row>
    <row r="36" spans="1:13" ht="21.6" x14ac:dyDescent="0.65">
      <c r="A36" s="195"/>
      <c r="B36" s="140">
        <v>33</v>
      </c>
      <c r="C36" s="2"/>
      <c r="D36" s="1"/>
      <c r="E36" s="3"/>
      <c r="F36" s="1"/>
      <c r="G36" s="141">
        <f>IF(Basic3[[#This Row],[نوع الخدمة]]="مخالفات", 50,
IF(Basic3[[#This Row],[نوع الخدمة]]="كاش ان",
    IF(F36&lt;=100, 18, IF(F36&lt;=250, 23, IF(F36&lt;=500, 35, IF(F36&lt;=1000, 40, F36*0.04)))),
IF(Basic3[[#This Row],[نوع الخدمة]]="كاش اوت",
    IF(F36&lt;=100, 15, IF(F36&lt;=250, 20, IF(F36&lt;=500, 30, IF(F36&lt;=1000, 35, F36*0.035)))),
0)))</f>
        <v>0</v>
      </c>
      <c r="H36" s="159">
        <f>IF(I36="مخالفات",50,Basic3[[#This Row],[قيمة الرسوم / العموله]]+Basic3[[#This Row],[قيمة الشحنه]])</f>
        <v>0</v>
      </c>
      <c r="I36" s="90"/>
      <c r="J36" s="142" t="str">
        <f t="shared" si="0"/>
        <v>30.5.2026</v>
      </c>
      <c r="L36" s="153">
        <v>25</v>
      </c>
      <c r="M36" s="92"/>
    </row>
    <row r="37" spans="1:13" ht="21.6" x14ac:dyDescent="0.65">
      <c r="A37" s="195"/>
      <c r="B37" s="144">
        <v>34</v>
      </c>
      <c r="C37" s="2"/>
      <c r="D37" s="1"/>
      <c r="E37" s="3"/>
      <c r="F37" s="1"/>
      <c r="G37" s="141">
        <f>IF(Basic3[[#This Row],[نوع الخدمة]]="مخالفات", 50,
IF(Basic3[[#This Row],[نوع الخدمة]]="كاش ان",
    IF(F37&lt;=100, 18, IF(F37&lt;=250, 23, IF(F37&lt;=500, 35, IF(F37&lt;=1000, 40, F37*0.04)))),
IF(Basic3[[#This Row],[نوع الخدمة]]="كاش اوت",
    IF(F37&lt;=100, 15, IF(F37&lt;=250, 20, IF(F37&lt;=500, 30, IF(F37&lt;=1000, 35, F37*0.035)))),
0)))</f>
        <v>0</v>
      </c>
      <c r="H37" s="159">
        <f>IF(I37="مخالفات",50,Basic3[[#This Row],[قيمة الرسوم / العموله]]+Basic3[[#This Row],[قيمة الشحنه]])</f>
        <v>0</v>
      </c>
      <c r="I37" s="90"/>
      <c r="J37" s="142" t="str">
        <f t="shared" si="0"/>
        <v>30.5.2026</v>
      </c>
      <c r="L37" s="153">
        <v>26</v>
      </c>
      <c r="M37" s="92"/>
    </row>
    <row r="38" spans="1:13" ht="21.6" x14ac:dyDescent="0.65">
      <c r="A38" s="195"/>
      <c r="B38" s="140">
        <v>35</v>
      </c>
      <c r="C38" s="2"/>
      <c r="D38" s="1"/>
      <c r="E38" s="3"/>
      <c r="F38" s="1"/>
      <c r="G38" s="141">
        <f>IF(Basic3[[#This Row],[نوع الخدمة]]="مخالفات", 50,
IF(Basic3[[#This Row],[نوع الخدمة]]="كاش ان",
    IF(F38&lt;=100, 18, IF(F38&lt;=250, 23, IF(F38&lt;=500, 35, IF(F38&lt;=1000, 40, F38*0.04)))),
IF(Basic3[[#This Row],[نوع الخدمة]]="كاش اوت",
    IF(F38&lt;=100, 15, IF(F38&lt;=250, 20, IF(F38&lt;=500, 30, IF(F38&lt;=1000, 35, F38*0.035)))),
0)))</f>
        <v>0</v>
      </c>
      <c r="H38" s="159">
        <f>IF(I38="مخالفات",50,Basic3[[#This Row],[قيمة الرسوم / العموله]]+Basic3[[#This Row],[قيمة الشحنه]])</f>
        <v>0</v>
      </c>
      <c r="I38" s="90"/>
      <c r="J38" s="142" t="str">
        <f t="shared" si="0"/>
        <v>30.5.2026</v>
      </c>
      <c r="L38" s="153">
        <v>27</v>
      </c>
      <c r="M38" s="92"/>
    </row>
    <row r="39" spans="1:13" ht="21.6" x14ac:dyDescent="0.65">
      <c r="A39" s="195"/>
      <c r="B39" s="140">
        <v>36</v>
      </c>
      <c r="C39" s="2"/>
      <c r="D39" s="1"/>
      <c r="E39" s="3"/>
      <c r="F39" s="1"/>
      <c r="G39" s="141">
        <f>IF(Basic3[[#This Row],[نوع الخدمة]]="مخالفات", 50,
IF(Basic3[[#This Row],[نوع الخدمة]]="كاش ان",
    IF(F39&lt;=100, 18, IF(F39&lt;=250, 23, IF(F39&lt;=500, 35, IF(F39&lt;=1000, 40, F39*0.04)))),
IF(Basic3[[#This Row],[نوع الخدمة]]="كاش اوت",
    IF(F39&lt;=100, 15, IF(F39&lt;=250, 20, IF(F39&lt;=500, 30, IF(F39&lt;=1000, 35, F39*0.035)))),
0)))</f>
        <v>0</v>
      </c>
      <c r="H39" s="159">
        <f>IF(I39="مخالفات",50,Basic3[[#This Row],[قيمة الرسوم / العموله]]+Basic3[[#This Row],[قيمة الشحنه]])</f>
        <v>0</v>
      </c>
      <c r="I39" s="90"/>
      <c r="J39" s="142" t="str">
        <f t="shared" si="0"/>
        <v>30.5.2026</v>
      </c>
      <c r="L39" s="153">
        <v>28</v>
      </c>
      <c r="M39" s="92"/>
    </row>
    <row r="40" spans="1:13" ht="21.6" x14ac:dyDescent="0.65">
      <c r="A40" s="195"/>
      <c r="B40" s="140">
        <v>37</v>
      </c>
      <c r="C40" s="2"/>
      <c r="D40" s="1"/>
      <c r="E40" s="3"/>
      <c r="F40" s="1"/>
      <c r="G40" s="141">
        <f>IF(Basic3[[#This Row],[نوع الخدمة]]="مخالفات", 50,
IF(Basic3[[#This Row],[نوع الخدمة]]="كاش ان",
    IF(F40&lt;=100, 18, IF(F40&lt;=250, 23, IF(F40&lt;=500, 35, IF(F40&lt;=1000, 40, F40*0.04)))),
IF(Basic3[[#This Row],[نوع الخدمة]]="كاش اوت",
    IF(F40&lt;=100, 15, IF(F40&lt;=250, 20, IF(F40&lt;=500, 30, IF(F40&lt;=1000, 35, F40*0.035)))),
0)))</f>
        <v>0</v>
      </c>
      <c r="H40" s="159">
        <f>IF(I40="مخالفات",50,Basic3[[#This Row],[قيمة الرسوم / العموله]]+Basic3[[#This Row],[قيمة الشحنه]])</f>
        <v>0</v>
      </c>
      <c r="I40" s="90"/>
      <c r="J40" s="142" t="str">
        <f t="shared" si="0"/>
        <v>30.5.2026</v>
      </c>
      <c r="L40" s="153">
        <v>29</v>
      </c>
      <c r="M40" s="92"/>
    </row>
    <row r="41" spans="1:13" ht="21.6" x14ac:dyDescent="0.65">
      <c r="A41" s="195"/>
      <c r="B41" s="144">
        <v>38</v>
      </c>
      <c r="C41" s="2"/>
      <c r="D41" s="1"/>
      <c r="E41" s="3"/>
      <c r="F41" s="1"/>
      <c r="G41" s="141">
        <f>IF(Basic3[[#This Row],[نوع الخدمة]]="مخالفات", 50,
IF(Basic3[[#This Row],[نوع الخدمة]]="كاش ان",
    IF(F41&lt;=100, 18, IF(F41&lt;=250, 23, IF(F41&lt;=500, 35, IF(F41&lt;=1000, 40, F41*0.04)))),
IF(Basic3[[#This Row],[نوع الخدمة]]="كاش اوت",
    IF(F41&lt;=100, 15, IF(F41&lt;=250, 20, IF(F41&lt;=500, 30, IF(F41&lt;=1000, 35, F41*0.035)))),
0)))</f>
        <v>0</v>
      </c>
      <c r="H41" s="159">
        <f>IF(I41="مخالفات",50,Basic3[[#This Row],[قيمة الرسوم / العموله]]+Basic3[[#This Row],[قيمة الشحنه]])</f>
        <v>0</v>
      </c>
      <c r="I41" s="90"/>
      <c r="J41" s="142" t="str">
        <f t="shared" si="0"/>
        <v>30.5.2026</v>
      </c>
      <c r="L41" s="153">
        <v>30</v>
      </c>
      <c r="M41" s="92"/>
    </row>
    <row r="42" spans="1:13" ht="21.6" x14ac:dyDescent="0.65">
      <c r="A42" s="195"/>
      <c r="B42" s="140">
        <v>39</v>
      </c>
      <c r="C42" s="2"/>
      <c r="D42" s="1"/>
      <c r="E42" s="3"/>
      <c r="F42" s="1"/>
      <c r="G42" s="141">
        <f>IF(Basic3[[#This Row],[نوع الخدمة]]="مخالفات", 50,
IF(Basic3[[#This Row],[نوع الخدمة]]="كاش ان",
    IF(F42&lt;=100, 18, IF(F42&lt;=250, 23, IF(F42&lt;=500, 35, IF(F42&lt;=1000, 40, F42*0.04)))),
IF(Basic3[[#This Row],[نوع الخدمة]]="كاش اوت",
    IF(F42&lt;=100, 15, IF(F42&lt;=250, 20, IF(F42&lt;=500, 30, IF(F42&lt;=1000, 35, F42*0.035)))),
0)))</f>
        <v>0</v>
      </c>
      <c r="H42" s="159">
        <f>IF(I42="مخالفات",50,Basic3[[#This Row],[قيمة الرسوم / العموله]]+Basic3[[#This Row],[قيمة الشحنه]])</f>
        <v>0</v>
      </c>
      <c r="I42" s="90"/>
      <c r="J42" s="142" t="str">
        <f t="shared" si="0"/>
        <v>30.5.2026</v>
      </c>
      <c r="L42" s="153">
        <v>31</v>
      </c>
      <c r="M42" s="92"/>
    </row>
    <row r="43" spans="1:13" ht="21.6" x14ac:dyDescent="0.65">
      <c r="A43" s="195"/>
      <c r="B43" s="140">
        <v>40</v>
      </c>
      <c r="C43" s="2"/>
      <c r="D43" s="1"/>
      <c r="E43" s="3"/>
      <c r="F43" s="1"/>
      <c r="G43" s="141">
        <f>IF(Basic3[[#This Row],[نوع الخدمة]]="مخالفات", 50,
IF(Basic3[[#This Row],[نوع الخدمة]]="كاش ان",
    IF(F43&lt;=100, 18, IF(F43&lt;=250, 23, IF(F43&lt;=500, 35, IF(F43&lt;=1000, 40, F43*0.04)))),
IF(Basic3[[#This Row],[نوع الخدمة]]="كاش اوت",
    IF(F43&lt;=100, 15, IF(F43&lt;=250, 20, IF(F43&lt;=500, 30, IF(F43&lt;=1000, 35, F43*0.035)))),
0)))</f>
        <v>0</v>
      </c>
      <c r="H43" s="159">
        <f>IF(I43="مخالفات",50,Basic3[[#This Row],[قيمة الرسوم / العموله]]+Basic3[[#This Row],[قيمة الشحنه]])</f>
        <v>0</v>
      </c>
      <c r="I43" s="90"/>
      <c r="J43" s="142" t="str">
        <f t="shared" si="0"/>
        <v>30.5.2026</v>
      </c>
      <c r="L43" s="153">
        <v>32</v>
      </c>
      <c r="M43" s="92"/>
    </row>
    <row r="44" spans="1:13" ht="21.6" x14ac:dyDescent="0.65">
      <c r="A44" s="195"/>
      <c r="B44" s="140">
        <v>41</v>
      </c>
      <c r="C44" s="2"/>
      <c r="D44" s="1"/>
      <c r="E44" s="3"/>
      <c r="F44" s="1"/>
      <c r="G44" s="141">
        <f>IF(Basic3[[#This Row],[نوع الخدمة]]="مخالفات", 50,
IF(Basic3[[#This Row],[نوع الخدمة]]="كاش ان",
    IF(F44&lt;=100, 18, IF(F44&lt;=250, 23, IF(F44&lt;=500, 35, IF(F44&lt;=1000, 40, F44*0.04)))),
IF(Basic3[[#This Row],[نوع الخدمة]]="كاش اوت",
    IF(F44&lt;=100, 15, IF(F44&lt;=250, 20, IF(F44&lt;=500, 30, IF(F44&lt;=1000, 35, F44*0.035)))),
0)))</f>
        <v>0</v>
      </c>
      <c r="H44" s="159">
        <f>IF(I44="مخالفات",50,Basic3[[#This Row],[قيمة الرسوم / العموله]]+Basic3[[#This Row],[قيمة الشحنه]])</f>
        <v>0</v>
      </c>
      <c r="I44" s="90"/>
      <c r="J44" s="142" t="str">
        <f t="shared" si="0"/>
        <v>30.5.2026</v>
      </c>
      <c r="L44" s="153">
        <v>33</v>
      </c>
      <c r="M44" s="92"/>
    </row>
    <row r="45" spans="1:13" ht="21.6" x14ac:dyDescent="0.65">
      <c r="A45" s="195"/>
      <c r="B45" s="144">
        <v>42</v>
      </c>
      <c r="C45" s="2"/>
      <c r="D45" s="1"/>
      <c r="E45" s="3"/>
      <c r="F45" s="1"/>
      <c r="G45" s="141">
        <f>IF(Basic3[[#This Row],[نوع الخدمة]]="مخالفات", 50,
IF(Basic3[[#This Row],[نوع الخدمة]]="كاش ان",
    IF(F45&lt;=100, 18, IF(F45&lt;=250, 23, IF(F45&lt;=500, 35, IF(F45&lt;=1000, 40, F45*0.04)))),
IF(Basic3[[#This Row],[نوع الخدمة]]="كاش اوت",
    IF(F45&lt;=100, 15, IF(F45&lt;=250, 20, IF(F45&lt;=500, 30, IF(F45&lt;=1000, 35, F45*0.035)))),
0)))</f>
        <v>0</v>
      </c>
      <c r="H45" s="159">
        <f>IF(I45="مخالفات",50,Basic3[[#This Row],[قيمة الرسوم / العموله]]+Basic3[[#This Row],[قيمة الشحنه]])</f>
        <v>0</v>
      </c>
      <c r="I45" s="90"/>
      <c r="J45" s="142" t="str">
        <f t="shared" si="0"/>
        <v>30.5.2026</v>
      </c>
      <c r="L45" s="153">
        <v>34</v>
      </c>
      <c r="M45" s="92"/>
    </row>
    <row r="46" spans="1:13" ht="21.6" x14ac:dyDescent="0.65">
      <c r="A46" s="195"/>
      <c r="B46" s="140">
        <v>43</v>
      </c>
      <c r="C46" s="2"/>
      <c r="D46" s="1"/>
      <c r="E46" s="3"/>
      <c r="F46" s="1"/>
      <c r="G46" s="141">
        <f>IF(Basic3[[#This Row],[نوع الخدمة]]="مخالفات", 50,
IF(Basic3[[#This Row],[نوع الخدمة]]="كاش ان",
    IF(F46&lt;=100, 18, IF(F46&lt;=250, 23, IF(F46&lt;=500, 35, IF(F46&lt;=1000, 40, F46*0.04)))),
IF(Basic3[[#This Row],[نوع الخدمة]]="كاش اوت",
    IF(F46&lt;=100, 15, IF(F46&lt;=250, 20, IF(F46&lt;=500, 30, IF(F46&lt;=1000, 35, F46*0.035)))),
0)))</f>
        <v>0</v>
      </c>
      <c r="H46" s="159">
        <f>IF(I46="مخالفات",50,Basic3[[#This Row],[قيمة الرسوم / العموله]]+Basic3[[#This Row],[قيمة الشحنه]])</f>
        <v>0</v>
      </c>
      <c r="I46" s="90"/>
      <c r="J46" s="142" t="str">
        <f t="shared" si="0"/>
        <v>30.5.2026</v>
      </c>
      <c r="L46" s="153">
        <v>35</v>
      </c>
      <c r="M46" s="92"/>
    </row>
    <row r="47" spans="1:13" ht="21.6" x14ac:dyDescent="0.65">
      <c r="A47" s="195"/>
      <c r="B47" s="140">
        <v>44</v>
      </c>
      <c r="C47" s="2"/>
      <c r="D47" s="1"/>
      <c r="E47" s="3"/>
      <c r="F47" s="1"/>
      <c r="G47" s="141">
        <f>IF(Basic3[[#This Row],[نوع الخدمة]]="مخالفات", 50,
IF(Basic3[[#This Row],[نوع الخدمة]]="كاش ان",
    IF(F47&lt;=100, 18, IF(F47&lt;=250, 23, IF(F47&lt;=500, 35, IF(F47&lt;=1000, 40, F47*0.04)))),
IF(Basic3[[#This Row],[نوع الخدمة]]="كاش اوت",
    IF(F47&lt;=100, 15, IF(F47&lt;=250, 20, IF(F47&lt;=500, 30, IF(F47&lt;=1000, 35, F47*0.035)))),
0)))</f>
        <v>0</v>
      </c>
      <c r="H47" s="159">
        <f>IF(I47="مخالفات",50,Basic3[[#This Row],[قيمة الرسوم / العموله]]+Basic3[[#This Row],[قيمة الشحنه]])</f>
        <v>0</v>
      </c>
      <c r="I47" s="90"/>
      <c r="J47" s="142" t="str">
        <f t="shared" si="0"/>
        <v>30.5.2026</v>
      </c>
      <c r="L47" s="153">
        <v>36</v>
      </c>
      <c r="M47" s="92"/>
    </row>
    <row r="48" spans="1:13" ht="21.6" x14ac:dyDescent="0.65">
      <c r="A48" s="195"/>
      <c r="B48" s="140">
        <v>45</v>
      </c>
      <c r="C48" s="2"/>
      <c r="D48" s="1"/>
      <c r="E48" s="3"/>
      <c r="F48" s="1"/>
      <c r="G48" s="141">
        <f>IF(Basic3[[#This Row],[نوع الخدمة]]="مخالفات", 50,
IF(Basic3[[#This Row],[نوع الخدمة]]="كاش ان",
    IF(F48&lt;=100, 18, IF(F48&lt;=250, 23, IF(F48&lt;=500, 35, IF(F48&lt;=1000, 40, F48*0.04)))),
IF(Basic3[[#This Row],[نوع الخدمة]]="كاش اوت",
    IF(F48&lt;=100, 15, IF(F48&lt;=250, 20, IF(F48&lt;=500, 30, IF(F48&lt;=1000, 35, F48*0.035)))),
0)))</f>
        <v>0</v>
      </c>
      <c r="H48" s="159">
        <f>IF(I48="مخالفات",50,Basic3[[#This Row],[قيمة الرسوم / العموله]]+Basic3[[#This Row],[قيمة الشحنه]])</f>
        <v>0</v>
      </c>
      <c r="I48" s="90"/>
      <c r="J48" s="142" t="str">
        <f t="shared" si="0"/>
        <v>30.5.2026</v>
      </c>
      <c r="L48" s="153">
        <v>37</v>
      </c>
      <c r="M48" s="92"/>
    </row>
    <row r="49" spans="1:13" ht="21.6" x14ac:dyDescent="0.65">
      <c r="A49" s="195"/>
      <c r="B49" s="144">
        <v>46</v>
      </c>
      <c r="C49" s="2"/>
      <c r="D49" s="1"/>
      <c r="E49" s="3"/>
      <c r="F49" s="1"/>
      <c r="G49" s="141">
        <f>IF(Basic3[[#This Row],[نوع الخدمة]]="مخالفات", 50,
IF(Basic3[[#This Row],[نوع الخدمة]]="كاش ان",
    IF(F49&lt;=100, 18, IF(F49&lt;=250, 23, IF(F49&lt;=500, 35, IF(F49&lt;=1000, 40, F49*0.04)))),
IF(Basic3[[#This Row],[نوع الخدمة]]="كاش اوت",
    IF(F49&lt;=100, 15, IF(F49&lt;=250, 20, IF(F49&lt;=500, 30, IF(F49&lt;=1000, 35, F49*0.035)))),
0)))</f>
        <v>0</v>
      </c>
      <c r="H49" s="159">
        <f>IF(I49="مخالفات",50,Basic3[[#This Row],[قيمة الرسوم / العموله]]+Basic3[[#This Row],[قيمة الشحنه]])</f>
        <v>0</v>
      </c>
      <c r="I49" s="90"/>
      <c r="J49" s="142" t="str">
        <f t="shared" si="0"/>
        <v>30.5.2026</v>
      </c>
      <c r="L49" s="153">
        <v>38</v>
      </c>
      <c r="M49" s="92"/>
    </row>
    <row r="50" spans="1:13" ht="21.6" x14ac:dyDescent="0.65">
      <c r="A50" s="195"/>
      <c r="B50" s="140">
        <v>47</v>
      </c>
      <c r="C50" s="2"/>
      <c r="D50" s="1"/>
      <c r="E50" s="3"/>
      <c r="F50" s="1"/>
      <c r="G50" s="141">
        <f>IF(Basic3[[#This Row],[نوع الخدمة]]="مخالفات", 50,
IF(Basic3[[#This Row],[نوع الخدمة]]="كاش ان",
    IF(F50&lt;=100, 18, IF(F50&lt;=250, 23, IF(F50&lt;=500, 35, IF(F50&lt;=1000, 40, F50*0.04)))),
IF(Basic3[[#This Row],[نوع الخدمة]]="كاش اوت",
    IF(F50&lt;=100, 15, IF(F50&lt;=250, 20, IF(F50&lt;=500, 30, IF(F50&lt;=1000, 35, F50*0.035)))),
0)))</f>
        <v>0</v>
      </c>
      <c r="H50" s="159">
        <f>IF(I50="مخالفات",50,Basic3[[#This Row],[قيمة الرسوم / العموله]]+Basic3[[#This Row],[قيمة الشحنه]])</f>
        <v>0</v>
      </c>
      <c r="I50" s="90"/>
      <c r="J50" s="142" t="str">
        <f t="shared" si="0"/>
        <v>30.5.2026</v>
      </c>
      <c r="L50" s="153">
        <v>39</v>
      </c>
      <c r="M50" s="92"/>
    </row>
    <row r="51" spans="1:13" ht="21.6" x14ac:dyDescent="0.65">
      <c r="A51" s="195"/>
      <c r="B51" s="140">
        <v>48</v>
      </c>
      <c r="C51" s="2"/>
      <c r="D51" s="1"/>
      <c r="E51" s="3"/>
      <c r="F51" s="1"/>
      <c r="G51" s="141">
        <f>IF(Basic3[[#This Row],[نوع الخدمة]]="مخالفات", 50,
IF(Basic3[[#This Row],[نوع الخدمة]]="كاش ان",
    IF(F51&lt;=100, 18, IF(F51&lt;=250, 23, IF(F51&lt;=500, 35, IF(F51&lt;=1000, 40, F51*0.04)))),
IF(Basic3[[#This Row],[نوع الخدمة]]="كاش اوت",
    IF(F51&lt;=100, 15, IF(F51&lt;=250, 20, IF(F51&lt;=500, 30, IF(F51&lt;=1000, 35, F51*0.035)))),
0)))</f>
        <v>0</v>
      </c>
      <c r="H51" s="159">
        <f>IF(I51="مخالفات",50,Basic3[[#This Row],[قيمة الرسوم / العموله]]+Basic3[[#This Row],[قيمة الشحنه]])</f>
        <v>0</v>
      </c>
      <c r="I51" s="90"/>
      <c r="J51" s="142" t="str">
        <f t="shared" si="0"/>
        <v>30.5.2026</v>
      </c>
      <c r="L51" s="153">
        <v>40</v>
      </c>
      <c r="M51" s="92"/>
    </row>
    <row r="52" spans="1:13" ht="21.6" x14ac:dyDescent="0.65">
      <c r="A52" s="195"/>
      <c r="B52" s="140">
        <v>49</v>
      </c>
      <c r="C52" s="2"/>
      <c r="D52" s="1"/>
      <c r="E52" s="3"/>
      <c r="F52" s="1"/>
      <c r="G52" s="141">
        <f>IF(Basic3[[#This Row],[نوع الخدمة]]="مخالفات", 50,
IF(Basic3[[#This Row],[نوع الخدمة]]="كاش ان",
    IF(F52&lt;=100, 18, IF(F52&lt;=250, 23, IF(F52&lt;=500, 35, IF(F52&lt;=1000, 40, F52*0.04)))),
IF(Basic3[[#This Row],[نوع الخدمة]]="كاش اوت",
    IF(F52&lt;=100, 15, IF(F52&lt;=250, 20, IF(F52&lt;=500, 30, IF(F52&lt;=1000, 35, F52*0.035)))),
0)))</f>
        <v>0</v>
      </c>
      <c r="H52" s="159">
        <f>IF(I52="مخالفات",50,Basic3[[#This Row],[قيمة الرسوم / العموله]]+Basic3[[#This Row],[قيمة الشحنه]])</f>
        <v>0</v>
      </c>
      <c r="I52" s="90"/>
      <c r="J52" s="142" t="str">
        <f t="shared" si="0"/>
        <v>30.5.2026</v>
      </c>
      <c r="L52" s="153">
        <v>41</v>
      </c>
      <c r="M52" s="92"/>
    </row>
    <row r="53" spans="1:13" ht="21.6" x14ac:dyDescent="0.65">
      <c r="A53" s="195"/>
      <c r="B53" s="144">
        <v>50</v>
      </c>
      <c r="C53" s="2"/>
      <c r="D53" s="1"/>
      <c r="E53" s="3"/>
      <c r="F53" s="1"/>
      <c r="G53" s="141">
        <f>IF(Basic3[[#This Row],[نوع الخدمة]]="مخالفات", 50,
IF(Basic3[[#This Row],[نوع الخدمة]]="كاش ان",
    IF(F53&lt;=100, 18, IF(F53&lt;=250, 23, IF(F53&lt;=500, 35, IF(F53&lt;=1000, 40, F53*0.04)))),
IF(Basic3[[#This Row],[نوع الخدمة]]="كاش اوت",
    IF(F53&lt;=100, 15, IF(F53&lt;=250, 20, IF(F53&lt;=500, 30, IF(F53&lt;=1000, 35, F53*0.035)))),
0)))</f>
        <v>0</v>
      </c>
      <c r="H53" s="159">
        <f>IF(I53="مخالفات",50,Basic3[[#This Row],[قيمة الرسوم / العموله]]+Basic3[[#This Row],[قيمة الشحنه]])</f>
        <v>0</v>
      </c>
      <c r="I53" s="90"/>
      <c r="J53" s="142" t="str">
        <f t="shared" si="0"/>
        <v>30.5.2026</v>
      </c>
      <c r="L53" s="153">
        <v>42</v>
      </c>
      <c r="M53" s="92"/>
    </row>
    <row r="54" spans="1:13" ht="21.6" x14ac:dyDescent="0.65">
      <c r="A54" s="195"/>
      <c r="B54" s="140">
        <v>51</v>
      </c>
      <c r="C54" s="2"/>
      <c r="D54" s="1"/>
      <c r="E54" s="3"/>
      <c r="F54" s="1"/>
      <c r="G54" s="141">
        <f>IF(Basic3[[#This Row],[نوع الخدمة]]="مخالفات", 50,
IF(Basic3[[#This Row],[نوع الخدمة]]="كاش ان",
    IF(F54&lt;=100, 18, IF(F54&lt;=250, 23, IF(F54&lt;=500, 35, IF(F54&lt;=1000, 40, F54*0.04)))),
IF(Basic3[[#This Row],[نوع الخدمة]]="كاش اوت",
    IF(F54&lt;=100, 15, IF(F54&lt;=250, 20, IF(F54&lt;=500, 30, IF(F54&lt;=1000, 35, F54*0.035)))),
0)))</f>
        <v>0</v>
      </c>
      <c r="H54" s="159">
        <f>IF(I54="مخالفات",50,Basic3[[#This Row],[قيمة الرسوم / العموله]]+Basic3[[#This Row],[قيمة الشحنه]])</f>
        <v>0</v>
      </c>
      <c r="I54" s="90"/>
      <c r="J54" s="142" t="str">
        <f t="shared" si="0"/>
        <v>30.5.2026</v>
      </c>
      <c r="L54" s="153">
        <v>43</v>
      </c>
      <c r="M54" s="92"/>
    </row>
    <row r="55" spans="1:13" ht="21.6" x14ac:dyDescent="0.65">
      <c r="A55" s="195"/>
      <c r="B55" s="140">
        <v>52</v>
      </c>
      <c r="C55" s="2"/>
      <c r="D55" s="1"/>
      <c r="E55" s="3"/>
      <c r="F55" s="1"/>
      <c r="G55" s="141">
        <f>IF(Basic3[[#This Row],[نوع الخدمة]]="مخالفات", 50,
IF(Basic3[[#This Row],[نوع الخدمة]]="كاش ان",
    IF(F55&lt;=100, 18, IF(F55&lt;=250, 23, IF(F55&lt;=500, 35, IF(F55&lt;=1000, 40, F55*0.04)))),
IF(Basic3[[#This Row],[نوع الخدمة]]="كاش اوت",
    IF(F55&lt;=100, 15, IF(F55&lt;=250, 20, IF(F55&lt;=500, 30, IF(F55&lt;=1000, 35, F55*0.035)))),
0)))</f>
        <v>0</v>
      </c>
      <c r="H55" s="159">
        <f>IF(I55="مخالفات",50,Basic3[[#This Row],[قيمة الرسوم / العموله]]+Basic3[[#This Row],[قيمة الشحنه]])</f>
        <v>0</v>
      </c>
      <c r="I55" s="90"/>
      <c r="J55" s="142" t="str">
        <f t="shared" si="0"/>
        <v>30.5.2026</v>
      </c>
      <c r="L55" s="153">
        <v>44</v>
      </c>
      <c r="M55" s="92"/>
    </row>
    <row r="56" spans="1:13" ht="21.6" x14ac:dyDescent="0.65">
      <c r="A56" s="195"/>
      <c r="B56" s="140">
        <v>53</v>
      </c>
      <c r="C56" s="2"/>
      <c r="D56" s="1"/>
      <c r="E56" s="3"/>
      <c r="F56" s="1"/>
      <c r="G56" s="141">
        <f>IF(Basic3[[#This Row],[نوع الخدمة]]="مخالفات", 50,
IF(Basic3[[#This Row],[نوع الخدمة]]="كاش ان",
    IF(F56&lt;=100, 18, IF(F56&lt;=250, 23, IF(F56&lt;=500, 35, IF(F56&lt;=1000, 40, F56*0.04)))),
IF(Basic3[[#This Row],[نوع الخدمة]]="كاش اوت",
    IF(F56&lt;=100, 15, IF(F56&lt;=250, 20, IF(F56&lt;=500, 30, IF(F56&lt;=1000, 35, F56*0.035)))),
0)))</f>
        <v>0</v>
      </c>
      <c r="H56" s="159">
        <f>IF(I56="مخالفات",50,Basic3[[#This Row],[قيمة الرسوم / العموله]]+Basic3[[#This Row],[قيمة الشحنه]])</f>
        <v>0</v>
      </c>
      <c r="I56" s="90"/>
      <c r="J56" s="142" t="str">
        <f t="shared" si="0"/>
        <v>30.5.2026</v>
      </c>
      <c r="L56" s="153">
        <v>45</v>
      </c>
      <c r="M56" s="92"/>
    </row>
    <row r="57" spans="1:13" ht="21.6" x14ac:dyDescent="0.65">
      <c r="A57" s="195"/>
      <c r="B57" s="144">
        <v>54</v>
      </c>
      <c r="C57" s="2"/>
      <c r="D57" s="1"/>
      <c r="E57" s="3"/>
      <c r="F57" s="1"/>
      <c r="G57" s="141">
        <f>IF(Basic3[[#This Row],[نوع الخدمة]]="مخالفات", 50,
IF(Basic3[[#This Row],[نوع الخدمة]]="كاش ان",
    IF(F57&lt;=100, 18, IF(F57&lt;=250, 23, IF(F57&lt;=500, 35, IF(F57&lt;=1000, 40, F57*0.04)))),
IF(Basic3[[#This Row],[نوع الخدمة]]="كاش اوت",
    IF(F57&lt;=100, 15, IF(F57&lt;=250, 20, IF(F57&lt;=500, 30, IF(F57&lt;=1000, 35, F57*0.035)))),
0)))</f>
        <v>0</v>
      </c>
      <c r="H57" s="159">
        <f>IF(I57="مخالفات",50,Basic3[[#This Row],[قيمة الرسوم / العموله]]+Basic3[[#This Row],[قيمة الشحنه]])</f>
        <v>0</v>
      </c>
      <c r="I57" s="90"/>
      <c r="J57" s="142" t="str">
        <f t="shared" si="0"/>
        <v>30.5.2026</v>
      </c>
      <c r="L57" s="153">
        <v>46</v>
      </c>
      <c r="M57" s="92"/>
    </row>
    <row r="58" spans="1:13" ht="21.6" x14ac:dyDescent="0.65">
      <c r="A58" s="195"/>
      <c r="B58" s="140">
        <v>55</v>
      </c>
      <c r="C58" s="2"/>
      <c r="D58" s="1"/>
      <c r="E58" s="3"/>
      <c r="F58" s="1"/>
      <c r="G58" s="141">
        <f>IF(Basic3[[#This Row],[نوع الخدمة]]="مخالفات", 50,
IF(Basic3[[#This Row],[نوع الخدمة]]="كاش ان",
    IF(F58&lt;=100, 18, IF(F58&lt;=250, 23, IF(F58&lt;=500, 35, IF(F58&lt;=1000, 40, F58*0.04)))),
IF(Basic3[[#This Row],[نوع الخدمة]]="كاش اوت",
    IF(F58&lt;=100, 15, IF(F58&lt;=250, 20, IF(F58&lt;=500, 30, IF(F58&lt;=1000, 35, F58*0.035)))),
0)))</f>
        <v>0</v>
      </c>
      <c r="H58" s="159">
        <f>IF(I58="مخالفات",50,Basic3[[#This Row],[قيمة الرسوم / العموله]]+Basic3[[#This Row],[قيمة الشحنه]])</f>
        <v>0</v>
      </c>
      <c r="I58" s="90"/>
      <c r="J58" s="142" t="str">
        <f t="shared" si="0"/>
        <v>30.5.2026</v>
      </c>
      <c r="L58" s="153">
        <v>47</v>
      </c>
      <c r="M58" s="92"/>
    </row>
    <row r="59" spans="1:13" ht="21.6" x14ac:dyDescent="0.65">
      <c r="A59" s="195"/>
      <c r="B59" s="140">
        <v>56</v>
      </c>
      <c r="C59" s="2"/>
      <c r="D59" s="1"/>
      <c r="E59" s="3"/>
      <c r="F59" s="1"/>
      <c r="G59" s="141">
        <f>IF(Basic3[[#This Row],[نوع الخدمة]]="مخالفات", 50,
IF(Basic3[[#This Row],[نوع الخدمة]]="كاش ان",
    IF(F59&lt;=100, 18, IF(F59&lt;=250, 23, IF(F59&lt;=500, 35, IF(F59&lt;=1000, 40, F59*0.04)))),
IF(Basic3[[#This Row],[نوع الخدمة]]="كاش اوت",
    IF(F59&lt;=100, 15, IF(F59&lt;=250, 20, IF(F59&lt;=500, 30, IF(F59&lt;=1000, 35, F59*0.035)))),
0)))</f>
        <v>0</v>
      </c>
      <c r="H59" s="159">
        <f>IF(I59="مخالفات",50,Basic3[[#This Row],[قيمة الرسوم / العموله]]+Basic3[[#This Row],[قيمة الشحنه]])</f>
        <v>0</v>
      </c>
      <c r="I59" s="90"/>
      <c r="J59" s="142" t="str">
        <f t="shared" si="0"/>
        <v>30.5.2026</v>
      </c>
      <c r="L59" s="153">
        <v>48</v>
      </c>
      <c r="M59" s="92"/>
    </row>
    <row r="60" spans="1:13" ht="21.6" x14ac:dyDescent="0.65">
      <c r="A60" s="195"/>
      <c r="B60" s="140">
        <v>57</v>
      </c>
      <c r="C60" s="2"/>
      <c r="D60" s="1"/>
      <c r="E60" s="3"/>
      <c r="F60" s="1"/>
      <c r="G60" s="141">
        <f>IF(Basic3[[#This Row],[نوع الخدمة]]="مخالفات", 50,
IF(Basic3[[#This Row],[نوع الخدمة]]="كاش ان",
    IF(F60&lt;=100, 18, IF(F60&lt;=250, 23, IF(F60&lt;=500, 35, IF(F60&lt;=1000, 40, F60*0.04)))),
IF(Basic3[[#This Row],[نوع الخدمة]]="كاش اوت",
    IF(F60&lt;=100, 15, IF(F60&lt;=250, 20, IF(F60&lt;=500, 30, IF(F60&lt;=1000, 35, F60*0.035)))),
0)))</f>
        <v>0</v>
      </c>
      <c r="H60" s="159">
        <f>IF(I60="مخالفات",50,Basic3[[#This Row],[قيمة الرسوم / العموله]]+Basic3[[#This Row],[قيمة الشحنه]])</f>
        <v>0</v>
      </c>
      <c r="I60" s="90"/>
      <c r="J60" s="142" t="str">
        <f t="shared" si="0"/>
        <v>30.5.2026</v>
      </c>
      <c r="L60" s="153">
        <v>49</v>
      </c>
      <c r="M60" s="92"/>
    </row>
    <row r="61" spans="1:13" ht="21.6" x14ac:dyDescent="0.65">
      <c r="A61" s="195"/>
      <c r="B61" s="144">
        <v>58</v>
      </c>
      <c r="C61" s="2"/>
      <c r="D61" s="1"/>
      <c r="E61" s="3"/>
      <c r="F61" s="1"/>
      <c r="G61" s="141">
        <f>IF(Basic3[[#This Row],[نوع الخدمة]]="مخالفات", 50,
IF(Basic3[[#This Row],[نوع الخدمة]]="كاش ان",
    IF(F61&lt;=100, 18, IF(F61&lt;=250, 23, IF(F61&lt;=500, 35, IF(F61&lt;=1000, 40, F61*0.04)))),
IF(Basic3[[#This Row],[نوع الخدمة]]="كاش اوت",
    IF(F61&lt;=100, 15, IF(F61&lt;=250, 20, IF(F61&lt;=500, 30, IF(F61&lt;=1000, 35, F61*0.035)))),
0)))</f>
        <v>0</v>
      </c>
      <c r="H61" s="159">
        <f>IF(I61="مخالفات",50,Basic3[[#This Row],[قيمة الرسوم / العموله]]+Basic3[[#This Row],[قيمة الشحنه]])</f>
        <v>0</v>
      </c>
      <c r="I61" s="90"/>
      <c r="J61" s="142" t="str">
        <f t="shared" si="0"/>
        <v>30.5.2026</v>
      </c>
      <c r="L61" s="153">
        <v>50</v>
      </c>
      <c r="M61" s="92"/>
    </row>
    <row r="62" spans="1:13" ht="21.6" x14ac:dyDescent="0.65">
      <c r="A62" s="195"/>
      <c r="B62" s="140">
        <v>59</v>
      </c>
      <c r="C62" s="2"/>
      <c r="D62" s="1"/>
      <c r="E62" s="3"/>
      <c r="F62" s="1"/>
      <c r="G62" s="141">
        <f>IF(Basic3[[#This Row],[نوع الخدمة]]="مخالفات", 50,
IF(Basic3[[#This Row],[نوع الخدمة]]="كاش ان",
    IF(F62&lt;=100, 18, IF(F62&lt;=250, 23, IF(F62&lt;=500, 35, IF(F62&lt;=1000, 40, F62*0.04)))),
IF(Basic3[[#This Row],[نوع الخدمة]]="كاش اوت",
    IF(F62&lt;=100, 15, IF(F62&lt;=250, 20, IF(F62&lt;=500, 30, IF(F62&lt;=1000, 35, F62*0.035)))),
0)))</f>
        <v>0</v>
      </c>
      <c r="H62" s="159">
        <f>IF(I62="مخالفات",50,Basic3[[#This Row],[قيمة الرسوم / العموله]]+Basic3[[#This Row],[قيمة الشحنه]])</f>
        <v>0</v>
      </c>
      <c r="I62" s="90"/>
      <c r="J62" s="142" t="str">
        <f t="shared" si="0"/>
        <v>30.5.2026</v>
      </c>
      <c r="L62" s="153">
        <v>51</v>
      </c>
      <c r="M62" s="92"/>
    </row>
    <row r="63" spans="1:13" ht="21.6" x14ac:dyDescent="0.65">
      <c r="A63" s="195"/>
      <c r="B63" s="140">
        <v>60</v>
      </c>
      <c r="C63" s="2"/>
      <c r="D63" s="1"/>
      <c r="E63" s="3"/>
      <c r="F63" s="1"/>
      <c r="G63" s="141">
        <f>IF(Basic3[[#This Row],[نوع الخدمة]]="مخالفات", 50,
IF(Basic3[[#This Row],[نوع الخدمة]]="كاش ان",
    IF(F63&lt;=100, 18, IF(F63&lt;=250, 23, IF(F63&lt;=500, 35, IF(F63&lt;=1000, 40, F63*0.04)))),
IF(Basic3[[#This Row],[نوع الخدمة]]="كاش اوت",
    IF(F63&lt;=100, 15, IF(F63&lt;=250, 20, IF(F63&lt;=500, 30, IF(F63&lt;=1000, 35, F63*0.035)))),
0)))</f>
        <v>0</v>
      </c>
      <c r="H63" s="159">
        <f>IF(I63="مخالفات",50,Basic3[[#This Row],[قيمة الرسوم / العموله]]+Basic3[[#This Row],[قيمة الشحنه]])</f>
        <v>0</v>
      </c>
      <c r="I63" s="90"/>
      <c r="J63" s="142" t="str">
        <f t="shared" si="0"/>
        <v>30.5.2026</v>
      </c>
      <c r="L63" s="153">
        <v>52</v>
      </c>
      <c r="M63" s="92"/>
    </row>
    <row r="64" spans="1:13" ht="21.6" x14ac:dyDescent="0.65">
      <c r="A64" s="195"/>
      <c r="B64" s="140">
        <v>61</v>
      </c>
      <c r="C64" s="2"/>
      <c r="D64" s="1"/>
      <c r="E64" s="3"/>
      <c r="F64" s="1"/>
      <c r="G64" s="141">
        <f>IF(Basic3[[#This Row],[نوع الخدمة]]="مخالفات", 50,
IF(Basic3[[#This Row],[نوع الخدمة]]="كاش ان",
    IF(F64&lt;=100, 18, IF(F64&lt;=250, 23, IF(F64&lt;=500, 35, IF(F64&lt;=1000, 40, F64*0.04)))),
IF(Basic3[[#This Row],[نوع الخدمة]]="كاش اوت",
    IF(F64&lt;=100, 15, IF(F64&lt;=250, 20, IF(F64&lt;=500, 30, IF(F64&lt;=1000, 35, F64*0.035)))),
0)))</f>
        <v>0</v>
      </c>
      <c r="H64" s="159">
        <f>IF(I64="مخالفات",50,Basic3[[#This Row],[قيمة الرسوم / العموله]]+Basic3[[#This Row],[قيمة الشحنه]])</f>
        <v>0</v>
      </c>
      <c r="I64" s="90"/>
      <c r="J64" s="142" t="str">
        <f t="shared" si="0"/>
        <v>30.5.2026</v>
      </c>
      <c r="L64" s="153">
        <v>53</v>
      </c>
      <c r="M64" s="92"/>
    </row>
    <row r="65" spans="1:13" ht="21.6" x14ac:dyDescent="0.65">
      <c r="A65" s="195"/>
      <c r="B65" s="144">
        <v>62</v>
      </c>
      <c r="C65" s="2"/>
      <c r="D65" s="1"/>
      <c r="E65" s="3"/>
      <c r="F65" s="1"/>
      <c r="G65" s="141">
        <f>IF(Basic3[[#This Row],[نوع الخدمة]]="مخالفات", 50,
IF(Basic3[[#This Row],[نوع الخدمة]]="كاش ان",
    IF(F65&lt;=100, 18, IF(F65&lt;=250, 23, IF(F65&lt;=500, 35, IF(F65&lt;=1000, 40, F65*0.04)))),
IF(Basic3[[#This Row],[نوع الخدمة]]="كاش اوت",
    IF(F65&lt;=100, 15, IF(F65&lt;=250, 20, IF(F65&lt;=500, 30, IF(F65&lt;=1000, 35, F65*0.035)))),
0)))</f>
        <v>0</v>
      </c>
      <c r="H65" s="159">
        <f>IF(I65="مخالفات",50,Basic3[[#This Row],[قيمة الرسوم / العموله]]+Basic3[[#This Row],[قيمة الشحنه]])</f>
        <v>0</v>
      </c>
      <c r="I65" s="90"/>
      <c r="J65" s="142" t="str">
        <f t="shared" si="0"/>
        <v>30.5.2026</v>
      </c>
      <c r="L65" s="153">
        <v>54</v>
      </c>
      <c r="M65" s="92"/>
    </row>
    <row r="66" spans="1:13" ht="21.6" x14ac:dyDescent="0.65">
      <c r="A66" s="195"/>
      <c r="B66" s="140">
        <v>63</v>
      </c>
      <c r="C66" s="2"/>
      <c r="D66" s="1"/>
      <c r="E66" s="3"/>
      <c r="F66" s="1"/>
      <c r="G66" s="141">
        <f>IF(Basic3[[#This Row],[نوع الخدمة]]="مخالفات", 50,
IF(Basic3[[#This Row],[نوع الخدمة]]="كاش ان",
    IF(F66&lt;=100, 18, IF(F66&lt;=250, 23, IF(F66&lt;=500, 35, IF(F66&lt;=1000, 40, F66*0.04)))),
IF(Basic3[[#This Row],[نوع الخدمة]]="كاش اوت",
    IF(F66&lt;=100, 15, IF(F66&lt;=250, 20, IF(F66&lt;=500, 30, IF(F66&lt;=1000, 35, F66*0.035)))),
0)))</f>
        <v>0</v>
      </c>
      <c r="H66" s="159">
        <f>IF(I66="مخالفات",50,Basic3[[#This Row],[قيمة الرسوم / العموله]]+Basic3[[#This Row],[قيمة الشحنه]])</f>
        <v>0</v>
      </c>
      <c r="I66" s="90"/>
      <c r="J66" s="142" t="str">
        <f t="shared" si="0"/>
        <v>30.5.2026</v>
      </c>
      <c r="L66" s="153">
        <v>55</v>
      </c>
      <c r="M66" s="92"/>
    </row>
    <row r="67" spans="1:13" ht="21.6" x14ac:dyDescent="0.65">
      <c r="A67" s="195"/>
      <c r="B67" s="140">
        <v>64</v>
      </c>
      <c r="C67" s="2"/>
      <c r="D67" s="1"/>
      <c r="E67" s="3"/>
      <c r="F67" s="1"/>
      <c r="G67" s="141">
        <f>IF(Basic3[[#This Row],[نوع الخدمة]]="مخالفات", 50,
IF(Basic3[[#This Row],[نوع الخدمة]]="كاش ان",
    IF(F67&lt;=100, 18, IF(F67&lt;=250, 23, IF(F67&lt;=500, 35, IF(F67&lt;=1000, 40, F67*0.04)))),
IF(Basic3[[#This Row],[نوع الخدمة]]="كاش اوت",
    IF(F67&lt;=100, 15, IF(F67&lt;=250, 20, IF(F67&lt;=500, 30, IF(F67&lt;=1000, 35, F67*0.035)))),
0)))</f>
        <v>0</v>
      </c>
      <c r="H67" s="159">
        <f>IF(I67="مخالفات",50,Basic3[[#This Row],[قيمة الرسوم / العموله]]+Basic3[[#This Row],[قيمة الشحنه]])</f>
        <v>0</v>
      </c>
      <c r="I67" s="90"/>
      <c r="J67" s="142" t="str">
        <f t="shared" si="0"/>
        <v>30.5.2026</v>
      </c>
      <c r="L67" s="153">
        <v>56</v>
      </c>
      <c r="M67" s="92"/>
    </row>
    <row r="68" spans="1:13" ht="21.6" x14ac:dyDescent="0.65">
      <c r="A68" s="195"/>
      <c r="B68" s="140">
        <v>65</v>
      </c>
      <c r="C68" s="2"/>
      <c r="D68" s="1"/>
      <c r="E68" s="3"/>
      <c r="F68" s="1"/>
      <c r="G68" s="141">
        <f>IF(Basic3[[#This Row],[نوع الخدمة]]="مخالفات", 50,
IF(Basic3[[#This Row],[نوع الخدمة]]="كاش ان",
    IF(F68&lt;=100, 18, IF(F68&lt;=250, 23, IF(F68&lt;=500, 35, IF(F68&lt;=1000, 40, F68*0.04)))),
IF(Basic3[[#This Row],[نوع الخدمة]]="كاش اوت",
    IF(F68&lt;=100, 15, IF(F68&lt;=250, 20, IF(F68&lt;=500, 30, IF(F68&lt;=1000, 35, F68*0.035)))),
0)))</f>
        <v>0</v>
      </c>
      <c r="H68" s="159">
        <f>IF(I68="مخالفات",50,Basic3[[#This Row],[قيمة الرسوم / العموله]]+Basic3[[#This Row],[قيمة الشحنه]])</f>
        <v>0</v>
      </c>
      <c r="I68" s="90"/>
      <c r="J68" s="142" t="str">
        <f t="shared" ref="J68:J131" si="1">M$3</f>
        <v>30.5.2026</v>
      </c>
      <c r="L68" s="153">
        <v>57</v>
      </c>
      <c r="M68" s="92"/>
    </row>
    <row r="69" spans="1:13" ht="21.6" x14ac:dyDescent="0.65">
      <c r="A69" s="195"/>
      <c r="B69" s="144">
        <v>66</v>
      </c>
      <c r="C69" s="2"/>
      <c r="D69" s="1"/>
      <c r="E69" s="3"/>
      <c r="F69" s="1"/>
      <c r="G69" s="141">
        <f>IF(Basic3[[#This Row],[نوع الخدمة]]="مخالفات", 50,
IF(Basic3[[#This Row],[نوع الخدمة]]="كاش ان",
    IF(F69&lt;=100, 18, IF(F69&lt;=250, 23, IF(F69&lt;=500, 35, IF(F69&lt;=1000, 40, F69*0.04)))),
IF(Basic3[[#This Row],[نوع الخدمة]]="كاش اوت",
    IF(F69&lt;=100, 15, IF(F69&lt;=250, 20, IF(F69&lt;=500, 30, IF(F69&lt;=1000, 35, F69*0.035)))),
0)))</f>
        <v>0</v>
      </c>
      <c r="H69" s="159">
        <f>IF(I69="مخالفات",50,Basic3[[#This Row],[قيمة الرسوم / العموله]]+Basic3[[#This Row],[قيمة الشحنه]])</f>
        <v>0</v>
      </c>
      <c r="I69" s="90"/>
      <c r="J69" s="142" t="str">
        <f t="shared" si="1"/>
        <v>30.5.2026</v>
      </c>
      <c r="L69" s="153">
        <v>58</v>
      </c>
      <c r="M69" s="92"/>
    </row>
    <row r="70" spans="1:13" ht="21.6" x14ac:dyDescent="0.65">
      <c r="A70" s="195"/>
      <c r="B70" s="140">
        <v>67</v>
      </c>
      <c r="C70" s="2"/>
      <c r="D70" s="1"/>
      <c r="E70" s="3"/>
      <c r="F70" s="1"/>
      <c r="G70" s="141">
        <f>IF(Basic3[[#This Row],[نوع الخدمة]]="مخالفات", 50,
IF(Basic3[[#This Row],[نوع الخدمة]]="كاش ان",
    IF(F70&lt;=100, 18, IF(F70&lt;=250, 23, IF(F70&lt;=500, 35, IF(F70&lt;=1000, 40, F70*0.04)))),
IF(Basic3[[#This Row],[نوع الخدمة]]="كاش اوت",
    IF(F70&lt;=100, 15, IF(F70&lt;=250, 20, IF(F70&lt;=500, 30, IF(F70&lt;=1000, 35, F70*0.035)))),
0)))</f>
        <v>0</v>
      </c>
      <c r="H70" s="159">
        <f>IF(I70="مخالفات",50,Basic3[[#This Row],[قيمة الرسوم / العموله]]+Basic3[[#This Row],[قيمة الشحنه]])</f>
        <v>0</v>
      </c>
      <c r="I70" s="90"/>
      <c r="J70" s="142" t="str">
        <f t="shared" si="1"/>
        <v>30.5.2026</v>
      </c>
      <c r="L70" s="153">
        <v>59</v>
      </c>
      <c r="M70" s="92"/>
    </row>
    <row r="71" spans="1:13" ht="21.6" x14ac:dyDescent="0.65">
      <c r="A71" s="195"/>
      <c r="B71" s="140">
        <v>68</v>
      </c>
      <c r="C71" s="2"/>
      <c r="D71" s="1"/>
      <c r="E71" s="3"/>
      <c r="F71" s="1"/>
      <c r="G71" s="141">
        <f>IF(Basic3[[#This Row],[نوع الخدمة]]="مخالفات", 50,
IF(Basic3[[#This Row],[نوع الخدمة]]="كاش ان",
    IF(F71&lt;=100, 18, IF(F71&lt;=250, 23, IF(F71&lt;=500, 35, IF(F71&lt;=1000, 40, F71*0.04)))),
IF(Basic3[[#This Row],[نوع الخدمة]]="كاش اوت",
    IF(F71&lt;=100, 15, IF(F71&lt;=250, 20, IF(F71&lt;=500, 30, IF(F71&lt;=1000, 35, F71*0.035)))),
0)))</f>
        <v>0</v>
      </c>
      <c r="H71" s="159">
        <f>IF(I71="مخالفات",50,Basic3[[#This Row],[قيمة الرسوم / العموله]]+Basic3[[#This Row],[قيمة الشحنه]])</f>
        <v>0</v>
      </c>
      <c r="I71" s="90"/>
      <c r="J71" s="142" t="str">
        <f t="shared" si="1"/>
        <v>30.5.2026</v>
      </c>
      <c r="L71" s="153">
        <v>60</v>
      </c>
      <c r="M71" s="92"/>
    </row>
    <row r="72" spans="1:13" ht="21.6" x14ac:dyDescent="0.65">
      <c r="A72" s="195"/>
      <c r="B72" s="140">
        <v>69</v>
      </c>
      <c r="C72" s="2"/>
      <c r="D72" s="1"/>
      <c r="E72" s="3"/>
      <c r="F72" s="1"/>
      <c r="G72" s="141">
        <f>IF(Basic3[[#This Row],[نوع الخدمة]]="مخالفات", 50,
IF(Basic3[[#This Row],[نوع الخدمة]]="كاش ان",
    IF(F72&lt;=100, 18, IF(F72&lt;=250, 23, IF(F72&lt;=500, 35, IF(F72&lt;=1000, 40, F72*0.04)))),
IF(Basic3[[#This Row],[نوع الخدمة]]="كاش اوت",
    IF(F72&lt;=100, 15, IF(F72&lt;=250, 20, IF(F72&lt;=500, 30, IF(F72&lt;=1000, 35, F72*0.035)))),
0)))</f>
        <v>0</v>
      </c>
      <c r="H72" s="159">
        <f>IF(I72="مخالفات",50,Basic3[[#This Row],[قيمة الرسوم / العموله]]+Basic3[[#This Row],[قيمة الشحنه]])</f>
        <v>0</v>
      </c>
      <c r="I72" s="90"/>
      <c r="J72" s="142" t="str">
        <f t="shared" si="1"/>
        <v>30.5.2026</v>
      </c>
      <c r="L72" s="153">
        <v>61</v>
      </c>
      <c r="M72" s="92"/>
    </row>
    <row r="73" spans="1:13" ht="21.6" x14ac:dyDescent="0.65">
      <c r="A73" s="195"/>
      <c r="B73" s="144">
        <v>70</v>
      </c>
      <c r="C73" s="2"/>
      <c r="D73" s="1"/>
      <c r="E73" s="3"/>
      <c r="F73" s="1"/>
      <c r="G73" s="141">
        <f>IF(Basic3[[#This Row],[نوع الخدمة]]="مخالفات", 50,
IF(Basic3[[#This Row],[نوع الخدمة]]="كاش ان",
    IF(F73&lt;=100, 18, IF(F73&lt;=250, 23, IF(F73&lt;=500, 35, IF(F73&lt;=1000, 40, F73*0.04)))),
IF(Basic3[[#This Row],[نوع الخدمة]]="كاش اوت",
    IF(F73&lt;=100, 15, IF(F73&lt;=250, 20, IF(F73&lt;=500, 30, IF(F73&lt;=1000, 35, F73*0.035)))),
0)))</f>
        <v>0</v>
      </c>
      <c r="H73" s="159">
        <f>IF(I73="مخالفات",50,Basic3[[#This Row],[قيمة الرسوم / العموله]]+Basic3[[#This Row],[قيمة الشحنه]])</f>
        <v>0</v>
      </c>
      <c r="I73" s="90"/>
      <c r="J73" s="142" t="str">
        <f t="shared" si="1"/>
        <v>30.5.2026</v>
      </c>
      <c r="L73" s="153">
        <v>62</v>
      </c>
      <c r="M73" s="92"/>
    </row>
    <row r="74" spans="1:13" ht="21.6" x14ac:dyDescent="0.65">
      <c r="A74" s="195"/>
      <c r="B74" s="140">
        <v>71</v>
      </c>
      <c r="C74" s="2"/>
      <c r="D74" s="1"/>
      <c r="E74" s="3"/>
      <c r="F74" s="1"/>
      <c r="G74" s="141">
        <f>IF(Basic3[[#This Row],[نوع الخدمة]]="مخالفات", 50,
IF(Basic3[[#This Row],[نوع الخدمة]]="كاش ان",
    IF(F74&lt;=100, 18, IF(F74&lt;=250, 23, IF(F74&lt;=500, 35, IF(F74&lt;=1000, 40, F74*0.04)))),
IF(Basic3[[#This Row],[نوع الخدمة]]="كاش اوت",
    IF(F74&lt;=100, 15, IF(F74&lt;=250, 20, IF(F74&lt;=500, 30, IF(F74&lt;=1000, 35, F74*0.035)))),
0)))</f>
        <v>0</v>
      </c>
      <c r="H74" s="159">
        <f>IF(I74="مخالفات",50,Basic3[[#This Row],[قيمة الرسوم / العموله]]+Basic3[[#This Row],[قيمة الشحنه]])</f>
        <v>0</v>
      </c>
      <c r="I74" s="90"/>
      <c r="J74" s="142" t="str">
        <f t="shared" si="1"/>
        <v>30.5.2026</v>
      </c>
      <c r="L74" s="153">
        <v>63</v>
      </c>
      <c r="M74" s="92"/>
    </row>
    <row r="75" spans="1:13" ht="21.6" x14ac:dyDescent="0.65">
      <c r="A75" s="195"/>
      <c r="B75" s="140">
        <v>72</v>
      </c>
      <c r="C75" s="2"/>
      <c r="D75" s="1"/>
      <c r="E75" s="3"/>
      <c r="F75" s="1"/>
      <c r="G75" s="141">
        <f>IF(Basic3[[#This Row],[نوع الخدمة]]="مخالفات", 50,
IF(Basic3[[#This Row],[نوع الخدمة]]="كاش ان",
    IF(F75&lt;=100, 18, IF(F75&lt;=250, 23, IF(F75&lt;=500, 35, IF(F75&lt;=1000, 40, F75*0.04)))),
IF(Basic3[[#This Row],[نوع الخدمة]]="كاش اوت",
    IF(F75&lt;=100, 15, IF(F75&lt;=250, 20, IF(F75&lt;=500, 30, IF(F75&lt;=1000, 35, F75*0.035)))),
0)))</f>
        <v>0</v>
      </c>
      <c r="H75" s="159">
        <f>IF(I75="مخالفات",50,Basic3[[#This Row],[قيمة الرسوم / العموله]]+Basic3[[#This Row],[قيمة الشحنه]])</f>
        <v>0</v>
      </c>
      <c r="I75" s="90"/>
      <c r="J75" s="142" t="str">
        <f t="shared" si="1"/>
        <v>30.5.2026</v>
      </c>
      <c r="L75" s="153">
        <v>64</v>
      </c>
      <c r="M75" s="92"/>
    </row>
    <row r="76" spans="1:13" ht="21.6" x14ac:dyDescent="0.65">
      <c r="A76" s="195"/>
      <c r="B76" s="140">
        <v>73</v>
      </c>
      <c r="C76" s="2"/>
      <c r="D76" s="1"/>
      <c r="E76" s="3"/>
      <c r="F76" s="1"/>
      <c r="G76" s="141">
        <f>IF(Basic3[[#This Row],[نوع الخدمة]]="مخالفات", 50,
IF(Basic3[[#This Row],[نوع الخدمة]]="كاش ان",
    IF(F76&lt;=100, 18, IF(F76&lt;=250, 23, IF(F76&lt;=500, 35, IF(F76&lt;=1000, 40, F76*0.04)))),
IF(Basic3[[#This Row],[نوع الخدمة]]="كاش اوت",
    IF(F76&lt;=100, 15, IF(F76&lt;=250, 20, IF(F76&lt;=500, 30, IF(F76&lt;=1000, 35, F76*0.035)))),
0)))</f>
        <v>0</v>
      </c>
      <c r="H76" s="159">
        <f>IF(I76="مخالفات",50,Basic3[[#This Row],[قيمة الرسوم / العموله]]+Basic3[[#This Row],[قيمة الشحنه]])</f>
        <v>0</v>
      </c>
      <c r="I76" s="90"/>
      <c r="J76" s="142" t="str">
        <f t="shared" si="1"/>
        <v>30.5.2026</v>
      </c>
      <c r="L76" s="153">
        <v>65</v>
      </c>
      <c r="M76" s="92"/>
    </row>
    <row r="77" spans="1:13" ht="21.6" x14ac:dyDescent="0.65">
      <c r="A77" s="195"/>
      <c r="B77" s="144">
        <v>74</v>
      </c>
      <c r="C77" s="2"/>
      <c r="D77" s="1"/>
      <c r="E77" s="3"/>
      <c r="F77" s="1"/>
      <c r="G77" s="141">
        <f>IF(Basic3[[#This Row],[نوع الخدمة]]="مخالفات", 50,
IF(Basic3[[#This Row],[نوع الخدمة]]="كاش ان",
    IF(F77&lt;=100, 18, IF(F77&lt;=250, 23, IF(F77&lt;=500, 35, IF(F77&lt;=1000, 40, F77*0.04)))),
IF(Basic3[[#This Row],[نوع الخدمة]]="كاش اوت",
    IF(F77&lt;=100, 15, IF(F77&lt;=250, 20, IF(F77&lt;=500, 30, IF(F77&lt;=1000, 35, F77*0.035)))),
0)))</f>
        <v>0</v>
      </c>
      <c r="H77" s="159">
        <f>IF(I77="مخالفات",50,Basic3[[#This Row],[قيمة الرسوم / العموله]]+Basic3[[#This Row],[قيمة الشحنه]])</f>
        <v>0</v>
      </c>
      <c r="I77" s="90"/>
      <c r="J77" s="142" t="str">
        <f t="shared" si="1"/>
        <v>30.5.2026</v>
      </c>
      <c r="L77" s="153">
        <v>66</v>
      </c>
      <c r="M77" s="92"/>
    </row>
    <row r="78" spans="1:13" ht="21.6" x14ac:dyDescent="0.65">
      <c r="A78" s="195"/>
      <c r="B78" s="140">
        <v>75</v>
      </c>
      <c r="C78" s="2"/>
      <c r="D78" s="1"/>
      <c r="E78" s="3"/>
      <c r="F78" s="1"/>
      <c r="G78" s="141">
        <f>IF(Basic3[[#This Row],[نوع الخدمة]]="مخالفات", 50,
IF(Basic3[[#This Row],[نوع الخدمة]]="كاش ان",
    IF(F78&lt;=100, 18, IF(F78&lt;=250, 23, IF(F78&lt;=500, 35, IF(F78&lt;=1000, 40, F78*0.04)))),
IF(Basic3[[#This Row],[نوع الخدمة]]="كاش اوت",
    IF(F78&lt;=100, 15, IF(F78&lt;=250, 20, IF(F78&lt;=500, 30, IF(F78&lt;=1000, 35, F78*0.035)))),
0)))</f>
        <v>0</v>
      </c>
      <c r="H78" s="159">
        <f>IF(I78="مخالفات",50,Basic3[[#This Row],[قيمة الرسوم / العموله]]+Basic3[[#This Row],[قيمة الشحنه]])</f>
        <v>0</v>
      </c>
      <c r="I78" s="90"/>
      <c r="J78" s="142" t="str">
        <f t="shared" si="1"/>
        <v>30.5.2026</v>
      </c>
      <c r="L78" s="153">
        <v>67</v>
      </c>
      <c r="M78" s="92"/>
    </row>
    <row r="79" spans="1:13" ht="21.6" x14ac:dyDescent="0.65">
      <c r="A79" s="195"/>
      <c r="B79" s="140">
        <v>76</v>
      </c>
      <c r="C79" s="2"/>
      <c r="D79" s="1"/>
      <c r="E79" s="3"/>
      <c r="F79" s="1"/>
      <c r="G79" s="141">
        <f>IF(Basic3[[#This Row],[نوع الخدمة]]="مخالفات", 50,
IF(Basic3[[#This Row],[نوع الخدمة]]="كاش ان",
    IF(F79&lt;=100, 18, IF(F79&lt;=250, 23, IF(F79&lt;=500, 35, IF(F79&lt;=1000, 40, F79*0.04)))),
IF(Basic3[[#This Row],[نوع الخدمة]]="كاش اوت",
    IF(F79&lt;=100, 15, IF(F79&lt;=250, 20, IF(F79&lt;=500, 30, IF(F79&lt;=1000, 35, F79*0.035)))),
0)))</f>
        <v>0</v>
      </c>
      <c r="H79" s="159">
        <f>IF(I79="مخالفات",50,Basic3[[#This Row],[قيمة الرسوم / العموله]]+Basic3[[#This Row],[قيمة الشحنه]])</f>
        <v>0</v>
      </c>
      <c r="I79" s="90"/>
      <c r="J79" s="142" t="str">
        <f t="shared" si="1"/>
        <v>30.5.2026</v>
      </c>
      <c r="L79" s="153">
        <v>68</v>
      </c>
      <c r="M79" s="92"/>
    </row>
    <row r="80" spans="1:13" ht="21.6" x14ac:dyDescent="0.65">
      <c r="A80" s="195"/>
      <c r="B80" s="140">
        <v>77</v>
      </c>
      <c r="C80" s="2"/>
      <c r="D80" s="1"/>
      <c r="E80" s="3"/>
      <c r="F80" s="1"/>
      <c r="G80" s="141">
        <f>IF(Basic3[[#This Row],[نوع الخدمة]]="مخالفات", 50,
IF(Basic3[[#This Row],[نوع الخدمة]]="كاش ان",
    IF(F80&lt;=100, 18, IF(F80&lt;=250, 23, IF(F80&lt;=500, 35, IF(F80&lt;=1000, 40, F80*0.04)))),
IF(Basic3[[#This Row],[نوع الخدمة]]="كاش اوت",
    IF(F80&lt;=100, 15, IF(F80&lt;=250, 20, IF(F80&lt;=500, 30, IF(F80&lt;=1000, 35, F80*0.035)))),
0)))</f>
        <v>0</v>
      </c>
      <c r="H80" s="159">
        <f>IF(I80="مخالفات",50,Basic3[[#This Row],[قيمة الرسوم / العموله]]+Basic3[[#This Row],[قيمة الشحنه]])</f>
        <v>0</v>
      </c>
      <c r="I80" s="90"/>
      <c r="J80" s="142" t="str">
        <f t="shared" si="1"/>
        <v>30.5.2026</v>
      </c>
      <c r="L80" s="153">
        <v>69</v>
      </c>
      <c r="M80" s="92"/>
    </row>
    <row r="81" spans="1:13" ht="21.6" x14ac:dyDescent="0.65">
      <c r="A81" s="195"/>
      <c r="B81" s="144">
        <v>78</v>
      </c>
      <c r="C81" s="2"/>
      <c r="D81" s="1"/>
      <c r="E81" s="3"/>
      <c r="F81" s="1"/>
      <c r="G81" s="141">
        <f>IF(Basic3[[#This Row],[نوع الخدمة]]="مخالفات", 50,
IF(Basic3[[#This Row],[نوع الخدمة]]="كاش ان",
    IF(F81&lt;=100, 18, IF(F81&lt;=250, 23, IF(F81&lt;=500, 35, IF(F81&lt;=1000, 40, F81*0.04)))),
IF(Basic3[[#This Row],[نوع الخدمة]]="كاش اوت",
    IF(F81&lt;=100, 15, IF(F81&lt;=250, 20, IF(F81&lt;=500, 30, IF(F81&lt;=1000, 35, F81*0.035)))),
0)))</f>
        <v>0</v>
      </c>
      <c r="H81" s="159">
        <f>IF(I81="مخالفات",50,Basic3[[#This Row],[قيمة الرسوم / العموله]]+Basic3[[#This Row],[قيمة الشحنه]])</f>
        <v>0</v>
      </c>
      <c r="I81" s="90"/>
      <c r="J81" s="142" t="str">
        <f t="shared" si="1"/>
        <v>30.5.2026</v>
      </c>
      <c r="L81" s="153">
        <v>70</v>
      </c>
      <c r="M81" s="92"/>
    </row>
    <row r="82" spans="1:13" ht="21.6" x14ac:dyDescent="0.65">
      <c r="A82" s="195"/>
      <c r="B82" s="140">
        <v>79</v>
      </c>
      <c r="C82" s="2"/>
      <c r="D82" s="1"/>
      <c r="E82" s="3"/>
      <c r="F82" s="1"/>
      <c r="G82" s="141">
        <f>IF(Basic3[[#This Row],[نوع الخدمة]]="مخالفات", 50,
IF(Basic3[[#This Row],[نوع الخدمة]]="كاش ان",
    IF(F82&lt;=100, 18, IF(F82&lt;=250, 23, IF(F82&lt;=500, 35, IF(F82&lt;=1000, 40, F82*0.04)))),
IF(Basic3[[#This Row],[نوع الخدمة]]="كاش اوت",
    IF(F82&lt;=100, 15, IF(F82&lt;=250, 20, IF(F82&lt;=500, 30, IF(F82&lt;=1000, 35, F82*0.035)))),
0)))</f>
        <v>0</v>
      </c>
      <c r="H82" s="159">
        <f>IF(I82="مخالفات",50,Basic3[[#This Row],[قيمة الرسوم / العموله]]+Basic3[[#This Row],[قيمة الشحنه]])</f>
        <v>0</v>
      </c>
      <c r="I82" s="90"/>
      <c r="J82" s="142" t="str">
        <f t="shared" si="1"/>
        <v>30.5.2026</v>
      </c>
      <c r="L82" s="153">
        <v>71</v>
      </c>
      <c r="M82" s="92"/>
    </row>
    <row r="83" spans="1:13" ht="21.6" x14ac:dyDescent="0.65">
      <c r="A83" s="195"/>
      <c r="B83" s="140">
        <v>80</v>
      </c>
      <c r="C83" s="2"/>
      <c r="D83" s="1"/>
      <c r="E83" s="3"/>
      <c r="F83" s="1"/>
      <c r="G83" s="141">
        <f>IF(Basic3[[#This Row],[نوع الخدمة]]="مخالفات", 50,
IF(Basic3[[#This Row],[نوع الخدمة]]="كاش ان",
    IF(F83&lt;=100, 18, IF(F83&lt;=250, 23, IF(F83&lt;=500, 35, IF(F83&lt;=1000, 40, F83*0.04)))),
IF(Basic3[[#This Row],[نوع الخدمة]]="كاش اوت",
    IF(F83&lt;=100, 15, IF(F83&lt;=250, 20, IF(F83&lt;=500, 30, IF(F83&lt;=1000, 35, F83*0.035)))),
0)))</f>
        <v>0</v>
      </c>
      <c r="H83" s="159">
        <f>IF(I83="مخالفات",50,Basic3[[#This Row],[قيمة الرسوم / العموله]]+Basic3[[#This Row],[قيمة الشحنه]])</f>
        <v>0</v>
      </c>
      <c r="I83" s="90"/>
      <c r="J83" s="142" t="str">
        <f t="shared" si="1"/>
        <v>30.5.2026</v>
      </c>
      <c r="L83" s="153">
        <v>72</v>
      </c>
      <c r="M83" s="92"/>
    </row>
    <row r="84" spans="1:13" ht="21.6" x14ac:dyDescent="0.65">
      <c r="A84" s="195"/>
      <c r="B84" s="140">
        <v>81</v>
      </c>
      <c r="C84" s="2"/>
      <c r="D84" s="1"/>
      <c r="E84" s="3"/>
      <c r="F84" s="1"/>
      <c r="G84" s="141">
        <f>IF(Basic3[[#This Row],[نوع الخدمة]]="مخالفات", 50,
IF(Basic3[[#This Row],[نوع الخدمة]]="كاش ان",
    IF(F84&lt;=100, 18, IF(F84&lt;=250, 23, IF(F84&lt;=500, 35, IF(F84&lt;=1000, 40, F84*0.04)))),
IF(Basic3[[#This Row],[نوع الخدمة]]="كاش اوت",
    IF(F84&lt;=100, 15, IF(F84&lt;=250, 20, IF(F84&lt;=500, 30, IF(F84&lt;=1000, 35, F84*0.035)))),
0)))</f>
        <v>0</v>
      </c>
      <c r="H84" s="159">
        <f>IF(I84="مخالفات",50,Basic3[[#This Row],[قيمة الرسوم / العموله]]+Basic3[[#This Row],[قيمة الشحنه]])</f>
        <v>0</v>
      </c>
      <c r="I84" s="90"/>
      <c r="J84" s="142" t="str">
        <f t="shared" si="1"/>
        <v>30.5.2026</v>
      </c>
      <c r="L84" s="153">
        <v>73</v>
      </c>
      <c r="M84" s="92"/>
    </row>
    <row r="85" spans="1:13" ht="21.6" x14ac:dyDescent="0.65">
      <c r="A85" s="195"/>
      <c r="B85" s="144">
        <v>82</v>
      </c>
      <c r="C85" s="2"/>
      <c r="D85" s="1"/>
      <c r="E85" s="3"/>
      <c r="F85" s="1"/>
      <c r="G85" s="141">
        <f>IF(Basic3[[#This Row],[نوع الخدمة]]="مخالفات", 50,
IF(Basic3[[#This Row],[نوع الخدمة]]="كاش ان",
    IF(F85&lt;=100, 18, IF(F85&lt;=250, 23, IF(F85&lt;=500, 35, IF(F85&lt;=1000, 40, F85*0.04)))),
IF(Basic3[[#This Row],[نوع الخدمة]]="كاش اوت",
    IF(F85&lt;=100, 15, IF(F85&lt;=250, 20, IF(F85&lt;=500, 30, IF(F85&lt;=1000, 35, F85*0.035)))),
0)))</f>
        <v>0</v>
      </c>
      <c r="H85" s="159">
        <f>IF(I85="مخالفات",50,Basic3[[#This Row],[قيمة الرسوم / العموله]]+Basic3[[#This Row],[قيمة الشحنه]])</f>
        <v>0</v>
      </c>
      <c r="I85" s="90"/>
      <c r="J85" s="142" t="str">
        <f t="shared" si="1"/>
        <v>30.5.2026</v>
      </c>
      <c r="L85" s="153">
        <v>74</v>
      </c>
      <c r="M85" s="92"/>
    </row>
    <row r="86" spans="1:13" ht="21.6" x14ac:dyDescent="0.65">
      <c r="A86" s="195"/>
      <c r="B86" s="140">
        <v>83</v>
      </c>
      <c r="C86" s="2"/>
      <c r="D86" s="1"/>
      <c r="E86" s="3"/>
      <c r="F86" s="1"/>
      <c r="G86" s="141">
        <f>IF(Basic3[[#This Row],[نوع الخدمة]]="مخالفات", 50,
IF(Basic3[[#This Row],[نوع الخدمة]]="كاش ان",
    IF(F86&lt;=100, 18, IF(F86&lt;=250, 23, IF(F86&lt;=500, 35, IF(F86&lt;=1000, 40, F86*0.04)))),
IF(Basic3[[#This Row],[نوع الخدمة]]="كاش اوت",
    IF(F86&lt;=100, 15, IF(F86&lt;=250, 20, IF(F86&lt;=500, 30, IF(F86&lt;=1000, 35, F86*0.035)))),
0)))</f>
        <v>0</v>
      </c>
      <c r="H86" s="159">
        <f>IF(I86="مخالفات",50,Basic3[[#This Row],[قيمة الرسوم / العموله]]+Basic3[[#This Row],[قيمة الشحنه]])</f>
        <v>0</v>
      </c>
      <c r="I86" s="90"/>
      <c r="J86" s="142" t="str">
        <f t="shared" si="1"/>
        <v>30.5.2026</v>
      </c>
      <c r="L86" s="153">
        <v>75</v>
      </c>
      <c r="M86" s="92"/>
    </row>
    <row r="87" spans="1:13" ht="21.6" x14ac:dyDescent="0.65">
      <c r="A87" s="195"/>
      <c r="B87" s="140">
        <v>84</v>
      </c>
      <c r="C87" s="2"/>
      <c r="D87" s="1"/>
      <c r="E87" s="3"/>
      <c r="F87" s="1"/>
      <c r="G87" s="141">
        <f>IF(Basic3[[#This Row],[نوع الخدمة]]="مخالفات", 50,
IF(Basic3[[#This Row],[نوع الخدمة]]="كاش ان",
    IF(F87&lt;=100, 18, IF(F87&lt;=250, 23, IF(F87&lt;=500, 35, IF(F87&lt;=1000, 40, F87*0.04)))),
IF(Basic3[[#This Row],[نوع الخدمة]]="كاش اوت",
    IF(F87&lt;=100, 15, IF(F87&lt;=250, 20, IF(F87&lt;=500, 30, IF(F87&lt;=1000, 35, F87*0.035)))),
0)))</f>
        <v>0</v>
      </c>
      <c r="H87" s="159">
        <f>IF(I87="مخالفات",50,Basic3[[#This Row],[قيمة الرسوم / العموله]]+Basic3[[#This Row],[قيمة الشحنه]])</f>
        <v>0</v>
      </c>
      <c r="I87" s="90"/>
      <c r="J87" s="142" t="str">
        <f t="shared" si="1"/>
        <v>30.5.2026</v>
      </c>
      <c r="L87" s="153">
        <v>76</v>
      </c>
      <c r="M87" s="92"/>
    </row>
    <row r="88" spans="1:13" ht="21.6" x14ac:dyDescent="0.65">
      <c r="A88" s="195"/>
      <c r="B88" s="140">
        <v>85</v>
      </c>
      <c r="C88" s="2"/>
      <c r="D88" s="1"/>
      <c r="E88" s="3"/>
      <c r="F88" s="1"/>
      <c r="G88" s="141">
        <f>IF(Basic3[[#This Row],[نوع الخدمة]]="مخالفات", 50,
IF(Basic3[[#This Row],[نوع الخدمة]]="كاش ان",
    IF(F88&lt;=100, 18, IF(F88&lt;=250, 23, IF(F88&lt;=500, 35, IF(F88&lt;=1000, 40, F88*0.04)))),
IF(Basic3[[#This Row],[نوع الخدمة]]="كاش اوت",
    IF(F88&lt;=100, 15, IF(F88&lt;=250, 20, IF(F88&lt;=500, 30, IF(F88&lt;=1000, 35, F88*0.035)))),
0)))</f>
        <v>0</v>
      </c>
      <c r="H88" s="159">
        <f>IF(I88="مخالفات",50,Basic3[[#This Row],[قيمة الرسوم / العموله]]+Basic3[[#This Row],[قيمة الشحنه]])</f>
        <v>0</v>
      </c>
      <c r="I88" s="90"/>
      <c r="J88" s="142" t="str">
        <f t="shared" si="1"/>
        <v>30.5.2026</v>
      </c>
      <c r="L88" s="153">
        <v>77</v>
      </c>
      <c r="M88" s="92"/>
    </row>
    <row r="89" spans="1:13" ht="21.6" x14ac:dyDescent="0.65">
      <c r="A89" s="195"/>
      <c r="B89" s="144">
        <v>86</v>
      </c>
      <c r="C89" s="2"/>
      <c r="D89" s="1"/>
      <c r="E89" s="3"/>
      <c r="F89" s="1"/>
      <c r="G89" s="141">
        <f>IF(Basic3[[#This Row],[نوع الخدمة]]="مخالفات", 50,
IF(Basic3[[#This Row],[نوع الخدمة]]="كاش ان",
    IF(F89&lt;=100, 18, IF(F89&lt;=250, 23, IF(F89&lt;=500, 35, IF(F89&lt;=1000, 40, F89*0.04)))),
IF(Basic3[[#This Row],[نوع الخدمة]]="كاش اوت",
    IF(F89&lt;=100, 15, IF(F89&lt;=250, 20, IF(F89&lt;=500, 30, IF(F89&lt;=1000, 35, F89*0.035)))),
0)))</f>
        <v>0</v>
      </c>
      <c r="H89" s="159">
        <f>IF(I89="مخالفات",50,Basic3[[#This Row],[قيمة الرسوم / العموله]]+Basic3[[#This Row],[قيمة الشحنه]])</f>
        <v>0</v>
      </c>
      <c r="I89" s="90"/>
      <c r="J89" s="142" t="str">
        <f t="shared" si="1"/>
        <v>30.5.2026</v>
      </c>
      <c r="L89" s="153">
        <v>78</v>
      </c>
      <c r="M89" s="92"/>
    </row>
    <row r="90" spans="1:13" ht="21.6" x14ac:dyDescent="0.65">
      <c r="A90" s="195"/>
      <c r="B90" s="140">
        <v>87</v>
      </c>
      <c r="C90" s="2"/>
      <c r="D90" s="1"/>
      <c r="E90" s="3"/>
      <c r="F90" s="1"/>
      <c r="G90" s="141">
        <f>IF(Basic3[[#This Row],[نوع الخدمة]]="مخالفات", 50,
IF(Basic3[[#This Row],[نوع الخدمة]]="كاش ان",
    IF(F90&lt;=100, 18, IF(F90&lt;=250, 23, IF(F90&lt;=500, 35, IF(F90&lt;=1000, 40, F90*0.04)))),
IF(Basic3[[#This Row],[نوع الخدمة]]="كاش اوت",
    IF(F90&lt;=100, 15, IF(F90&lt;=250, 20, IF(F90&lt;=500, 30, IF(F90&lt;=1000, 35, F90*0.035)))),
0)))</f>
        <v>0</v>
      </c>
      <c r="H90" s="159">
        <f>IF(I90="مخالفات",50,Basic3[[#This Row],[قيمة الرسوم / العموله]]+Basic3[[#This Row],[قيمة الشحنه]])</f>
        <v>0</v>
      </c>
      <c r="I90" s="90"/>
      <c r="J90" s="142" t="str">
        <f t="shared" si="1"/>
        <v>30.5.2026</v>
      </c>
      <c r="L90" s="153">
        <v>79</v>
      </c>
      <c r="M90" s="92"/>
    </row>
    <row r="91" spans="1:13" ht="21.6" x14ac:dyDescent="0.65">
      <c r="A91" s="195"/>
      <c r="B91" s="140">
        <v>88</v>
      </c>
      <c r="C91" s="2"/>
      <c r="D91" s="1"/>
      <c r="E91" s="3"/>
      <c r="F91" s="1"/>
      <c r="G91" s="141">
        <f>IF(Basic3[[#This Row],[نوع الخدمة]]="مخالفات", 50,
IF(Basic3[[#This Row],[نوع الخدمة]]="كاش ان",
    IF(F91&lt;=100, 18, IF(F91&lt;=250, 23, IF(F91&lt;=500, 35, IF(F91&lt;=1000, 40, F91*0.04)))),
IF(Basic3[[#This Row],[نوع الخدمة]]="كاش اوت",
    IF(F91&lt;=100, 15, IF(F91&lt;=250, 20, IF(F91&lt;=500, 30, IF(F91&lt;=1000, 35, F91*0.035)))),
0)))</f>
        <v>0</v>
      </c>
      <c r="H91" s="159">
        <f>IF(I91="مخالفات",50,Basic3[[#This Row],[قيمة الرسوم / العموله]]+Basic3[[#This Row],[قيمة الشحنه]])</f>
        <v>0</v>
      </c>
      <c r="I91" s="90"/>
      <c r="J91" s="142" t="str">
        <f t="shared" si="1"/>
        <v>30.5.2026</v>
      </c>
      <c r="L91" s="153">
        <v>80</v>
      </c>
      <c r="M91" s="92"/>
    </row>
    <row r="92" spans="1:13" ht="21.6" x14ac:dyDescent="0.65">
      <c r="A92" s="195"/>
      <c r="B92" s="140">
        <v>89</v>
      </c>
      <c r="C92" s="2"/>
      <c r="D92" s="1"/>
      <c r="E92" s="3"/>
      <c r="F92" s="1"/>
      <c r="G92" s="141">
        <f>IF(Basic3[[#This Row],[نوع الخدمة]]="مخالفات", 50,
IF(Basic3[[#This Row],[نوع الخدمة]]="كاش ان",
    IF(F92&lt;=100, 18, IF(F92&lt;=250, 23, IF(F92&lt;=500, 35, IF(F92&lt;=1000, 40, F92*0.04)))),
IF(Basic3[[#This Row],[نوع الخدمة]]="كاش اوت",
    IF(F92&lt;=100, 15, IF(F92&lt;=250, 20, IF(F92&lt;=500, 30, IF(F92&lt;=1000, 35, F92*0.035)))),
0)))</f>
        <v>0</v>
      </c>
      <c r="H92" s="159">
        <f>IF(I92="مخالفات",50,Basic3[[#This Row],[قيمة الرسوم / العموله]]+Basic3[[#This Row],[قيمة الشحنه]])</f>
        <v>0</v>
      </c>
      <c r="I92" s="90"/>
      <c r="J92" s="142" t="str">
        <f t="shared" si="1"/>
        <v>30.5.2026</v>
      </c>
      <c r="L92" s="153">
        <v>81</v>
      </c>
      <c r="M92" s="92"/>
    </row>
    <row r="93" spans="1:13" ht="21.6" x14ac:dyDescent="0.65">
      <c r="A93" s="195"/>
      <c r="B93" s="144">
        <v>90</v>
      </c>
      <c r="C93" s="2"/>
      <c r="D93" s="1"/>
      <c r="E93" s="3"/>
      <c r="F93" s="1"/>
      <c r="G93" s="141">
        <f>IF(Basic3[[#This Row],[نوع الخدمة]]="مخالفات", 50,
IF(Basic3[[#This Row],[نوع الخدمة]]="كاش ان",
    IF(F93&lt;=100, 18, IF(F93&lt;=250, 23, IF(F93&lt;=500, 35, IF(F93&lt;=1000, 40, F93*0.04)))),
IF(Basic3[[#This Row],[نوع الخدمة]]="كاش اوت",
    IF(F93&lt;=100, 15, IF(F93&lt;=250, 20, IF(F93&lt;=500, 30, IF(F93&lt;=1000, 35, F93*0.035)))),
0)))</f>
        <v>0</v>
      </c>
      <c r="H93" s="159">
        <f>IF(I93="مخالفات",50,Basic3[[#This Row],[قيمة الرسوم / العموله]]+Basic3[[#This Row],[قيمة الشحنه]])</f>
        <v>0</v>
      </c>
      <c r="I93" s="90"/>
      <c r="J93" s="142" t="str">
        <f t="shared" si="1"/>
        <v>30.5.2026</v>
      </c>
      <c r="L93" s="153">
        <v>82</v>
      </c>
      <c r="M93" s="92"/>
    </row>
    <row r="94" spans="1:13" ht="21.6" x14ac:dyDescent="0.65">
      <c r="A94" s="195"/>
      <c r="B94" s="140">
        <v>91</v>
      </c>
      <c r="C94" s="2"/>
      <c r="D94" s="1"/>
      <c r="E94" s="3"/>
      <c r="F94" s="1"/>
      <c r="G94" s="141">
        <f>IF(Basic3[[#This Row],[نوع الخدمة]]="مخالفات", 50,
IF(Basic3[[#This Row],[نوع الخدمة]]="كاش ان",
    IF(F94&lt;=100, 18, IF(F94&lt;=250, 23, IF(F94&lt;=500, 35, IF(F94&lt;=1000, 40, F94*0.04)))),
IF(Basic3[[#This Row],[نوع الخدمة]]="كاش اوت",
    IF(F94&lt;=100, 15, IF(F94&lt;=250, 20, IF(F94&lt;=500, 30, IF(F94&lt;=1000, 35, F94*0.035)))),
0)))</f>
        <v>0</v>
      </c>
      <c r="H94" s="159">
        <f>IF(I94="مخالفات",50,Basic3[[#This Row],[قيمة الرسوم / العموله]]+Basic3[[#This Row],[قيمة الشحنه]])</f>
        <v>0</v>
      </c>
      <c r="I94" s="90"/>
      <c r="J94" s="142" t="str">
        <f t="shared" si="1"/>
        <v>30.5.2026</v>
      </c>
      <c r="L94" s="153">
        <v>83</v>
      </c>
      <c r="M94" s="92"/>
    </row>
    <row r="95" spans="1:13" ht="21.6" x14ac:dyDescent="0.65">
      <c r="A95" s="195"/>
      <c r="B95" s="140">
        <v>92</v>
      </c>
      <c r="C95" s="2"/>
      <c r="D95" s="1"/>
      <c r="E95" s="3"/>
      <c r="F95" s="1"/>
      <c r="G95" s="141">
        <f>IF(Basic3[[#This Row],[نوع الخدمة]]="مخالفات", 50,
IF(Basic3[[#This Row],[نوع الخدمة]]="كاش ان",
    IF(F95&lt;=100, 18, IF(F95&lt;=250, 23, IF(F95&lt;=500, 35, IF(F95&lt;=1000, 40, F95*0.04)))),
IF(Basic3[[#This Row],[نوع الخدمة]]="كاش اوت",
    IF(F95&lt;=100, 15, IF(F95&lt;=250, 20, IF(F95&lt;=500, 30, IF(F95&lt;=1000, 35, F95*0.035)))),
0)))</f>
        <v>0</v>
      </c>
      <c r="H95" s="159">
        <f>IF(I95="مخالفات",50,Basic3[[#This Row],[قيمة الرسوم / العموله]]+Basic3[[#This Row],[قيمة الشحنه]])</f>
        <v>0</v>
      </c>
      <c r="I95" s="90"/>
      <c r="J95" s="142" t="str">
        <f t="shared" si="1"/>
        <v>30.5.2026</v>
      </c>
      <c r="L95" s="153">
        <v>84</v>
      </c>
      <c r="M95" s="92"/>
    </row>
    <row r="96" spans="1:13" ht="21.6" x14ac:dyDescent="0.65">
      <c r="A96" s="195"/>
      <c r="B96" s="140">
        <v>93</v>
      </c>
      <c r="C96" s="2"/>
      <c r="D96" s="1"/>
      <c r="E96" s="3"/>
      <c r="F96" s="1"/>
      <c r="G96" s="141">
        <f>IF(Basic3[[#This Row],[نوع الخدمة]]="مخالفات", 50,
IF(Basic3[[#This Row],[نوع الخدمة]]="كاش ان",
    IF(F96&lt;=100, 18, IF(F96&lt;=250, 23, IF(F96&lt;=500, 35, IF(F96&lt;=1000, 40, F96*0.04)))),
IF(Basic3[[#This Row],[نوع الخدمة]]="كاش اوت",
    IF(F96&lt;=100, 15, IF(F96&lt;=250, 20, IF(F96&lt;=500, 30, IF(F96&lt;=1000, 35, F96*0.035)))),
0)))</f>
        <v>0</v>
      </c>
      <c r="H96" s="159">
        <f>IF(I96="مخالفات",50,Basic3[[#This Row],[قيمة الرسوم / العموله]]+Basic3[[#This Row],[قيمة الشحنه]])</f>
        <v>0</v>
      </c>
      <c r="I96" s="90"/>
      <c r="J96" s="142" t="str">
        <f t="shared" si="1"/>
        <v>30.5.2026</v>
      </c>
      <c r="L96" s="153">
        <v>85</v>
      </c>
      <c r="M96" s="92"/>
    </row>
    <row r="97" spans="1:13" ht="21.6" x14ac:dyDescent="0.65">
      <c r="A97" s="195"/>
      <c r="B97" s="144">
        <v>94</v>
      </c>
      <c r="C97" s="2"/>
      <c r="D97" s="1"/>
      <c r="E97" s="3"/>
      <c r="F97" s="1"/>
      <c r="G97" s="141">
        <f>IF(Basic3[[#This Row],[نوع الخدمة]]="مخالفات", 50,
IF(Basic3[[#This Row],[نوع الخدمة]]="كاش ان",
    IF(F97&lt;=100, 18, IF(F97&lt;=250, 23, IF(F97&lt;=500, 35, IF(F97&lt;=1000, 40, F97*0.04)))),
IF(Basic3[[#This Row],[نوع الخدمة]]="كاش اوت",
    IF(F97&lt;=100, 15, IF(F97&lt;=250, 20, IF(F97&lt;=500, 30, IF(F97&lt;=1000, 35, F97*0.035)))),
0)))</f>
        <v>0</v>
      </c>
      <c r="H97" s="159">
        <f>IF(I97="مخالفات",50,Basic3[[#This Row],[قيمة الرسوم / العموله]]+Basic3[[#This Row],[قيمة الشحنه]])</f>
        <v>0</v>
      </c>
      <c r="I97" s="90"/>
      <c r="J97" s="142" t="str">
        <f t="shared" si="1"/>
        <v>30.5.2026</v>
      </c>
      <c r="L97" s="153">
        <v>86</v>
      </c>
      <c r="M97" s="92"/>
    </row>
    <row r="98" spans="1:13" ht="21.6" x14ac:dyDescent="0.65">
      <c r="A98" s="195"/>
      <c r="B98" s="140">
        <v>95</v>
      </c>
      <c r="C98" s="2"/>
      <c r="D98" s="1"/>
      <c r="E98" s="3"/>
      <c r="F98" s="1"/>
      <c r="G98" s="141">
        <f>IF(Basic3[[#This Row],[نوع الخدمة]]="مخالفات", 50,
IF(Basic3[[#This Row],[نوع الخدمة]]="كاش ان",
    IF(F98&lt;=100, 18, IF(F98&lt;=250, 23, IF(F98&lt;=500, 35, IF(F98&lt;=1000, 40, F98*0.04)))),
IF(Basic3[[#This Row],[نوع الخدمة]]="كاش اوت",
    IF(F98&lt;=100, 15, IF(F98&lt;=250, 20, IF(F98&lt;=500, 30, IF(F98&lt;=1000, 35, F98*0.035)))),
0)))</f>
        <v>0</v>
      </c>
      <c r="H98" s="159">
        <f>IF(I98="مخالفات",50,Basic3[[#This Row],[قيمة الرسوم / العموله]]+Basic3[[#This Row],[قيمة الشحنه]])</f>
        <v>0</v>
      </c>
      <c r="I98" s="90"/>
      <c r="J98" s="142" t="str">
        <f t="shared" si="1"/>
        <v>30.5.2026</v>
      </c>
      <c r="L98" s="153">
        <v>87</v>
      </c>
      <c r="M98" s="92"/>
    </row>
    <row r="99" spans="1:13" ht="21.6" x14ac:dyDescent="0.65">
      <c r="A99" s="195"/>
      <c r="B99" s="140">
        <v>96</v>
      </c>
      <c r="C99" s="2"/>
      <c r="D99" s="1"/>
      <c r="E99" s="3"/>
      <c r="F99" s="1"/>
      <c r="G99" s="141">
        <f>IF(Basic3[[#This Row],[نوع الخدمة]]="مخالفات", 50,
IF(Basic3[[#This Row],[نوع الخدمة]]="كاش ان",
    IF(F99&lt;=100, 18, IF(F99&lt;=250, 23, IF(F99&lt;=500, 35, IF(F99&lt;=1000, 40, F99*0.04)))),
IF(Basic3[[#This Row],[نوع الخدمة]]="كاش اوت",
    IF(F99&lt;=100, 15, IF(F99&lt;=250, 20, IF(F99&lt;=500, 30, IF(F99&lt;=1000, 35, F99*0.035)))),
0)))</f>
        <v>0</v>
      </c>
      <c r="H99" s="159">
        <f>IF(I99="مخالفات",50,Basic3[[#This Row],[قيمة الرسوم / العموله]]+Basic3[[#This Row],[قيمة الشحنه]])</f>
        <v>0</v>
      </c>
      <c r="I99" s="90"/>
      <c r="J99" s="142" t="str">
        <f t="shared" si="1"/>
        <v>30.5.2026</v>
      </c>
      <c r="L99" s="153">
        <v>88</v>
      </c>
      <c r="M99" s="92"/>
    </row>
    <row r="100" spans="1:13" ht="21.6" x14ac:dyDescent="0.65">
      <c r="A100" s="195"/>
      <c r="B100" s="140">
        <v>97</v>
      </c>
      <c r="C100" s="2"/>
      <c r="D100" s="1"/>
      <c r="E100" s="3"/>
      <c r="F100" s="1"/>
      <c r="G100" s="141">
        <f>IF(Basic3[[#This Row],[نوع الخدمة]]="مخالفات", 50,
IF(Basic3[[#This Row],[نوع الخدمة]]="كاش ان",
    IF(F100&lt;=100, 18, IF(F100&lt;=250, 23, IF(F100&lt;=500, 35, IF(F100&lt;=1000, 40, F100*0.04)))),
IF(Basic3[[#This Row],[نوع الخدمة]]="كاش اوت",
    IF(F100&lt;=100, 15, IF(F100&lt;=250, 20, IF(F100&lt;=500, 30, IF(F100&lt;=1000, 35, F100*0.035)))),
0)))</f>
        <v>0</v>
      </c>
      <c r="H100" s="159">
        <f>IF(I100="مخالفات",50,Basic3[[#This Row],[قيمة الرسوم / العموله]]+Basic3[[#This Row],[قيمة الشحنه]])</f>
        <v>0</v>
      </c>
      <c r="I100" s="90"/>
      <c r="J100" s="142" t="str">
        <f t="shared" si="1"/>
        <v>30.5.2026</v>
      </c>
      <c r="L100" s="153">
        <v>89</v>
      </c>
      <c r="M100" s="92"/>
    </row>
    <row r="101" spans="1:13" ht="21.6" x14ac:dyDescent="0.65">
      <c r="A101" s="195"/>
      <c r="B101" s="144">
        <v>98</v>
      </c>
      <c r="C101" s="2"/>
      <c r="D101" s="1"/>
      <c r="E101" s="3"/>
      <c r="F101" s="1"/>
      <c r="G101" s="141">
        <f>IF(Basic3[[#This Row],[نوع الخدمة]]="مخالفات", 50,
IF(Basic3[[#This Row],[نوع الخدمة]]="كاش ان",
    IF(F101&lt;=100, 18, IF(F101&lt;=250, 23, IF(F101&lt;=500, 35, IF(F101&lt;=1000, 40, F101*0.04)))),
IF(Basic3[[#This Row],[نوع الخدمة]]="كاش اوت",
    IF(F101&lt;=100, 15, IF(F101&lt;=250, 20, IF(F101&lt;=500, 30, IF(F101&lt;=1000, 35, F101*0.035)))),
0)))</f>
        <v>0</v>
      </c>
      <c r="H101" s="159">
        <f>IF(I101="مخالفات",50,Basic3[[#This Row],[قيمة الرسوم / العموله]]+Basic3[[#This Row],[قيمة الشحنه]])</f>
        <v>0</v>
      </c>
      <c r="I101" s="90"/>
      <c r="J101" s="142" t="str">
        <f t="shared" si="1"/>
        <v>30.5.2026</v>
      </c>
      <c r="L101" s="153">
        <v>90</v>
      </c>
      <c r="M101" s="92"/>
    </row>
    <row r="102" spans="1:13" ht="21.6" x14ac:dyDescent="0.65">
      <c r="A102" s="195"/>
      <c r="B102" s="140">
        <v>99</v>
      </c>
      <c r="C102" s="2"/>
      <c r="D102" s="1"/>
      <c r="E102" s="3"/>
      <c r="F102" s="1"/>
      <c r="G102" s="141">
        <f>IF(Basic3[[#This Row],[نوع الخدمة]]="مخالفات", 50,
IF(Basic3[[#This Row],[نوع الخدمة]]="كاش ان",
    IF(F102&lt;=100, 18, IF(F102&lt;=250, 23, IF(F102&lt;=500, 35, IF(F102&lt;=1000, 40, F102*0.04)))),
IF(Basic3[[#This Row],[نوع الخدمة]]="كاش اوت",
    IF(F102&lt;=100, 15, IF(F102&lt;=250, 20, IF(F102&lt;=500, 30, IF(F102&lt;=1000, 35, F102*0.035)))),
0)))</f>
        <v>0</v>
      </c>
      <c r="H102" s="159">
        <f>IF(I102="مخالفات",50,Basic3[[#This Row],[قيمة الرسوم / العموله]]+Basic3[[#This Row],[قيمة الشحنه]])</f>
        <v>0</v>
      </c>
      <c r="I102" s="90"/>
      <c r="J102" s="142" t="str">
        <f t="shared" si="1"/>
        <v>30.5.2026</v>
      </c>
      <c r="L102" s="153">
        <v>91</v>
      </c>
      <c r="M102" s="92"/>
    </row>
    <row r="103" spans="1:13" ht="21.6" x14ac:dyDescent="0.65">
      <c r="A103" s="195"/>
      <c r="B103" s="140">
        <v>100</v>
      </c>
      <c r="C103" s="2"/>
      <c r="D103" s="1"/>
      <c r="E103" s="3"/>
      <c r="F103" s="1"/>
      <c r="G103" s="141">
        <f>IF(Basic3[[#This Row],[نوع الخدمة]]="مخالفات", 50,
IF(Basic3[[#This Row],[نوع الخدمة]]="كاش ان",
    IF(F103&lt;=100, 18, IF(F103&lt;=250, 23, IF(F103&lt;=500, 35, IF(F103&lt;=1000, 40, F103*0.04)))),
IF(Basic3[[#This Row],[نوع الخدمة]]="كاش اوت",
    IF(F103&lt;=100, 15, IF(F103&lt;=250, 20, IF(F103&lt;=500, 30, IF(F103&lt;=1000, 35, F103*0.035)))),
0)))</f>
        <v>0</v>
      </c>
      <c r="H103" s="159">
        <f>IF(I103="مخالفات",50,Basic3[[#This Row],[قيمة الرسوم / العموله]]+Basic3[[#This Row],[قيمة الشحنه]])</f>
        <v>0</v>
      </c>
      <c r="I103" s="90"/>
      <c r="J103" s="142" t="str">
        <f t="shared" si="1"/>
        <v>30.5.2026</v>
      </c>
      <c r="L103" s="153">
        <v>92</v>
      </c>
      <c r="M103" s="92"/>
    </row>
    <row r="104" spans="1:13" ht="21.6" x14ac:dyDescent="0.65">
      <c r="A104" s="195"/>
      <c r="B104" s="140">
        <v>101</v>
      </c>
      <c r="C104" s="2"/>
      <c r="D104" s="1"/>
      <c r="E104" s="3"/>
      <c r="F104" s="1"/>
      <c r="G104" s="141">
        <f>IF(Basic3[[#This Row],[نوع الخدمة]]="مخالفات", 50,
IF(Basic3[[#This Row],[نوع الخدمة]]="كاش ان",
    IF(F104&lt;=100, 18, IF(F104&lt;=250, 23, IF(F104&lt;=500, 35, IF(F104&lt;=1000, 40, F104*0.04)))),
IF(Basic3[[#This Row],[نوع الخدمة]]="كاش اوت",
    IF(F104&lt;=100, 15, IF(F104&lt;=250, 20, IF(F104&lt;=500, 30, IF(F104&lt;=1000, 35, F104*0.035)))),
0)))</f>
        <v>0</v>
      </c>
      <c r="H104" s="159">
        <f>IF(I104="مخالفات",50,Basic3[[#This Row],[قيمة الرسوم / العموله]]+Basic3[[#This Row],[قيمة الشحنه]])</f>
        <v>0</v>
      </c>
      <c r="I104" s="90"/>
      <c r="J104" s="142" t="str">
        <f t="shared" si="1"/>
        <v>30.5.2026</v>
      </c>
      <c r="L104" s="153">
        <v>93</v>
      </c>
      <c r="M104" s="92"/>
    </row>
    <row r="105" spans="1:13" ht="21.6" x14ac:dyDescent="0.65">
      <c r="A105" s="195"/>
      <c r="B105" s="144">
        <v>102</v>
      </c>
      <c r="C105" s="2"/>
      <c r="D105" s="1"/>
      <c r="E105" s="3"/>
      <c r="F105" s="1"/>
      <c r="G105" s="141">
        <f>IF(Basic3[[#This Row],[نوع الخدمة]]="مخالفات", 50,
IF(Basic3[[#This Row],[نوع الخدمة]]="كاش ان",
    IF(F105&lt;=100, 18, IF(F105&lt;=250, 23, IF(F105&lt;=500, 35, IF(F105&lt;=1000, 40, F105*0.04)))),
IF(Basic3[[#This Row],[نوع الخدمة]]="كاش اوت",
    IF(F105&lt;=100, 15, IF(F105&lt;=250, 20, IF(F105&lt;=500, 30, IF(F105&lt;=1000, 35, F105*0.035)))),
0)))</f>
        <v>0</v>
      </c>
      <c r="H105" s="159">
        <f>IF(I105="مخالفات",50,Basic3[[#This Row],[قيمة الرسوم / العموله]]+Basic3[[#This Row],[قيمة الشحنه]])</f>
        <v>0</v>
      </c>
      <c r="I105" s="90"/>
      <c r="J105" s="142" t="str">
        <f t="shared" si="1"/>
        <v>30.5.2026</v>
      </c>
      <c r="L105" s="153">
        <v>94</v>
      </c>
      <c r="M105" s="92"/>
    </row>
    <row r="106" spans="1:13" ht="21.6" x14ac:dyDescent="0.65">
      <c r="A106" s="195"/>
      <c r="B106" s="140">
        <v>103</v>
      </c>
      <c r="C106" s="2"/>
      <c r="D106" s="1"/>
      <c r="E106" s="3"/>
      <c r="F106" s="1"/>
      <c r="G106" s="141">
        <f>IF(Basic3[[#This Row],[نوع الخدمة]]="مخالفات", 50,
IF(Basic3[[#This Row],[نوع الخدمة]]="كاش ان",
    IF(F106&lt;=100, 18, IF(F106&lt;=250, 23, IF(F106&lt;=500, 35, IF(F106&lt;=1000, 40, F106*0.04)))),
IF(Basic3[[#This Row],[نوع الخدمة]]="كاش اوت",
    IF(F106&lt;=100, 15, IF(F106&lt;=250, 20, IF(F106&lt;=500, 30, IF(F106&lt;=1000, 35, F106*0.035)))),
0)))</f>
        <v>0</v>
      </c>
      <c r="H106" s="159">
        <f>IF(I106="مخالفات",50,Basic3[[#This Row],[قيمة الرسوم / العموله]]+Basic3[[#This Row],[قيمة الشحنه]])</f>
        <v>0</v>
      </c>
      <c r="I106" s="90"/>
      <c r="J106" s="142" t="str">
        <f t="shared" si="1"/>
        <v>30.5.2026</v>
      </c>
      <c r="L106" s="153">
        <v>95</v>
      </c>
      <c r="M106" s="92"/>
    </row>
    <row r="107" spans="1:13" ht="21.6" x14ac:dyDescent="0.65">
      <c r="A107" s="195"/>
      <c r="B107" s="140">
        <v>104</v>
      </c>
      <c r="C107" s="2"/>
      <c r="D107" s="1"/>
      <c r="E107" s="3"/>
      <c r="F107" s="1"/>
      <c r="G107" s="141">
        <f>IF(Basic3[[#This Row],[نوع الخدمة]]="مخالفات", 50,
IF(Basic3[[#This Row],[نوع الخدمة]]="كاش ان",
    IF(F107&lt;=100, 18, IF(F107&lt;=250, 23, IF(F107&lt;=500, 35, IF(F107&lt;=1000, 40, F107*0.04)))),
IF(Basic3[[#This Row],[نوع الخدمة]]="كاش اوت",
    IF(F107&lt;=100, 15, IF(F107&lt;=250, 20, IF(F107&lt;=500, 30, IF(F107&lt;=1000, 35, F107*0.035)))),
0)))</f>
        <v>0</v>
      </c>
      <c r="H107" s="159">
        <f>IF(I107="مخالفات",50,Basic3[[#This Row],[قيمة الرسوم / العموله]]+Basic3[[#This Row],[قيمة الشحنه]])</f>
        <v>0</v>
      </c>
      <c r="I107" s="90"/>
      <c r="J107" s="142" t="str">
        <f t="shared" si="1"/>
        <v>30.5.2026</v>
      </c>
      <c r="L107" s="153">
        <v>96</v>
      </c>
      <c r="M107" s="92"/>
    </row>
    <row r="108" spans="1:13" ht="21.6" x14ac:dyDescent="0.65">
      <c r="A108" s="195"/>
      <c r="B108" s="140">
        <v>105</v>
      </c>
      <c r="C108" s="2"/>
      <c r="D108" s="1"/>
      <c r="E108" s="3"/>
      <c r="F108" s="1"/>
      <c r="G108" s="141">
        <f>IF(Basic3[[#This Row],[نوع الخدمة]]="مخالفات", 50,
IF(Basic3[[#This Row],[نوع الخدمة]]="كاش ان",
    IF(F108&lt;=100, 18, IF(F108&lt;=250, 23, IF(F108&lt;=500, 35, IF(F108&lt;=1000, 40, F108*0.04)))),
IF(Basic3[[#This Row],[نوع الخدمة]]="كاش اوت",
    IF(F108&lt;=100, 15, IF(F108&lt;=250, 20, IF(F108&lt;=500, 30, IF(F108&lt;=1000, 35, F108*0.035)))),
0)))</f>
        <v>0</v>
      </c>
      <c r="H108" s="159">
        <f>IF(I108="مخالفات",50,Basic3[[#This Row],[قيمة الرسوم / العموله]]+Basic3[[#This Row],[قيمة الشحنه]])</f>
        <v>0</v>
      </c>
      <c r="I108" s="90"/>
      <c r="J108" s="142" t="str">
        <f t="shared" si="1"/>
        <v>30.5.2026</v>
      </c>
      <c r="L108" s="153">
        <v>97</v>
      </c>
      <c r="M108" s="92"/>
    </row>
    <row r="109" spans="1:13" ht="21.6" x14ac:dyDescent="0.65">
      <c r="A109" s="195"/>
      <c r="B109" s="144">
        <v>106</v>
      </c>
      <c r="C109" s="2"/>
      <c r="D109" s="1"/>
      <c r="E109" s="3"/>
      <c r="F109" s="1"/>
      <c r="G109" s="141">
        <f>IF(Basic3[[#This Row],[نوع الخدمة]]="مخالفات", 50,
IF(Basic3[[#This Row],[نوع الخدمة]]="كاش ان",
    IF(F109&lt;=100, 18, IF(F109&lt;=250, 23, IF(F109&lt;=500, 35, IF(F109&lt;=1000, 40, F109*0.04)))),
IF(Basic3[[#This Row],[نوع الخدمة]]="كاش اوت",
    IF(F109&lt;=100, 15, IF(F109&lt;=250, 20, IF(F109&lt;=500, 30, IF(F109&lt;=1000, 35, F109*0.035)))),
0)))</f>
        <v>0</v>
      </c>
      <c r="H109" s="159">
        <f>IF(I109="مخالفات",50,Basic3[[#This Row],[قيمة الرسوم / العموله]]+Basic3[[#This Row],[قيمة الشحنه]])</f>
        <v>0</v>
      </c>
      <c r="I109" s="90"/>
      <c r="J109" s="142" t="str">
        <f t="shared" si="1"/>
        <v>30.5.2026</v>
      </c>
      <c r="L109" s="153">
        <v>98</v>
      </c>
      <c r="M109" s="92"/>
    </row>
    <row r="110" spans="1:13" ht="21.6" x14ac:dyDescent="0.65">
      <c r="A110" s="195"/>
      <c r="B110" s="140">
        <v>107</v>
      </c>
      <c r="C110" s="2"/>
      <c r="D110" s="1"/>
      <c r="E110" s="3"/>
      <c r="F110" s="1"/>
      <c r="G110" s="141">
        <f>IF(Basic3[[#This Row],[نوع الخدمة]]="مخالفات", 50,
IF(Basic3[[#This Row],[نوع الخدمة]]="كاش ان",
    IF(F110&lt;=100, 18, IF(F110&lt;=250, 23, IF(F110&lt;=500, 35, IF(F110&lt;=1000, 40, F110*0.04)))),
IF(Basic3[[#This Row],[نوع الخدمة]]="كاش اوت",
    IF(F110&lt;=100, 15, IF(F110&lt;=250, 20, IF(F110&lt;=500, 30, IF(F110&lt;=1000, 35, F110*0.035)))),
0)))</f>
        <v>0</v>
      </c>
      <c r="H110" s="159">
        <f>IF(I110="مخالفات",50,Basic3[[#This Row],[قيمة الرسوم / العموله]]+Basic3[[#This Row],[قيمة الشحنه]])</f>
        <v>0</v>
      </c>
      <c r="I110" s="90"/>
      <c r="J110" s="142" t="str">
        <f t="shared" si="1"/>
        <v>30.5.2026</v>
      </c>
      <c r="L110" s="153">
        <v>99</v>
      </c>
      <c r="M110" s="92"/>
    </row>
    <row r="111" spans="1:13" ht="21.6" x14ac:dyDescent="0.65">
      <c r="A111" s="195"/>
      <c r="B111" s="140">
        <v>108</v>
      </c>
      <c r="C111" s="2"/>
      <c r="D111" s="1"/>
      <c r="E111" s="3"/>
      <c r="F111" s="1"/>
      <c r="G111" s="141">
        <f>IF(Basic3[[#This Row],[نوع الخدمة]]="مخالفات", 50,
IF(Basic3[[#This Row],[نوع الخدمة]]="كاش ان",
    IF(F111&lt;=100, 18, IF(F111&lt;=250, 23, IF(F111&lt;=500, 35, IF(F111&lt;=1000, 40, F111*0.04)))),
IF(Basic3[[#This Row],[نوع الخدمة]]="كاش اوت",
    IF(F111&lt;=100, 15, IF(F111&lt;=250, 20, IF(F111&lt;=500, 30, IF(F111&lt;=1000, 35, F111*0.035)))),
0)))</f>
        <v>0</v>
      </c>
      <c r="H111" s="159">
        <f>IF(I111="مخالفات",50,Basic3[[#This Row],[قيمة الرسوم / العموله]]+Basic3[[#This Row],[قيمة الشحنه]])</f>
        <v>0</v>
      </c>
      <c r="I111" s="90"/>
      <c r="J111" s="142" t="str">
        <f t="shared" si="1"/>
        <v>30.5.2026</v>
      </c>
      <c r="L111" s="153">
        <v>100</v>
      </c>
      <c r="M111" s="92"/>
    </row>
    <row r="112" spans="1:13" ht="21.6" x14ac:dyDescent="0.65">
      <c r="A112" s="195"/>
      <c r="B112" s="140">
        <v>109</v>
      </c>
      <c r="C112" s="2"/>
      <c r="D112" s="1"/>
      <c r="E112" s="3"/>
      <c r="F112" s="1"/>
      <c r="G112" s="141">
        <f>IF(Basic3[[#This Row],[نوع الخدمة]]="مخالفات", 50,
IF(Basic3[[#This Row],[نوع الخدمة]]="كاش ان",
    IF(F112&lt;=100, 18, IF(F112&lt;=250, 23, IF(F112&lt;=500, 35, IF(F112&lt;=1000, 40, F112*0.04)))),
IF(Basic3[[#This Row],[نوع الخدمة]]="كاش اوت",
    IF(F112&lt;=100, 15, IF(F112&lt;=250, 20, IF(F112&lt;=500, 30, IF(F112&lt;=1000, 35, F112*0.035)))),
0)))</f>
        <v>0</v>
      </c>
      <c r="H112" s="159">
        <f>IF(I112="مخالفات",50,Basic3[[#This Row],[قيمة الرسوم / العموله]]+Basic3[[#This Row],[قيمة الشحنه]])</f>
        <v>0</v>
      </c>
      <c r="I112" s="90"/>
      <c r="J112" s="142" t="str">
        <f t="shared" si="1"/>
        <v>30.5.2026</v>
      </c>
      <c r="L112" s="153">
        <v>101</v>
      </c>
      <c r="M112" s="92"/>
    </row>
    <row r="113" spans="1:13" ht="21.6" x14ac:dyDescent="0.65">
      <c r="A113" s="195"/>
      <c r="B113" s="144">
        <v>110</v>
      </c>
      <c r="C113" s="2"/>
      <c r="D113" s="1"/>
      <c r="E113" s="3"/>
      <c r="F113" s="1"/>
      <c r="G113" s="141">
        <f>IF(Basic3[[#This Row],[نوع الخدمة]]="مخالفات", 50,
IF(Basic3[[#This Row],[نوع الخدمة]]="كاش ان",
    IF(F113&lt;=100, 18, IF(F113&lt;=250, 23, IF(F113&lt;=500, 35, IF(F113&lt;=1000, 40, F113*0.04)))),
IF(Basic3[[#This Row],[نوع الخدمة]]="كاش اوت",
    IF(F113&lt;=100, 15, IF(F113&lt;=250, 20, IF(F113&lt;=500, 30, IF(F113&lt;=1000, 35, F113*0.035)))),
0)))</f>
        <v>0</v>
      </c>
      <c r="H113" s="159">
        <f>IF(I113="مخالفات",50,Basic3[[#This Row],[قيمة الرسوم / العموله]]+Basic3[[#This Row],[قيمة الشحنه]])</f>
        <v>0</v>
      </c>
      <c r="I113" s="90"/>
      <c r="J113" s="142" t="str">
        <f t="shared" si="1"/>
        <v>30.5.2026</v>
      </c>
      <c r="L113" s="153">
        <v>102</v>
      </c>
      <c r="M113" s="92"/>
    </row>
    <row r="114" spans="1:13" ht="21.6" x14ac:dyDescent="0.65">
      <c r="A114" s="195"/>
      <c r="B114" s="140">
        <v>111</v>
      </c>
      <c r="C114" s="2"/>
      <c r="D114" s="1"/>
      <c r="E114" s="3"/>
      <c r="F114" s="1"/>
      <c r="G114" s="141">
        <f>IF(Basic3[[#This Row],[نوع الخدمة]]="مخالفات", 50,
IF(Basic3[[#This Row],[نوع الخدمة]]="كاش ان",
    IF(F114&lt;=100, 18, IF(F114&lt;=250, 23, IF(F114&lt;=500, 35, IF(F114&lt;=1000, 40, F114*0.04)))),
IF(Basic3[[#This Row],[نوع الخدمة]]="كاش اوت",
    IF(F114&lt;=100, 15, IF(F114&lt;=250, 20, IF(F114&lt;=500, 30, IF(F114&lt;=1000, 35, F114*0.035)))),
0)))</f>
        <v>0</v>
      </c>
      <c r="H114" s="159">
        <f>IF(I114="مخالفات",50,Basic3[[#This Row],[قيمة الرسوم / العموله]]+Basic3[[#This Row],[قيمة الشحنه]])</f>
        <v>0</v>
      </c>
      <c r="I114" s="90"/>
      <c r="J114" s="142" t="str">
        <f t="shared" si="1"/>
        <v>30.5.2026</v>
      </c>
      <c r="L114" s="153">
        <v>103</v>
      </c>
      <c r="M114" s="92"/>
    </row>
    <row r="115" spans="1:13" ht="21.6" x14ac:dyDescent="0.65">
      <c r="A115" s="195"/>
      <c r="B115" s="140">
        <v>112</v>
      </c>
      <c r="C115" s="2"/>
      <c r="D115" s="1"/>
      <c r="E115" s="3"/>
      <c r="F115" s="1"/>
      <c r="G115" s="141">
        <f>IF(Basic3[[#This Row],[نوع الخدمة]]="مخالفات", 50,
IF(Basic3[[#This Row],[نوع الخدمة]]="كاش ان",
    IF(F115&lt;=100, 18, IF(F115&lt;=250, 23, IF(F115&lt;=500, 35, IF(F115&lt;=1000, 40, F115*0.04)))),
IF(Basic3[[#This Row],[نوع الخدمة]]="كاش اوت",
    IF(F115&lt;=100, 15, IF(F115&lt;=250, 20, IF(F115&lt;=500, 30, IF(F115&lt;=1000, 35, F115*0.035)))),
0)))</f>
        <v>0</v>
      </c>
      <c r="H115" s="159">
        <f>IF(I115="مخالفات",50,Basic3[[#This Row],[قيمة الرسوم / العموله]]+Basic3[[#This Row],[قيمة الشحنه]])</f>
        <v>0</v>
      </c>
      <c r="I115" s="90"/>
      <c r="J115" s="142" t="str">
        <f t="shared" si="1"/>
        <v>30.5.2026</v>
      </c>
      <c r="L115" s="153">
        <v>104</v>
      </c>
      <c r="M115" s="92"/>
    </row>
    <row r="116" spans="1:13" ht="21.6" x14ac:dyDescent="0.65">
      <c r="A116" s="195"/>
      <c r="B116" s="140">
        <v>113</v>
      </c>
      <c r="C116" s="2"/>
      <c r="D116" s="1"/>
      <c r="E116" s="3"/>
      <c r="F116" s="1"/>
      <c r="G116" s="141">
        <f>IF(Basic3[[#This Row],[نوع الخدمة]]="مخالفات", 50,
IF(Basic3[[#This Row],[نوع الخدمة]]="كاش ان",
    IF(F116&lt;=100, 18, IF(F116&lt;=250, 23, IF(F116&lt;=500, 35, IF(F116&lt;=1000, 40, F116*0.04)))),
IF(Basic3[[#This Row],[نوع الخدمة]]="كاش اوت",
    IF(F116&lt;=100, 15, IF(F116&lt;=250, 20, IF(F116&lt;=500, 30, IF(F116&lt;=1000, 35, F116*0.035)))),
0)))</f>
        <v>0</v>
      </c>
      <c r="H116" s="159">
        <f>IF(I116="مخالفات",50,Basic3[[#This Row],[قيمة الرسوم / العموله]]+Basic3[[#This Row],[قيمة الشحنه]])</f>
        <v>0</v>
      </c>
      <c r="I116" s="90"/>
      <c r="J116" s="142" t="str">
        <f t="shared" si="1"/>
        <v>30.5.2026</v>
      </c>
      <c r="L116" s="153">
        <v>105</v>
      </c>
      <c r="M116" s="92"/>
    </row>
    <row r="117" spans="1:13" ht="21.6" x14ac:dyDescent="0.65">
      <c r="A117" s="195"/>
      <c r="B117" s="144">
        <v>114</v>
      </c>
      <c r="C117" s="2"/>
      <c r="D117" s="1"/>
      <c r="E117" s="3"/>
      <c r="F117" s="1"/>
      <c r="G117" s="141">
        <f>IF(Basic3[[#This Row],[نوع الخدمة]]="مخالفات", 50,
IF(Basic3[[#This Row],[نوع الخدمة]]="كاش ان",
    IF(F117&lt;=100, 18, IF(F117&lt;=250, 23, IF(F117&lt;=500, 35, IF(F117&lt;=1000, 40, F117*0.04)))),
IF(Basic3[[#This Row],[نوع الخدمة]]="كاش اوت",
    IF(F117&lt;=100, 15, IF(F117&lt;=250, 20, IF(F117&lt;=500, 30, IF(F117&lt;=1000, 35, F117*0.035)))),
0)))</f>
        <v>0</v>
      </c>
      <c r="H117" s="159">
        <f>IF(I117="مخالفات",50,Basic3[[#This Row],[قيمة الرسوم / العموله]]+Basic3[[#This Row],[قيمة الشحنه]])</f>
        <v>0</v>
      </c>
      <c r="I117" s="90"/>
      <c r="J117" s="142" t="str">
        <f t="shared" si="1"/>
        <v>30.5.2026</v>
      </c>
      <c r="L117" s="153">
        <v>106</v>
      </c>
      <c r="M117" s="92"/>
    </row>
    <row r="118" spans="1:13" ht="21.6" x14ac:dyDescent="0.65">
      <c r="A118" s="195"/>
      <c r="B118" s="140">
        <v>115</v>
      </c>
      <c r="C118" s="2"/>
      <c r="D118" s="1"/>
      <c r="E118" s="3"/>
      <c r="F118" s="1"/>
      <c r="G118" s="141">
        <f>IF(Basic3[[#This Row],[نوع الخدمة]]="مخالفات", 50,
IF(Basic3[[#This Row],[نوع الخدمة]]="كاش ان",
    IF(F118&lt;=100, 18, IF(F118&lt;=250, 23, IF(F118&lt;=500, 35, IF(F118&lt;=1000, 40, F118*0.04)))),
IF(Basic3[[#This Row],[نوع الخدمة]]="كاش اوت",
    IF(F118&lt;=100, 15, IF(F118&lt;=250, 20, IF(F118&lt;=500, 30, IF(F118&lt;=1000, 35, F118*0.035)))),
0)))</f>
        <v>0</v>
      </c>
      <c r="H118" s="159">
        <f>IF(I118="مخالفات",50,Basic3[[#This Row],[قيمة الرسوم / العموله]]+Basic3[[#This Row],[قيمة الشحنه]])</f>
        <v>0</v>
      </c>
      <c r="I118" s="90"/>
      <c r="J118" s="142" t="str">
        <f t="shared" si="1"/>
        <v>30.5.2026</v>
      </c>
      <c r="L118" s="153">
        <v>107</v>
      </c>
      <c r="M118" s="92"/>
    </row>
    <row r="119" spans="1:13" ht="21.6" x14ac:dyDescent="0.65">
      <c r="A119" s="195"/>
      <c r="B119" s="140">
        <v>116</v>
      </c>
      <c r="C119" s="2"/>
      <c r="D119" s="1"/>
      <c r="E119" s="3"/>
      <c r="F119" s="1"/>
      <c r="G119" s="141">
        <f>IF(Basic3[[#This Row],[نوع الخدمة]]="مخالفات", 50,
IF(Basic3[[#This Row],[نوع الخدمة]]="كاش ان",
    IF(F119&lt;=100, 18, IF(F119&lt;=250, 23, IF(F119&lt;=500, 35, IF(F119&lt;=1000, 40, F119*0.04)))),
IF(Basic3[[#This Row],[نوع الخدمة]]="كاش اوت",
    IF(F119&lt;=100, 15, IF(F119&lt;=250, 20, IF(F119&lt;=500, 30, IF(F119&lt;=1000, 35, F119*0.035)))),
0)))</f>
        <v>0</v>
      </c>
      <c r="H119" s="159">
        <f>IF(I119="مخالفات",50,Basic3[[#This Row],[قيمة الرسوم / العموله]]+Basic3[[#This Row],[قيمة الشحنه]])</f>
        <v>0</v>
      </c>
      <c r="I119" s="90"/>
      <c r="J119" s="142" t="str">
        <f t="shared" si="1"/>
        <v>30.5.2026</v>
      </c>
      <c r="L119" s="153">
        <v>108</v>
      </c>
      <c r="M119" s="92"/>
    </row>
    <row r="120" spans="1:13" ht="21.6" x14ac:dyDescent="0.65">
      <c r="A120" s="195"/>
      <c r="B120" s="140">
        <v>117</v>
      </c>
      <c r="C120" s="2"/>
      <c r="D120" s="1"/>
      <c r="E120" s="3"/>
      <c r="F120" s="1"/>
      <c r="G120" s="141">
        <f>IF(Basic3[[#This Row],[نوع الخدمة]]="مخالفات", 50,
IF(Basic3[[#This Row],[نوع الخدمة]]="كاش ان",
    IF(F120&lt;=100, 18, IF(F120&lt;=250, 23, IF(F120&lt;=500, 35, IF(F120&lt;=1000, 40, F120*0.04)))),
IF(Basic3[[#This Row],[نوع الخدمة]]="كاش اوت",
    IF(F120&lt;=100, 15, IF(F120&lt;=250, 20, IF(F120&lt;=500, 30, IF(F120&lt;=1000, 35, F120*0.035)))),
0)))</f>
        <v>0</v>
      </c>
      <c r="H120" s="159">
        <f>IF(I120="مخالفات",50,Basic3[[#This Row],[قيمة الرسوم / العموله]]+Basic3[[#This Row],[قيمة الشحنه]])</f>
        <v>0</v>
      </c>
      <c r="I120" s="90"/>
      <c r="J120" s="142" t="str">
        <f t="shared" si="1"/>
        <v>30.5.2026</v>
      </c>
      <c r="L120" s="153">
        <v>109</v>
      </c>
      <c r="M120" s="92"/>
    </row>
    <row r="121" spans="1:13" ht="21.6" x14ac:dyDescent="0.65">
      <c r="A121" s="195"/>
      <c r="B121" s="144">
        <v>118</v>
      </c>
      <c r="C121" s="2"/>
      <c r="D121" s="1"/>
      <c r="E121" s="3"/>
      <c r="F121" s="1"/>
      <c r="G121" s="141">
        <f>IF(Basic3[[#This Row],[نوع الخدمة]]="مخالفات", 50,
IF(Basic3[[#This Row],[نوع الخدمة]]="كاش ان",
    IF(F121&lt;=100, 18, IF(F121&lt;=250, 23, IF(F121&lt;=500, 35, IF(F121&lt;=1000, 40, F121*0.04)))),
IF(Basic3[[#This Row],[نوع الخدمة]]="كاش اوت",
    IF(F121&lt;=100, 15, IF(F121&lt;=250, 20, IF(F121&lt;=500, 30, IF(F121&lt;=1000, 35, F121*0.035)))),
0)))</f>
        <v>0</v>
      </c>
      <c r="H121" s="159">
        <f>IF(I121="مخالفات",50,Basic3[[#This Row],[قيمة الرسوم / العموله]]+Basic3[[#This Row],[قيمة الشحنه]])</f>
        <v>0</v>
      </c>
      <c r="I121" s="90"/>
      <c r="J121" s="142" t="str">
        <f t="shared" si="1"/>
        <v>30.5.2026</v>
      </c>
      <c r="L121" s="153">
        <v>110</v>
      </c>
      <c r="M121" s="92"/>
    </row>
    <row r="122" spans="1:13" ht="21.6" x14ac:dyDescent="0.65">
      <c r="A122" s="195"/>
      <c r="B122" s="140">
        <v>119</v>
      </c>
      <c r="C122" s="2"/>
      <c r="D122" s="1"/>
      <c r="E122" s="3"/>
      <c r="F122" s="1"/>
      <c r="G122" s="141">
        <f>IF(Basic3[[#This Row],[نوع الخدمة]]="مخالفات", 50,
IF(Basic3[[#This Row],[نوع الخدمة]]="كاش ان",
    IF(F122&lt;=100, 18, IF(F122&lt;=250, 23, IF(F122&lt;=500, 35, IF(F122&lt;=1000, 40, F122*0.04)))),
IF(Basic3[[#This Row],[نوع الخدمة]]="كاش اوت",
    IF(F122&lt;=100, 15, IF(F122&lt;=250, 20, IF(F122&lt;=500, 30, IF(F122&lt;=1000, 35, F122*0.035)))),
0)))</f>
        <v>0</v>
      </c>
      <c r="H122" s="159">
        <f>IF(I122="مخالفات",50,Basic3[[#This Row],[قيمة الرسوم / العموله]]+Basic3[[#This Row],[قيمة الشحنه]])</f>
        <v>0</v>
      </c>
      <c r="I122" s="90"/>
      <c r="J122" s="142" t="str">
        <f t="shared" si="1"/>
        <v>30.5.2026</v>
      </c>
      <c r="L122" s="153">
        <v>111</v>
      </c>
      <c r="M122" s="92"/>
    </row>
    <row r="123" spans="1:13" ht="21.6" x14ac:dyDescent="0.65">
      <c r="A123" s="195"/>
      <c r="B123" s="140">
        <v>120</v>
      </c>
      <c r="C123" s="2"/>
      <c r="D123" s="1"/>
      <c r="E123" s="3"/>
      <c r="F123" s="1"/>
      <c r="G123" s="141">
        <f>IF(Basic3[[#This Row],[نوع الخدمة]]="مخالفات", 50,
IF(Basic3[[#This Row],[نوع الخدمة]]="كاش ان",
    IF(F123&lt;=100, 18, IF(F123&lt;=250, 23, IF(F123&lt;=500, 35, IF(F123&lt;=1000, 40, F123*0.04)))),
IF(Basic3[[#This Row],[نوع الخدمة]]="كاش اوت",
    IF(F123&lt;=100, 15, IF(F123&lt;=250, 20, IF(F123&lt;=500, 30, IF(F123&lt;=1000, 35, F123*0.035)))),
0)))</f>
        <v>0</v>
      </c>
      <c r="H123" s="159">
        <f>IF(I123="مخالفات",50,Basic3[[#This Row],[قيمة الرسوم / العموله]]+Basic3[[#This Row],[قيمة الشحنه]])</f>
        <v>0</v>
      </c>
      <c r="I123" s="90"/>
      <c r="J123" s="142" t="str">
        <f t="shared" si="1"/>
        <v>30.5.2026</v>
      </c>
      <c r="L123" s="153">
        <v>112</v>
      </c>
      <c r="M123" s="92"/>
    </row>
    <row r="124" spans="1:13" ht="21.6" x14ac:dyDescent="0.65">
      <c r="A124" s="195"/>
      <c r="B124" s="140">
        <v>121</v>
      </c>
      <c r="C124" s="2"/>
      <c r="D124" s="1"/>
      <c r="E124" s="3"/>
      <c r="F124" s="1"/>
      <c r="G124" s="141">
        <f>IF(Basic3[[#This Row],[نوع الخدمة]]="مخالفات", 50,
IF(Basic3[[#This Row],[نوع الخدمة]]="كاش ان",
    IF(F124&lt;=100, 18, IF(F124&lt;=250, 23, IF(F124&lt;=500, 35, IF(F124&lt;=1000, 40, F124*0.04)))),
IF(Basic3[[#This Row],[نوع الخدمة]]="كاش اوت",
    IF(F124&lt;=100, 15, IF(F124&lt;=250, 20, IF(F124&lt;=500, 30, IF(F124&lt;=1000, 35, F124*0.035)))),
0)))</f>
        <v>0</v>
      </c>
      <c r="H124" s="159">
        <f>IF(I124="مخالفات",50,Basic3[[#This Row],[قيمة الرسوم / العموله]]+Basic3[[#This Row],[قيمة الشحنه]])</f>
        <v>0</v>
      </c>
      <c r="I124" s="90"/>
      <c r="J124" s="142" t="str">
        <f t="shared" si="1"/>
        <v>30.5.2026</v>
      </c>
      <c r="L124" s="153">
        <v>113</v>
      </c>
      <c r="M124" s="92"/>
    </row>
    <row r="125" spans="1:13" ht="21.6" x14ac:dyDescent="0.65">
      <c r="A125" s="195"/>
      <c r="B125" s="144">
        <v>122</v>
      </c>
      <c r="C125" s="2"/>
      <c r="D125" s="1"/>
      <c r="E125" s="3"/>
      <c r="F125" s="1"/>
      <c r="G125" s="141">
        <f>IF(Basic3[[#This Row],[نوع الخدمة]]="مخالفات", 50,
IF(Basic3[[#This Row],[نوع الخدمة]]="كاش ان",
    IF(F125&lt;=100, 18, IF(F125&lt;=250, 23, IF(F125&lt;=500, 35, IF(F125&lt;=1000, 40, F125*0.04)))),
IF(Basic3[[#This Row],[نوع الخدمة]]="كاش اوت",
    IF(F125&lt;=100, 15, IF(F125&lt;=250, 20, IF(F125&lt;=500, 30, IF(F125&lt;=1000, 35, F125*0.035)))),
0)))</f>
        <v>0</v>
      </c>
      <c r="H125" s="159">
        <f>IF(I125="مخالفات",50,Basic3[[#This Row],[قيمة الرسوم / العموله]]+Basic3[[#This Row],[قيمة الشحنه]])</f>
        <v>0</v>
      </c>
      <c r="I125" s="90"/>
      <c r="J125" s="142" t="str">
        <f t="shared" si="1"/>
        <v>30.5.2026</v>
      </c>
      <c r="L125" s="153">
        <v>114</v>
      </c>
      <c r="M125" s="92"/>
    </row>
    <row r="126" spans="1:13" ht="21.6" x14ac:dyDescent="0.65">
      <c r="A126" s="195"/>
      <c r="B126" s="140">
        <v>123</v>
      </c>
      <c r="C126" s="2"/>
      <c r="D126" s="1"/>
      <c r="E126" s="3"/>
      <c r="F126" s="1"/>
      <c r="G126" s="141">
        <f>IF(Basic3[[#This Row],[نوع الخدمة]]="مخالفات", 50,
IF(Basic3[[#This Row],[نوع الخدمة]]="كاش ان",
    IF(F126&lt;=100, 18, IF(F126&lt;=250, 23, IF(F126&lt;=500, 35, IF(F126&lt;=1000, 40, F126*0.04)))),
IF(Basic3[[#This Row],[نوع الخدمة]]="كاش اوت",
    IF(F126&lt;=100, 15, IF(F126&lt;=250, 20, IF(F126&lt;=500, 30, IF(F126&lt;=1000, 35, F126*0.035)))),
0)))</f>
        <v>0</v>
      </c>
      <c r="H126" s="159">
        <f>IF(I126="مخالفات",50,Basic3[[#This Row],[قيمة الرسوم / العموله]]+Basic3[[#This Row],[قيمة الشحنه]])</f>
        <v>0</v>
      </c>
      <c r="I126" s="90"/>
      <c r="J126" s="142" t="str">
        <f t="shared" si="1"/>
        <v>30.5.2026</v>
      </c>
      <c r="L126" s="153">
        <v>115</v>
      </c>
      <c r="M126" s="92"/>
    </row>
    <row r="127" spans="1:13" ht="21.6" x14ac:dyDescent="0.65">
      <c r="A127" s="195"/>
      <c r="B127" s="140">
        <v>124</v>
      </c>
      <c r="C127" s="2"/>
      <c r="D127" s="1"/>
      <c r="E127" s="3"/>
      <c r="F127" s="1"/>
      <c r="G127" s="141">
        <f>IF(Basic3[[#This Row],[نوع الخدمة]]="مخالفات", 50,
IF(Basic3[[#This Row],[نوع الخدمة]]="كاش ان",
    IF(F127&lt;=100, 18, IF(F127&lt;=250, 23, IF(F127&lt;=500, 35, IF(F127&lt;=1000, 40, F127*0.04)))),
IF(Basic3[[#This Row],[نوع الخدمة]]="كاش اوت",
    IF(F127&lt;=100, 15, IF(F127&lt;=250, 20, IF(F127&lt;=500, 30, IF(F127&lt;=1000, 35, F127*0.035)))),
0)))</f>
        <v>0</v>
      </c>
      <c r="H127" s="159">
        <f>IF(I127="مخالفات",50,Basic3[[#This Row],[قيمة الرسوم / العموله]]+Basic3[[#This Row],[قيمة الشحنه]])</f>
        <v>0</v>
      </c>
      <c r="I127" s="90"/>
      <c r="J127" s="142" t="str">
        <f t="shared" si="1"/>
        <v>30.5.2026</v>
      </c>
      <c r="L127" s="153">
        <v>116</v>
      </c>
      <c r="M127" s="92"/>
    </row>
    <row r="128" spans="1:13" ht="21.6" x14ac:dyDescent="0.65">
      <c r="A128" s="195"/>
      <c r="B128" s="140">
        <v>125</v>
      </c>
      <c r="C128" s="2"/>
      <c r="D128" s="1"/>
      <c r="E128" s="3"/>
      <c r="F128" s="1"/>
      <c r="G128" s="141">
        <f>IF(Basic3[[#This Row],[نوع الخدمة]]="مخالفات", 50,
IF(Basic3[[#This Row],[نوع الخدمة]]="كاش ان",
    IF(F128&lt;=100, 18, IF(F128&lt;=250, 23, IF(F128&lt;=500, 35, IF(F128&lt;=1000, 40, F128*0.04)))),
IF(Basic3[[#This Row],[نوع الخدمة]]="كاش اوت",
    IF(F128&lt;=100, 15, IF(F128&lt;=250, 20, IF(F128&lt;=500, 30, IF(F128&lt;=1000, 35, F128*0.035)))),
0)))</f>
        <v>0</v>
      </c>
      <c r="H128" s="159">
        <f>IF(I128="مخالفات",50,Basic3[[#This Row],[قيمة الرسوم / العموله]]+Basic3[[#This Row],[قيمة الشحنه]])</f>
        <v>0</v>
      </c>
      <c r="I128" s="90"/>
      <c r="J128" s="142" t="str">
        <f t="shared" si="1"/>
        <v>30.5.2026</v>
      </c>
      <c r="L128" s="153">
        <v>117</v>
      </c>
      <c r="M128" s="92"/>
    </row>
    <row r="129" spans="1:13" ht="21.6" x14ac:dyDescent="0.65">
      <c r="A129" s="195"/>
      <c r="B129" s="144">
        <v>126</v>
      </c>
      <c r="C129" s="2"/>
      <c r="D129" s="1"/>
      <c r="E129" s="3"/>
      <c r="F129" s="1"/>
      <c r="G129" s="141">
        <f>IF(Basic3[[#This Row],[نوع الخدمة]]="مخالفات", 50,
IF(Basic3[[#This Row],[نوع الخدمة]]="كاش ان",
    IF(F129&lt;=100, 18, IF(F129&lt;=250, 23, IF(F129&lt;=500, 35, IF(F129&lt;=1000, 40, F129*0.04)))),
IF(Basic3[[#This Row],[نوع الخدمة]]="كاش اوت",
    IF(F129&lt;=100, 15, IF(F129&lt;=250, 20, IF(F129&lt;=500, 30, IF(F129&lt;=1000, 35, F129*0.035)))),
0)))</f>
        <v>0</v>
      </c>
      <c r="H129" s="159">
        <f>IF(I129="مخالفات",50,Basic3[[#This Row],[قيمة الرسوم / العموله]]+Basic3[[#This Row],[قيمة الشحنه]])</f>
        <v>0</v>
      </c>
      <c r="I129" s="90"/>
      <c r="J129" s="142" t="str">
        <f t="shared" si="1"/>
        <v>30.5.2026</v>
      </c>
      <c r="L129" s="153">
        <v>118</v>
      </c>
      <c r="M129" s="92"/>
    </row>
    <row r="130" spans="1:13" ht="21.6" x14ac:dyDescent="0.65">
      <c r="A130" s="195"/>
      <c r="B130" s="140">
        <v>127</v>
      </c>
      <c r="C130" s="2"/>
      <c r="D130" s="1"/>
      <c r="E130" s="3"/>
      <c r="F130" s="1"/>
      <c r="G130" s="141">
        <f>IF(Basic3[[#This Row],[نوع الخدمة]]="مخالفات", 50,
IF(Basic3[[#This Row],[نوع الخدمة]]="كاش ان",
    IF(F130&lt;=100, 18, IF(F130&lt;=250, 23, IF(F130&lt;=500, 35, IF(F130&lt;=1000, 40, F130*0.04)))),
IF(Basic3[[#This Row],[نوع الخدمة]]="كاش اوت",
    IF(F130&lt;=100, 15, IF(F130&lt;=250, 20, IF(F130&lt;=500, 30, IF(F130&lt;=1000, 35, F130*0.035)))),
0)))</f>
        <v>0</v>
      </c>
      <c r="H130" s="159">
        <f>IF(I130="مخالفات",50,Basic3[[#This Row],[قيمة الرسوم / العموله]]+Basic3[[#This Row],[قيمة الشحنه]])</f>
        <v>0</v>
      </c>
      <c r="I130" s="90"/>
      <c r="J130" s="142" t="str">
        <f t="shared" si="1"/>
        <v>30.5.2026</v>
      </c>
      <c r="L130" s="153">
        <v>119</v>
      </c>
      <c r="M130" s="92"/>
    </row>
    <row r="131" spans="1:13" ht="21.6" x14ac:dyDescent="0.65">
      <c r="A131" s="195"/>
      <c r="B131" s="140">
        <v>128</v>
      </c>
      <c r="C131" s="2"/>
      <c r="D131" s="1"/>
      <c r="E131" s="3"/>
      <c r="F131" s="1"/>
      <c r="G131" s="141">
        <f>IF(Basic3[[#This Row],[نوع الخدمة]]="مخالفات", 50,
IF(Basic3[[#This Row],[نوع الخدمة]]="كاش ان",
    IF(F131&lt;=100, 18, IF(F131&lt;=250, 23, IF(F131&lt;=500, 35, IF(F131&lt;=1000, 40, F131*0.04)))),
IF(Basic3[[#This Row],[نوع الخدمة]]="كاش اوت",
    IF(F131&lt;=100, 15, IF(F131&lt;=250, 20, IF(F131&lt;=500, 30, IF(F131&lt;=1000, 35, F131*0.035)))),
0)))</f>
        <v>0</v>
      </c>
      <c r="H131" s="159">
        <f>IF(I131="مخالفات",50,Basic3[[#This Row],[قيمة الرسوم / العموله]]+Basic3[[#This Row],[قيمة الشحنه]])</f>
        <v>0</v>
      </c>
      <c r="I131" s="90"/>
      <c r="J131" s="142" t="str">
        <f t="shared" si="1"/>
        <v>30.5.2026</v>
      </c>
      <c r="L131" s="153">
        <v>120</v>
      </c>
      <c r="M131" s="92"/>
    </row>
    <row r="132" spans="1:13" ht="21.6" x14ac:dyDescent="0.65">
      <c r="A132" s="195"/>
      <c r="B132" s="140">
        <v>129</v>
      </c>
      <c r="C132" s="2"/>
      <c r="D132" s="1"/>
      <c r="E132" s="3"/>
      <c r="F132" s="1"/>
      <c r="G132" s="141">
        <f>IF(Basic3[[#This Row],[نوع الخدمة]]="مخالفات", 50,
IF(Basic3[[#This Row],[نوع الخدمة]]="كاش ان",
    IF(F132&lt;=100, 18, IF(F132&lt;=250, 23, IF(F132&lt;=500, 35, IF(F132&lt;=1000, 40, F132*0.04)))),
IF(Basic3[[#This Row],[نوع الخدمة]]="كاش اوت",
    IF(F132&lt;=100, 15, IF(F132&lt;=250, 20, IF(F132&lt;=500, 30, IF(F132&lt;=1000, 35, F132*0.035)))),
0)))</f>
        <v>0</v>
      </c>
      <c r="H132" s="159">
        <f>IF(I132="مخالفات",50,Basic3[[#This Row],[قيمة الرسوم / العموله]]+Basic3[[#This Row],[قيمة الشحنه]])</f>
        <v>0</v>
      </c>
      <c r="I132" s="90"/>
      <c r="J132" s="142" t="str">
        <f t="shared" ref="J132:J195" si="2">M$3</f>
        <v>30.5.2026</v>
      </c>
      <c r="L132" s="153">
        <v>121</v>
      </c>
      <c r="M132" s="92"/>
    </row>
    <row r="133" spans="1:13" ht="21.6" x14ac:dyDescent="0.65">
      <c r="A133" s="195"/>
      <c r="B133" s="144">
        <v>130</v>
      </c>
      <c r="C133" s="2"/>
      <c r="D133" s="1"/>
      <c r="E133" s="3"/>
      <c r="F133" s="1"/>
      <c r="G133" s="141">
        <f>IF(Basic3[[#This Row],[نوع الخدمة]]="مخالفات", 50,
IF(Basic3[[#This Row],[نوع الخدمة]]="كاش ان",
    IF(F133&lt;=100, 18, IF(F133&lt;=250, 23, IF(F133&lt;=500, 35, IF(F133&lt;=1000, 40, F133*0.04)))),
IF(Basic3[[#This Row],[نوع الخدمة]]="كاش اوت",
    IF(F133&lt;=100, 15, IF(F133&lt;=250, 20, IF(F133&lt;=500, 30, IF(F133&lt;=1000, 35, F133*0.035)))),
0)))</f>
        <v>0</v>
      </c>
      <c r="H133" s="159">
        <f>IF(I133="مخالفات",50,Basic3[[#This Row],[قيمة الرسوم / العموله]]+Basic3[[#This Row],[قيمة الشحنه]])</f>
        <v>0</v>
      </c>
      <c r="I133" s="90"/>
      <c r="J133" s="142" t="str">
        <f t="shared" si="2"/>
        <v>30.5.2026</v>
      </c>
      <c r="L133" s="153">
        <v>122</v>
      </c>
      <c r="M133" s="92"/>
    </row>
    <row r="134" spans="1:13" ht="21.6" x14ac:dyDescent="0.65">
      <c r="A134" s="195"/>
      <c r="B134" s="140">
        <v>131</v>
      </c>
      <c r="C134" s="2"/>
      <c r="D134" s="1"/>
      <c r="E134" s="3"/>
      <c r="F134" s="1"/>
      <c r="G134" s="141">
        <f>IF(Basic3[[#This Row],[نوع الخدمة]]="مخالفات", 50,
IF(Basic3[[#This Row],[نوع الخدمة]]="كاش ان",
    IF(F134&lt;=100, 18, IF(F134&lt;=250, 23, IF(F134&lt;=500, 35, IF(F134&lt;=1000, 40, F134*0.04)))),
IF(Basic3[[#This Row],[نوع الخدمة]]="كاش اوت",
    IF(F134&lt;=100, 15, IF(F134&lt;=250, 20, IF(F134&lt;=500, 30, IF(F134&lt;=1000, 35, F134*0.035)))),
0)))</f>
        <v>0</v>
      </c>
      <c r="H134" s="159">
        <f>IF(I134="مخالفات",50,Basic3[[#This Row],[قيمة الرسوم / العموله]]+Basic3[[#This Row],[قيمة الشحنه]])</f>
        <v>0</v>
      </c>
      <c r="I134" s="90"/>
      <c r="J134" s="142" t="str">
        <f t="shared" si="2"/>
        <v>30.5.2026</v>
      </c>
      <c r="L134" s="153">
        <v>123</v>
      </c>
      <c r="M134" s="92"/>
    </row>
    <row r="135" spans="1:13" ht="21.6" x14ac:dyDescent="0.65">
      <c r="A135" s="195"/>
      <c r="B135" s="140">
        <v>132</v>
      </c>
      <c r="C135" s="2"/>
      <c r="D135" s="1"/>
      <c r="E135" s="3"/>
      <c r="F135" s="1"/>
      <c r="G135" s="141">
        <f>IF(Basic3[[#This Row],[نوع الخدمة]]="مخالفات", 50,
IF(Basic3[[#This Row],[نوع الخدمة]]="كاش ان",
    IF(F135&lt;=100, 18, IF(F135&lt;=250, 23, IF(F135&lt;=500, 35, IF(F135&lt;=1000, 40, F135*0.04)))),
IF(Basic3[[#This Row],[نوع الخدمة]]="كاش اوت",
    IF(F135&lt;=100, 15, IF(F135&lt;=250, 20, IF(F135&lt;=500, 30, IF(F135&lt;=1000, 35, F135*0.035)))),
0)))</f>
        <v>0</v>
      </c>
      <c r="H135" s="159">
        <f>IF(I135="مخالفات",50,Basic3[[#This Row],[قيمة الرسوم / العموله]]+Basic3[[#This Row],[قيمة الشحنه]])</f>
        <v>0</v>
      </c>
      <c r="I135" s="90"/>
      <c r="J135" s="142" t="str">
        <f t="shared" si="2"/>
        <v>30.5.2026</v>
      </c>
      <c r="L135" s="153">
        <v>124</v>
      </c>
      <c r="M135" s="92"/>
    </row>
    <row r="136" spans="1:13" ht="21.6" x14ac:dyDescent="0.65">
      <c r="A136" s="195"/>
      <c r="B136" s="140">
        <v>133</v>
      </c>
      <c r="C136" s="2"/>
      <c r="D136" s="1"/>
      <c r="E136" s="3"/>
      <c r="F136" s="1"/>
      <c r="G136" s="141">
        <f>IF(Basic3[[#This Row],[نوع الخدمة]]="مخالفات", 50,
IF(Basic3[[#This Row],[نوع الخدمة]]="كاش ان",
    IF(F136&lt;=100, 18, IF(F136&lt;=250, 23, IF(F136&lt;=500, 35, IF(F136&lt;=1000, 40, F136*0.04)))),
IF(Basic3[[#This Row],[نوع الخدمة]]="كاش اوت",
    IF(F136&lt;=100, 15, IF(F136&lt;=250, 20, IF(F136&lt;=500, 30, IF(F136&lt;=1000, 35, F136*0.035)))),
0)))</f>
        <v>0</v>
      </c>
      <c r="H136" s="159">
        <f>IF(I136="مخالفات",50,Basic3[[#This Row],[قيمة الرسوم / العموله]]+Basic3[[#This Row],[قيمة الشحنه]])</f>
        <v>0</v>
      </c>
      <c r="I136" s="90"/>
      <c r="J136" s="142" t="str">
        <f t="shared" si="2"/>
        <v>30.5.2026</v>
      </c>
      <c r="L136" s="153">
        <v>125</v>
      </c>
      <c r="M136" s="92"/>
    </row>
    <row r="137" spans="1:13" ht="21.6" x14ac:dyDescent="0.65">
      <c r="A137" s="195"/>
      <c r="B137" s="144">
        <v>134</v>
      </c>
      <c r="C137" s="2"/>
      <c r="D137" s="1"/>
      <c r="E137" s="3"/>
      <c r="F137" s="1"/>
      <c r="G137" s="141">
        <f>IF(Basic3[[#This Row],[نوع الخدمة]]="مخالفات", 50,
IF(Basic3[[#This Row],[نوع الخدمة]]="كاش ان",
    IF(F137&lt;=100, 18, IF(F137&lt;=250, 23, IF(F137&lt;=500, 35, IF(F137&lt;=1000, 40, F137*0.04)))),
IF(Basic3[[#This Row],[نوع الخدمة]]="كاش اوت",
    IF(F137&lt;=100, 15, IF(F137&lt;=250, 20, IF(F137&lt;=500, 30, IF(F137&lt;=1000, 35, F137*0.035)))),
0)))</f>
        <v>0</v>
      </c>
      <c r="H137" s="159">
        <f>IF(I137="مخالفات",50,Basic3[[#This Row],[قيمة الرسوم / العموله]]+Basic3[[#This Row],[قيمة الشحنه]])</f>
        <v>0</v>
      </c>
      <c r="I137" s="90"/>
      <c r="J137" s="142" t="str">
        <f t="shared" si="2"/>
        <v>30.5.2026</v>
      </c>
      <c r="L137" s="153">
        <v>126</v>
      </c>
      <c r="M137" s="92"/>
    </row>
    <row r="138" spans="1:13" ht="21.6" x14ac:dyDescent="0.65">
      <c r="A138" s="195"/>
      <c r="B138" s="140">
        <v>135</v>
      </c>
      <c r="C138" s="2"/>
      <c r="D138" s="1"/>
      <c r="E138" s="3"/>
      <c r="F138" s="1"/>
      <c r="G138" s="141">
        <f>IF(Basic3[[#This Row],[نوع الخدمة]]="مخالفات", 50,
IF(Basic3[[#This Row],[نوع الخدمة]]="كاش ان",
    IF(F138&lt;=100, 18, IF(F138&lt;=250, 23, IF(F138&lt;=500, 35, IF(F138&lt;=1000, 40, F138*0.04)))),
IF(Basic3[[#This Row],[نوع الخدمة]]="كاش اوت",
    IF(F138&lt;=100, 15, IF(F138&lt;=250, 20, IF(F138&lt;=500, 30, IF(F138&lt;=1000, 35, F138*0.035)))),
0)))</f>
        <v>0</v>
      </c>
      <c r="H138" s="159">
        <f>IF(I138="مخالفات",50,Basic3[[#This Row],[قيمة الرسوم / العموله]]+Basic3[[#This Row],[قيمة الشحنه]])</f>
        <v>0</v>
      </c>
      <c r="I138" s="90"/>
      <c r="J138" s="142" t="str">
        <f t="shared" si="2"/>
        <v>30.5.2026</v>
      </c>
      <c r="L138" s="153">
        <v>127</v>
      </c>
      <c r="M138" s="92"/>
    </row>
    <row r="139" spans="1:13" ht="21.6" x14ac:dyDescent="0.65">
      <c r="A139" s="195"/>
      <c r="B139" s="140">
        <v>136</v>
      </c>
      <c r="C139" s="2"/>
      <c r="D139" s="1"/>
      <c r="E139" s="3"/>
      <c r="F139" s="1"/>
      <c r="G139" s="141">
        <f>IF(Basic3[[#This Row],[نوع الخدمة]]="مخالفات", 50,
IF(Basic3[[#This Row],[نوع الخدمة]]="كاش ان",
    IF(F139&lt;=100, 18, IF(F139&lt;=250, 23, IF(F139&lt;=500, 35, IF(F139&lt;=1000, 40, F139*0.04)))),
IF(Basic3[[#This Row],[نوع الخدمة]]="كاش اوت",
    IF(F139&lt;=100, 15, IF(F139&lt;=250, 20, IF(F139&lt;=500, 30, IF(F139&lt;=1000, 35, F139*0.035)))),
0)))</f>
        <v>0</v>
      </c>
      <c r="H139" s="159">
        <f>IF(I139="مخالفات",50,Basic3[[#This Row],[قيمة الرسوم / العموله]]+Basic3[[#This Row],[قيمة الشحنه]])</f>
        <v>0</v>
      </c>
      <c r="I139" s="90"/>
      <c r="J139" s="142" t="str">
        <f t="shared" si="2"/>
        <v>30.5.2026</v>
      </c>
      <c r="L139" s="153">
        <v>128</v>
      </c>
      <c r="M139" s="92"/>
    </row>
    <row r="140" spans="1:13" ht="21.6" x14ac:dyDescent="0.65">
      <c r="A140" s="195"/>
      <c r="B140" s="140">
        <v>137</v>
      </c>
      <c r="C140" s="2"/>
      <c r="D140" s="1"/>
      <c r="E140" s="3"/>
      <c r="F140" s="1"/>
      <c r="G140" s="141">
        <f>IF(Basic3[[#This Row],[نوع الخدمة]]="مخالفات", 50,
IF(Basic3[[#This Row],[نوع الخدمة]]="كاش ان",
    IF(F140&lt;=100, 18, IF(F140&lt;=250, 23, IF(F140&lt;=500, 35, IF(F140&lt;=1000, 40, F140*0.04)))),
IF(Basic3[[#This Row],[نوع الخدمة]]="كاش اوت",
    IF(F140&lt;=100, 15, IF(F140&lt;=250, 20, IF(F140&lt;=500, 30, IF(F140&lt;=1000, 35, F140*0.035)))),
0)))</f>
        <v>0</v>
      </c>
      <c r="H140" s="159">
        <f>IF(I140="مخالفات",50,Basic3[[#This Row],[قيمة الرسوم / العموله]]+Basic3[[#This Row],[قيمة الشحنه]])</f>
        <v>0</v>
      </c>
      <c r="I140" s="90"/>
      <c r="J140" s="142" t="str">
        <f t="shared" si="2"/>
        <v>30.5.2026</v>
      </c>
      <c r="L140" s="153">
        <v>129</v>
      </c>
      <c r="M140" s="92"/>
    </row>
    <row r="141" spans="1:13" ht="21.6" x14ac:dyDescent="0.65">
      <c r="A141" s="195"/>
      <c r="B141" s="144">
        <v>138</v>
      </c>
      <c r="C141" s="2"/>
      <c r="D141" s="1"/>
      <c r="E141" s="3"/>
      <c r="F141" s="1"/>
      <c r="G141" s="141">
        <f>IF(Basic3[[#This Row],[نوع الخدمة]]="مخالفات", 50,
IF(Basic3[[#This Row],[نوع الخدمة]]="كاش ان",
    IF(F141&lt;=100, 18, IF(F141&lt;=250, 23, IF(F141&lt;=500, 35, IF(F141&lt;=1000, 40, F141*0.04)))),
IF(Basic3[[#This Row],[نوع الخدمة]]="كاش اوت",
    IF(F141&lt;=100, 15, IF(F141&lt;=250, 20, IF(F141&lt;=500, 30, IF(F141&lt;=1000, 35, F141*0.035)))),
0)))</f>
        <v>0</v>
      </c>
      <c r="H141" s="159">
        <f>IF(I141="مخالفات",50,Basic3[[#This Row],[قيمة الرسوم / العموله]]+Basic3[[#This Row],[قيمة الشحنه]])</f>
        <v>0</v>
      </c>
      <c r="I141" s="90"/>
      <c r="J141" s="142" t="str">
        <f t="shared" si="2"/>
        <v>30.5.2026</v>
      </c>
      <c r="L141" s="153">
        <v>130</v>
      </c>
      <c r="M141" s="92"/>
    </row>
    <row r="142" spans="1:13" ht="21.6" x14ac:dyDescent="0.65">
      <c r="A142" s="195"/>
      <c r="B142" s="140">
        <v>139</v>
      </c>
      <c r="C142" s="2"/>
      <c r="D142" s="1"/>
      <c r="E142" s="3"/>
      <c r="F142" s="1"/>
      <c r="G142" s="141">
        <f>IF(Basic3[[#This Row],[نوع الخدمة]]="مخالفات", 50,
IF(Basic3[[#This Row],[نوع الخدمة]]="كاش ان",
    IF(F142&lt;=100, 18, IF(F142&lt;=250, 23, IF(F142&lt;=500, 35, IF(F142&lt;=1000, 40, F142*0.04)))),
IF(Basic3[[#This Row],[نوع الخدمة]]="كاش اوت",
    IF(F142&lt;=100, 15, IF(F142&lt;=250, 20, IF(F142&lt;=500, 30, IF(F142&lt;=1000, 35, F142*0.035)))),
0)))</f>
        <v>0</v>
      </c>
      <c r="H142" s="159">
        <f>IF(I142="مخالفات",50,Basic3[[#This Row],[قيمة الرسوم / العموله]]+Basic3[[#This Row],[قيمة الشحنه]])</f>
        <v>0</v>
      </c>
      <c r="I142" s="90"/>
      <c r="J142" s="142" t="str">
        <f t="shared" si="2"/>
        <v>30.5.2026</v>
      </c>
      <c r="L142" s="153">
        <v>131</v>
      </c>
      <c r="M142" s="92"/>
    </row>
    <row r="143" spans="1:13" ht="21.6" x14ac:dyDescent="0.65">
      <c r="A143" s="195"/>
      <c r="B143" s="140">
        <v>140</v>
      </c>
      <c r="C143" s="2"/>
      <c r="D143" s="1"/>
      <c r="E143" s="3"/>
      <c r="F143" s="1"/>
      <c r="G143" s="141">
        <f>IF(Basic3[[#This Row],[نوع الخدمة]]="مخالفات", 50,
IF(Basic3[[#This Row],[نوع الخدمة]]="كاش ان",
    IF(F143&lt;=100, 18, IF(F143&lt;=250, 23, IF(F143&lt;=500, 35, IF(F143&lt;=1000, 40, F143*0.04)))),
IF(Basic3[[#This Row],[نوع الخدمة]]="كاش اوت",
    IF(F143&lt;=100, 15, IF(F143&lt;=250, 20, IF(F143&lt;=500, 30, IF(F143&lt;=1000, 35, F143*0.035)))),
0)))</f>
        <v>0</v>
      </c>
      <c r="H143" s="159">
        <f>IF(I143="مخالفات",50,Basic3[[#This Row],[قيمة الرسوم / العموله]]+Basic3[[#This Row],[قيمة الشحنه]])</f>
        <v>0</v>
      </c>
      <c r="I143" s="90"/>
      <c r="J143" s="142" t="str">
        <f t="shared" si="2"/>
        <v>30.5.2026</v>
      </c>
      <c r="L143" s="153">
        <v>132</v>
      </c>
      <c r="M143" s="92"/>
    </row>
    <row r="144" spans="1:13" ht="21.6" x14ac:dyDescent="0.65">
      <c r="A144" s="195"/>
      <c r="B144" s="140">
        <v>141</v>
      </c>
      <c r="C144" s="2"/>
      <c r="D144" s="1"/>
      <c r="E144" s="3"/>
      <c r="F144" s="1"/>
      <c r="G144" s="141">
        <f>IF(Basic3[[#This Row],[نوع الخدمة]]="مخالفات", 50,
IF(Basic3[[#This Row],[نوع الخدمة]]="كاش ان",
    IF(F144&lt;=100, 18, IF(F144&lt;=250, 23, IF(F144&lt;=500, 35, IF(F144&lt;=1000, 40, F144*0.04)))),
IF(Basic3[[#This Row],[نوع الخدمة]]="كاش اوت",
    IF(F144&lt;=100, 15, IF(F144&lt;=250, 20, IF(F144&lt;=500, 30, IF(F144&lt;=1000, 35, F144*0.035)))),
0)))</f>
        <v>0</v>
      </c>
      <c r="H144" s="159">
        <f>IF(I144="مخالفات",50,Basic3[[#This Row],[قيمة الرسوم / العموله]]+Basic3[[#This Row],[قيمة الشحنه]])</f>
        <v>0</v>
      </c>
      <c r="I144" s="90"/>
      <c r="J144" s="142" t="str">
        <f t="shared" si="2"/>
        <v>30.5.2026</v>
      </c>
      <c r="L144" s="153">
        <v>133</v>
      </c>
      <c r="M144" s="92"/>
    </row>
    <row r="145" spans="1:13" ht="21.6" x14ac:dyDescent="0.65">
      <c r="A145" s="195"/>
      <c r="B145" s="144">
        <v>142</v>
      </c>
      <c r="C145" s="2"/>
      <c r="D145" s="1"/>
      <c r="E145" s="3"/>
      <c r="F145" s="1"/>
      <c r="G145" s="141">
        <f>IF(Basic3[[#This Row],[نوع الخدمة]]="مخالفات", 50,
IF(Basic3[[#This Row],[نوع الخدمة]]="كاش ان",
    IF(F145&lt;=100, 18, IF(F145&lt;=250, 23, IF(F145&lt;=500, 35, IF(F145&lt;=1000, 40, F145*0.04)))),
IF(Basic3[[#This Row],[نوع الخدمة]]="كاش اوت",
    IF(F145&lt;=100, 15, IF(F145&lt;=250, 20, IF(F145&lt;=500, 30, IF(F145&lt;=1000, 35, F145*0.035)))),
0)))</f>
        <v>0</v>
      </c>
      <c r="H145" s="159">
        <f>IF(I145="مخالفات",50,Basic3[[#This Row],[قيمة الرسوم / العموله]]+Basic3[[#This Row],[قيمة الشحنه]])</f>
        <v>0</v>
      </c>
      <c r="I145" s="90"/>
      <c r="J145" s="142" t="str">
        <f t="shared" si="2"/>
        <v>30.5.2026</v>
      </c>
      <c r="L145" s="153">
        <v>134</v>
      </c>
      <c r="M145" s="92"/>
    </row>
    <row r="146" spans="1:13" ht="21.6" x14ac:dyDescent="0.65">
      <c r="A146" s="195"/>
      <c r="B146" s="140">
        <v>143</v>
      </c>
      <c r="C146" s="2"/>
      <c r="D146" s="1"/>
      <c r="E146" s="3"/>
      <c r="F146" s="1"/>
      <c r="G146" s="141">
        <f>IF(Basic3[[#This Row],[نوع الخدمة]]="مخالفات", 50,
IF(Basic3[[#This Row],[نوع الخدمة]]="كاش ان",
    IF(F146&lt;=100, 18, IF(F146&lt;=250, 23, IF(F146&lt;=500, 35, IF(F146&lt;=1000, 40, F146*0.04)))),
IF(Basic3[[#This Row],[نوع الخدمة]]="كاش اوت",
    IF(F146&lt;=100, 15, IF(F146&lt;=250, 20, IF(F146&lt;=500, 30, IF(F146&lt;=1000, 35, F146*0.035)))),
0)))</f>
        <v>0</v>
      </c>
      <c r="H146" s="159">
        <f>IF(I146="مخالفات",50,Basic3[[#This Row],[قيمة الرسوم / العموله]]+Basic3[[#This Row],[قيمة الشحنه]])</f>
        <v>0</v>
      </c>
      <c r="I146" s="90"/>
      <c r="J146" s="142" t="str">
        <f t="shared" si="2"/>
        <v>30.5.2026</v>
      </c>
      <c r="L146" s="153">
        <v>135</v>
      </c>
      <c r="M146" s="92"/>
    </row>
    <row r="147" spans="1:13" ht="21.6" x14ac:dyDescent="0.65">
      <c r="A147" s="195"/>
      <c r="B147" s="140">
        <v>144</v>
      </c>
      <c r="C147" s="2"/>
      <c r="D147" s="1"/>
      <c r="E147" s="3"/>
      <c r="F147" s="1"/>
      <c r="G147" s="141">
        <f>IF(Basic3[[#This Row],[نوع الخدمة]]="مخالفات", 50,
IF(Basic3[[#This Row],[نوع الخدمة]]="كاش ان",
    IF(F147&lt;=100, 18, IF(F147&lt;=250, 23, IF(F147&lt;=500, 35, IF(F147&lt;=1000, 40, F147*0.04)))),
IF(Basic3[[#This Row],[نوع الخدمة]]="كاش اوت",
    IF(F147&lt;=100, 15, IF(F147&lt;=250, 20, IF(F147&lt;=500, 30, IF(F147&lt;=1000, 35, F147*0.035)))),
0)))</f>
        <v>0</v>
      </c>
      <c r="H147" s="159">
        <f>IF(I147="مخالفات",50,Basic3[[#This Row],[قيمة الرسوم / العموله]]+Basic3[[#This Row],[قيمة الشحنه]])</f>
        <v>0</v>
      </c>
      <c r="I147" s="90"/>
      <c r="J147" s="142" t="str">
        <f t="shared" si="2"/>
        <v>30.5.2026</v>
      </c>
      <c r="L147" s="153">
        <v>136</v>
      </c>
      <c r="M147" s="92"/>
    </row>
    <row r="148" spans="1:13" ht="21.6" x14ac:dyDescent="0.65">
      <c r="A148" s="195"/>
      <c r="B148" s="140">
        <v>145</v>
      </c>
      <c r="C148" s="2"/>
      <c r="D148" s="1"/>
      <c r="E148" s="3"/>
      <c r="F148" s="1"/>
      <c r="G148" s="141">
        <f>IF(Basic3[[#This Row],[نوع الخدمة]]="مخالفات", 50,
IF(Basic3[[#This Row],[نوع الخدمة]]="كاش ان",
    IF(F148&lt;=100, 18, IF(F148&lt;=250, 23, IF(F148&lt;=500, 35, IF(F148&lt;=1000, 40, F148*0.04)))),
IF(Basic3[[#This Row],[نوع الخدمة]]="كاش اوت",
    IF(F148&lt;=100, 15, IF(F148&lt;=250, 20, IF(F148&lt;=500, 30, IF(F148&lt;=1000, 35, F148*0.035)))),
0)))</f>
        <v>0</v>
      </c>
      <c r="H148" s="159">
        <f>IF(I148="مخالفات",50,Basic3[[#This Row],[قيمة الرسوم / العموله]]+Basic3[[#This Row],[قيمة الشحنه]])</f>
        <v>0</v>
      </c>
      <c r="I148" s="90"/>
      <c r="J148" s="142" t="str">
        <f t="shared" si="2"/>
        <v>30.5.2026</v>
      </c>
      <c r="L148" s="153">
        <v>137</v>
      </c>
      <c r="M148" s="92"/>
    </row>
    <row r="149" spans="1:13" ht="21.6" x14ac:dyDescent="0.65">
      <c r="A149" s="195"/>
      <c r="B149" s="144">
        <v>146</v>
      </c>
      <c r="C149" s="2"/>
      <c r="D149" s="1"/>
      <c r="E149" s="3"/>
      <c r="F149" s="1"/>
      <c r="G149" s="141">
        <f>IF(Basic3[[#This Row],[نوع الخدمة]]="مخالفات", 50,
IF(Basic3[[#This Row],[نوع الخدمة]]="كاش ان",
    IF(F149&lt;=100, 18, IF(F149&lt;=250, 23, IF(F149&lt;=500, 35, IF(F149&lt;=1000, 40, F149*0.04)))),
IF(Basic3[[#This Row],[نوع الخدمة]]="كاش اوت",
    IF(F149&lt;=100, 15, IF(F149&lt;=250, 20, IF(F149&lt;=500, 30, IF(F149&lt;=1000, 35, F149*0.035)))),
0)))</f>
        <v>0</v>
      </c>
      <c r="H149" s="159">
        <f>IF(I149="مخالفات",50,Basic3[[#This Row],[قيمة الرسوم / العموله]]+Basic3[[#This Row],[قيمة الشحنه]])</f>
        <v>0</v>
      </c>
      <c r="I149" s="90"/>
      <c r="J149" s="142" t="str">
        <f t="shared" si="2"/>
        <v>30.5.2026</v>
      </c>
      <c r="L149" s="153">
        <v>138</v>
      </c>
      <c r="M149" s="92"/>
    </row>
    <row r="150" spans="1:13" ht="21.6" x14ac:dyDescent="0.65">
      <c r="A150" s="195"/>
      <c r="B150" s="140">
        <v>147</v>
      </c>
      <c r="C150" s="2"/>
      <c r="D150" s="1"/>
      <c r="E150" s="3"/>
      <c r="F150" s="1"/>
      <c r="G150" s="141">
        <f>IF(Basic3[[#This Row],[نوع الخدمة]]="مخالفات", 50,
IF(Basic3[[#This Row],[نوع الخدمة]]="كاش ان",
    IF(F150&lt;=100, 18, IF(F150&lt;=250, 23, IF(F150&lt;=500, 35, IF(F150&lt;=1000, 40, F150*0.04)))),
IF(Basic3[[#This Row],[نوع الخدمة]]="كاش اوت",
    IF(F150&lt;=100, 15, IF(F150&lt;=250, 20, IF(F150&lt;=500, 30, IF(F150&lt;=1000, 35, F150*0.035)))),
0)))</f>
        <v>0</v>
      </c>
      <c r="H150" s="159">
        <f>IF(I150="مخالفات",50,Basic3[[#This Row],[قيمة الرسوم / العموله]]+Basic3[[#This Row],[قيمة الشحنه]])</f>
        <v>0</v>
      </c>
      <c r="I150" s="90"/>
      <c r="J150" s="142" t="str">
        <f t="shared" si="2"/>
        <v>30.5.2026</v>
      </c>
      <c r="L150" s="153">
        <v>139</v>
      </c>
      <c r="M150" s="92"/>
    </row>
    <row r="151" spans="1:13" ht="21.6" x14ac:dyDescent="0.65">
      <c r="A151" s="195"/>
      <c r="B151" s="140">
        <v>148</v>
      </c>
      <c r="C151" s="2"/>
      <c r="D151" s="1"/>
      <c r="E151" s="3"/>
      <c r="F151" s="1"/>
      <c r="G151" s="141">
        <f>IF(Basic3[[#This Row],[نوع الخدمة]]="مخالفات", 50,
IF(Basic3[[#This Row],[نوع الخدمة]]="كاش ان",
    IF(F151&lt;=100, 18, IF(F151&lt;=250, 23, IF(F151&lt;=500, 35, IF(F151&lt;=1000, 40, F151*0.04)))),
IF(Basic3[[#This Row],[نوع الخدمة]]="كاش اوت",
    IF(F151&lt;=100, 15, IF(F151&lt;=250, 20, IF(F151&lt;=500, 30, IF(F151&lt;=1000, 35, F151*0.035)))),
0)))</f>
        <v>0</v>
      </c>
      <c r="H151" s="159">
        <f>IF(I151="مخالفات",50,Basic3[[#This Row],[قيمة الرسوم / العموله]]+Basic3[[#This Row],[قيمة الشحنه]])</f>
        <v>0</v>
      </c>
      <c r="I151" s="90"/>
      <c r="J151" s="142" t="str">
        <f t="shared" si="2"/>
        <v>30.5.2026</v>
      </c>
      <c r="L151" s="153">
        <v>140</v>
      </c>
      <c r="M151" s="92"/>
    </row>
    <row r="152" spans="1:13" ht="21.6" x14ac:dyDescent="0.65">
      <c r="A152" s="195"/>
      <c r="B152" s="140">
        <v>149</v>
      </c>
      <c r="C152" s="2"/>
      <c r="D152" s="1"/>
      <c r="E152" s="3"/>
      <c r="F152" s="1"/>
      <c r="G152" s="141">
        <f>IF(Basic3[[#This Row],[نوع الخدمة]]="مخالفات", 50,
IF(Basic3[[#This Row],[نوع الخدمة]]="كاش ان",
    IF(F152&lt;=100, 18, IF(F152&lt;=250, 23, IF(F152&lt;=500, 35, IF(F152&lt;=1000, 40, F152*0.04)))),
IF(Basic3[[#This Row],[نوع الخدمة]]="كاش اوت",
    IF(F152&lt;=100, 15, IF(F152&lt;=250, 20, IF(F152&lt;=500, 30, IF(F152&lt;=1000, 35, F152*0.035)))),
0)))</f>
        <v>0</v>
      </c>
      <c r="H152" s="159">
        <f>IF(I152="مخالفات",50,Basic3[[#This Row],[قيمة الرسوم / العموله]]+Basic3[[#This Row],[قيمة الشحنه]])</f>
        <v>0</v>
      </c>
      <c r="I152" s="90"/>
      <c r="J152" s="142" t="str">
        <f t="shared" si="2"/>
        <v>30.5.2026</v>
      </c>
      <c r="L152" s="153">
        <v>141</v>
      </c>
      <c r="M152" s="92"/>
    </row>
    <row r="153" spans="1:13" ht="21.6" x14ac:dyDescent="0.65">
      <c r="A153" s="195"/>
      <c r="B153" s="144">
        <v>150</v>
      </c>
      <c r="C153" s="2"/>
      <c r="D153" s="1"/>
      <c r="E153" s="3"/>
      <c r="F153" s="1"/>
      <c r="G153" s="141">
        <f>IF(Basic3[[#This Row],[نوع الخدمة]]="مخالفات", 50,
IF(Basic3[[#This Row],[نوع الخدمة]]="كاش ان",
    IF(F153&lt;=100, 18, IF(F153&lt;=250, 23, IF(F153&lt;=500, 35, IF(F153&lt;=1000, 40, F153*0.04)))),
IF(Basic3[[#This Row],[نوع الخدمة]]="كاش اوت",
    IF(F153&lt;=100, 15, IF(F153&lt;=250, 20, IF(F153&lt;=500, 30, IF(F153&lt;=1000, 35, F153*0.035)))),
0)))</f>
        <v>0</v>
      </c>
      <c r="H153" s="159">
        <f>IF(I153="مخالفات",50,Basic3[[#This Row],[قيمة الرسوم / العموله]]+Basic3[[#This Row],[قيمة الشحنه]])</f>
        <v>0</v>
      </c>
      <c r="I153" s="90"/>
      <c r="J153" s="142" t="str">
        <f t="shared" si="2"/>
        <v>30.5.2026</v>
      </c>
      <c r="L153" s="153">
        <v>142</v>
      </c>
      <c r="M153" s="92"/>
    </row>
    <row r="154" spans="1:13" ht="21.6" x14ac:dyDescent="0.65">
      <c r="A154" s="195"/>
      <c r="B154" s="140">
        <v>151</v>
      </c>
      <c r="C154" s="2"/>
      <c r="D154" s="1"/>
      <c r="E154" s="3"/>
      <c r="F154" s="1"/>
      <c r="G154" s="141">
        <f>IF(Basic3[[#This Row],[نوع الخدمة]]="مخالفات", 50,
IF(Basic3[[#This Row],[نوع الخدمة]]="كاش ان",
    IF(F154&lt;=100, 18, IF(F154&lt;=250, 23, IF(F154&lt;=500, 35, IF(F154&lt;=1000, 40, F154*0.04)))),
IF(Basic3[[#This Row],[نوع الخدمة]]="كاش اوت",
    IF(F154&lt;=100, 15, IF(F154&lt;=250, 20, IF(F154&lt;=500, 30, IF(F154&lt;=1000, 35, F154*0.035)))),
0)))</f>
        <v>0</v>
      </c>
      <c r="H154" s="159">
        <f>IF(I154="مخالفات",50,Basic3[[#This Row],[قيمة الرسوم / العموله]]+Basic3[[#This Row],[قيمة الشحنه]])</f>
        <v>0</v>
      </c>
      <c r="I154" s="90"/>
      <c r="J154" s="142" t="str">
        <f t="shared" si="2"/>
        <v>30.5.2026</v>
      </c>
      <c r="L154" s="153">
        <v>143</v>
      </c>
      <c r="M154" s="92"/>
    </row>
    <row r="155" spans="1:13" ht="21.6" x14ac:dyDescent="0.65">
      <c r="A155" s="195"/>
      <c r="B155" s="140">
        <v>152</v>
      </c>
      <c r="C155" s="2"/>
      <c r="D155" s="1"/>
      <c r="E155" s="3"/>
      <c r="F155" s="1"/>
      <c r="G155" s="141">
        <f>IF(Basic3[[#This Row],[نوع الخدمة]]="مخالفات", 50,
IF(Basic3[[#This Row],[نوع الخدمة]]="كاش ان",
    IF(F155&lt;=100, 18, IF(F155&lt;=250, 23, IF(F155&lt;=500, 35, IF(F155&lt;=1000, 40, F155*0.04)))),
IF(Basic3[[#This Row],[نوع الخدمة]]="كاش اوت",
    IF(F155&lt;=100, 15, IF(F155&lt;=250, 20, IF(F155&lt;=500, 30, IF(F155&lt;=1000, 35, F155*0.035)))),
0)))</f>
        <v>0</v>
      </c>
      <c r="H155" s="159">
        <f>IF(I155="مخالفات",50,Basic3[[#This Row],[قيمة الرسوم / العموله]]+Basic3[[#This Row],[قيمة الشحنه]])</f>
        <v>0</v>
      </c>
      <c r="I155" s="90"/>
      <c r="J155" s="142" t="str">
        <f t="shared" si="2"/>
        <v>30.5.2026</v>
      </c>
      <c r="L155" s="153">
        <v>144</v>
      </c>
      <c r="M155" s="92"/>
    </row>
    <row r="156" spans="1:13" ht="21.6" x14ac:dyDescent="0.65">
      <c r="A156" s="195"/>
      <c r="B156" s="140">
        <v>153</v>
      </c>
      <c r="C156" s="2"/>
      <c r="D156" s="1"/>
      <c r="E156" s="3"/>
      <c r="F156" s="1"/>
      <c r="G156" s="141">
        <f>IF(Basic3[[#This Row],[نوع الخدمة]]="مخالفات", 50,
IF(Basic3[[#This Row],[نوع الخدمة]]="كاش ان",
    IF(F156&lt;=100, 18, IF(F156&lt;=250, 23, IF(F156&lt;=500, 35, IF(F156&lt;=1000, 40, F156*0.04)))),
IF(Basic3[[#This Row],[نوع الخدمة]]="كاش اوت",
    IF(F156&lt;=100, 15, IF(F156&lt;=250, 20, IF(F156&lt;=500, 30, IF(F156&lt;=1000, 35, F156*0.035)))),
0)))</f>
        <v>0</v>
      </c>
      <c r="H156" s="159">
        <f>IF(I156="مخالفات",50,Basic3[[#This Row],[قيمة الرسوم / العموله]]+Basic3[[#This Row],[قيمة الشحنه]])</f>
        <v>0</v>
      </c>
      <c r="I156" s="90"/>
      <c r="J156" s="142" t="str">
        <f t="shared" si="2"/>
        <v>30.5.2026</v>
      </c>
      <c r="L156" s="153">
        <v>145</v>
      </c>
      <c r="M156" s="92"/>
    </row>
    <row r="157" spans="1:13" ht="21.6" x14ac:dyDescent="0.65">
      <c r="A157" s="195"/>
      <c r="B157" s="144">
        <v>154</v>
      </c>
      <c r="C157" s="2"/>
      <c r="D157" s="1"/>
      <c r="E157" s="3"/>
      <c r="F157" s="1"/>
      <c r="G157" s="141">
        <f>IF(Basic3[[#This Row],[نوع الخدمة]]="مخالفات", 50,
IF(Basic3[[#This Row],[نوع الخدمة]]="كاش ان",
    IF(F157&lt;=100, 18, IF(F157&lt;=250, 23, IF(F157&lt;=500, 35, IF(F157&lt;=1000, 40, F157*0.04)))),
IF(Basic3[[#This Row],[نوع الخدمة]]="كاش اوت",
    IF(F157&lt;=100, 15, IF(F157&lt;=250, 20, IF(F157&lt;=500, 30, IF(F157&lt;=1000, 35, F157*0.035)))),
0)))</f>
        <v>0</v>
      </c>
      <c r="H157" s="159">
        <f>IF(I157="مخالفات",50,Basic3[[#This Row],[قيمة الرسوم / العموله]]+Basic3[[#This Row],[قيمة الشحنه]])</f>
        <v>0</v>
      </c>
      <c r="I157" s="90"/>
      <c r="J157" s="142" t="str">
        <f t="shared" si="2"/>
        <v>30.5.2026</v>
      </c>
      <c r="L157" s="153">
        <v>146</v>
      </c>
      <c r="M157" s="92"/>
    </row>
    <row r="158" spans="1:13" ht="21.6" x14ac:dyDescent="0.65">
      <c r="A158" s="195"/>
      <c r="B158" s="140">
        <v>155</v>
      </c>
      <c r="C158" s="2"/>
      <c r="D158" s="1"/>
      <c r="E158" s="3"/>
      <c r="F158" s="1"/>
      <c r="G158" s="141">
        <f>IF(Basic3[[#This Row],[نوع الخدمة]]="مخالفات", 50,
IF(Basic3[[#This Row],[نوع الخدمة]]="كاش ان",
    IF(F158&lt;=100, 18, IF(F158&lt;=250, 23, IF(F158&lt;=500, 35, IF(F158&lt;=1000, 40, F158*0.04)))),
IF(Basic3[[#This Row],[نوع الخدمة]]="كاش اوت",
    IF(F158&lt;=100, 15, IF(F158&lt;=250, 20, IF(F158&lt;=500, 30, IF(F158&lt;=1000, 35, F158*0.035)))),
0)))</f>
        <v>0</v>
      </c>
      <c r="H158" s="159">
        <f>IF(I158="مخالفات",50,Basic3[[#This Row],[قيمة الرسوم / العموله]]+Basic3[[#This Row],[قيمة الشحنه]])</f>
        <v>0</v>
      </c>
      <c r="I158" s="90"/>
      <c r="J158" s="142" t="str">
        <f t="shared" si="2"/>
        <v>30.5.2026</v>
      </c>
      <c r="L158" s="153">
        <v>147</v>
      </c>
      <c r="M158" s="92"/>
    </row>
    <row r="159" spans="1:13" ht="21.6" x14ac:dyDescent="0.65">
      <c r="A159" s="195"/>
      <c r="B159" s="140">
        <v>156</v>
      </c>
      <c r="C159" s="2"/>
      <c r="D159" s="1"/>
      <c r="E159" s="3"/>
      <c r="F159" s="1"/>
      <c r="G159" s="141">
        <f>IF(Basic3[[#This Row],[نوع الخدمة]]="مخالفات", 50,
IF(Basic3[[#This Row],[نوع الخدمة]]="كاش ان",
    IF(F159&lt;=100, 18, IF(F159&lt;=250, 23, IF(F159&lt;=500, 35, IF(F159&lt;=1000, 40, F159*0.04)))),
IF(Basic3[[#This Row],[نوع الخدمة]]="كاش اوت",
    IF(F159&lt;=100, 15, IF(F159&lt;=250, 20, IF(F159&lt;=500, 30, IF(F159&lt;=1000, 35, F159*0.035)))),
0)))</f>
        <v>0</v>
      </c>
      <c r="H159" s="159">
        <f>IF(I159="مخالفات",50,Basic3[[#This Row],[قيمة الرسوم / العموله]]+Basic3[[#This Row],[قيمة الشحنه]])</f>
        <v>0</v>
      </c>
      <c r="I159" s="90"/>
      <c r="J159" s="142" t="str">
        <f t="shared" si="2"/>
        <v>30.5.2026</v>
      </c>
      <c r="L159" s="153">
        <v>148</v>
      </c>
      <c r="M159" s="92"/>
    </row>
    <row r="160" spans="1:13" ht="21.6" x14ac:dyDescent="0.65">
      <c r="A160" s="195"/>
      <c r="B160" s="140">
        <v>157</v>
      </c>
      <c r="C160" s="2"/>
      <c r="D160" s="1"/>
      <c r="E160" s="3"/>
      <c r="F160" s="1"/>
      <c r="G160" s="141">
        <f>IF(Basic3[[#This Row],[نوع الخدمة]]="مخالفات", 50,
IF(Basic3[[#This Row],[نوع الخدمة]]="كاش ان",
    IF(F160&lt;=100, 18, IF(F160&lt;=250, 23, IF(F160&lt;=500, 35, IF(F160&lt;=1000, 40, F160*0.04)))),
IF(Basic3[[#This Row],[نوع الخدمة]]="كاش اوت",
    IF(F160&lt;=100, 15, IF(F160&lt;=250, 20, IF(F160&lt;=500, 30, IF(F160&lt;=1000, 35, F160*0.035)))),
0)))</f>
        <v>0</v>
      </c>
      <c r="H160" s="159">
        <f>IF(I160="مخالفات",50,Basic3[[#This Row],[قيمة الرسوم / العموله]]+Basic3[[#This Row],[قيمة الشحنه]])</f>
        <v>0</v>
      </c>
      <c r="I160" s="90"/>
      <c r="J160" s="142" t="str">
        <f t="shared" si="2"/>
        <v>30.5.2026</v>
      </c>
      <c r="L160" s="153">
        <v>149</v>
      </c>
      <c r="M160" s="92"/>
    </row>
    <row r="161" spans="1:13" ht="21.6" x14ac:dyDescent="0.65">
      <c r="A161" s="195"/>
      <c r="B161" s="144">
        <v>158</v>
      </c>
      <c r="C161" s="2"/>
      <c r="D161" s="1"/>
      <c r="E161" s="3"/>
      <c r="F161" s="1"/>
      <c r="G161" s="141">
        <f>IF(Basic3[[#This Row],[نوع الخدمة]]="مخالفات", 50,
IF(Basic3[[#This Row],[نوع الخدمة]]="كاش ان",
    IF(F161&lt;=100, 18, IF(F161&lt;=250, 23, IF(F161&lt;=500, 35, IF(F161&lt;=1000, 40, F161*0.04)))),
IF(Basic3[[#This Row],[نوع الخدمة]]="كاش اوت",
    IF(F161&lt;=100, 15, IF(F161&lt;=250, 20, IF(F161&lt;=500, 30, IF(F161&lt;=1000, 35, F161*0.035)))),
0)))</f>
        <v>0</v>
      </c>
      <c r="H161" s="159">
        <f>IF(I161="مخالفات",50,Basic3[[#This Row],[قيمة الرسوم / العموله]]+Basic3[[#This Row],[قيمة الشحنه]])</f>
        <v>0</v>
      </c>
      <c r="I161" s="90"/>
      <c r="J161" s="142" t="str">
        <f t="shared" si="2"/>
        <v>30.5.2026</v>
      </c>
      <c r="L161" s="153">
        <v>150</v>
      </c>
      <c r="M161" s="92"/>
    </row>
    <row r="162" spans="1:13" ht="21.6" x14ac:dyDescent="0.65">
      <c r="A162" s="195"/>
      <c r="B162" s="140">
        <v>159</v>
      </c>
      <c r="C162" s="2"/>
      <c r="D162" s="1"/>
      <c r="E162" s="3"/>
      <c r="F162" s="1"/>
      <c r="G162" s="141">
        <f>IF(Basic3[[#This Row],[نوع الخدمة]]="مخالفات", 50,
IF(Basic3[[#This Row],[نوع الخدمة]]="كاش ان",
    IF(F162&lt;=100, 18, IF(F162&lt;=250, 23, IF(F162&lt;=500, 35, IF(F162&lt;=1000, 40, F162*0.04)))),
IF(Basic3[[#This Row],[نوع الخدمة]]="كاش اوت",
    IF(F162&lt;=100, 15, IF(F162&lt;=250, 20, IF(F162&lt;=500, 30, IF(F162&lt;=1000, 35, F162*0.035)))),
0)))</f>
        <v>0</v>
      </c>
      <c r="H162" s="159">
        <f>IF(I162="مخالفات",50,Basic3[[#This Row],[قيمة الرسوم / العموله]]+Basic3[[#This Row],[قيمة الشحنه]])</f>
        <v>0</v>
      </c>
      <c r="I162" s="90"/>
      <c r="J162" s="142" t="str">
        <f t="shared" si="2"/>
        <v>30.5.2026</v>
      </c>
      <c r="L162" s="153">
        <v>151</v>
      </c>
      <c r="M162" s="92"/>
    </row>
    <row r="163" spans="1:13" ht="21.6" x14ac:dyDescent="0.65">
      <c r="A163" s="195"/>
      <c r="B163" s="140">
        <v>160</v>
      </c>
      <c r="C163" s="2"/>
      <c r="D163" s="1"/>
      <c r="E163" s="3"/>
      <c r="F163" s="1"/>
      <c r="G163" s="141">
        <f>IF(Basic3[[#This Row],[نوع الخدمة]]="مخالفات", 50,
IF(Basic3[[#This Row],[نوع الخدمة]]="كاش ان",
    IF(F163&lt;=100, 18, IF(F163&lt;=250, 23, IF(F163&lt;=500, 35, IF(F163&lt;=1000, 40, F163*0.04)))),
IF(Basic3[[#This Row],[نوع الخدمة]]="كاش اوت",
    IF(F163&lt;=100, 15, IF(F163&lt;=250, 20, IF(F163&lt;=500, 30, IF(F163&lt;=1000, 35, F163*0.035)))),
0)))</f>
        <v>0</v>
      </c>
      <c r="H163" s="159">
        <f>IF(I163="مخالفات",50,Basic3[[#This Row],[قيمة الرسوم / العموله]]+Basic3[[#This Row],[قيمة الشحنه]])</f>
        <v>0</v>
      </c>
      <c r="I163" s="90"/>
      <c r="J163" s="142" t="str">
        <f t="shared" si="2"/>
        <v>30.5.2026</v>
      </c>
      <c r="L163" s="153">
        <v>152</v>
      </c>
      <c r="M163" s="92"/>
    </row>
    <row r="164" spans="1:13" ht="21.6" x14ac:dyDescent="0.65">
      <c r="A164" s="195"/>
      <c r="B164" s="140">
        <v>161</v>
      </c>
      <c r="C164" s="2"/>
      <c r="D164" s="1"/>
      <c r="E164" s="3"/>
      <c r="F164" s="1"/>
      <c r="G164" s="141">
        <f>IF(Basic3[[#This Row],[نوع الخدمة]]="مخالفات", 50,
IF(Basic3[[#This Row],[نوع الخدمة]]="كاش ان",
    IF(F164&lt;=100, 18, IF(F164&lt;=250, 23, IF(F164&lt;=500, 35, IF(F164&lt;=1000, 40, F164*0.04)))),
IF(Basic3[[#This Row],[نوع الخدمة]]="كاش اوت",
    IF(F164&lt;=100, 15, IF(F164&lt;=250, 20, IF(F164&lt;=500, 30, IF(F164&lt;=1000, 35, F164*0.035)))),
0)))</f>
        <v>0</v>
      </c>
      <c r="H164" s="159">
        <f>IF(I164="مخالفات",50,Basic3[[#This Row],[قيمة الرسوم / العموله]]+Basic3[[#This Row],[قيمة الشحنه]])</f>
        <v>0</v>
      </c>
      <c r="I164" s="90"/>
      <c r="J164" s="142" t="str">
        <f t="shared" si="2"/>
        <v>30.5.2026</v>
      </c>
      <c r="L164" s="153">
        <v>153</v>
      </c>
      <c r="M164" s="92"/>
    </row>
    <row r="165" spans="1:13" ht="21.6" x14ac:dyDescent="0.65">
      <c r="A165" s="195"/>
      <c r="B165" s="144">
        <v>162</v>
      </c>
      <c r="C165" s="2"/>
      <c r="D165" s="1"/>
      <c r="E165" s="3"/>
      <c r="F165" s="1"/>
      <c r="G165" s="141">
        <f>IF(Basic3[[#This Row],[نوع الخدمة]]="مخالفات", 50,
IF(Basic3[[#This Row],[نوع الخدمة]]="كاش ان",
    IF(F165&lt;=100, 18, IF(F165&lt;=250, 23, IF(F165&lt;=500, 35, IF(F165&lt;=1000, 40, F165*0.04)))),
IF(Basic3[[#This Row],[نوع الخدمة]]="كاش اوت",
    IF(F165&lt;=100, 15, IF(F165&lt;=250, 20, IF(F165&lt;=500, 30, IF(F165&lt;=1000, 35, F165*0.035)))),
0)))</f>
        <v>0</v>
      </c>
      <c r="H165" s="159">
        <f>IF(I165="مخالفات",50,Basic3[[#This Row],[قيمة الرسوم / العموله]]+Basic3[[#This Row],[قيمة الشحنه]])</f>
        <v>0</v>
      </c>
      <c r="I165" s="90"/>
      <c r="J165" s="142" t="str">
        <f t="shared" si="2"/>
        <v>30.5.2026</v>
      </c>
      <c r="L165" s="153">
        <v>154</v>
      </c>
      <c r="M165" s="92"/>
    </row>
    <row r="166" spans="1:13" ht="21.6" x14ac:dyDescent="0.65">
      <c r="A166" s="195"/>
      <c r="B166" s="140">
        <v>163</v>
      </c>
      <c r="C166" s="2"/>
      <c r="D166" s="1"/>
      <c r="E166" s="3"/>
      <c r="F166" s="1"/>
      <c r="G166" s="141">
        <f>IF(Basic3[[#This Row],[نوع الخدمة]]="مخالفات", 50,
IF(Basic3[[#This Row],[نوع الخدمة]]="كاش ان",
    IF(F166&lt;=100, 18, IF(F166&lt;=250, 23, IF(F166&lt;=500, 35, IF(F166&lt;=1000, 40, F166*0.04)))),
IF(Basic3[[#This Row],[نوع الخدمة]]="كاش اوت",
    IF(F166&lt;=100, 15, IF(F166&lt;=250, 20, IF(F166&lt;=500, 30, IF(F166&lt;=1000, 35, F166*0.035)))),
0)))</f>
        <v>0</v>
      </c>
      <c r="H166" s="159">
        <f>IF(I166="مخالفات",50,Basic3[[#This Row],[قيمة الرسوم / العموله]]+Basic3[[#This Row],[قيمة الشحنه]])</f>
        <v>0</v>
      </c>
      <c r="I166" s="90"/>
      <c r="J166" s="142" t="str">
        <f t="shared" si="2"/>
        <v>30.5.2026</v>
      </c>
      <c r="L166" s="153">
        <v>155</v>
      </c>
      <c r="M166" s="92"/>
    </row>
    <row r="167" spans="1:13" ht="21.6" x14ac:dyDescent="0.65">
      <c r="A167" s="195"/>
      <c r="B167" s="140">
        <v>164</v>
      </c>
      <c r="C167" s="2"/>
      <c r="D167" s="1"/>
      <c r="E167" s="3"/>
      <c r="F167" s="1"/>
      <c r="G167" s="141">
        <f>IF(Basic3[[#This Row],[نوع الخدمة]]="مخالفات", 50,
IF(Basic3[[#This Row],[نوع الخدمة]]="كاش ان",
    IF(F167&lt;=100, 18, IF(F167&lt;=250, 23, IF(F167&lt;=500, 35, IF(F167&lt;=1000, 40, F167*0.04)))),
IF(Basic3[[#This Row],[نوع الخدمة]]="كاش اوت",
    IF(F167&lt;=100, 15, IF(F167&lt;=250, 20, IF(F167&lt;=500, 30, IF(F167&lt;=1000, 35, F167*0.035)))),
0)))</f>
        <v>0</v>
      </c>
      <c r="H167" s="159">
        <f>IF(I167="مخالفات",50,Basic3[[#This Row],[قيمة الرسوم / العموله]]+Basic3[[#This Row],[قيمة الشحنه]])</f>
        <v>0</v>
      </c>
      <c r="I167" s="90"/>
      <c r="J167" s="142" t="str">
        <f t="shared" si="2"/>
        <v>30.5.2026</v>
      </c>
      <c r="L167" s="153">
        <v>156</v>
      </c>
      <c r="M167" s="92"/>
    </row>
    <row r="168" spans="1:13" ht="21.6" x14ac:dyDescent="0.65">
      <c r="A168" s="195"/>
      <c r="B168" s="140">
        <v>165</v>
      </c>
      <c r="C168" s="2"/>
      <c r="D168" s="1"/>
      <c r="E168" s="3"/>
      <c r="F168" s="1"/>
      <c r="G168" s="141">
        <f>IF(Basic3[[#This Row],[نوع الخدمة]]="مخالفات", 50,
IF(Basic3[[#This Row],[نوع الخدمة]]="كاش ان",
    IF(F168&lt;=100, 18, IF(F168&lt;=250, 23, IF(F168&lt;=500, 35, IF(F168&lt;=1000, 40, F168*0.04)))),
IF(Basic3[[#This Row],[نوع الخدمة]]="كاش اوت",
    IF(F168&lt;=100, 15, IF(F168&lt;=250, 20, IF(F168&lt;=500, 30, IF(F168&lt;=1000, 35, F168*0.035)))),
0)))</f>
        <v>0</v>
      </c>
      <c r="H168" s="159">
        <f>IF(I168="مخالفات",50,Basic3[[#This Row],[قيمة الرسوم / العموله]]+Basic3[[#This Row],[قيمة الشحنه]])</f>
        <v>0</v>
      </c>
      <c r="I168" s="90"/>
      <c r="J168" s="142" t="str">
        <f t="shared" si="2"/>
        <v>30.5.2026</v>
      </c>
      <c r="L168" s="153">
        <v>157</v>
      </c>
      <c r="M168" s="92"/>
    </row>
    <row r="169" spans="1:13" ht="21.6" x14ac:dyDescent="0.65">
      <c r="A169" s="195"/>
      <c r="B169" s="144">
        <v>166</v>
      </c>
      <c r="C169" s="2"/>
      <c r="D169" s="1"/>
      <c r="E169" s="3"/>
      <c r="F169" s="1"/>
      <c r="G169" s="141">
        <f>IF(Basic3[[#This Row],[نوع الخدمة]]="مخالفات", 50,
IF(Basic3[[#This Row],[نوع الخدمة]]="كاش ان",
    IF(F169&lt;=100, 18, IF(F169&lt;=250, 23, IF(F169&lt;=500, 35, IF(F169&lt;=1000, 40, F169*0.04)))),
IF(Basic3[[#This Row],[نوع الخدمة]]="كاش اوت",
    IF(F169&lt;=100, 15, IF(F169&lt;=250, 20, IF(F169&lt;=500, 30, IF(F169&lt;=1000, 35, F169*0.035)))),
0)))</f>
        <v>0</v>
      </c>
      <c r="H169" s="159">
        <f>IF(I169="مخالفات",50,Basic3[[#This Row],[قيمة الرسوم / العموله]]+Basic3[[#This Row],[قيمة الشحنه]])</f>
        <v>0</v>
      </c>
      <c r="I169" s="90"/>
      <c r="J169" s="142" t="str">
        <f t="shared" si="2"/>
        <v>30.5.2026</v>
      </c>
      <c r="L169" s="153">
        <v>158</v>
      </c>
      <c r="M169" s="92"/>
    </row>
    <row r="170" spans="1:13" ht="21.6" x14ac:dyDescent="0.65">
      <c r="A170" s="195"/>
      <c r="B170" s="140">
        <v>167</v>
      </c>
      <c r="C170" s="2"/>
      <c r="D170" s="1"/>
      <c r="E170" s="3"/>
      <c r="F170" s="1"/>
      <c r="G170" s="141">
        <f>IF(Basic3[[#This Row],[نوع الخدمة]]="مخالفات", 50,
IF(Basic3[[#This Row],[نوع الخدمة]]="كاش ان",
    IF(F170&lt;=100, 18, IF(F170&lt;=250, 23, IF(F170&lt;=500, 35, IF(F170&lt;=1000, 40, F170*0.04)))),
IF(Basic3[[#This Row],[نوع الخدمة]]="كاش اوت",
    IF(F170&lt;=100, 15, IF(F170&lt;=250, 20, IF(F170&lt;=500, 30, IF(F170&lt;=1000, 35, F170*0.035)))),
0)))</f>
        <v>0</v>
      </c>
      <c r="H170" s="159">
        <f>IF(I170="مخالفات",50,Basic3[[#This Row],[قيمة الرسوم / العموله]]+Basic3[[#This Row],[قيمة الشحنه]])</f>
        <v>0</v>
      </c>
      <c r="I170" s="90"/>
      <c r="J170" s="142" t="str">
        <f t="shared" si="2"/>
        <v>30.5.2026</v>
      </c>
      <c r="L170" s="153">
        <v>159</v>
      </c>
      <c r="M170" s="92"/>
    </row>
    <row r="171" spans="1:13" ht="21.6" x14ac:dyDescent="0.65">
      <c r="A171" s="195"/>
      <c r="B171" s="140">
        <v>168</v>
      </c>
      <c r="C171" s="2"/>
      <c r="D171" s="1"/>
      <c r="E171" s="3"/>
      <c r="F171" s="1"/>
      <c r="G171" s="141">
        <f>IF(Basic3[[#This Row],[نوع الخدمة]]="مخالفات", 50,
IF(Basic3[[#This Row],[نوع الخدمة]]="كاش ان",
    IF(F171&lt;=100, 18, IF(F171&lt;=250, 23, IF(F171&lt;=500, 35, IF(F171&lt;=1000, 40, F171*0.04)))),
IF(Basic3[[#This Row],[نوع الخدمة]]="كاش اوت",
    IF(F171&lt;=100, 15, IF(F171&lt;=250, 20, IF(F171&lt;=500, 30, IF(F171&lt;=1000, 35, F171*0.035)))),
0)))</f>
        <v>0</v>
      </c>
      <c r="H171" s="159">
        <f>IF(I171="مخالفات",50,Basic3[[#This Row],[قيمة الرسوم / العموله]]+Basic3[[#This Row],[قيمة الشحنه]])</f>
        <v>0</v>
      </c>
      <c r="I171" s="90"/>
      <c r="J171" s="142" t="str">
        <f t="shared" si="2"/>
        <v>30.5.2026</v>
      </c>
      <c r="L171" s="153">
        <v>160</v>
      </c>
      <c r="M171" s="92"/>
    </row>
    <row r="172" spans="1:13" ht="21.6" x14ac:dyDescent="0.65">
      <c r="A172" s="195"/>
      <c r="B172" s="140">
        <v>169</v>
      </c>
      <c r="C172" s="2"/>
      <c r="D172" s="1"/>
      <c r="E172" s="3"/>
      <c r="F172" s="1"/>
      <c r="G172" s="141">
        <f>IF(Basic3[[#This Row],[نوع الخدمة]]="مخالفات", 50,
IF(Basic3[[#This Row],[نوع الخدمة]]="كاش ان",
    IF(F172&lt;=100, 18, IF(F172&lt;=250, 23, IF(F172&lt;=500, 35, IF(F172&lt;=1000, 40, F172*0.04)))),
IF(Basic3[[#This Row],[نوع الخدمة]]="كاش اوت",
    IF(F172&lt;=100, 15, IF(F172&lt;=250, 20, IF(F172&lt;=500, 30, IF(F172&lt;=1000, 35, F172*0.035)))),
0)))</f>
        <v>0</v>
      </c>
      <c r="H172" s="159">
        <f>IF(I172="مخالفات",50,Basic3[[#This Row],[قيمة الرسوم / العموله]]+Basic3[[#This Row],[قيمة الشحنه]])</f>
        <v>0</v>
      </c>
      <c r="I172" s="90"/>
      <c r="J172" s="142" t="str">
        <f t="shared" si="2"/>
        <v>30.5.2026</v>
      </c>
      <c r="L172" s="153">
        <v>161</v>
      </c>
      <c r="M172" s="92"/>
    </row>
    <row r="173" spans="1:13" ht="21.6" x14ac:dyDescent="0.65">
      <c r="A173" s="195"/>
      <c r="B173" s="144">
        <v>170</v>
      </c>
      <c r="C173" s="2"/>
      <c r="D173" s="1"/>
      <c r="E173" s="3"/>
      <c r="F173" s="1"/>
      <c r="G173" s="141">
        <f>IF(Basic3[[#This Row],[نوع الخدمة]]="مخالفات", 50,
IF(Basic3[[#This Row],[نوع الخدمة]]="كاش ان",
    IF(F173&lt;=100, 18, IF(F173&lt;=250, 23, IF(F173&lt;=500, 35, IF(F173&lt;=1000, 40, F173*0.04)))),
IF(Basic3[[#This Row],[نوع الخدمة]]="كاش اوت",
    IF(F173&lt;=100, 15, IF(F173&lt;=250, 20, IF(F173&lt;=500, 30, IF(F173&lt;=1000, 35, F173*0.035)))),
0)))</f>
        <v>0</v>
      </c>
      <c r="H173" s="159">
        <f>IF(I173="مخالفات",50,Basic3[[#This Row],[قيمة الرسوم / العموله]]+Basic3[[#This Row],[قيمة الشحنه]])</f>
        <v>0</v>
      </c>
      <c r="I173" s="90"/>
      <c r="J173" s="142" t="str">
        <f t="shared" si="2"/>
        <v>30.5.2026</v>
      </c>
      <c r="L173" s="153">
        <v>162</v>
      </c>
      <c r="M173" s="92"/>
    </row>
    <row r="174" spans="1:13" ht="21.6" x14ac:dyDescent="0.65">
      <c r="A174" s="195"/>
      <c r="B174" s="140">
        <v>171</v>
      </c>
      <c r="C174" s="2"/>
      <c r="D174" s="1"/>
      <c r="E174" s="3"/>
      <c r="F174" s="1"/>
      <c r="G174" s="141">
        <f>IF(Basic3[[#This Row],[نوع الخدمة]]="مخالفات", 50,
IF(Basic3[[#This Row],[نوع الخدمة]]="كاش ان",
    IF(F174&lt;=100, 18, IF(F174&lt;=250, 23, IF(F174&lt;=500, 35, IF(F174&lt;=1000, 40, F174*0.04)))),
IF(Basic3[[#This Row],[نوع الخدمة]]="كاش اوت",
    IF(F174&lt;=100, 15, IF(F174&lt;=250, 20, IF(F174&lt;=500, 30, IF(F174&lt;=1000, 35, F174*0.035)))),
0)))</f>
        <v>0</v>
      </c>
      <c r="H174" s="159">
        <f>IF(I174="مخالفات",50,Basic3[[#This Row],[قيمة الرسوم / العموله]]+Basic3[[#This Row],[قيمة الشحنه]])</f>
        <v>0</v>
      </c>
      <c r="I174" s="90"/>
      <c r="J174" s="142" t="str">
        <f t="shared" si="2"/>
        <v>30.5.2026</v>
      </c>
      <c r="L174" s="153">
        <v>163</v>
      </c>
      <c r="M174" s="92"/>
    </row>
    <row r="175" spans="1:13" ht="21.6" x14ac:dyDescent="0.65">
      <c r="A175" s="195"/>
      <c r="B175" s="140">
        <v>172</v>
      </c>
      <c r="C175" s="2"/>
      <c r="D175" s="1"/>
      <c r="E175" s="3"/>
      <c r="F175" s="1"/>
      <c r="G175" s="141">
        <f>IF(Basic3[[#This Row],[نوع الخدمة]]="مخالفات", 50,
IF(Basic3[[#This Row],[نوع الخدمة]]="كاش ان",
    IF(F175&lt;=100, 18, IF(F175&lt;=250, 23, IF(F175&lt;=500, 35, IF(F175&lt;=1000, 40, F175*0.04)))),
IF(Basic3[[#This Row],[نوع الخدمة]]="كاش اوت",
    IF(F175&lt;=100, 15, IF(F175&lt;=250, 20, IF(F175&lt;=500, 30, IF(F175&lt;=1000, 35, F175*0.035)))),
0)))</f>
        <v>0</v>
      </c>
      <c r="H175" s="159">
        <f>IF(I175="مخالفات",50,Basic3[[#This Row],[قيمة الرسوم / العموله]]+Basic3[[#This Row],[قيمة الشحنه]])</f>
        <v>0</v>
      </c>
      <c r="I175" s="90"/>
      <c r="J175" s="142" t="str">
        <f t="shared" si="2"/>
        <v>30.5.2026</v>
      </c>
      <c r="L175" s="153">
        <v>164</v>
      </c>
      <c r="M175" s="92"/>
    </row>
    <row r="176" spans="1:13" ht="21.6" x14ac:dyDescent="0.65">
      <c r="A176" s="195"/>
      <c r="B176" s="140">
        <v>173</v>
      </c>
      <c r="C176" s="2"/>
      <c r="D176" s="1"/>
      <c r="E176" s="3"/>
      <c r="F176" s="1"/>
      <c r="G176" s="141">
        <f>IF(Basic3[[#This Row],[نوع الخدمة]]="مخالفات", 50,
IF(Basic3[[#This Row],[نوع الخدمة]]="كاش ان",
    IF(F176&lt;=100, 18, IF(F176&lt;=250, 23, IF(F176&lt;=500, 35, IF(F176&lt;=1000, 40, F176*0.04)))),
IF(Basic3[[#This Row],[نوع الخدمة]]="كاش اوت",
    IF(F176&lt;=100, 15, IF(F176&lt;=250, 20, IF(F176&lt;=500, 30, IF(F176&lt;=1000, 35, F176*0.035)))),
0)))</f>
        <v>0</v>
      </c>
      <c r="H176" s="159">
        <f>IF(I176="مخالفات",50,Basic3[[#This Row],[قيمة الرسوم / العموله]]+Basic3[[#This Row],[قيمة الشحنه]])</f>
        <v>0</v>
      </c>
      <c r="I176" s="90"/>
      <c r="J176" s="142" t="str">
        <f t="shared" si="2"/>
        <v>30.5.2026</v>
      </c>
      <c r="L176" s="153">
        <v>165</v>
      </c>
      <c r="M176" s="92"/>
    </row>
    <row r="177" spans="1:13" ht="21.6" x14ac:dyDescent="0.65">
      <c r="A177" s="195"/>
      <c r="B177" s="144">
        <v>174</v>
      </c>
      <c r="C177" s="2"/>
      <c r="D177" s="1"/>
      <c r="E177" s="3"/>
      <c r="F177" s="1"/>
      <c r="G177" s="141">
        <f>IF(Basic3[[#This Row],[نوع الخدمة]]="مخالفات", 50,
IF(Basic3[[#This Row],[نوع الخدمة]]="كاش ان",
    IF(F177&lt;=100, 18, IF(F177&lt;=250, 23, IF(F177&lt;=500, 35, IF(F177&lt;=1000, 40, F177*0.04)))),
IF(Basic3[[#This Row],[نوع الخدمة]]="كاش اوت",
    IF(F177&lt;=100, 15, IF(F177&lt;=250, 20, IF(F177&lt;=500, 30, IF(F177&lt;=1000, 35, F177*0.035)))),
0)))</f>
        <v>0</v>
      </c>
      <c r="H177" s="159">
        <f>IF(I177="مخالفات",50,Basic3[[#This Row],[قيمة الرسوم / العموله]]+Basic3[[#This Row],[قيمة الشحنه]])</f>
        <v>0</v>
      </c>
      <c r="I177" s="90"/>
      <c r="J177" s="142" t="str">
        <f t="shared" si="2"/>
        <v>30.5.2026</v>
      </c>
      <c r="L177" s="153">
        <v>166</v>
      </c>
      <c r="M177" s="92"/>
    </row>
    <row r="178" spans="1:13" ht="21.6" x14ac:dyDescent="0.65">
      <c r="A178" s="195"/>
      <c r="B178" s="140">
        <v>175</v>
      </c>
      <c r="C178" s="2"/>
      <c r="D178" s="1"/>
      <c r="E178" s="3"/>
      <c r="F178" s="1"/>
      <c r="G178" s="141">
        <f>IF(Basic3[[#This Row],[نوع الخدمة]]="مخالفات", 50,
IF(Basic3[[#This Row],[نوع الخدمة]]="كاش ان",
    IF(F178&lt;=100, 18, IF(F178&lt;=250, 23, IF(F178&lt;=500, 35, IF(F178&lt;=1000, 40, F178*0.04)))),
IF(Basic3[[#This Row],[نوع الخدمة]]="كاش اوت",
    IF(F178&lt;=100, 15, IF(F178&lt;=250, 20, IF(F178&lt;=500, 30, IF(F178&lt;=1000, 35, F178*0.035)))),
0)))</f>
        <v>0</v>
      </c>
      <c r="H178" s="159">
        <f>IF(I178="مخالفات",50,Basic3[[#This Row],[قيمة الرسوم / العموله]]+Basic3[[#This Row],[قيمة الشحنه]])</f>
        <v>0</v>
      </c>
      <c r="I178" s="90"/>
      <c r="J178" s="142" t="str">
        <f t="shared" si="2"/>
        <v>30.5.2026</v>
      </c>
      <c r="L178" s="153">
        <v>167</v>
      </c>
      <c r="M178" s="92"/>
    </row>
    <row r="179" spans="1:13" ht="21.6" x14ac:dyDescent="0.65">
      <c r="A179" s="195"/>
      <c r="B179" s="140">
        <v>176</v>
      </c>
      <c r="C179" s="2"/>
      <c r="D179" s="1"/>
      <c r="E179" s="3"/>
      <c r="F179" s="1"/>
      <c r="G179" s="141">
        <f>IF(Basic3[[#This Row],[نوع الخدمة]]="مخالفات", 50,
IF(Basic3[[#This Row],[نوع الخدمة]]="كاش ان",
    IF(F179&lt;=100, 18, IF(F179&lt;=250, 23, IF(F179&lt;=500, 35, IF(F179&lt;=1000, 40, F179*0.04)))),
IF(Basic3[[#This Row],[نوع الخدمة]]="كاش اوت",
    IF(F179&lt;=100, 15, IF(F179&lt;=250, 20, IF(F179&lt;=500, 30, IF(F179&lt;=1000, 35, F179*0.035)))),
0)))</f>
        <v>0</v>
      </c>
      <c r="H179" s="159">
        <f>IF(I179="مخالفات",50,Basic3[[#This Row],[قيمة الرسوم / العموله]]+Basic3[[#This Row],[قيمة الشحنه]])</f>
        <v>0</v>
      </c>
      <c r="I179" s="90"/>
      <c r="J179" s="142" t="str">
        <f t="shared" si="2"/>
        <v>30.5.2026</v>
      </c>
      <c r="L179" s="153">
        <v>168</v>
      </c>
      <c r="M179" s="92"/>
    </row>
    <row r="180" spans="1:13" ht="21.6" x14ac:dyDescent="0.65">
      <c r="A180" s="195"/>
      <c r="B180" s="140">
        <v>177</v>
      </c>
      <c r="C180" s="2"/>
      <c r="D180" s="1"/>
      <c r="E180" s="3"/>
      <c r="F180" s="1"/>
      <c r="G180" s="141">
        <f>IF(Basic3[[#This Row],[نوع الخدمة]]="مخالفات", 50,
IF(Basic3[[#This Row],[نوع الخدمة]]="كاش ان",
    IF(F180&lt;=100, 18, IF(F180&lt;=250, 23, IF(F180&lt;=500, 35, IF(F180&lt;=1000, 40, F180*0.04)))),
IF(Basic3[[#This Row],[نوع الخدمة]]="كاش اوت",
    IF(F180&lt;=100, 15, IF(F180&lt;=250, 20, IF(F180&lt;=500, 30, IF(F180&lt;=1000, 35, F180*0.035)))),
0)))</f>
        <v>0</v>
      </c>
      <c r="H180" s="159">
        <f>IF(I180="مخالفات",50,Basic3[[#This Row],[قيمة الرسوم / العموله]]+Basic3[[#This Row],[قيمة الشحنه]])</f>
        <v>0</v>
      </c>
      <c r="I180" s="90"/>
      <c r="J180" s="142" t="str">
        <f t="shared" si="2"/>
        <v>30.5.2026</v>
      </c>
      <c r="L180" s="153">
        <v>169</v>
      </c>
      <c r="M180" s="92"/>
    </row>
    <row r="181" spans="1:13" ht="21.6" x14ac:dyDescent="0.65">
      <c r="A181" s="195"/>
      <c r="B181" s="144">
        <v>178</v>
      </c>
      <c r="C181" s="2"/>
      <c r="D181" s="1"/>
      <c r="E181" s="3"/>
      <c r="F181" s="1"/>
      <c r="G181" s="141">
        <f>IF(Basic3[[#This Row],[نوع الخدمة]]="مخالفات", 50,
IF(Basic3[[#This Row],[نوع الخدمة]]="كاش ان",
    IF(F181&lt;=100, 18, IF(F181&lt;=250, 23, IF(F181&lt;=500, 35, IF(F181&lt;=1000, 40, F181*0.04)))),
IF(Basic3[[#This Row],[نوع الخدمة]]="كاش اوت",
    IF(F181&lt;=100, 15, IF(F181&lt;=250, 20, IF(F181&lt;=500, 30, IF(F181&lt;=1000, 35, F181*0.035)))),
0)))</f>
        <v>0</v>
      </c>
      <c r="H181" s="159">
        <f>IF(I181="مخالفات",50,Basic3[[#This Row],[قيمة الرسوم / العموله]]+Basic3[[#This Row],[قيمة الشحنه]])</f>
        <v>0</v>
      </c>
      <c r="I181" s="90"/>
      <c r="J181" s="142" t="str">
        <f t="shared" si="2"/>
        <v>30.5.2026</v>
      </c>
      <c r="L181" s="153">
        <v>170</v>
      </c>
      <c r="M181" s="92"/>
    </row>
    <row r="182" spans="1:13" ht="21.6" x14ac:dyDescent="0.65">
      <c r="A182" s="195"/>
      <c r="B182" s="140">
        <v>179</v>
      </c>
      <c r="C182" s="2"/>
      <c r="D182" s="1"/>
      <c r="E182" s="3"/>
      <c r="F182" s="1"/>
      <c r="G182" s="141">
        <f>IF(Basic3[[#This Row],[نوع الخدمة]]="مخالفات", 50,
IF(Basic3[[#This Row],[نوع الخدمة]]="كاش ان",
    IF(F182&lt;=100, 18, IF(F182&lt;=250, 23, IF(F182&lt;=500, 35, IF(F182&lt;=1000, 40, F182*0.04)))),
IF(Basic3[[#This Row],[نوع الخدمة]]="كاش اوت",
    IF(F182&lt;=100, 15, IF(F182&lt;=250, 20, IF(F182&lt;=500, 30, IF(F182&lt;=1000, 35, F182*0.035)))),
0)))</f>
        <v>0</v>
      </c>
      <c r="H182" s="159">
        <f>IF(I182="مخالفات",50,Basic3[[#This Row],[قيمة الرسوم / العموله]]+Basic3[[#This Row],[قيمة الشحنه]])</f>
        <v>0</v>
      </c>
      <c r="I182" s="90"/>
      <c r="J182" s="142" t="str">
        <f t="shared" si="2"/>
        <v>30.5.2026</v>
      </c>
      <c r="L182" s="153">
        <v>171</v>
      </c>
      <c r="M182" s="92"/>
    </row>
    <row r="183" spans="1:13" ht="21.6" x14ac:dyDescent="0.65">
      <c r="A183" s="195"/>
      <c r="B183" s="140">
        <v>180</v>
      </c>
      <c r="C183" s="2"/>
      <c r="D183" s="1"/>
      <c r="E183" s="3"/>
      <c r="F183" s="1"/>
      <c r="G183" s="141">
        <f>IF(Basic3[[#This Row],[نوع الخدمة]]="مخالفات", 50,
IF(Basic3[[#This Row],[نوع الخدمة]]="كاش ان",
    IF(F183&lt;=100, 18, IF(F183&lt;=250, 23, IF(F183&lt;=500, 35, IF(F183&lt;=1000, 40, F183*0.04)))),
IF(Basic3[[#This Row],[نوع الخدمة]]="كاش اوت",
    IF(F183&lt;=100, 15, IF(F183&lt;=250, 20, IF(F183&lt;=500, 30, IF(F183&lt;=1000, 35, F183*0.035)))),
0)))</f>
        <v>0</v>
      </c>
      <c r="H183" s="159">
        <f>IF(I183="مخالفات",50,Basic3[[#This Row],[قيمة الرسوم / العموله]]+Basic3[[#This Row],[قيمة الشحنه]])</f>
        <v>0</v>
      </c>
      <c r="I183" s="90"/>
      <c r="J183" s="142" t="str">
        <f t="shared" si="2"/>
        <v>30.5.2026</v>
      </c>
      <c r="L183" s="153">
        <v>172</v>
      </c>
      <c r="M183" s="92"/>
    </row>
    <row r="184" spans="1:13" ht="21.6" x14ac:dyDescent="0.65">
      <c r="A184" s="195"/>
      <c r="B184" s="140">
        <v>181</v>
      </c>
      <c r="C184" s="2"/>
      <c r="D184" s="1"/>
      <c r="E184" s="3"/>
      <c r="F184" s="1"/>
      <c r="G184" s="141">
        <f>IF(Basic3[[#This Row],[نوع الخدمة]]="مخالفات", 50,
IF(Basic3[[#This Row],[نوع الخدمة]]="كاش ان",
    IF(F184&lt;=100, 18, IF(F184&lt;=250, 23, IF(F184&lt;=500, 35, IF(F184&lt;=1000, 40, F184*0.04)))),
IF(Basic3[[#This Row],[نوع الخدمة]]="كاش اوت",
    IF(F184&lt;=100, 15, IF(F184&lt;=250, 20, IF(F184&lt;=500, 30, IF(F184&lt;=1000, 35, F184*0.035)))),
0)))</f>
        <v>0</v>
      </c>
      <c r="H184" s="159">
        <f>IF(I184="مخالفات",50,Basic3[[#This Row],[قيمة الرسوم / العموله]]+Basic3[[#This Row],[قيمة الشحنه]])</f>
        <v>0</v>
      </c>
      <c r="I184" s="90"/>
      <c r="J184" s="142" t="str">
        <f t="shared" si="2"/>
        <v>30.5.2026</v>
      </c>
      <c r="L184" s="153">
        <v>173</v>
      </c>
      <c r="M184" s="92"/>
    </row>
    <row r="185" spans="1:13" ht="21.6" x14ac:dyDescent="0.65">
      <c r="A185" s="195"/>
      <c r="B185" s="144">
        <v>182</v>
      </c>
      <c r="C185" s="2"/>
      <c r="D185" s="1"/>
      <c r="E185" s="3"/>
      <c r="F185" s="1"/>
      <c r="G185" s="141">
        <f>IF(Basic3[[#This Row],[نوع الخدمة]]="مخالفات", 50,
IF(Basic3[[#This Row],[نوع الخدمة]]="كاش ان",
    IF(F185&lt;=100, 18, IF(F185&lt;=250, 23, IF(F185&lt;=500, 35, IF(F185&lt;=1000, 40, F185*0.04)))),
IF(Basic3[[#This Row],[نوع الخدمة]]="كاش اوت",
    IF(F185&lt;=100, 15, IF(F185&lt;=250, 20, IF(F185&lt;=500, 30, IF(F185&lt;=1000, 35, F185*0.035)))),
0)))</f>
        <v>0</v>
      </c>
      <c r="H185" s="159">
        <f>IF(I185="مخالفات",50,Basic3[[#This Row],[قيمة الرسوم / العموله]]+Basic3[[#This Row],[قيمة الشحنه]])</f>
        <v>0</v>
      </c>
      <c r="I185" s="90"/>
      <c r="J185" s="142" t="str">
        <f t="shared" si="2"/>
        <v>30.5.2026</v>
      </c>
      <c r="L185" s="153">
        <v>174</v>
      </c>
      <c r="M185" s="92"/>
    </row>
    <row r="186" spans="1:13" ht="21.6" x14ac:dyDescent="0.65">
      <c r="A186" s="195"/>
      <c r="B186" s="140">
        <v>183</v>
      </c>
      <c r="C186" s="2"/>
      <c r="D186" s="1"/>
      <c r="E186" s="3"/>
      <c r="F186" s="1"/>
      <c r="G186" s="141">
        <f>IF(Basic3[[#This Row],[نوع الخدمة]]="مخالفات", 50,
IF(Basic3[[#This Row],[نوع الخدمة]]="كاش ان",
    IF(F186&lt;=100, 18, IF(F186&lt;=250, 23, IF(F186&lt;=500, 35, IF(F186&lt;=1000, 40, F186*0.04)))),
IF(Basic3[[#This Row],[نوع الخدمة]]="كاش اوت",
    IF(F186&lt;=100, 15, IF(F186&lt;=250, 20, IF(F186&lt;=500, 30, IF(F186&lt;=1000, 35, F186*0.035)))),
0)))</f>
        <v>0</v>
      </c>
      <c r="H186" s="159">
        <f>IF(I186="مخالفات",50,Basic3[[#This Row],[قيمة الرسوم / العموله]]+Basic3[[#This Row],[قيمة الشحنه]])</f>
        <v>0</v>
      </c>
      <c r="I186" s="90"/>
      <c r="J186" s="142" t="str">
        <f t="shared" si="2"/>
        <v>30.5.2026</v>
      </c>
      <c r="L186" s="153">
        <v>175</v>
      </c>
      <c r="M186" s="92"/>
    </row>
    <row r="187" spans="1:13" ht="21.6" x14ac:dyDescent="0.65">
      <c r="A187" s="195"/>
      <c r="B187" s="140">
        <v>184</v>
      </c>
      <c r="C187" s="2"/>
      <c r="D187" s="1"/>
      <c r="E187" s="3"/>
      <c r="F187" s="1"/>
      <c r="G187" s="141">
        <f>IF(Basic3[[#This Row],[نوع الخدمة]]="مخالفات", 50,
IF(Basic3[[#This Row],[نوع الخدمة]]="كاش ان",
    IF(F187&lt;=100, 18, IF(F187&lt;=250, 23, IF(F187&lt;=500, 35, IF(F187&lt;=1000, 40, F187*0.04)))),
IF(Basic3[[#This Row],[نوع الخدمة]]="كاش اوت",
    IF(F187&lt;=100, 15, IF(F187&lt;=250, 20, IF(F187&lt;=500, 30, IF(F187&lt;=1000, 35, F187*0.035)))),
0)))</f>
        <v>0</v>
      </c>
      <c r="H187" s="159">
        <f>IF(I187="مخالفات",50,Basic3[[#This Row],[قيمة الرسوم / العموله]]+Basic3[[#This Row],[قيمة الشحنه]])</f>
        <v>0</v>
      </c>
      <c r="I187" s="90"/>
      <c r="J187" s="142" t="str">
        <f t="shared" si="2"/>
        <v>30.5.2026</v>
      </c>
      <c r="L187" s="153">
        <v>176</v>
      </c>
      <c r="M187" s="92"/>
    </row>
    <row r="188" spans="1:13" ht="21.6" x14ac:dyDescent="0.65">
      <c r="A188" s="195"/>
      <c r="B188" s="140">
        <v>185</v>
      </c>
      <c r="C188" s="2"/>
      <c r="D188" s="1"/>
      <c r="E188" s="3"/>
      <c r="F188" s="1"/>
      <c r="G188" s="141">
        <f>IF(Basic3[[#This Row],[نوع الخدمة]]="مخالفات", 50,
IF(Basic3[[#This Row],[نوع الخدمة]]="كاش ان",
    IF(F188&lt;=100, 18, IF(F188&lt;=250, 23, IF(F188&lt;=500, 35, IF(F188&lt;=1000, 40, F188*0.04)))),
IF(Basic3[[#This Row],[نوع الخدمة]]="كاش اوت",
    IF(F188&lt;=100, 15, IF(F188&lt;=250, 20, IF(F188&lt;=500, 30, IF(F188&lt;=1000, 35, F188*0.035)))),
0)))</f>
        <v>0</v>
      </c>
      <c r="H188" s="159">
        <f>IF(I188="مخالفات",50,Basic3[[#This Row],[قيمة الرسوم / العموله]]+Basic3[[#This Row],[قيمة الشحنه]])</f>
        <v>0</v>
      </c>
      <c r="I188" s="90"/>
      <c r="J188" s="142" t="str">
        <f t="shared" si="2"/>
        <v>30.5.2026</v>
      </c>
      <c r="L188" s="153">
        <v>177</v>
      </c>
      <c r="M188" s="92"/>
    </row>
    <row r="189" spans="1:13" ht="21.6" x14ac:dyDescent="0.65">
      <c r="A189" s="195"/>
      <c r="B189" s="144">
        <v>186</v>
      </c>
      <c r="C189" s="2"/>
      <c r="D189" s="1"/>
      <c r="E189" s="3"/>
      <c r="F189" s="1"/>
      <c r="G189" s="141">
        <f>IF(Basic3[[#This Row],[نوع الخدمة]]="مخالفات", 50,
IF(Basic3[[#This Row],[نوع الخدمة]]="كاش ان",
    IF(F189&lt;=100, 18, IF(F189&lt;=250, 23, IF(F189&lt;=500, 35, IF(F189&lt;=1000, 40, F189*0.04)))),
IF(Basic3[[#This Row],[نوع الخدمة]]="كاش اوت",
    IF(F189&lt;=100, 15, IF(F189&lt;=250, 20, IF(F189&lt;=500, 30, IF(F189&lt;=1000, 35, F189*0.035)))),
0)))</f>
        <v>0</v>
      </c>
      <c r="H189" s="159">
        <f>IF(I189="مخالفات",50,Basic3[[#This Row],[قيمة الرسوم / العموله]]+Basic3[[#This Row],[قيمة الشحنه]])</f>
        <v>0</v>
      </c>
      <c r="I189" s="90"/>
      <c r="J189" s="142" t="str">
        <f t="shared" si="2"/>
        <v>30.5.2026</v>
      </c>
      <c r="L189" s="153">
        <v>178</v>
      </c>
      <c r="M189" s="92"/>
    </row>
    <row r="190" spans="1:13" ht="21.6" x14ac:dyDescent="0.65">
      <c r="A190" s="195"/>
      <c r="B190" s="140">
        <v>187</v>
      </c>
      <c r="C190" s="2"/>
      <c r="D190" s="1"/>
      <c r="E190" s="3"/>
      <c r="F190" s="1"/>
      <c r="G190" s="141">
        <f>IF(Basic3[[#This Row],[نوع الخدمة]]="مخالفات", 50,
IF(Basic3[[#This Row],[نوع الخدمة]]="كاش ان",
    IF(F190&lt;=100, 18, IF(F190&lt;=250, 23, IF(F190&lt;=500, 35, IF(F190&lt;=1000, 40, F190*0.04)))),
IF(Basic3[[#This Row],[نوع الخدمة]]="كاش اوت",
    IF(F190&lt;=100, 15, IF(F190&lt;=250, 20, IF(F190&lt;=500, 30, IF(F190&lt;=1000, 35, F190*0.035)))),
0)))</f>
        <v>0</v>
      </c>
      <c r="H190" s="159">
        <f>IF(I190="مخالفات",50,Basic3[[#This Row],[قيمة الرسوم / العموله]]+Basic3[[#This Row],[قيمة الشحنه]])</f>
        <v>0</v>
      </c>
      <c r="I190" s="90"/>
      <c r="J190" s="142" t="str">
        <f t="shared" si="2"/>
        <v>30.5.2026</v>
      </c>
      <c r="L190" s="153">
        <v>179</v>
      </c>
      <c r="M190" s="92"/>
    </row>
    <row r="191" spans="1:13" ht="21.6" x14ac:dyDescent="0.65">
      <c r="A191" s="195"/>
      <c r="B191" s="140">
        <v>188</v>
      </c>
      <c r="C191" s="2"/>
      <c r="D191" s="1"/>
      <c r="E191" s="3"/>
      <c r="F191" s="1"/>
      <c r="G191" s="141">
        <f>IF(Basic3[[#This Row],[نوع الخدمة]]="مخالفات", 50,
IF(Basic3[[#This Row],[نوع الخدمة]]="كاش ان",
    IF(F191&lt;=100, 18, IF(F191&lt;=250, 23, IF(F191&lt;=500, 35, IF(F191&lt;=1000, 40, F191*0.04)))),
IF(Basic3[[#This Row],[نوع الخدمة]]="كاش اوت",
    IF(F191&lt;=100, 15, IF(F191&lt;=250, 20, IF(F191&lt;=500, 30, IF(F191&lt;=1000, 35, F191*0.035)))),
0)))</f>
        <v>0</v>
      </c>
      <c r="H191" s="159">
        <f>IF(I191="مخالفات",50,Basic3[[#This Row],[قيمة الرسوم / العموله]]+Basic3[[#This Row],[قيمة الشحنه]])</f>
        <v>0</v>
      </c>
      <c r="I191" s="90"/>
      <c r="J191" s="142" t="str">
        <f t="shared" si="2"/>
        <v>30.5.2026</v>
      </c>
      <c r="L191" s="153">
        <v>180</v>
      </c>
      <c r="M191" s="92"/>
    </row>
    <row r="192" spans="1:13" ht="21.6" x14ac:dyDescent="0.65">
      <c r="A192" s="195"/>
      <c r="B192" s="140">
        <v>189</v>
      </c>
      <c r="C192" s="2"/>
      <c r="D192" s="1"/>
      <c r="E192" s="3"/>
      <c r="F192" s="1"/>
      <c r="G192" s="141">
        <f>IF(Basic3[[#This Row],[نوع الخدمة]]="مخالفات", 50,
IF(Basic3[[#This Row],[نوع الخدمة]]="كاش ان",
    IF(F192&lt;=100, 18, IF(F192&lt;=250, 23, IF(F192&lt;=500, 35, IF(F192&lt;=1000, 40, F192*0.04)))),
IF(Basic3[[#This Row],[نوع الخدمة]]="كاش اوت",
    IF(F192&lt;=100, 15, IF(F192&lt;=250, 20, IF(F192&lt;=500, 30, IF(F192&lt;=1000, 35, F192*0.035)))),
0)))</f>
        <v>0</v>
      </c>
      <c r="H192" s="159">
        <f>IF(I192="مخالفات",50,Basic3[[#This Row],[قيمة الرسوم / العموله]]+Basic3[[#This Row],[قيمة الشحنه]])</f>
        <v>0</v>
      </c>
      <c r="I192" s="90"/>
      <c r="J192" s="142" t="str">
        <f t="shared" si="2"/>
        <v>30.5.2026</v>
      </c>
      <c r="L192" s="153">
        <v>181</v>
      </c>
      <c r="M192" s="92"/>
    </row>
    <row r="193" spans="1:13" ht="21.6" x14ac:dyDescent="0.65">
      <c r="A193" s="195"/>
      <c r="B193" s="144">
        <v>190</v>
      </c>
      <c r="C193" s="2"/>
      <c r="D193" s="1"/>
      <c r="E193" s="3"/>
      <c r="F193" s="1"/>
      <c r="G193" s="141">
        <f>IF(Basic3[[#This Row],[نوع الخدمة]]="مخالفات", 50,
IF(Basic3[[#This Row],[نوع الخدمة]]="كاش ان",
    IF(F193&lt;=100, 18, IF(F193&lt;=250, 23, IF(F193&lt;=500, 35, IF(F193&lt;=1000, 40, F193*0.04)))),
IF(Basic3[[#This Row],[نوع الخدمة]]="كاش اوت",
    IF(F193&lt;=100, 15, IF(F193&lt;=250, 20, IF(F193&lt;=500, 30, IF(F193&lt;=1000, 35, F193*0.035)))),
0)))</f>
        <v>0</v>
      </c>
      <c r="H193" s="159">
        <f>IF(I193="مخالفات",50,Basic3[[#This Row],[قيمة الرسوم / العموله]]+Basic3[[#This Row],[قيمة الشحنه]])</f>
        <v>0</v>
      </c>
      <c r="I193" s="90"/>
      <c r="J193" s="142" t="str">
        <f t="shared" si="2"/>
        <v>30.5.2026</v>
      </c>
      <c r="L193" s="153">
        <v>182</v>
      </c>
      <c r="M193" s="92"/>
    </row>
    <row r="194" spans="1:13" ht="21.6" x14ac:dyDescent="0.65">
      <c r="A194" s="195"/>
      <c r="B194" s="140">
        <v>191</v>
      </c>
      <c r="C194" s="2"/>
      <c r="D194" s="1"/>
      <c r="E194" s="3"/>
      <c r="F194" s="1"/>
      <c r="G194" s="141">
        <f>IF(Basic3[[#This Row],[نوع الخدمة]]="مخالفات", 50,
IF(Basic3[[#This Row],[نوع الخدمة]]="كاش ان",
    IF(F194&lt;=100, 18, IF(F194&lt;=250, 23, IF(F194&lt;=500, 35, IF(F194&lt;=1000, 40, F194*0.04)))),
IF(Basic3[[#This Row],[نوع الخدمة]]="كاش اوت",
    IF(F194&lt;=100, 15, IF(F194&lt;=250, 20, IF(F194&lt;=500, 30, IF(F194&lt;=1000, 35, F194*0.035)))),
0)))</f>
        <v>0</v>
      </c>
      <c r="H194" s="159">
        <f>IF(I194="مخالفات",50,Basic3[[#This Row],[قيمة الرسوم / العموله]]+Basic3[[#This Row],[قيمة الشحنه]])</f>
        <v>0</v>
      </c>
      <c r="I194" s="90"/>
      <c r="J194" s="142" t="str">
        <f t="shared" si="2"/>
        <v>30.5.2026</v>
      </c>
      <c r="L194" s="153">
        <v>183</v>
      </c>
      <c r="M194" s="92"/>
    </row>
    <row r="195" spans="1:13" ht="21.6" x14ac:dyDescent="0.65">
      <c r="A195" s="195"/>
      <c r="B195" s="140">
        <v>192</v>
      </c>
      <c r="C195" s="2"/>
      <c r="D195" s="1"/>
      <c r="E195" s="3"/>
      <c r="F195" s="1"/>
      <c r="G195" s="141">
        <f>IF(Basic3[[#This Row],[نوع الخدمة]]="مخالفات", 50,
IF(Basic3[[#This Row],[نوع الخدمة]]="كاش ان",
    IF(F195&lt;=100, 18, IF(F195&lt;=250, 23, IF(F195&lt;=500, 35, IF(F195&lt;=1000, 40, F195*0.04)))),
IF(Basic3[[#This Row],[نوع الخدمة]]="كاش اوت",
    IF(F195&lt;=100, 15, IF(F195&lt;=250, 20, IF(F195&lt;=500, 30, IF(F195&lt;=1000, 35, F195*0.035)))),
0)))</f>
        <v>0</v>
      </c>
      <c r="H195" s="159">
        <f>IF(I195="مخالفات",50,Basic3[[#This Row],[قيمة الرسوم / العموله]]+Basic3[[#This Row],[قيمة الشحنه]])</f>
        <v>0</v>
      </c>
      <c r="I195" s="90"/>
      <c r="J195" s="142" t="str">
        <f t="shared" si="2"/>
        <v>30.5.2026</v>
      </c>
      <c r="L195" s="153">
        <v>184</v>
      </c>
      <c r="M195" s="92"/>
    </row>
    <row r="196" spans="1:13" ht="21.6" x14ac:dyDescent="0.65">
      <c r="A196" s="195"/>
      <c r="B196" s="140">
        <v>193</v>
      </c>
      <c r="C196" s="2"/>
      <c r="D196" s="1"/>
      <c r="E196" s="3"/>
      <c r="F196" s="1"/>
      <c r="G196" s="141">
        <f>IF(Basic3[[#This Row],[نوع الخدمة]]="مخالفات", 50,
IF(Basic3[[#This Row],[نوع الخدمة]]="كاش ان",
    IF(F196&lt;=100, 18, IF(F196&lt;=250, 23, IF(F196&lt;=500, 35, IF(F196&lt;=1000, 40, F196*0.04)))),
IF(Basic3[[#This Row],[نوع الخدمة]]="كاش اوت",
    IF(F196&lt;=100, 15, IF(F196&lt;=250, 20, IF(F196&lt;=500, 30, IF(F196&lt;=1000, 35, F196*0.035)))),
0)))</f>
        <v>0</v>
      </c>
      <c r="H196" s="159">
        <f>IF(I196="مخالفات",50,Basic3[[#This Row],[قيمة الرسوم / العموله]]+Basic3[[#This Row],[قيمة الشحنه]])</f>
        <v>0</v>
      </c>
      <c r="I196" s="90"/>
      <c r="J196" s="142" t="str">
        <f t="shared" ref="J196:J226" si="3">M$3</f>
        <v>30.5.2026</v>
      </c>
      <c r="L196" s="153">
        <v>185</v>
      </c>
      <c r="M196" s="92"/>
    </row>
    <row r="197" spans="1:13" ht="21.6" x14ac:dyDescent="0.65">
      <c r="A197" s="195"/>
      <c r="B197" s="144">
        <v>194</v>
      </c>
      <c r="C197" s="2"/>
      <c r="D197" s="1"/>
      <c r="E197" s="3"/>
      <c r="F197" s="1"/>
      <c r="G197" s="141">
        <f>IF(Basic3[[#This Row],[نوع الخدمة]]="مخالفات", 50,
IF(Basic3[[#This Row],[نوع الخدمة]]="كاش ان",
    IF(F197&lt;=100, 18, IF(F197&lt;=250, 23, IF(F197&lt;=500, 35, IF(F197&lt;=1000, 40, F197*0.04)))),
IF(Basic3[[#This Row],[نوع الخدمة]]="كاش اوت",
    IF(F197&lt;=100, 15, IF(F197&lt;=250, 20, IF(F197&lt;=500, 30, IF(F197&lt;=1000, 35, F197*0.035)))),
0)))</f>
        <v>0</v>
      </c>
      <c r="H197" s="159">
        <f>IF(I197="مخالفات",50,Basic3[[#This Row],[قيمة الرسوم / العموله]]+Basic3[[#This Row],[قيمة الشحنه]])</f>
        <v>0</v>
      </c>
      <c r="I197" s="90"/>
      <c r="J197" s="142" t="str">
        <f t="shared" si="3"/>
        <v>30.5.2026</v>
      </c>
      <c r="L197" s="153">
        <v>186</v>
      </c>
      <c r="M197" s="92"/>
    </row>
    <row r="198" spans="1:13" ht="21.6" x14ac:dyDescent="0.65">
      <c r="A198" s="195"/>
      <c r="B198" s="140">
        <v>195</v>
      </c>
      <c r="C198" s="2"/>
      <c r="D198" s="1"/>
      <c r="E198" s="3"/>
      <c r="F198" s="1"/>
      <c r="G198" s="141">
        <f>IF(Basic3[[#This Row],[نوع الخدمة]]="مخالفات", 50,
IF(Basic3[[#This Row],[نوع الخدمة]]="كاش ان",
    IF(F198&lt;=100, 18, IF(F198&lt;=250, 23, IF(F198&lt;=500, 35, IF(F198&lt;=1000, 40, F198*0.04)))),
IF(Basic3[[#This Row],[نوع الخدمة]]="كاش اوت",
    IF(F198&lt;=100, 15, IF(F198&lt;=250, 20, IF(F198&lt;=500, 30, IF(F198&lt;=1000, 35, F198*0.035)))),
0)))</f>
        <v>0</v>
      </c>
      <c r="H198" s="159">
        <f>IF(I198="مخالفات",50,Basic3[[#This Row],[قيمة الرسوم / العموله]]+Basic3[[#This Row],[قيمة الشحنه]])</f>
        <v>0</v>
      </c>
      <c r="I198" s="90"/>
      <c r="J198" s="142" t="str">
        <f t="shared" si="3"/>
        <v>30.5.2026</v>
      </c>
      <c r="L198" s="153">
        <v>187</v>
      </c>
      <c r="M198" s="92"/>
    </row>
    <row r="199" spans="1:13" ht="21.6" x14ac:dyDescent="0.65">
      <c r="A199" s="195"/>
      <c r="B199" s="140">
        <v>196</v>
      </c>
      <c r="C199" s="2"/>
      <c r="D199" s="1"/>
      <c r="E199" s="3"/>
      <c r="F199" s="1"/>
      <c r="G199" s="141">
        <f>IF(Basic3[[#This Row],[نوع الخدمة]]="مخالفات", 50,
IF(Basic3[[#This Row],[نوع الخدمة]]="كاش ان",
    IF(F199&lt;=100, 18, IF(F199&lt;=250, 23, IF(F199&lt;=500, 35, IF(F199&lt;=1000, 40, F199*0.04)))),
IF(Basic3[[#This Row],[نوع الخدمة]]="كاش اوت",
    IF(F199&lt;=100, 15, IF(F199&lt;=250, 20, IF(F199&lt;=500, 30, IF(F199&lt;=1000, 35, F199*0.035)))),
0)))</f>
        <v>0</v>
      </c>
      <c r="H199" s="159">
        <f>IF(I199="مخالفات",50,Basic3[[#This Row],[قيمة الرسوم / العموله]]+Basic3[[#This Row],[قيمة الشحنه]])</f>
        <v>0</v>
      </c>
      <c r="I199" s="90"/>
      <c r="J199" s="142" t="str">
        <f t="shared" si="3"/>
        <v>30.5.2026</v>
      </c>
      <c r="L199" s="153">
        <v>188</v>
      </c>
      <c r="M199" s="92"/>
    </row>
    <row r="200" spans="1:13" ht="21.6" x14ac:dyDescent="0.65">
      <c r="A200" s="195"/>
      <c r="B200" s="140">
        <v>197</v>
      </c>
      <c r="C200" s="2"/>
      <c r="D200" s="1"/>
      <c r="E200" s="3"/>
      <c r="F200" s="1"/>
      <c r="G200" s="141">
        <f>IF(Basic3[[#This Row],[نوع الخدمة]]="مخالفات", 50,
IF(Basic3[[#This Row],[نوع الخدمة]]="كاش ان",
    IF(F200&lt;=100, 18, IF(F200&lt;=250, 23, IF(F200&lt;=500, 35, IF(F200&lt;=1000, 40, F200*0.04)))),
IF(Basic3[[#This Row],[نوع الخدمة]]="كاش اوت",
    IF(F200&lt;=100, 15, IF(F200&lt;=250, 20, IF(F200&lt;=500, 30, IF(F200&lt;=1000, 35, F200*0.035)))),
0)))</f>
        <v>0</v>
      </c>
      <c r="H200" s="159">
        <f>IF(I200="مخالفات",50,Basic3[[#This Row],[قيمة الرسوم / العموله]]+Basic3[[#This Row],[قيمة الشحنه]])</f>
        <v>0</v>
      </c>
      <c r="I200" s="90"/>
      <c r="J200" s="142" t="str">
        <f t="shared" si="3"/>
        <v>30.5.2026</v>
      </c>
      <c r="L200" s="153">
        <v>189</v>
      </c>
      <c r="M200" s="92"/>
    </row>
    <row r="201" spans="1:13" ht="21.6" x14ac:dyDescent="0.65">
      <c r="A201" s="195"/>
      <c r="B201" s="144">
        <v>198</v>
      </c>
      <c r="C201" s="2"/>
      <c r="D201" s="1"/>
      <c r="E201" s="3"/>
      <c r="F201" s="1"/>
      <c r="G201" s="141">
        <f>IF(Basic3[[#This Row],[نوع الخدمة]]="مخالفات", 50,
IF(Basic3[[#This Row],[نوع الخدمة]]="كاش ان",
    IF(F201&lt;=100, 18, IF(F201&lt;=250, 23, IF(F201&lt;=500, 35, IF(F201&lt;=1000, 40, F201*0.04)))),
IF(Basic3[[#This Row],[نوع الخدمة]]="كاش اوت",
    IF(F201&lt;=100, 15, IF(F201&lt;=250, 20, IF(F201&lt;=500, 30, IF(F201&lt;=1000, 35, F201*0.035)))),
0)))</f>
        <v>0</v>
      </c>
      <c r="H201" s="159">
        <f>IF(I201="مخالفات",50,Basic3[[#This Row],[قيمة الرسوم / العموله]]+Basic3[[#This Row],[قيمة الشحنه]])</f>
        <v>0</v>
      </c>
      <c r="I201" s="90"/>
      <c r="J201" s="142" t="str">
        <f t="shared" si="3"/>
        <v>30.5.2026</v>
      </c>
      <c r="L201" s="153">
        <v>190</v>
      </c>
      <c r="M201" s="92"/>
    </row>
    <row r="202" spans="1:13" ht="21.6" x14ac:dyDescent="0.65">
      <c r="A202" s="195"/>
      <c r="B202" s="140">
        <v>199</v>
      </c>
      <c r="C202" s="2"/>
      <c r="D202" s="1"/>
      <c r="E202" s="3"/>
      <c r="F202" s="1"/>
      <c r="G202" s="141">
        <f>IF(Basic3[[#This Row],[نوع الخدمة]]="مخالفات", 50,
IF(Basic3[[#This Row],[نوع الخدمة]]="كاش ان",
    IF(F202&lt;=100, 18, IF(F202&lt;=250, 23, IF(F202&lt;=500, 35, IF(F202&lt;=1000, 40, F202*0.04)))),
IF(Basic3[[#This Row],[نوع الخدمة]]="كاش اوت",
    IF(F202&lt;=100, 15, IF(F202&lt;=250, 20, IF(F202&lt;=500, 30, IF(F202&lt;=1000, 35, F202*0.035)))),
0)))</f>
        <v>0</v>
      </c>
      <c r="H202" s="159">
        <f>IF(I202="مخالفات",50,Basic3[[#This Row],[قيمة الرسوم / العموله]]+Basic3[[#This Row],[قيمة الشحنه]])</f>
        <v>0</v>
      </c>
      <c r="I202" s="90"/>
      <c r="J202" s="142" t="str">
        <f t="shared" si="3"/>
        <v>30.5.2026</v>
      </c>
      <c r="L202" s="153">
        <v>191</v>
      </c>
      <c r="M202" s="92"/>
    </row>
    <row r="203" spans="1:13" ht="21.6" x14ac:dyDescent="0.65">
      <c r="A203" s="195"/>
      <c r="B203" s="140">
        <v>200</v>
      </c>
      <c r="C203" s="2"/>
      <c r="D203" s="1"/>
      <c r="E203" s="3"/>
      <c r="F203" s="1"/>
      <c r="G203" s="141">
        <f>IF(Basic3[[#This Row],[نوع الخدمة]]="مخالفات", 50,
IF(Basic3[[#This Row],[نوع الخدمة]]="كاش ان",
    IF(F203&lt;=100, 18, IF(F203&lt;=250, 23, IF(F203&lt;=500, 35, IF(F203&lt;=1000, 40, F203*0.04)))),
IF(Basic3[[#This Row],[نوع الخدمة]]="كاش اوت",
    IF(F203&lt;=100, 15, IF(F203&lt;=250, 20, IF(F203&lt;=500, 30, IF(F203&lt;=1000, 35, F203*0.035)))),
0)))</f>
        <v>0</v>
      </c>
      <c r="H203" s="159">
        <f>IF(I203="مخالفات",50,Basic3[[#This Row],[قيمة الرسوم / العموله]]+Basic3[[#This Row],[قيمة الشحنه]])</f>
        <v>0</v>
      </c>
      <c r="I203" s="90"/>
      <c r="J203" s="142" t="str">
        <f t="shared" si="3"/>
        <v>30.5.2026</v>
      </c>
      <c r="L203" s="153">
        <v>192</v>
      </c>
      <c r="M203" s="92"/>
    </row>
    <row r="204" spans="1:13" ht="21.6" x14ac:dyDescent="0.65">
      <c r="A204" s="195"/>
      <c r="B204" s="140">
        <v>201</v>
      </c>
      <c r="C204" s="2"/>
      <c r="D204" s="1"/>
      <c r="E204" s="3"/>
      <c r="F204" s="1"/>
      <c r="G204" s="141">
        <f>IF(Basic3[[#This Row],[نوع الخدمة]]="مخالفات", 50,
IF(Basic3[[#This Row],[نوع الخدمة]]="كاش ان",
    IF(F204&lt;=100, 18, IF(F204&lt;=250, 23, IF(F204&lt;=500, 35, IF(F204&lt;=1000, 40, F204*0.04)))),
IF(Basic3[[#This Row],[نوع الخدمة]]="كاش اوت",
    IF(F204&lt;=100, 15, IF(F204&lt;=250, 20, IF(F204&lt;=500, 30, IF(F204&lt;=1000, 35, F204*0.035)))),
0)))</f>
        <v>0</v>
      </c>
      <c r="H204" s="159">
        <f>IF(I204="مخالفات",50,Basic3[[#This Row],[قيمة الرسوم / العموله]]+Basic3[[#This Row],[قيمة الشحنه]])</f>
        <v>0</v>
      </c>
      <c r="I204" s="90"/>
      <c r="J204" s="142" t="str">
        <f t="shared" si="3"/>
        <v>30.5.2026</v>
      </c>
      <c r="L204" s="153">
        <v>193</v>
      </c>
      <c r="M204" s="92"/>
    </row>
    <row r="205" spans="1:13" ht="21.6" x14ac:dyDescent="0.65">
      <c r="A205" s="195"/>
      <c r="B205" s="144">
        <v>202</v>
      </c>
      <c r="C205" s="2"/>
      <c r="D205" s="1"/>
      <c r="E205" s="3"/>
      <c r="F205" s="1"/>
      <c r="G205" s="141">
        <f>IF(Basic3[[#This Row],[نوع الخدمة]]="مخالفات", 50,
IF(Basic3[[#This Row],[نوع الخدمة]]="كاش ان",
    IF(F205&lt;=100, 18, IF(F205&lt;=250, 23, IF(F205&lt;=500, 35, IF(F205&lt;=1000, 40, F205*0.04)))),
IF(Basic3[[#This Row],[نوع الخدمة]]="كاش اوت",
    IF(F205&lt;=100, 15, IF(F205&lt;=250, 20, IF(F205&lt;=500, 30, IF(F205&lt;=1000, 35, F205*0.035)))),
0)))</f>
        <v>0</v>
      </c>
      <c r="H205" s="159">
        <f>IF(I205="مخالفات",50,Basic3[[#This Row],[قيمة الرسوم / العموله]]+Basic3[[#This Row],[قيمة الشحنه]])</f>
        <v>0</v>
      </c>
      <c r="I205" s="90"/>
      <c r="J205" s="142" t="str">
        <f t="shared" si="3"/>
        <v>30.5.2026</v>
      </c>
      <c r="L205" s="153">
        <v>194</v>
      </c>
      <c r="M205" s="92"/>
    </row>
    <row r="206" spans="1:13" ht="21.6" x14ac:dyDescent="0.65">
      <c r="A206" s="195"/>
      <c r="B206" s="140">
        <v>203</v>
      </c>
      <c r="C206" s="2"/>
      <c r="D206" s="1"/>
      <c r="E206" s="3"/>
      <c r="F206" s="1"/>
      <c r="G206" s="141">
        <f>IF(Basic3[[#This Row],[نوع الخدمة]]="مخالفات", 50,
IF(Basic3[[#This Row],[نوع الخدمة]]="كاش ان",
    IF(F206&lt;=100, 18, IF(F206&lt;=250, 23, IF(F206&lt;=500, 35, IF(F206&lt;=1000, 40, F206*0.04)))),
IF(Basic3[[#This Row],[نوع الخدمة]]="كاش اوت",
    IF(F206&lt;=100, 15, IF(F206&lt;=250, 20, IF(F206&lt;=500, 30, IF(F206&lt;=1000, 35, F206*0.035)))),
0)))</f>
        <v>0</v>
      </c>
      <c r="H206" s="159">
        <f>IF(I206="مخالفات",50,Basic3[[#This Row],[قيمة الرسوم / العموله]]+Basic3[[#This Row],[قيمة الشحنه]])</f>
        <v>0</v>
      </c>
      <c r="I206" s="90"/>
      <c r="J206" s="142" t="str">
        <f t="shared" si="3"/>
        <v>30.5.2026</v>
      </c>
      <c r="L206" s="153">
        <v>195</v>
      </c>
      <c r="M206" s="92"/>
    </row>
    <row r="207" spans="1:13" ht="21.6" x14ac:dyDescent="0.65">
      <c r="A207" s="195"/>
      <c r="B207" s="140">
        <v>204</v>
      </c>
      <c r="C207" s="2"/>
      <c r="D207" s="1"/>
      <c r="E207" s="3"/>
      <c r="F207" s="1"/>
      <c r="G207" s="141">
        <f>IF(Basic3[[#This Row],[نوع الخدمة]]="مخالفات", 50,
IF(Basic3[[#This Row],[نوع الخدمة]]="كاش ان",
    IF(F207&lt;=100, 18, IF(F207&lt;=250, 23, IF(F207&lt;=500, 35, IF(F207&lt;=1000, 40, F207*0.04)))),
IF(Basic3[[#This Row],[نوع الخدمة]]="كاش اوت",
    IF(F207&lt;=100, 15, IF(F207&lt;=250, 20, IF(F207&lt;=500, 30, IF(F207&lt;=1000, 35, F207*0.035)))),
0)))</f>
        <v>0</v>
      </c>
      <c r="H207" s="159">
        <f>IF(I207="مخالفات",50,Basic3[[#This Row],[قيمة الرسوم / العموله]]+Basic3[[#This Row],[قيمة الشحنه]])</f>
        <v>0</v>
      </c>
      <c r="I207" s="90"/>
      <c r="J207" s="142" t="str">
        <f t="shared" si="3"/>
        <v>30.5.2026</v>
      </c>
      <c r="L207" s="153">
        <v>196</v>
      </c>
      <c r="M207" s="92"/>
    </row>
    <row r="208" spans="1:13" ht="21.6" x14ac:dyDescent="0.65">
      <c r="A208" s="195"/>
      <c r="B208" s="140">
        <v>205</v>
      </c>
      <c r="C208" s="2"/>
      <c r="D208" s="1"/>
      <c r="E208" s="3"/>
      <c r="F208" s="1"/>
      <c r="G208" s="141">
        <f>IF(Basic3[[#This Row],[نوع الخدمة]]="مخالفات", 50,
IF(Basic3[[#This Row],[نوع الخدمة]]="كاش ان",
    IF(F208&lt;=100, 18, IF(F208&lt;=250, 23, IF(F208&lt;=500, 35, IF(F208&lt;=1000, 40, F208*0.04)))),
IF(Basic3[[#This Row],[نوع الخدمة]]="كاش اوت",
    IF(F208&lt;=100, 15, IF(F208&lt;=250, 20, IF(F208&lt;=500, 30, IF(F208&lt;=1000, 35, F208*0.035)))),
0)))</f>
        <v>0</v>
      </c>
      <c r="H208" s="159">
        <f>IF(I208="مخالفات",50,Basic3[[#This Row],[قيمة الرسوم / العموله]]+Basic3[[#This Row],[قيمة الشحنه]])</f>
        <v>0</v>
      </c>
      <c r="I208" s="90"/>
      <c r="J208" s="142" t="str">
        <f t="shared" si="3"/>
        <v>30.5.2026</v>
      </c>
      <c r="L208" s="153">
        <v>197</v>
      </c>
      <c r="M208" s="92"/>
    </row>
    <row r="209" spans="1:13" ht="21.6" x14ac:dyDescent="0.65">
      <c r="A209" s="195"/>
      <c r="B209" s="144">
        <v>206</v>
      </c>
      <c r="C209" s="2"/>
      <c r="D209" s="1"/>
      <c r="E209" s="3"/>
      <c r="F209" s="1"/>
      <c r="G209" s="141">
        <f>IF(Basic3[[#This Row],[نوع الخدمة]]="مخالفات", 50,
IF(Basic3[[#This Row],[نوع الخدمة]]="كاش ان",
    IF(F209&lt;=100, 18, IF(F209&lt;=250, 23, IF(F209&lt;=500, 35, IF(F209&lt;=1000, 40, F209*0.04)))),
IF(Basic3[[#This Row],[نوع الخدمة]]="كاش اوت",
    IF(F209&lt;=100, 15, IF(F209&lt;=250, 20, IF(F209&lt;=500, 30, IF(F209&lt;=1000, 35, F209*0.035)))),
0)))</f>
        <v>0</v>
      </c>
      <c r="H209" s="159">
        <f>IF(I209="مخالفات",50,Basic3[[#This Row],[قيمة الرسوم / العموله]]+Basic3[[#This Row],[قيمة الشحنه]])</f>
        <v>0</v>
      </c>
      <c r="I209" s="90"/>
      <c r="J209" s="142" t="str">
        <f t="shared" si="3"/>
        <v>30.5.2026</v>
      </c>
      <c r="L209" s="153">
        <v>198</v>
      </c>
      <c r="M209" s="92"/>
    </row>
    <row r="210" spans="1:13" ht="21.6" x14ac:dyDescent="0.65">
      <c r="A210" s="195"/>
      <c r="B210" s="140">
        <v>207</v>
      </c>
      <c r="C210" s="2"/>
      <c r="D210" s="1"/>
      <c r="E210" s="3"/>
      <c r="F210" s="1"/>
      <c r="G210" s="141">
        <f>IF(Basic3[[#This Row],[نوع الخدمة]]="مخالفات", 50,
IF(Basic3[[#This Row],[نوع الخدمة]]="كاش ان",
    IF(F210&lt;=100, 18, IF(F210&lt;=250, 23, IF(F210&lt;=500, 35, IF(F210&lt;=1000, 40, F210*0.04)))),
IF(Basic3[[#This Row],[نوع الخدمة]]="كاش اوت",
    IF(F210&lt;=100, 15, IF(F210&lt;=250, 20, IF(F210&lt;=500, 30, IF(F210&lt;=1000, 35, F210*0.035)))),
0)))</f>
        <v>0</v>
      </c>
      <c r="H210" s="159">
        <f>IF(I210="مخالفات",50,Basic3[[#This Row],[قيمة الرسوم / العموله]]+Basic3[[#This Row],[قيمة الشحنه]])</f>
        <v>0</v>
      </c>
      <c r="I210" s="90"/>
      <c r="J210" s="142" t="str">
        <f t="shared" si="3"/>
        <v>30.5.2026</v>
      </c>
      <c r="L210" s="153">
        <v>199</v>
      </c>
      <c r="M210" s="92"/>
    </row>
    <row r="211" spans="1:13" ht="21.6" x14ac:dyDescent="0.65">
      <c r="A211" s="195"/>
      <c r="B211" s="140">
        <v>208</v>
      </c>
      <c r="C211" s="2"/>
      <c r="D211" s="1"/>
      <c r="E211" s="3"/>
      <c r="F211" s="1"/>
      <c r="G211" s="141">
        <f>IF(Basic3[[#This Row],[نوع الخدمة]]="مخالفات", 50,
IF(Basic3[[#This Row],[نوع الخدمة]]="كاش ان",
    IF(F211&lt;=100, 18, IF(F211&lt;=250, 23, IF(F211&lt;=500, 35, IF(F211&lt;=1000, 40, F211*0.04)))),
IF(Basic3[[#This Row],[نوع الخدمة]]="كاش اوت",
    IF(F211&lt;=100, 15, IF(F211&lt;=250, 20, IF(F211&lt;=500, 30, IF(F211&lt;=1000, 35, F211*0.035)))),
0)))</f>
        <v>0</v>
      </c>
      <c r="H211" s="159">
        <f>IF(I211="مخالفات",50,Basic3[[#This Row],[قيمة الرسوم / العموله]]+Basic3[[#This Row],[قيمة الشحنه]])</f>
        <v>0</v>
      </c>
      <c r="I211" s="90"/>
      <c r="J211" s="142" t="str">
        <f t="shared" si="3"/>
        <v>30.5.2026</v>
      </c>
      <c r="L211" s="153">
        <v>200</v>
      </c>
      <c r="M211" s="92"/>
    </row>
    <row r="212" spans="1:13" ht="21.6" x14ac:dyDescent="0.65">
      <c r="A212" s="195"/>
      <c r="B212" s="140">
        <v>209</v>
      </c>
      <c r="C212" s="2"/>
      <c r="D212" s="1"/>
      <c r="E212" s="3"/>
      <c r="F212" s="1"/>
      <c r="G212" s="141">
        <f>IF(Basic3[[#This Row],[نوع الخدمة]]="مخالفات", 50,
IF(Basic3[[#This Row],[نوع الخدمة]]="كاش ان",
    IF(F212&lt;=100, 18, IF(F212&lt;=250, 23, IF(F212&lt;=500, 35, IF(F212&lt;=1000, 40, F212*0.04)))),
IF(Basic3[[#This Row],[نوع الخدمة]]="كاش اوت",
    IF(F212&lt;=100, 15, IF(F212&lt;=250, 20, IF(F212&lt;=500, 30, IF(F212&lt;=1000, 35, F212*0.035)))),
0)))</f>
        <v>0</v>
      </c>
      <c r="H212" s="159">
        <f>IF(I212="مخالفات",50,Basic3[[#This Row],[قيمة الرسوم / العموله]]+Basic3[[#This Row],[قيمة الشحنه]])</f>
        <v>0</v>
      </c>
      <c r="I212" s="90"/>
      <c r="J212" s="142" t="str">
        <f t="shared" si="3"/>
        <v>30.5.2026</v>
      </c>
      <c r="L212" s="153">
        <v>201</v>
      </c>
      <c r="M212" s="92"/>
    </row>
    <row r="213" spans="1:13" ht="21.6" x14ac:dyDescent="0.65">
      <c r="A213" s="195"/>
      <c r="B213" s="144">
        <v>210</v>
      </c>
      <c r="C213" s="2"/>
      <c r="D213" s="1"/>
      <c r="E213" s="3"/>
      <c r="F213" s="1"/>
      <c r="G213" s="141">
        <f>IF(Basic3[[#This Row],[نوع الخدمة]]="مخالفات", 50,
IF(Basic3[[#This Row],[نوع الخدمة]]="كاش ان",
    IF(F213&lt;=100, 18, IF(F213&lt;=250, 23, IF(F213&lt;=500, 35, IF(F213&lt;=1000, 40, F213*0.04)))),
IF(Basic3[[#This Row],[نوع الخدمة]]="كاش اوت",
    IF(F213&lt;=100, 15, IF(F213&lt;=250, 20, IF(F213&lt;=500, 30, IF(F213&lt;=1000, 35, F213*0.035)))),
0)))</f>
        <v>0</v>
      </c>
      <c r="H213" s="159">
        <f>IF(I213="مخالفات",50,Basic3[[#This Row],[قيمة الرسوم / العموله]]+Basic3[[#This Row],[قيمة الشحنه]])</f>
        <v>0</v>
      </c>
      <c r="I213" s="90"/>
      <c r="J213" s="142" t="str">
        <f t="shared" si="3"/>
        <v>30.5.2026</v>
      </c>
      <c r="L213" s="153">
        <v>202</v>
      </c>
      <c r="M213" s="92"/>
    </row>
    <row r="214" spans="1:13" ht="21.6" x14ac:dyDescent="0.65">
      <c r="A214" s="195"/>
      <c r="B214" s="140">
        <v>211</v>
      </c>
      <c r="C214" s="2"/>
      <c r="D214" s="1"/>
      <c r="E214" s="3"/>
      <c r="F214" s="1"/>
      <c r="G214" s="141">
        <f>IF(Basic3[[#This Row],[نوع الخدمة]]="مخالفات", 50,
IF(Basic3[[#This Row],[نوع الخدمة]]="كاش ان",
    IF(F214&lt;=100, 18, IF(F214&lt;=250, 23, IF(F214&lt;=500, 35, IF(F214&lt;=1000, 40, F214*0.04)))),
IF(Basic3[[#This Row],[نوع الخدمة]]="كاش اوت",
    IF(F214&lt;=100, 15, IF(F214&lt;=250, 20, IF(F214&lt;=500, 30, IF(F214&lt;=1000, 35, F214*0.035)))),
0)))</f>
        <v>0</v>
      </c>
      <c r="H214" s="159">
        <f>IF(I214="مخالفات",50,Basic3[[#This Row],[قيمة الرسوم / العموله]]+Basic3[[#This Row],[قيمة الشحنه]])</f>
        <v>0</v>
      </c>
      <c r="I214" s="90"/>
      <c r="J214" s="142" t="str">
        <f t="shared" si="3"/>
        <v>30.5.2026</v>
      </c>
      <c r="L214" s="153">
        <v>203</v>
      </c>
      <c r="M214" s="92"/>
    </row>
    <row r="215" spans="1:13" ht="21.6" x14ac:dyDescent="0.65">
      <c r="A215" s="195"/>
      <c r="B215" s="140">
        <v>212</v>
      </c>
      <c r="C215" s="2"/>
      <c r="D215" s="1"/>
      <c r="E215" s="3"/>
      <c r="F215" s="1"/>
      <c r="G215" s="141">
        <f>IF(Basic3[[#This Row],[نوع الخدمة]]="مخالفات", 50,
IF(Basic3[[#This Row],[نوع الخدمة]]="كاش ان",
    IF(F215&lt;=100, 18, IF(F215&lt;=250, 23, IF(F215&lt;=500, 35, IF(F215&lt;=1000, 40, F215*0.04)))),
IF(Basic3[[#This Row],[نوع الخدمة]]="كاش اوت",
    IF(F215&lt;=100, 15, IF(F215&lt;=250, 20, IF(F215&lt;=500, 30, IF(F215&lt;=1000, 35, F215*0.035)))),
0)))</f>
        <v>0</v>
      </c>
      <c r="H215" s="159">
        <f>IF(I215="مخالفات",50,Basic3[[#This Row],[قيمة الرسوم / العموله]]+Basic3[[#This Row],[قيمة الشحنه]])</f>
        <v>0</v>
      </c>
      <c r="I215" s="90"/>
      <c r="J215" s="142" t="str">
        <f t="shared" si="3"/>
        <v>30.5.2026</v>
      </c>
      <c r="L215" s="153">
        <v>204</v>
      </c>
      <c r="M215" s="92"/>
    </row>
    <row r="216" spans="1:13" ht="21.6" x14ac:dyDescent="0.65">
      <c r="A216" s="195"/>
      <c r="B216" s="140">
        <v>213</v>
      </c>
      <c r="C216" s="2"/>
      <c r="D216" s="1"/>
      <c r="E216" s="3"/>
      <c r="F216" s="1"/>
      <c r="G216" s="141">
        <f>IF(Basic3[[#This Row],[نوع الخدمة]]="مخالفات", 50,
IF(Basic3[[#This Row],[نوع الخدمة]]="كاش ان",
    IF(F216&lt;=100, 18, IF(F216&lt;=250, 23, IF(F216&lt;=500, 35, IF(F216&lt;=1000, 40, F216*0.04)))),
IF(Basic3[[#This Row],[نوع الخدمة]]="كاش اوت",
    IF(F216&lt;=100, 15, IF(F216&lt;=250, 20, IF(F216&lt;=500, 30, IF(F216&lt;=1000, 35, F216*0.035)))),
0)))</f>
        <v>0</v>
      </c>
      <c r="H216" s="159">
        <f>IF(I216="مخالفات",50,Basic3[[#This Row],[قيمة الرسوم / العموله]]+Basic3[[#This Row],[قيمة الشحنه]])</f>
        <v>0</v>
      </c>
      <c r="I216" s="90"/>
      <c r="J216" s="142" t="str">
        <f t="shared" si="3"/>
        <v>30.5.2026</v>
      </c>
      <c r="L216" s="153">
        <v>205</v>
      </c>
      <c r="M216" s="92"/>
    </row>
    <row r="217" spans="1:13" ht="21.6" x14ac:dyDescent="0.65">
      <c r="A217" s="195"/>
      <c r="B217" s="144">
        <v>214</v>
      </c>
      <c r="C217" s="2"/>
      <c r="D217" s="1"/>
      <c r="E217" s="3"/>
      <c r="F217" s="1"/>
      <c r="G217" s="141">
        <f>IF(Basic3[[#This Row],[نوع الخدمة]]="مخالفات", 50,
IF(Basic3[[#This Row],[نوع الخدمة]]="كاش ان",
    IF(F217&lt;=100, 18, IF(F217&lt;=250, 23, IF(F217&lt;=500, 35, IF(F217&lt;=1000, 40, F217*0.04)))),
IF(Basic3[[#This Row],[نوع الخدمة]]="كاش اوت",
    IF(F217&lt;=100, 15, IF(F217&lt;=250, 20, IF(F217&lt;=500, 30, IF(F217&lt;=1000, 35, F217*0.035)))),
0)))</f>
        <v>0</v>
      </c>
      <c r="H217" s="159">
        <f>IF(I217="مخالفات",50,Basic3[[#This Row],[قيمة الرسوم / العموله]]+Basic3[[#This Row],[قيمة الشحنه]])</f>
        <v>0</v>
      </c>
      <c r="I217" s="90"/>
      <c r="J217" s="142" t="str">
        <f t="shared" si="3"/>
        <v>30.5.2026</v>
      </c>
      <c r="L217" s="153">
        <v>206</v>
      </c>
      <c r="M217" s="92"/>
    </row>
    <row r="218" spans="1:13" ht="21.6" x14ac:dyDescent="0.65">
      <c r="A218" s="195"/>
      <c r="B218" s="140">
        <v>215</v>
      </c>
      <c r="C218" s="2"/>
      <c r="D218" s="1"/>
      <c r="E218" s="3"/>
      <c r="F218" s="1"/>
      <c r="G218" s="141">
        <f>IF(Basic3[[#This Row],[نوع الخدمة]]="مخالفات", 50,
IF(Basic3[[#This Row],[نوع الخدمة]]="كاش ان",
    IF(F218&lt;=100, 18, IF(F218&lt;=250, 23, IF(F218&lt;=500, 35, IF(F218&lt;=1000, 40, F218*0.04)))),
IF(Basic3[[#This Row],[نوع الخدمة]]="كاش اوت",
    IF(F218&lt;=100, 15, IF(F218&lt;=250, 20, IF(F218&lt;=500, 30, IF(F218&lt;=1000, 35, F218*0.035)))),
0)))</f>
        <v>0</v>
      </c>
      <c r="H218" s="159">
        <f>IF(I218="مخالفات",50,Basic3[[#This Row],[قيمة الرسوم / العموله]]+Basic3[[#This Row],[قيمة الشحنه]])</f>
        <v>0</v>
      </c>
      <c r="I218" s="90"/>
      <c r="J218" s="142" t="str">
        <f t="shared" si="3"/>
        <v>30.5.2026</v>
      </c>
      <c r="L218" s="153">
        <v>207</v>
      </c>
      <c r="M218" s="92"/>
    </row>
    <row r="219" spans="1:13" ht="21.6" x14ac:dyDescent="0.65">
      <c r="A219" s="195"/>
      <c r="B219" s="140">
        <v>216</v>
      </c>
      <c r="C219" s="2"/>
      <c r="D219" s="1"/>
      <c r="E219" s="3"/>
      <c r="F219" s="1"/>
      <c r="G219" s="141">
        <f>IF(Basic3[[#This Row],[نوع الخدمة]]="مخالفات", 50,
IF(Basic3[[#This Row],[نوع الخدمة]]="كاش ان",
    IF(F219&lt;=100, 18, IF(F219&lt;=250, 23, IF(F219&lt;=500, 35, IF(F219&lt;=1000, 40, F219*0.04)))),
IF(Basic3[[#This Row],[نوع الخدمة]]="كاش اوت",
    IF(F219&lt;=100, 15, IF(F219&lt;=250, 20, IF(F219&lt;=500, 30, IF(F219&lt;=1000, 35, F219*0.035)))),
0)))</f>
        <v>0</v>
      </c>
      <c r="H219" s="159">
        <f>IF(I219="مخالفات",50,Basic3[[#This Row],[قيمة الرسوم / العموله]]+Basic3[[#This Row],[قيمة الشحنه]])</f>
        <v>0</v>
      </c>
      <c r="I219" s="90"/>
      <c r="J219" s="142" t="str">
        <f t="shared" si="3"/>
        <v>30.5.2026</v>
      </c>
      <c r="L219" s="153">
        <v>208</v>
      </c>
      <c r="M219" s="92"/>
    </row>
    <row r="220" spans="1:13" ht="21.6" x14ac:dyDescent="0.65">
      <c r="A220" s="195"/>
      <c r="B220" s="140">
        <v>217</v>
      </c>
      <c r="C220" s="2"/>
      <c r="D220" s="1"/>
      <c r="E220" s="3"/>
      <c r="F220" s="1"/>
      <c r="G220" s="141">
        <f>IF(Basic3[[#This Row],[نوع الخدمة]]="مخالفات", 50,
IF(Basic3[[#This Row],[نوع الخدمة]]="كاش ان",
    IF(F220&lt;=100, 18, IF(F220&lt;=250, 23, IF(F220&lt;=500, 35, IF(F220&lt;=1000, 40, F220*0.04)))),
IF(Basic3[[#This Row],[نوع الخدمة]]="كاش اوت",
    IF(F220&lt;=100, 15, IF(F220&lt;=250, 20, IF(F220&lt;=500, 30, IF(F220&lt;=1000, 35, F220*0.035)))),
0)))</f>
        <v>0</v>
      </c>
      <c r="H220" s="159">
        <f>IF(I220="مخالفات",50,Basic3[[#This Row],[قيمة الرسوم / العموله]]+Basic3[[#This Row],[قيمة الشحنه]])</f>
        <v>0</v>
      </c>
      <c r="I220" s="90"/>
      <c r="J220" s="142" t="str">
        <f t="shared" si="3"/>
        <v>30.5.2026</v>
      </c>
      <c r="L220" s="153">
        <v>209</v>
      </c>
      <c r="M220" s="92"/>
    </row>
    <row r="221" spans="1:13" ht="21.6" x14ac:dyDescent="0.65">
      <c r="A221" s="195"/>
      <c r="B221" s="144">
        <v>218</v>
      </c>
      <c r="C221" s="2"/>
      <c r="D221" s="1"/>
      <c r="E221" s="3"/>
      <c r="F221" s="1"/>
      <c r="G221" s="141">
        <f>IF(Basic3[[#This Row],[نوع الخدمة]]="مخالفات", 50,
IF(Basic3[[#This Row],[نوع الخدمة]]="كاش ان",
    IF(F221&lt;=100, 18, IF(F221&lt;=250, 23, IF(F221&lt;=500, 35, IF(F221&lt;=1000, 40, F221*0.04)))),
IF(Basic3[[#This Row],[نوع الخدمة]]="كاش اوت",
    IF(F221&lt;=100, 15, IF(F221&lt;=250, 20, IF(F221&lt;=500, 30, IF(F221&lt;=1000, 35, F221*0.035)))),
0)))</f>
        <v>0</v>
      </c>
      <c r="H221" s="159">
        <f>IF(I221="مخالفات",50,Basic3[[#This Row],[قيمة الرسوم / العموله]]+Basic3[[#This Row],[قيمة الشحنه]])</f>
        <v>0</v>
      </c>
      <c r="I221" s="90"/>
      <c r="J221" s="142" t="str">
        <f t="shared" si="3"/>
        <v>30.5.2026</v>
      </c>
      <c r="L221" s="153">
        <v>210</v>
      </c>
      <c r="M221" s="92"/>
    </row>
    <row r="222" spans="1:13" ht="21.6" x14ac:dyDescent="0.65">
      <c r="A222" s="195"/>
      <c r="B222" s="140">
        <v>219</v>
      </c>
      <c r="C222" s="2"/>
      <c r="D222" s="1"/>
      <c r="E222" s="3"/>
      <c r="F222" s="1"/>
      <c r="G222" s="141">
        <f>IF(Basic3[[#This Row],[نوع الخدمة]]="مخالفات", 50,
IF(Basic3[[#This Row],[نوع الخدمة]]="كاش ان",
    IF(F222&lt;=100, 18, IF(F222&lt;=250, 23, IF(F222&lt;=500, 35, IF(F222&lt;=1000, 40, F222*0.04)))),
IF(Basic3[[#This Row],[نوع الخدمة]]="كاش اوت",
    IF(F222&lt;=100, 15, IF(F222&lt;=250, 20, IF(F222&lt;=500, 30, IF(F222&lt;=1000, 35, F222*0.035)))),
0)))</f>
        <v>0</v>
      </c>
      <c r="H222" s="159">
        <f>IF(I222="مخالفات",50,Basic3[[#This Row],[قيمة الرسوم / العموله]]+Basic3[[#This Row],[قيمة الشحنه]])</f>
        <v>0</v>
      </c>
      <c r="I222" s="90"/>
      <c r="J222" s="142" t="str">
        <f t="shared" si="3"/>
        <v>30.5.2026</v>
      </c>
      <c r="L222" s="153">
        <v>211</v>
      </c>
      <c r="M222" s="92"/>
    </row>
    <row r="223" spans="1:13" ht="21.6" x14ac:dyDescent="0.65">
      <c r="A223" s="195"/>
      <c r="B223" s="140">
        <v>220</v>
      </c>
      <c r="C223" s="2"/>
      <c r="D223" s="1"/>
      <c r="E223" s="3"/>
      <c r="F223" s="1"/>
      <c r="G223" s="141">
        <f>IF(Basic3[[#This Row],[نوع الخدمة]]="مخالفات", 50,
IF(Basic3[[#This Row],[نوع الخدمة]]="كاش ان",
    IF(F223&lt;=100, 18, IF(F223&lt;=250, 23, IF(F223&lt;=500, 35, IF(F223&lt;=1000, 40, F223*0.04)))),
IF(Basic3[[#This Row],[نوع الخدمة]]="كاش اوت",
    IF(F223&lt;=100, 15, IF(F223&lt;=250, 20, IF(F223&lt;=500, 30, IF(F223&lt;=1000, 35, F223*0.035)))),
0)))</f>
        <v>0</v>
      </c>
      <c r="H223" s="159">
        <f>IF(I223="مخالفات",50,Basic3[[#This Row],[قيمة الرسوم / العموله]]+Basic3[[#This Row],[قيمة الشحنه]])</f>
        <v>0</v>
      </c>
      <c r="I223" s="90"/>
      <c r="J223" s="142" t="str">
        <f t="shared" si="3"/>
        <v>30.5.2026</v>
      </c>
      <c r="L223" s="153">
        <v>212</v>
      </c>
      <c r="M223" s="92"/>
    </row>
    <row r="224" spans="1:13" ht="21.6" x14ac:dyDescent="0.65">
      <c r="A224" s="195"/>
      <c r="B224" s="140">
        <v>221</v>
      </c>
      <c r="C224" s="2"/>
      <c r="D224" s="1"/>
      <c r="E224" s="3"/>
      <c r="F224" s="1"/>
      <c r="G224" s="141">
        <f>IF(Basic3[[#This Row],[نوع الخدمة]]="مخالفات", 50,
IF(Basic3[[#This Row],[نوع الخدمة]]="كاش ان",
    IF(F224&lt;=100, 18, IF(F224&lt;=250, 23, IF(F224&lt;=500, 35, IF(F224&lt;=1000, 40, F224*0.04)))),
IF(Basic3[[#This Row],[نوع الخدمة]]="كاش اوت",
    IF(F224&lt;=100, 15, IF(F224&lt;=250, 20, IF(F224&lt;=500, 30, IF(F224&lt;=1000, 35, F224*0.035)))),
0)))</f>
        <v>0</v>
      </c>
      <c r="H224" s="159">
        <f>IF(I224="مخالفات",50,Basic3[[#This Row],[قيمة الرسوم / العموله]]+Basic3[[#This Row],[قيمة الشحنه]])</f>
        <v>0</v>
      </c>
      <c r="I224" s="90"/>
      <c r="J224" s="142" t="str">
        <f t="shared" si="3"/>
        <v>30.5.2026</v>
      </c>
      <c r="L224" s="153">
        <v>213</v>
      </c>
      <c r="M224" s="92"/>
    </row>
    <row r="225" spans="1:13" ht="21.6" x14ac:dyDescent="0.65">
      <c r="A225" s="195"/>
      <c r="B225" s="144">
        <v>222</v>
      </c>
      <c r="C225" s="2"/>
      <c r="D225" s="1"/>
      <c r="E225" s="3"/>
      <c r="F225" s="1"/>
      <c r="G225" s="141">
        <f>IF(Basic3[[#This Row],[نوع الخدمة]]="مخالفات", 50,
IF(Basic3[[#This Row],[نوع الخدمة]]="كاش ان",
    IF(F225&lt;=100, 18, IF(F225&lt;=250, 23, IF(F225&lt;=500, 35, IF(F225&lt;=1000, 40, F225*0.04)))),
IF(Basic3[[#This Row],[نوع الخدمة]]="كاش اوت",
    IF(F225&lt;=100, 15, IF(F225&lt;=250, 20, IF(F225&lt;=500, 30, IF(F225&lt;=1000, 35, F225*0.035)))),
0)))</f>
        <v>0</v>
      </c>
      <c r="H225" s="159">
        <f>IF(I225="مخالفات",50,Basic3[[#This Row],[قيمة الرسوم / العموله]]+Basic3[[#This Row],[قيمة الشحنه]])</f>
        <v>0</v>
      </c>
      <c r="I225" s="90"/>
      <c r="J225" s="142" t="str">
        <f t="shared" si="3"/>
        <v>30.5.2026</v>
      </c>
      <c r="L225" s="153">
        <v>214</v>
      </c>
      <c r="M225" s="92"/>
    </row>
    <row r="226" spans="1:13" ht="21.6" x14ac:dyDescent="0.65">
      <c r="A226" s="195"/>
      <c r="B226" s="140">
        <v>223</v>
      </c>
      <c r="C226" s="4"/>
      <c r="D226" s="5"/>
      <c r="E226" s="6"/>
      <c r="F226" s="5"/>
      <c r="G226" s="141">
        <f>IF(Basic3[[#This Row],[نوع الخدمة]]="مخالفات", 50,
IF(Basic3[[#This Row],[نوع الخدمة]]="كاش ان",
    IF(F226&lt;=100, 18, IF(F226&lt;=250, 23, IF(F226&lt;=500, 35, IF(F226&lt;=1000, 40, F226*0.04)))),
IF(Basic3[[#This Row],[نوع الخدمة]]="كاش اوت",
    IF(F226&lt;=100, 15, IF(F226&lt;=250, 20, IF(F226&lt;=500, 30, IF(F226&lt;=1000, 35, F226*0.035)))),
0)))</f>
        <v>0</v>
      </c>
      <c r="H226" s="160">
        <f>IF(I226="مخالفات",50,Basic3[[#This Row],[قيمة الرسوم / العموله]]+Basic3[[#This Row],[قيمة الشحنه]])</f>
        <v>0</v>
      </c>
      <c r="I226" s="90"/>
      <c r="J226" s="142" t="str">
        <f t="shared" si="3"/>
        <v>30.5.2026</v>
      </c>
      <c r="L226" s="156">
        <v>215</v>
      </c>
      <c r="M226" s="93"/>
    </row>
  </sheetData>
  <sheetProtection algorithmName="SHA-512" hashValue="GD/F/No/OhbEeit0JHzPjlW8JbJ1winCgPcSp4j6oK6fF+U9NwWbkhZrQhx29P1/6nAxveXXaxDtCMo1PUzgXg==" saltValue="faEHedcbVoFEAXQSTExgmw==" spinCount="100000" sheet="1" objects="1" scenarios="1"/>
  <mergeCells count="7">
    <mergeCell ref="R10:W10"/>
    <mergeCell ref="F1:H1"/>
    <mergeCell ref="O21:P21"/>
    <mergeCell ref="A4:A226"/>
    <mergeCell ref="O20:P20"/>
    <mergeCell ref="O24:P24"/>
    <mergeCell ref="O27:P27"/>
  </mergeCells>
  <conditionalFormatting sqref="I4:I226">
    <cfRule type="cellIs" dxfId="7" priority="12" operator="equal">
      <formula>$BH$10</formula>
    </cfRule>
    <cfRule type="cellIs" dxfId="6" priority="13" operator="equal">
      <formula>$BH$9</formula>
    </cfRule>
    <cfRule type="cellIs" dxfId="5" priority="14" operator="equal">
      <formula>$BH$8</formula>
    </cfRule>
  </conditionalFormatting>
  <conditionalFormatting sqref="P11">
    <cfRule type="cellIs" dxfId="4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{91327476-B988-4F31-86F0-822D78B1EB7D}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{A8A62319-213E-4FA9-87A6-BD4C74012BFF}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{A7818A36-3365-4098-A6DE-AE56BB371435}</x14:id>
        </ext>
      </extLst>
    </cfRule>
  </conditionalFormatting>
  <dataValidations count="2">
    <dataValidation type="textLength" operator="equal" allowBlank="1" showInputMessage="1" showErrorMessage="1" errorTitle="يجب إخال رقم IPN صحيح 13 رقم" sqref="C1:C1048576" xr:uid="{00000000-0002-0000-1D00-000000000000}">
      <formula1>13</formula1>
    </dataValidation>
    <dataValidation type="list" allowBlank="1" showInputMessage="1" showErrorMessage="1" sqref="I4:I226" xr:uid="{00000000-0002-0000-1D00-000001000000}">
      <formula1>$BH$8:$BH$10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1327476-B988-4F31-86F0-822D78B1EB7D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A8A62319-213E-4FA9-87A6-BD4C74012BFF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A7818A36-3365-4098-A6DE-AE56BB371435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BH226"/>
  <sheetViews>
    <sheetView showGridLines="0" showRowColHeaders="0" rightToLeft="1" topLeftCell="D1" zoomScale="80" zoomScaleNormal="80" workbookViewId="0">
      <selection activeCell="P12" sqref="P12"/>
    </sheetView>
  </sheetViews>
  <sheetFormatPr defaultColWidth="9.109375" defaultRowHeight="14.4" x14ac:dyDescent="0.3"/>
  <cols>
    <col min="1" max="1" width="3" style="124" customWidth="1"/>
    <col min="2" max="2" width="6.5546875" style="125" bestFit="1" customWidth="1"/>
    <col min="3" max="3" width="26.5546875" style="126" customWidth="1"/>
    <col min="4" max="4" width="15.6640625" style="124" customWidth="1"/>
    <col min="5" max="5" width="17.5546875" style="157" customWidth="1"/>
    <col min="6" max="6" width="12.88671875" style="124" bestFit="1" customWidth="1"/>
    <col min="7" max="7" width="19" style="124" bestFit="1" customWidth="1"/>
    <col min="8" max="8" width="15.6640625" style="124" customWidth="1"/>
    <col min="9" max="9" width="13.5546875" style="128" customWidth="1"/>
    <col min="10" max="10" width="13.109375" style="129" customWidth="1"/>
    <col min="11" max="11" width="3.5546875" style="124" customWidth="1"/>
    <col min="12" max="12" width="10.33203125" style="124" customWidth="1"/>
    <col min="13" max="13" width="23" style="124" customWidth="1"/>
    <col min="14" max="14" width="8.33203125" style="124" bestFit="1" customWidth="1"/>
    <col min="15" max="15" width="26.5546875" style="124" bestFit="1" customWidth="1"/>
    <col min="16" max="16" width="14.5546875" style="124" customWidth="1"/>
    <col min="17" max="17" width="3.5546875" style="124" customWidth="1"/>
    <col min="18" max="18" width="17.5546875" style="128" customWidth="1"/>
    <col min="19" max="19" width="15.6640625" style="128" customWidth="1"/>
    <col min="20" max="20" width="13.109375" style="128" customWidth="1"/>
    <col min="21" max="21" width="10.5546875" style="128" bestFit="1" customWidth="1"/>
    <col min="22" max="22" width="11.5546875" style="128" customWidth="1"/>
    <col min="23" max="23" width="8" style="128" customWidth="1"/>
    <col min="24" max="24" width="12.6640625" style="124" customWidth="1"/>
    <col min="25" max="16384" width="9.109375" style="124"/>
  </cols>
  <sheetData>
    <row r="1" spans="1:60" x14ac:dyDescent="0.3">
      <c r="E1" s="127">
        <f>Total!F5</f>
        <v>69</v>
      </c>
      <c r="F1" s="192" t="str">
        <f>Total!G5</f>
        <v>العبور</v>
      </c>
      <c r="G1" s="192"/>
      <c r="H1" s="192"/>
    </row>
    <row r="3" spans="1:60" ht="15.6" x14ac:dyDescent="0.3">
      <c r="B3" s="130" t="s">
        <v>0</v>
      </c>
      <c r="C3" s="131" t="s">
        <v>1</v>
      </c>
      <c r="D3" s="132" t="s">
        <v>2</v>
      </c>
      <c r="E3" s="133" t="s">
        <v>3</v>
      </c>
      <c r="F3" s="132" t="s">
        <v>4</v>
      </c>
      <c r="G3" s="161" t="s">
        <v>5</v>
      </c>
      <c r="H3" s="158" t="s">
        <v>76</v>
      </c>
      <c r="I3" s="132" t="s">
        <v>6</v>
      </c>
      <c r="J3" s="134" t="s">
        <v>7</v>
      </c>
      <c r="L3" s="135" t="s">
        <v>7</v>
      </c>
      <c r="M3" s="136" t="s">
        <v>81</v>
      </c>
      <c r="O3" s="137" t="s">
        <v>17</v>
      </c>
      <c r="P3" s="138">
        <f>M5+M6</f>
        <v>0</v>
      </c>
      <c r="T3" s="173"/>
      <c r="U3" s="173"/>
      <c r="V3" s="173"/>
      <c r="W3" s="173"/>
      <c r="X3" s="139"/>
    </row>
    <row r="4" spans="1:60" ht="21.6" x14ac:dyDescent="0.65">
      <c r="A4" s="195"/>
      <c r="B4" s="140">
        <v>1</v>
      </c>
      <c r="C4" s="8"/>
      <c r="D4" s="9"/>
      <c r="E4" s="10"/>
      <c r="F4" s="9"/>
      <c r="G4" s="141">
        <f>IF(Basic[[#This Row],[نوع الخدمة]]="مخالفات", 50,
IF(Basic[[#This Row],[نوع الخدمة]]="كاش ان",
    IF(F4&lt;=100, 18, IF(F4&lt;=250, 23, IF(F4&lt;=500, 35, IF(F4&lt;=1000, 40, F4*0.04)))),
IF(Basic[[#This Row],[نوع الخدمة]]="كاش اوت",
    IF(F4&lt;=100, 15, IF(F4&lt;=250, 20, IF(F4&lt;=500, 30, IF(F4&lt;=1000, 35, F4*0.035)))),
0)))</f>
        <v>0</v>
      </c>
      <c r="H4" s="162">
        <f>IF(I4="مخالفات",50,Basic[[#This Row],[قيمة الرسوم / العموله]]+Basic[[#This Row],[قيمة الشحنه]])</f>
        <v>0</v>
      </c>
      <c r="I4" s="90"/>
      <c r="J4" s="142" t="str">
        <f t="shared" ref="J4:J67" si="0">M$3</f>
        <v>31.5.2026</v>
      </c>
      <c r="L4" s="135" t="s">
        <v>26</v>
      </c>
      <c r="M4" s="90">
        <v>0</v>
      </c>
      <c r="O4" s="137" t="s">
        <v>18</v>
      </c>
      <c r="P4" s="138">
        <f>M4</f>
        <v>0</v>
      </c>
      <c r="S4" s="143" t="s">
        <v>22</v>
      </c>
      <c r="T4" s="143" t="s">
        <v>23</v>
      </c>
      <c r="U4" s="173"/>
      <c r="V4" s="173"/>
      <c r="W4" s="173"/>
      <c r="X4" s="139"/>
    </row>
    <row r="5" spans="1:60" ht="21.6" x14ac:dyDescent="0.65">
      <c r="A5" s="195"/>
      <c r="B5" s="144">
        <v>2</v>
      </c>
      <c r="C5" s="8"/>
      <c r="D5" s="9"/>
      <c r="E5" s="10"/>
      <c r="F5" s="9"/>
      <c r="G5" s="141">
        <f>IF(Basic[[#This Row],[نوع الخدمة]]="مخالفات", 50,
IF(Basic[[#This Row],[نوع الخدمة]]="كاش ان",
    IF(F5&lt;=100, 18, IF(F5&lt;=250, 23, IF(F5&lt;=500, 35, IF(F5&lt;=1000, 40, F5*0.04)))),
IF(Basic[[#This Row],[نوع الخدمة]]="كاش اوت",
    IF(F5&lt;=100, 15, IF(F5&lt;=250, 20, IF(F5&lt;=500, 30, IF(F5&lt;=1000, 35, F5*0.035)))),
0)))</f>
        <v>0</v>
      </c>
      <c r="H5" s="162">
        <f>IF(I5="مخالفات",50,Basic[[#This Row],[قيمة الرسوم / العموله]]+Basic[[#This Row],[قيمة الشحنه]])</f>
        <v>0</v>
      </c>
      <c r="I5" s="90"/>
      <c r="J5" s="142" t="str">
        <f t="shared" si="0"/>
        <v>31.5.2026</v>
      </c>
      <c r="L5" s="135" t="s">
        <v>27</v>
      </c>
      <c r="M5" s="90"/>
      <c r="O5" s="137" t="s">
        <v>19</v>
      </c>
      <c r="P5" s="138">
        <f>SUMIF(Basic[نوع الخدمة],"كاش ان",Basic[قيمة الشحنه])</f>
        <v>0</v>
      </c>
      <c r="S5" s="145">
        <f>P5+P9+P12+P7</f>
        <v>0</v>
      </c>
      <c r="T5" s="145">
        <f>P3</f>
        <v>0</v>
      </c>
    </row>
    <row r="6" spans="1:60" ht="21.6" x14ac:dyDescent="0.65">
      <c r="A6" s="195"/>
      <c r="B6" s="140">
        <v>3</v>
      </c>
      <c r="C6" s="8"/>
      <c r="D6" s="9"/>
      <c r="E6" s="10"/>
      <c r="F6" s="9"/>
      <c r="G6" s="141">
        <f>IF(Basic[[#This Row],[نوع الخدمة]]="مخالفات", 50,
IF(Basic[[#This Row],[نوع الخدمة]]="كاش ان",
    IF(F6&lt;=100, 18, IF(F6&lt;=250, 23, IF(F6&lt;=500, 35, IF(F6&lt;=1000, 40, F6*0.04)))),
IF(Basic[[#This Row],[نوع الخدمة]]="كاش اوت",
    IF(F6&lt;=100, 15, IF(F6&lt;=250, 20, IF(F6&lt;=500, 30, IF(F6&lt;=1000, 35, F6*0.035)))),
0)))</f>
        <v>0</v>
      </c>
      <c r="H6" s="162">
        <f>IF(I6="مخالفات",50,Basic[[#This Row],[قيمة الرسوم / العموله]]+Basic[[#This Row],[قيمة الشحنه]])</f>
        <v>0</v>
      </c>
      <c r="I6" s="90"/>
      <c r="J6" s="142" t="str">
        <f t="shared" si="0"/>
        <v>31.5.2026</v>
      </c>
      <c r="L6" s="135" t="s">
        <v>28</v>
      </c>
      <c r="M6" s="90"/>
      <c r="O6" s="146" t="s">
        <v>12</v>
      </c>
      <c r="P6" s="138">
        <f>P3*150</f>
        <v>0</v>
      </c>
    </row>
    <row r="7" spans="1:60" ht="21.6" x14ac:dyDescent="0.65">
      <c r="A7" s="195"/>
      <c r="B7" s="140">
        <v>4</v>
      </c>
      <c r="C7" s="8"/>
      <c r="D7" s="9"/>
      <c r="E7" s="10"/>
      <c r="F7" s="9"/>
      <c r="G7" s="141">
        <f>IF(Basic[[#This Row],[نوع الخدمة]]="مخالفات", 50,
IF(Basic[[#This Row],[نوع الخدمة]]="كاش ان",
    IF(F7&lt;=100, 18, IF(F7&lt;=250, 23, IF(F7&lt;=500, 35, IF(F7&lt;=1000, 40, F7*0.04)))),
IF(Basic[[#This Row],[نوع الخدمة]]="كاش اوت",
    IF(F7&lt;=100, 15, IF(F7&lt;=250, 20, IF(F7&lt;=500, 30, IF(F7&lt;=1000, 35, F7*0.035)))),
0)))</f>
        <v>0</v>
      </c>
      <c r="H7" s="162">
        <f>IF(I7="مخالفات",50,Basic[[#This Row],[قيمة الرسوم / العموله]]+Basic[[#This Row],[قيمة الشحنه]])</f>
        <v>0</v>
      </c>
      <c r="I7" s="90"/>
      <c r="J7" s="142" t="str">
        <f t="shared" si="0"/>
        <v>31.5.2026</v>
      </c>
      <c r="L7" s="137" t="s">
        <v>11</v>
      </c>
      <c r="M7" s="165"/>
      <c r="O7" s="146" t="s">
        <v>75</v>
      </c>
      <c r="P7" s="138">
        <f>SUMIF(Basic[نوع الخدمة],"مخالفات",Basic[الاجمــــــــــالي])</f>
        <v>0</v>
      </c>
      <c r="R7" s="173"/>
      <c r="S7" s="173"/>
    </row>
    <row r="8" spans="1:60" ht="21.6" x14ac:dyDescent="0.65">
      <c r="A8" s="195"/>
      <c r="B8" s="140">
        <v>5</v>
      </c>
      <c r="C8" s="8"/>
      <c r="D8" s="9"/>
      <c r="E8" s="10"/>
      <c r="F8" s="9"/>
      <c r="G8" s="141">
        <f>IF(Basic[[#This Row],[نوع الخدمة]]="مخالفات", 50,
IF(Basic[[#This Row],[نوع الخدمة]]="كاش ان",
    IF(F8&lt;=100, 18, IF(F8&lt;=250, 23, IF(F8&lt;=500, 35, IF(F8&lt;=1000, 40, F8*0.04)))),
IF(Basic[[#This Row],[نوع الخدمة]]="كاش اوت",
    IF(F8&lt;=100, 15, IF(F8&lt;=250, 20, IF(F8&lt;=500, 30, IF(F8&lt;=1000, 35, F8*0.035)))),
0)))</f>
        <v>0</v>
      </c>
      <c r="H8" s="162">
        <f>IF(I8="مخالفات",50,Basic[[#This Row],[قيمة الرسوم / العموله]]+Basic[[#This Row],[قيمة الشحنه]])</f>
        <v>0</v>
      </c>
      <c r="I8" s="90"/>
      <c r="J8" s="142" t="str">
        <f t="shared" si="0"/>
        <v>31.5.2026</v>
      </c>
      <c r="L8" s="166" t="s">
        <v>79</v>
      </c>
      <c r="M8" s="167">
        <v>0</v>
      </c>
      <c r="O8" s="137" t="s">
        <v>11</v>
      </c>
      <c r="P8" s="138">
        <f>M7</f>
        <v>0</v>
      </c>
      <c r="R8" s="143" t="s">
        <v>72</v>
      </c>
      <c r="S8" s="143" t="s">
        <v>25</v>
      </c>
      <c r="T8" s="143" t="s">
        <v>24</v>
      </c>
      <c r="U8" s="143" t="s">
        <v>73</v>
      </c>
      <c r="V8" s="143" t="s">
        <v>25</v>
      </c>
      <c r="W8" s="143" t="s">
        <v>24</v>
      </c>
      <c r="BH8" s="148" t="s">
        <v>8</v>
      </c>
    </row>
    <row r="9" spans="1:60" ht="18" customHeight="1" x14ac:dyDescent="0.65">
      <c r="A9" s="195"/>
      <c r="B9" s="144">
        <v>6</v>
      </c>
      <c r="C9" s="8"/>
      <c r="D9" s="9"/>
      <c r="E9" s="10"/>
      <c r="F9" s="9"/>
      <c r="G9" s="141">
        <f>IF(Basic[[#This Row],[نوع الخدمة]]="مخالفات", 50,
IF(Basic[[#This Row],[نوع الخدمة]]="كاش ان",
    IF(F9&lt;=100, 18, IF(F9&lt;=250, 23, IF(F9&lt;=500, 35, IF(F9&lt;=1000, 40, F9*0.04)))),
IF(Basic[[#This Row],[نوع الخدمة]]="كاش اوت",
    IF(F9&lt;=100, 15, IF(F9&lt;=250, 20, IF(F9&lt;=500, 30, IF(F9&lt;=1000, 35, F9*0.035)))),
0)))</f>
        <v>0</v>
      </c>
      <c r="H9" s="162">
        <f>IF(I9="مخالفات",50,Basic[[#This Row],[قيمة الرسوم / العموله]]+Basic[[#This Row],[قيمة الشحنه]])</f>
        <v>0</v>
      </c>
      <c r="I9" s="90"/>
      <c r="J9" s="142" t="str">
        <f t="shared" si="0"/>
        <v>31.5.2026</v>
      </c>
      <c r="L9" s="166" t="s">
        <v>80</v>
      </c>
      <c r="M9" s="167">
        <v>0</v>
      </c>
      <c r="O9" s="137" t="s">
        <v>20</v>
      </c>
      <c r="P9" s="138">
        <f>SUMIF(Basic[نوع الخدمة],"كاش ان",Basic[قيمة الرسوم / العموله])</f>
        <v>0</v>
      </c>
      <c r="R9" s="149">
        <f>Total!H5/24</f>
        <v>29166.666666666668</v>
      </c>
      <c r="S9" s="149">
        <f>S5</f>
        <v>0</v>
      </c>
      <c r="T9" s="150">
        <f>S9/R9</f>
        <v>0</v>
      </c>
      <c r="U9" s="149">
        <f>Total!K5/24</f>
        <v>2.9166666666666665</v>
      </c>
      <c r="V9" s="149">
        <f>T5</f>
        <v>0</v>
      </c>
      <c r="W9" s="150">
        <f>V9/U9</f>
        <v>0</v>
      </c>
      <c r="BH9" s="148" t="s">
        <v>9</v>
      </c>
    </row>
    <row r="10" spans="1:60" ht="21.6" x14ac:dyDescent="0.65">
      <c r="A10" s="195"/>
      <c r="B10" s="140">
        <v>7</v>
      </c>
      <c r="C10" s="8"/>
      <c r="D10" s="9"/>
      <c r="E10" s="10"/>
      <c r="F10" s="9"/>
      <c r="G10" s="141">
        <f>IF(Basic[[#This Row],[نوع الخدمة]]="مخالفات", 50,
IF(Basic[[#This Row],[نوع الخدمة]]="كاش ان",
    IF(F10&lt;=100, 18, IF(F10&lt;=250, 23, IF(F10&lt;=500, 35, IF(F10&lt;=1000, 40, F10*0.04)))),
IF(Basic[[#This Row],[نوع الخدمة]]="كاش اوت",
    IF(F10&lt;=100, 15, IF(F10&lt;=250, 20, IF(F10&lt;=500, 30, IF(F10&lt;=1000, 35, F10*0.035)))),
0)))</f>
        <v>0</v>
      </c>
      <c r="H10" s="162">
        <f>IF(I10="مخالفات",50,Basic[[#This Row],[قيمة الرسوم / العموله]]+Basic[[#This Row],[قيمة الشحنه]])</f>
        <v>0</v>
      </c>
      <c r="I10" s="90"/>
      <c r="J10" s="142" t="str">
        <f t="shared" si="0"/>
        <v>31.5.2026</v>
      </c>
      <c r="O10" s="137" t="s">
        <v>16</v>
      </c>
      <c r="P10" s="138">
        <f>SUMIF(Basic[نوع الخدمة],"كاش اوت",Basic[قيمة الشحنه])</f>
        <v>0</v>
      </c>
      <c r="R10" s="191">
        <f>(W9+T9)/2</f>
        <v>0</v>
      </c>
      <c r="S10" s="191"/>
      <c r="T10" s="191"/>
      <c r="U10" s="191"/>
      <c r="V10" s="191"/>
      <c r="W10" s="191"/>
      <c r="BH10" s="148" t="s">
        <v>10</v>
      </c>
    </row>
    <row r="11" spans="1:60" ht="21.6" x14ac:dyDescent="0.65">
      <c r="A11" s="195"/>
      <c r="B11" s="140">
        <v>8</v>
      </c>
      <c r="C11" s="8"/>
      <c r="D11" s="9"/>
      <c r="E11" s="10"/>
      <c r="F11" s="9"/>
      <c r="G11" s="141">
        <f>IF(Basic[[#This Row],[نوع الخدمة]]="مخالفات", 50,
IF(Basic[[#This Row],[نوع الخدمة]]="كاش ان",
    IF(F11&lt;=100, 18, IF(F11&lt;=250, 23, IF(F11&lt;=500, 35, IF(F11&lt;=1000, 40, F11*0.04)))),
IF(Basic[[#This Row],[نوع الخدمة]]="كاش اوت",
    IF(F11&lt;=100, 15, IF(F11&lt;=250, 20, IF(F11&lt;=500, 30, IF(F11&lt;=1000, 35, F11*0.035)))),
0)))</f>
        <v>0</v>
      </c>
      <c r="H11" s="162">
        <f>IF(I11="مخالفات",50,Basic[[#This Row],[قيمة الرسوم / العموله]]+Basic[[#This Row],[قيمة الشحنه]])</f>
        <v>0</v>
      </c>
      <c r="I11" s="90"/>
      <c r="J11" s="142" t="str">
        <f t="shared" si="0"/>
        <v>31.5.2026</v>
      </c>
      <c r="L11" s="169" t="s">
        <v>77</v>
      </c>
      <c r="M11" s="168" t="s">
        <v>78</v>
      </c>
      <c r="O11" s="151" t="s">
        <v>21</v>
      </c>
      <c r="P11" s="152">
        <f>(P5+P6+P9+P7+P4)-P10-P8</f>
        <v>0</v>
      </c>
      <c r="T11" s="173"/>
    </row>
    <row r="12" spans="1:60" ht="21.6" x14ac:dyDescent="0.65">
      <c r="A12" s="195"/>
      <c r="B12" s="140">
        <v>9</v>
      </c>
      <c r="C12" s="8"/>
      <c r="D12" s="9"/>
      <c r="E12" s="10"/>
      <c r="F12" s="9"/>
      <c r="G12" s="141">
        <f>IF(Basic[[#This Row],[نوع الخدمة]]="مخالفات", 50,
IF(Basic[[#This Row],[نوع الخدمة]]="كاش ان",
    IF(F12&lt;=100, 18, IF(F12&lt;=250, 23, IF(F12&lt;=500, 35, IF(F12&lt;=1000, 40, F12*0.04)))),
IF(Basic[[#This Row],[نوع الخدمة]]="كاش اوت",
    IF(F12&lt;=100, 15, IF(F12&lt;=250, 20, IF(F12&lt;=500, 30, IF(F12&lt;=1000, 35, F12*0.035)))),
0)))</f>
        <v>0</v>
      </c>
      <c r="H12" s="162">
        <f>IF(I12="مخالفات",50,Basic[[#This Row],[قيمة الرسوم / العموله]]+Basic[[#This Row],[قيمة الشحنه]])</f>
        <v>0</v>
      </c>
      <c r="I12" s="90"/>
      <c r="J12" s="142" t="str">
        <f t="shared" si="0"/>
        <v>31.5.2026</v>
      </c>
      <c r="L12" s="153">
        <v>1</v>
      </c>
      <c r="M12" s="91"/>
      <c r="O12" s="137" t="s">
        <v>29</v>
      </c>
      <c r="P12" s="138">
        <f>SUMIF(Basic[نوع الخدمة],"كاش اوت",Basic[الاجمــــــــــالي])</f>
        <v>0</v>
      </c>
    </row>
    <row r="13" spans="1:60" ht="21.6" x14ac:dyDescent="0.65">
      <c r="A13" s="195"/>
      <c r="B13" s="144">
        <v>10</v>
      </c>
      <c r="C13" s="8"/>
      <c r="D13" s="9"/>
      <c r="E13" s="10"/>
      <c r="F13" s="9"/>
      <c r="G13" s="141">
        <f>IF(Basic[[#This Row],[نوع الخدمة]]="مخالفات", 50,
IF(Basic[[#This Row],[نوع الخدمة]]="كاش ان",
    IF(F13&lt;=100, 18, IF(F13&lt;=250, 23, IF(F13&lt;=500, 35, IF(F13&lt;=1000, 40, F13*0.04)))),
IF(Basic[[#This Row],[نوع الخدمة]]="كاش اوت",
    IF(F13&lt;=100, 15, IF(F13&lt;=250, 20, IF(F13&lt;=500, 30, IF(F13&lt;=1000, 35, F13*0.035)))),
0)))</f>
        <v>0</v>
      </c>
      <c r="H13" s="162">
        <f>IF(I13="مخالفات",50,Basic[[#This Row],[قيمة الرسوم / العموله]]+Basic[[#This Row],[قيمة الشحنه]])</f>
        <v>0</v>
      </c>
      <c r="I13" s="90"/>
      <c r="J13" s="142" t="str">
        <f t="shared" si="0"/>
        <v>31.5.2026</v>
      </c>
      <c r="L13" s="153">
        <v>2</v>
      </c>
      <c r="M13" s="92"/>
    </row>
    <row r="14" spans="1:60" ht="21.6" x14ac:dyDescent="0.65">
      <c r="A14" s="195"/>
      <c r="B14" s="140">
        <v>11</v>
      </c>
      <c r="C14" s="2"/>
      <c r="D14" s="1"/>
      <c r="E14" s="3"/>
      <c r="F14" s="1"/>
      <c r="G14" s="141">
        <f>IF(Basic[[#This Row],[نوع الخدمة]]="مخالفات", 50,
IF(Basic[[#This Row],[نوع الخدمة]]="كاش ان",
    IF(F14&lt;=100, 18, IF(F14&lt;=250, 23, IF(F14&lt;=500, 35, IF(F14&lt;=1000, 40, F14*0.04)))),
IF(Basic[[#This Row],[نوع الخدمة]]="كاش اوت",
    IF(F14&lt;=100, 15, IF(F14&lt;=250, 20, IF(F14&lt;=500, 30, IF(F14&lt;=1000, 35, F14*0.035)))),
0)))</f>
        <v>0</v>
      </c>
      <c r="H14" s="163">
        <f>IF(I14="مخالفات",50,Basic[[#This Row],[قيمة الرسوم / العموله]]+Basic[[#This Row],[قيمة الشحنه]])</f>
        <v>0</v>
      </c>
      <c r="I14" s="90"/>
      <c r="J14" s="142" t="str">
        <f t="shared" si="0"/>
        <v>31.5.2026</v>
      </c>
      <c r="L14" s="153">
        <v>3</v>
      </c>
      <c r="M14" s="92"/>
    </row>
    <row r="15" spans="1:60" ht="21.6" x14ac:dyDescent="0.65">
      <c r="A15" s="195"/>
      <c r="B15" s="140">
        <v>12</v>
      </c>
      <c r="C15" s="2"/>
      <c r="D15" s="1"/>
      <c r="E15" s="3"/>
      <c r="F15" s="1"/>
      <c r="G15" s="141">
        <f>IF(Basic[[#This Row],[نوع الخدمة]]="مخالفات", 50,
IF(Basic[[#This Row],[نوع الخدمة]]="كاش ان",
    IF(F15&lt;=100, 18, IF(F15&lt;=250, 23, IF(F15&lt;=500, 35, IF(F15&lt;=1000, 40, F15*0.04)))),
IF(Basic[[#This Row],[نوع الخدمة]]="كاش اوت",
    IF(F15&lt;=100, 15, IF(F15&lt;=250, 20, IF(F15&lt;=500, 30, IF(F15&lt;=1000, 35, F15*0.035)))),
0)))</f>
        <v>0</v>
      </c>
      <c r="H15" s="163">
        <f>IF(I15="مخالفات",50,Basic[[#This Row],[قيمة الرسوم / العموله]]+Basic[[#This Row],[قيمة الشحنه]])</f>
        <v>0</v>
      </c>
      <c r="I15" s="90"/>
      <c r="J15" s="142" t="str">
        <f t="shared" si="0"/>
        <v>31.5.2026</v>
      </c>
      <c r="L15" s="153">
        <v>4</v>
      </c>
      <c r="M15" s="92"/>
      <c r="O15" s="154" t="s">
        <v>10</v>
      </c>
      <c r="P15" s="155">
        <f>COUNTIF(Basic[نوع الخدمة],"مخالفات")</f>
        <v>0</v>
      </c>
    </row>
    <row r="16" spans="1:60" ht="21.6" x14ac:dyDescent="0.65">
      <c r="A16" s="195"/>
      <c r="B16" s="140">
        <v>13</v>
      </c>
      <c r="C16" s="2"/>
      <c r="D16" s="1"/>
      <c r="E16" s="3"/>
      <c r="F16" s="1"/>
      <c r="G16" s="141">
        <f>IF(Basic[[#This Row],[نوع الخدمة]]="مخالفات", 50,
IF(Basic[[#This Row],[نوع الخدمة]]="كاش ان",
    IF(F16&lt;=100, 18, IF(F16&lt;=250, 23, IF(F16&lt;=500, 35, IF(F16&lt;=1000, 40, F16*0.04)))),
IF(Basic[[#This Row],[نوع الخدمة]]="كاش اوت",
    IF(F16&lt;=100, 15, IF(F16&lt;=250, 20, IF(F16&lt;=500, 30, IF(F16&lt;=1000, 35, F16*0.035)))),
0)))</f>
        <v>0</v>
      </c>
      <c r="H16" s="163">
        <f>IF(I16="مخالفات",50,Basic[[#This Row],[قيمة الرسوم / العموله]]+Basic[[#This Row],[قيمة الشحنه]])</f>
        <v>0</v>
      </c>
      <c r="I16" s="90"/>
      <c r="J16" s="142" t="str">
        <f t="shared" si="0"/>
        <v>31.5.2026</v>
      </c>
      <c r="L16" s="153">
        <v>5</v>
      </c>
      <c r="M16" s="92"/>
      <c r="O16" s="154" t="s">
        <v>13</v>
      </c>
      <c r="P16" s="155">
        <f>COUNTIF(Basic[نوع الخدمة],"كاش ان")</f>
        <v>0</v>
      </c>
    </row>
    <row r="17" spans="1:21" ht="21.6" x14ac:dyDescent="0.65">
      <c r="A17" s="195"/>
      <c r="B17" s="144">
        <v>14</v>
      </c>
      <c r="C17" s="2"/>
      <c r="D17" s="1"/>
      <c r="E17" s="3"/>
      <c r="F17" s="1"/>
      <c r="G17" s="141">
        <f>IF(Basic[[#This Row],[نوع الخدمة]]="مخالفات", 50,
IF(Basic[[#This Row],[نوع الخدمة]]="كاش ان",
    IF(F17&lt;=100, 18, IF(F17&lt;=250, 23, IF(F17&lt;=500, 35, IF(F17&lt;=1000, 40, F17*0.04)))),
IF(Basic[[#This Row],[نوع الخدمة]]="كاش اوت",
    IF(F17&lt;=100, 15, IF(F17&lt;=250, 20, IF(F17&lt;=500, 30, IF(F17&lt;=1000, 35, F17*0.035)))),
0)))</f>
        <v>0</v>
      </c>
      <c r="H17" s="163">
        <f>IF(I17="مخالفات",50,Basic[[#This Row],[قيمة الرسوم / العموله]]+Basic[[#This Row],[قيمة الشحنه]])</f>
        <v>0</v>
      </c>
      <c r="I17" s="90"/>
      <c r="J17" s="142" t="str">
        <f t="shared" si="0"/>
        <v>31.5.2026</v>
      </c>
      <c r="L17" s="153">
        <v>6</v>
      </c>
      <c r="M17" s="92"/>
      <c r="O17" s="154" t="s">
        <v>14</v>
      </c>
      <c r="P17" s="155">
        <f>COUNTIF(Basic[نوع الخدمة],"كاش اوت")</f>
        <v>0</v>
      </c>
    </row>
    <row r="18" spans="1:21" ht="21.6" x14ac:dyDescent="0.65">
      <c r="A18" s="195"/>
      <c r="B18" s="140">
        <v>15</v>
      </c>
      <c r="C18" s="2"/>
      <c r="D18" s="1"/>
      <c r="E18" s="3"/>
      <c r="F18" s="1"/>
      <c r="G18" s="141">
        <f>IF(Basic[[#This Row],[نوع الخدمة]]="مخالفات", 50,
IF(Basic[[#This Row],[نوع الخدمة]]="كاش ان",
    IF(F18&lt;=100, 18, IF(F18&lt;=250, 23, IF(F18&lt;=500, 35, IF(F18&lt;=1000, 40, F18*0.04)))),
IF(Basic[[#This Row],[نوع الخدمة]]="كاش اوت",
    IF(F18&lt;=100, 15, IF(F18&lt;=250, 20, IF(F18&lt;=500, 30, IF(F18&lt;=1000, 35, F18*0.035)))),
0)))</f>
        <v>0</v>
      </c>
      <c r="H18" s="163">
        <f>IF(I18="مخالفات",50,Basic[[#This Row],[قيمة الرسوم / العموله]]+Basic[[#This Row],[قيمة الشحنه]])</f>
        <v>0</v>
      </c>
      <c r="I18" s="90"/>
      <c r="J18" s="142" t="str">
        <f t="shared" si="0"/>
        <v>31.5.2026</v>
      </c>
      <c r="L18" s="153">
        <v>7</v>
      </c>
      <c r="M18" s="92"/>
      <c r="O18" s="154" t="s">
        <v>15</v>
      </c>
      <c r="P18" s="155">
        <f>P16+P17</f>
        <v>0</v>
      </c>
    </row>
    <row r="19" spans="1:21" ht="21.6" x14ac:dyDescent="0.65">
      <c r="A19" s="195"/>
      <c r="B19" s="140">
        <v>16</v>
      </c>
      <c r="C19" s="2"/>
      <c r="D19" s="1"/>
      <c r="E19" s="3"/>
      <c r="F19" s="1"/>
      <c r="G19" s="141">
        <f>IF(Basic[[#This Row],[نوع الخدمة]]="مخالفات", 50,
IF(Basic[[#This Row],[نوع الخدمة]]="كاش ان",
    IF(F19&lt;=100, 18, IF(F19&lt;=250, 23, IF(F19&lt;=500, 35, IF(F19&lt;=1000, 40, F19*0.04)))),
IF(Basic[[#This Row],[نوع الخدمة]]="كاش اوت",
    IF(F19&lt;=100, 15, IF(F19&lt;=250, 20, IF(F19&lt;=500, 30, IF(F19&lt;=1000, 35, F19*0.035)))),
0)))</f>
        <v>0</v>
      </c>
      <c r="H19" s="163">
        <f>IF(I19="مخالفات",50,Basic[[#This Row],[قيمة الرسوم / العموله]]+Basic[[#This Row],[قيمة الشحنه]])</f>
        <v>0</v>
      </c>
      <c r="I19" s="90"/>
      <c r="J19" s="142" t="str">
        <f t="shared" si="0"/>
        <v>31.5.2026</v>
      </c>
      <c r="L19" s="153">
        <v>8</v>
      </c>
      <c r="M19" s="92"/>
    </row>
    <row r="20" spans="1:21" ht="21.6" x14ac:dyDescent="0.65">
      <c r="A20" s="195"/>
      <c r="B20" s="140">
        <v>17</v>
      </c>
      <c r="C20" s="2"/>
      <c r="D20" s="1"/>
      <c r="E20" s="3"/>
      <c r="F20" s="1"/>
      <c r="G20" s="141">
        <f>IF(Basic[[#This Row],[نوع الخدمة]]="مخالفات", 50,
IF(Basic[[#This Row],[نوع الخدمة]]="كاش ان",
    IF(F20&lt;=100, 18, IF(F20&lt;=250, 23, IF(F20&lt;=500, 35, IF(F20&lt;=1000, 40, F20*0.04)))),
IF(Basic[[#This Row],[نوع الخدمة]]="كاش اوت",
    IF(F20&lt;=100, 15, IF(F20&lt;=250, 20, IF(F20&lt;=500, 30, IF(F20&lt;=1000, 35, F20*0.035)))),
0)))</f>
        <v>0</v>
      </c>
      <c r="H20" s="163">
        <f>IF(I20="مخالفات",50,Basic[[#This Row],[قيمة الرسوم / العموله]]+Basic[[#This Row],[قيمة الشحنه]])</f>
        <v>0</v>
      </c>
      <c r="I20" s="90"/>
      <c r="J20" s="142" t="str">
        <f t="shared" si="0"/>
        <v>31.5.2026</v>
      </c>
      <c r="L20" s="153">
        <v>9</v>
      </c>
      <c r="M20" s="92"/>
      <c r="O20" s="193" t="s">
        <v>30</v>
      </c>
      <c r="P20" s="194"/>
    </row>
    <row r="21" spans="1:21" ht="21.6" x14ac:dyDescent="0.65">
      <c r="A21" s="195"/>
      <c r="B21" s="144">
        <v>18</v>
      </c>
      <c r="C21" s="2"/>
      <c r="D21" s="1"/>
      <c r="E21" s="3"/>
      <c r="F21" s="1"/>
      <c r="G21" s="141">
        <f>IF(Basic[[#This Row],[نوع الخدمة]]="مخالفات", 50,
IF(Basic[[#This Row],[نوع الخدمة]]="كاش ان",
    IF(F21&lt;=100, 18, IF(F21&lt;=250, 23, IF(F21&lt;=500, 35, IF(F21&lt;=1000, 40, F21*0.04)))),
IF(Basic[[#This Row],[نوع الخدمة]]="كاش اوت",
    IF(F21&lt;=100, 15, IF(F21&lt;=250, 20, IF(F21&lt;=500, 30, IF(F21&lt;=1000, 35, F21*0.035)))),
0)))</f>
        <v>0</v>
      </c>
      <c r="H21" s="163">
        <f>IF(I21="مخالفات",50,Basic[[#This Row],[قيمة الرسوم / العموله]]+Basic[[#This Row],[قيمة الشحنه]])</f>
        <v>0</v>
      </c>
      <c r="I21" s="90"/>
      <c r="J21" s="142" t="str">
        <f t="shared" si="0"/>
        <v>31.5.2026</v>
      </c>
      <c r="L21" s="153">
        <v>10</v>
      </c>
      <c r="M21" s="92"/>
      <c r="O21" s="196" t="s">
        <v>31</v>
      </c>
      <c r="P21" s="197"/>
    </row>
    <row r="22" spans="1:21" ht="21.6" x14ac:dyDescent="0.65">
      <c r="A22" s="195"/>
      <c r="B22" s="140">
        <v>19</v>
      </c>
      <c r="C22" s="2"/>
      <c r="D22" s="1"/>
      <c r="E22" s="3"/>
      <c r="F22" s="1"/>
      <c r="G22" s="141">
        <f>IF(Basic[[#This Row],[نوع الخدمة]]="مخالفات", 50,
IF(Basic[[#This Row],[نوع الخدمة]]="كاش ان",
    IF(F22&lt;=100, 18, IF(F22&lt;=250, 23, IF(F22&lt;=500, 35, IF(F22&lt;=1000, 40, F22*0.04)))),
IF(Basic[[#This Row],[نوع الخدمة]]="كاش اوت",
    IF(F22&lt;=100, 15, IF(F22&lt;=250, 20, IF(F22&lt;=500, 30, IF(F22&lt;=1000, 35, F22*0.035)))),
0)))</f>
        <v>0</v>
      </c>
      <c r="H22" s="163">
        <f>IF(I22="مخالفات",50,Basic[[#This Row],[قيمة الرسوم / العموله]]+Basic[[#This Row],[قيمة الشحنه]])</f>
        <v>0</v>
      </c>
      <c r="I22" s="90"/>
      <c r="J22" s="142" t="str">
        <f t="shared" si="0"/>
        <v>31.5.2026</v>
      </c>
      <c r="L22" s="153">
        <v>11</v>
      </c>
      <c r="M22" s="92"/>
      <c r="O22" s="147" t="s">
        <v>27</v>
      </c>
      <c r="P22" s="135">
        <f>M8+'30'!P28</f>
        <v>-4</v>
      </c>
    </row>
    <row r="23" spans="1:21" ht="21.6" x14ac:dyDescent="0.65">
      <c r="A23" s="195"/>
      <c r="B23" s="140">
        <v>20</v>
      </c>
      <c r="C23" s="2"/>
      <c r="D23" s="1"/>
      <c r="E23" s="3"/>
      <c r="F23" s="1"/>
      <c r="G23" s="141">
        <f>IF(Basic[[#This Row],[نوع الخدمة]]="مخالفات", 50,
IF(Basic[[#This Row],[نوع الخدمة]]="كاش ان",
    IF(F23&lt;=100, 18, IF(F23&lt;=250, 23, IF(F23&lt;=500, 35, IF(F23&lt;=1000, 40, F23*0.04)))),
IF(Basic[[#This Row],[نوع الخدمة]]="كاش اوت",
    IF(F23&lt;=100, 15, IF(F23&lt;=250, 20, IF(F23&lt;=500, 30, IF(F23&lt;=1000, 35, F23*0.035)))),
0)))</f>
        <v>0</v>
      </c>
      <c r="H23" s="163">
        <f>IF(I23="مخالفات",50,Basic[[#This Row],[قيمة الرسوم / العموله]]+Basic[[#This Row],[قيمة الشحنه]])</f>
        <v>0</v>
      </c>
      <c r="I23" s="90"/>
      <c r="J23" s="142" t="str">
        <f t="shared" si="0"/>
        <v>31.5.2026</v>
      </c>
      <c r="L23" s="153">
        <v>12</v>
      </c>
      <c r="M23" s="92"/>
      <c r="O23" s="147" t="s">
        <v>28</v>
      </c>
      <c r="P23" s="135">
        <f>M9+'30'!P29</f>
        <v>0</v>
      </c>
      <c r="T23" s="173"/>
      <c r="U23" s="173"/>
    </row>
    <row r="24" spans="1:21" ht="21.6" x14ac:dyDescent="0.65">
      <c r="A24" s="195"/>
      <c r="B24" s="140">
        <v>21</v>
      </c>
      <c r="C24" s="2"/>
      <c r="D24" s="1"/>
      <c r="E24" s="3"/>
      <c r="F24" s="1"/>
      <c r="G24" s="141">
        <f>IF(Basic[[#This Row],[نوع الخدمة]]="مخالفات", 50,
IF(Basic[[#This Row],[نوع الخدمة]]="كاش ان",
    IF(F24&lt;=100, 18, IF(F24&lt;=250, 23, IF(F24&lt;=500, 35, IF(F24&lt;=1000, 40, F24*0.04)))),
IF(Basic[[#This Row],[نوع الخدمة]]="كاش اوت",
    IF(F24&lt;=100, 15, IF(F24&lt;=250, 20, IF(F24&lt;=500, 30, IF(F24&lt;=1000, 35, F24*0.035)))),
0)))</f>
        <v>0</v>
      </c>
      <c r="H24" s="163">
        <f>IF(I24="مخالفات",50,Basic[[#This Row],[قيمة الرسوم / العموله]]+Basic[[#This Row],[قيمة الشحنه]])</f>
        <v>0</v>
      </c>
      <c r="I24" s="90"/>
      <c r="J24" s="142" t="str">
        <f t="shared" si="0"/>
        <v>31.5.2026</v>
      </c>
      <c r="L24" s="153">
        <v>13</v>
      </c>
      <c r="M24" s="92"/>
      <c r="O24" s="196" t="s">
        <v>32</v>
      </c>
      <c r="P24" s="197"/>
    </row>
    <row r="25" spans="1:21" ht="21.6" x14ac:dyDescent="0.65">
      <c r="A25" s="195"/>
      <c r="B25" s="144">
        <v>22</v>
      </c>
      <c r="C25" s="2"/>
      <c r="D25" s="1"/>
      <c r="E25" s="3"/>
      <c r="F25" s="1"/>
      <c r="G25" s="141">
        <f>IF(Basic[[#This Row],[نوع الخدمة]]="مخالفات", 50,
IF(Basic[[#This Row],[نوع الخدمة]]="كاش ان",
    IF(F25&lt;=100, 18, IF(F25&lt;=250, 23, IF(F25&lt;=500, 35, IF(F25&lt;=1000, 40, F25*0.04)))),
IF(Basic[[#This Row],[نوع الخدمة]]="كاش اوت",
    IF(F25&lt;=100, 15, IF(F25&lt;=250, 20, IF(F25&lt;=500, 30, IF(F25&lt;=1000, 35, F25*0.035)))),
0)))</f>
        <v>0</v>
      </c>
      <c r="H25" s="163">
        <f>IF(I25="مخالفات",50,Basic[[#This Row],[قيمة الرسوم / العموله]]+Basic[[#This Row],[قيمة الشحنه]])</f>
        <v>0</v>
      </c>
      <c r="I25" s="90"/>
      <c r="J25" s="142" t="str">
        <f t="shared" si="0"/>
        <v>31.5.2026</v>
      </c>
      <c r="L25" s="153">
        <v>14</v>
      </c>
      <c r="M25" s="92"/>
      <c r="O25" s="147" t="s">
        <v>27</v>
      </c>
      <c r="P25" s="135">
        <f>M5</f>
        <v>0</v>
      </c>
    </row>
    <row r="26" spans="1:21" ht="21.6" x14ac:dyDescent="0.65">
      <c r="A26" s="195"/>
      <c r="B26" s="140">
        <v>23</v>
      </c>
      <c r="C26" s="2"/>
      <c r="D26" s="1"/>
      <c r="E26" s="3"/>
      <c r="F26" s="1"/>
      <c r="G26" s="141">
        <f>IF(Basic[[#This Row],[نوع الخدمة]]="مخالفات", 50,
IF(Basic[[#This Row],[نوع الخدمة]]="كاش ان",
    IF(F26&lt;=100, 18, IF(F26&lt;=250, 23, IF(F26&lt;=500, 35, IF(F26&lt;=1000, 40, F26*0.04)))),
IF(Basic[[#This Row],[نوع الخدمة]]="كاش اوت",
    IF(F26&lt;=100, 15, IF(F26&lt;=250, 20, IF(F26&lt;=500, 30, IF(F26&lt;=1000, 35, F26*0.035)))),
0)))</f>
        <v>0</v>
      </c>
      <c r="H26" s="163">
        <f>IF(I26="مخالفات",50,Basic[[#This Row],[قيمة الرسوم / العموله]]+Basic[[#This Row],[قيمة الشحنه]])</f>
        <v>0</v>
      </c>
      <c r="I26" s="90"/>
      <c r="J26" s="142" t="str">
        <f t="shared" si="0"/>
        <v>31.5.2026</v>
      </c>
      <c r="L26" s="153">
        <v>15</v>
      </c>
      <c r="M26" s="92"/>
      <c r="O26" s="147" t="s">
        <v>28</v>
      </c>
      <c r="P26" s="135">
        <f>M6</f>
        <v>0</v>
      </c>
    </row>
    <row r="27" spans="1:21" ht="21.6" x14ac:dyDescent="0.65">
      <c r="A27" s="195"/>
      <c r="B27" s="140">
        <v>24</v>
      </c>
      <c r="C27" s="2"/>
      <c r="D27" s="1"/>
      <c r="E27" s="3"/>
      <c r="F27" s="1"/>
      <c r="G27" s="141">
        <f>IF(Basic[[#This Row],[نوع الخدمة]]="مخالفات", 50,
IF(Basic[[#This Row],[نوع الخدمة]]="كاش ان",
    IF(F27&lt;=100, 18, IF(F27&lt;=250, 23, IF(F27&lt;=500, 35, IF(F27&lt;=1000, 40, F27*0.04)))),
IF(Basic[[#This Row],[نوع الخدمة]]="كاش اوت",
    IF(F27&lt;=100, 15, IF(F27&lt;=250, 20, IF(F27&lt;=500, 30, IF(F27&lt;=1000, 35, F27*0.035)))),
0)))</f>
        <v>0</v>
      </c>
      <c r="H27" s="163">
        <f>IF(I27="مخالفات",50,Basic[[#This Row],[قيمة الرسوم / العموله]]+Basic[[#This Row],[قيمة الشحنه]])</f>
        <v>0</v>
      </c>
      <c r="I27" s="90"/>
      <c r="J27" s="142" t="str">
        <f t="shared" si="0"/>
        <v>31.5.2026</v>
      </c>
      <c r="L27" s="153">
        <v>16</v>
      </c>
      <c r="M27" s="92"/>
      <c r="O27" s="196" t="s">
        <v>33</v>
      </c>
      <c r="P27" s="197"/>
    </row>
    <row r="28" spans="1:21" ht="21.6" x14ac:dyDescent="0.65">
      <c r="A28" s="195"/>
      <c r="B28" s="140">
        <v>25</v>
      </c>
      <c r="C28" s="2"/>
      <c r="D28" s="1"/>
      <c r="E28" s="3"/>
      <c r="F28" s="1"/>
      <c r="G28" s="141">
        <f>IF(Basic[[#This Row],[نوع الخدمة]]="مخالفات", 50,
IF(Basic[[#This Row],[نوع الخدمة]]="كاش ان",
    IF(F28&lt;=100, 18, IF(F28&lt;=250, 23, IF(F28&lt;=500, 35, IF(F28&lt;=1000, 40, F28*0.04)))),
IF(Basic[[#This Row],[نوع الخدمة]]="كاش اوت",
    IF(F28&lt;=100, 15, IF(F28&lt;=250, 20, IF(F28&lt;=500, 30, IF(F28&lt;=1000, 35, F28*0.035)))),
0)))</f>
        <v>0</v>
      </c>
      <c r="H28" s="163">
        <f>IF(I28="مخالفات",50,Basic[[#This Row],[قيمة الرسوم / العموله]]+Basic[[#This Row],[قيمة الشحنه]])</f>
        <v>0</v>
      </c>
      <c r="I28" s="90"/>
      <c r="J28" s="142" t="str">
        <f t="shared" si="0"/>
        <v>31.5.2026</v>
      </c>
      <c r="L28" s="153">
        <v>17</v>
      </c>
      <c r="M28" s="92"/>
      <c r="O28" s="147" t="s">
        <v>27</v>
      </c>
      <c r="P28" s="135">
        <f>P22-P25</f>
        <v>-4</v>
      </c>
    </row>
    <row r="29" spans="1:21" ht="21.6" x14ac:dyDescent="0.65">
      <c r="A29" s="195"/>
      <c r="B29" s="144">
        <v>26</v>
      </c>
      <c r="C29" s="2"/>
      <c r="D29" s="1"/>
      <c r="E29" s="3"/>
      <c r="F29" s="1"/>
      <c r="G29" s="141">
        <f>IF(Basic[[#This Row],[نوع الخدمة]]="مخالفات", 50,
IF(Basic[[#This Row],[نوع الخدمة]]="كاش ان",
    IF(F29&lt;=100, 18, IF(F29&lt;=250, 23, IF(F29&lt;=500, 35, IF(F29&lt;=1000, 40, F29*0.04)))),
IF(Basic[[#This Row],[نوع الخدمة]]="كاش اوت",
    IF(F29&lt;=100, 15, IF(F29&lt;=250, 20, IF(F29&lt;=500, 30, IF(F29&lt;=1000, 35, F29*0.035)))),
0)))</f>
        <v>0</v>
      </c>
      <c r="H29" s="163">
        <f>IF(I29="مخالفات",50,Basic[[#This Row],[قيمة الرسوم / العموله]]+Basic[[#This Row],[قيمة الشحنه]])</f>
        <v>0</v>
      </c>
      <c r="I29" s="90"/>
      <c r="J29" s="142" t="str">
        <f t="shared" si="0"/>
        <v>31.5.2026</v>
      </c>
      <c r="L29" s="153">
        <v>18</v>
      </c>
      <c r="M29" s="92"/>
      <c r="O29" s="147" t="s">
        <v>28</v>
      </c>
      <c r="P29" s="135">
        <f>P23-P26</f>
        <v>0</v>
      </c>
    </row>
    <row r="30" spans="1:21" ht="21.6" x14ac:dyDescent="0.65">
      <c r="A30" s="195"/>
      <c r="B30" s="140">
        <v>27</v>
      </c>
      <c r="C30" s="2"/>
      <c r="D30" s="1"/>
      <c r="E30" s="3"/>
      <c r="F30" s="1"/>
      <c r="G30" s="141">
        <f>IF(Basic[[#This Row],[نوع الخدمة]]="مخالفات", 50,
IF(Basic[[#This Row],[نوع الخدمة]]="كاش ان",
    IF(F30&lt;=100, 18, IF(F30&lt;=250, 23, IF(F30&lt;=500, 35, IF(F30&lt;=1000, 40, F30*0.04)))),
IF(Basic[[#This Row],[نوع الخدمة]]="كاش اوت",
    IF(F30&lt;=100, 15, IF(F30&lt;=250, 20, IF(F30&lt;=500, 30, IF(F30&lt;=1000, 35, F30*0.035)))),
0)))</f>
        <v>0</v>
      </c>
      <c r="H30" s="163">
        <f>IF(I30="مخالفات",50,Basic[[#This Row],[قيمة الرسوم / العموله]]+Basic[[#This Row],[قيمة الشحنه]])</f>
        <v>0</v>
      </c>
      <c r="I30" s="90"/>
      <c r="J30" s="142" t="str">
        <f t="shared" si="0"/>
        <v>31.5.2026</v>
      </c>
      <c r="L30" s="153">
        <v>19</v>
      </c>
      <c r="M30" s="92"/>
    </row>
    <row r="31" spans="1:21" ht="21.6" x14ac:dyDescent="0.65">
      <c r="A31" s="195"/>
      <c r="B31" s="140">
        <v>28</v>
      </c>
      <c r="C31" s="2"/>
      <c r="D31" s="1"/>
      <c r="E31" s="3"/>
      <c r="F31" s="1"/>
      <c r="G31" s="141">
        <f>IF(Basic[[#This Row],[نوع الخدمة]]="مخالفات", 50,
IF(Basic[[#This Row],[نوع الخدمة]]="كاش ان",
    IF(F31&lt;=100, 18, IF(F31&lt;=250, 23, IF(F31&lt;=500, 35, IF(F31&lt;=1000, 40, F31*0.04)))),
IF(Basic[[#This Row],[نوع الخدمة]]="كاش اوت",
    IF(F31&lt;=100, 15, IF(F31&lt;=250, 20, IF(F31&lt;=500, 30, IF(F31&lt;=1000, 35, F31*0.035)))),
0)))</f>
        <v>0</v>
      </c>
      <c r="H31" s="163">
        <f>IF(I31="مخالفات",50,Basic[[#This Row],[قيمة الرسوم / العموله]]+Basic[[#This Row],[قيمة الشحنه]])</f>
        <v>0</v>
      </c>
      <c r="I31" s="90"/>
      <c r="J31" s="142" t="str">
        <f t="shared" si="0"/>
        <v>31.5.2026</v>
      </c>
      <c r="L31" s="153">
        <v>20</v>
      </c>
      <c r="M31" s="92"/>
    </row>
    <row r="32" spans="1:21" ht="21.6" x14ac:dyDescent="0.65">
      <c r="A32" s="195"/>
      <c r="B32" s="140">
        <v>29</v>
      </c>
      <c r="C32" s="2"/>
      <c r="D32" s="1"/>
      <c r="E32" s="3"/>
      <c r="F32" s="1"/>
      <c r="G32" s="141">
        <f>IF(Basic[[#This Row],[نوع الخدمة]]="مخالفات", 50,
IF(Basic[[#This Row],[نوع الخدمة]]="كاش ان",
    IF(F32&lt;=100, 18, IF(F32&lt;=250, 23, IF(F32&lt;=500, 35, IF(F32&lt;=1000, 40, F32*0.04)))),
IF(Basic[[#This Row],[نوع الخدمة]]="كاش اوت",
    IF(F32&lt;=100, 15, IF(F32&lt;=250, 20, IF(F32&lt;=500, 30, IF(F32&lt;=1000, 35, F32*0.035)))),
0)))</f>
        <v>0</v>
      </c>
      <c r="H32" s="163">
        <f>IF(I32="مخالفات",50,Basic[[#This Row],[قيمة الرسوم / العموله]]+Basic[[#This Row],[قيمة الشحنه]])</f>
        <v>0</v>
      </c>
      <c r="I32" s="90"/>
      <c r="J32" s="142" t="str">
        <f t="shared" si="0"/>
        <v>31.5.2026</v>
      </c>
      <c r="L32" s="153">
        <v>21</v>
      </c>
      <c r="M32" s="92"/>
    </row>
    <row r="33" spans="1:13" ht="21.6" x14ac:dyDescent="0.65">
      <c r="A33" s="195"/>
      <c r="B33" s="144">
        <v>30</v>
      </c>
      <c r="C33" s="2"/>
      <c r="D33" s="1"/>
      <c r="E33" s="3"/>
      <c r="F33" s="1"/>
      <c r="G33" s="141">
        <f>IF(Basic[[#This Row],[نوع الخدمة]]="مخالفات", 50,
IF(Basic[[#This Row],[نوع الخدمة]]="كاش ان",
    IF(F33&lt;=100, 18, IF(F33&lt;=250, 23, IF(F33&lt;=500, 35, IF(F33&lt;=1000, 40, F33*0.04)))),
IF(Basic[[#This Row],[نوع الخدمة]]="كاش اوت",
    IF(F33&lt;=100, 15, IF(F33&lt;=250, 20, IF(F33&lt;=500, 30, IF(F33&lt;=1000, 35, F33*0.035)))),
0)))</f>
        <v>0</v>
      </c>
      <c r="H33" s="163">
        <f>IF(I33="مخالفات",50,Basic[[#This Row],[قيمة الرسوم / العموله]]+Basic[[#This Row],[قيمة الشحنه]])</f>
        <v>0</v>
      </c>
      <c r="I33" s="90"/>
      <c r="J33" s="142" t="str">
        <f t="shared" si="0"/>
        <v>31.5.2026</v>
      </c>
      <c r="L33" s="153">
        <v>22</v>
      </c>
      <c r="M33" s="92"/>
    </row>
    <row r="34" spans="1:13" ht="21.6" x14ac:dyDescent="0.65">
      <c r="A34" s="195"/>
      <c r="B34" s="140">
        <v>31</v>
      </c>
      <c r="C34" s="2"/>
      <c r="D34" s="1"/>
      <c r="E34" s="3"/>
      <c r="F34" s="1"/>
      <c r="G34" s="141">
        <f>IF(Basic[[#This Row],[نوع الخدمة]]="مخالفات", 50,
IF(Basic[[#This Row],[نوع الخدمة]]="كاش ان",
    IF(F34&lt;=100, 18, IF(F34&lt;=250, 23, IF(F34&lt;=500, 35, IF(F34&lt;=1000, 40, F34*0.04)))),
IF(Basic[[#This Row],[نوع الخدمة]]="كاش اوت",
    IF(F34&lt;=100, 15, IF(F34&lt;=250, 20, IF(F34&lt;=500, 30, IF(F34&lt;=1000, 35, F34*0.035)))),
0)))</f>
        <v>0</v>
      </c>
      <c r="H34" s="163">
        <f>IF(I34="مخالفات",50,Basic[[#This Row],[قيمة الرسوم / العموله]]+Basic[[#This Row],[قيمة الشحنه]])</f>
        <v>0</v>
      </c>
      <c r="I34" s="90"/>
      <c r="J34" s="142" t="str">
        <f t="shared" si="0"/>
        <v>31.5.2026</v>
      </c>
      <c r="L34" s="153">
        <v>23</v>
      </c>
      <c r="M34" s="92"/>
    </row>
    <row r="35" spans="1:13" ht="21.6" x14ac:dyDescent="0.65">
      <c r="A35" s="195"/>
      <c r="B35" s="140">
        <v>32</v>
      </c>
      <c r="C35" s="2"/>
      <c r="D35" s="1"/>
      <c r="E35" s="3"/>
      <c r="F35" s="1"/>
      <c r="G35" s="141">
        <f>IF(Basic[[#This Row],[نوع الخدمة]]="مخالفات", 50,
IF(Basic[[#This Row],[نوع الخدمة]]="كاش ان",
    IF(F35&lt;=100, 18, IF(F35&lt;=250, 23, IF(F35&lt;=500, 35, IF(F35&lt;=1000, 40, F35*0.04)))),
IF(Basic[[#This Row],[نوع الخدمة]]="كاش اوت",
    IF(F35&lt;=100, 15, IF(F35&lt;=250, 20, IF(F35&lt;=500, 30, IF(F35&lt;=1000, 35, F35*0.035)))),
0)))</f>
        <v>0</v>
      </c>
      <c r="H35" s="163">
        <f>IF(I35="مخالفات",50,Basic[[#This Row],[قيمة الرسوم / العموله]]+Basic[[#This Row],[قيمة الشحنه]])</f>
        <v>0</v>
      </c>
      <c r="I35" s="90"/>
      <c r="J35" s="142" t="str">
        <f t="shared" si="0"/>
        <v>31.5.2026</v>
      </c>
      <c r="L35" s="153">
        <v>24</v>
      </c>
      <c r="M35" s="92"/>
    </row>
    <row r="36" spans="1:13" ht="21.6" x14ac:dyDescent="0.65">
      <c r="A36" s="195"/>
      <c r="B36" s="140">
        <v>33</v>
      </c>
      <c r="C36" s="2"/>
      <c r="D36" s="1"/>
      <c r="E36" s="3"/>
      <c r="F36" s="1"/>
      <c r="G36" s="141">
        <f>IF(Basic[[#This Row],[نوع الخدمة]]="مخالفات", 50,
IF(Basic[[#This Row],[نوع الخدمة]]="كاش ان",
    IF(F36&lt;=100, 18, IF(F36&lt;=250, 23, IF(F36&lt;=500, 35, IF(F36&lt;=1000, 40, F36*0.04)))),
IF(Basic[[#This Row],[نوع الخدمة]]="كاش اوت",
    IF(F36&lt;=100, 15, IF(F36&lt;=250, 20, IF(F36&lt;=500, 30, IF(F36&lt;=1000, 35, F36*0.035)))),
0)))</f>
        <v>0</v>
      </c>
      <c r="H36" s="163">
        <f>IF(I36="مخالفات",50,Basic[[#This Row],[قيمة الرسوم / العموله]]+Basic[[#This Row],[قيمة الشحنه]])</f>
        <v>0</v>
      </c>
      <c r="I36" s="90"/>
      <c r="J36" s="142" t="str">
        <f t="shared" si="0"/>
        <v>31.5.2026</v>
      </c>
      <c r="L36" s="153">
        <v>25</v>
      </c>
      <c r="M36" s="92"/>
    </row>
    <row r="37" spans="1:13" ht="21.6" x14ac:dyDescent="0.65">
      <c r="A37" s="195"/>
      <c r="B37" s="144">
        <v>34</v>
      </c>
      <c r="C37" s="2"/>
      <c r="D37" s="1"/>
      <c r="E37" s="3"/>
      <c r="F37" s="1"/>
      <c r="G37" s="141">
        <f>IF(Basic[[#This Row],[نوع الخدمة]]="مخالفات", 50,
IF(Basic[[#This Row],[نوع الخدمة]]="كاش ان",
    IF(F37&lt;=100, 18, IF(F37&lt;=250, 23, IF(F37&lt;=500, 35, IF(F37&lt;=1000, 40, F37*0.04)))),
IF(Basic[[#This Row],[نوع الخدمة]]="كاش اوت",
    IF(F37&lt;=100, 15, IF(F37&lt;=250, 20, IF(F37&lt;=500, 30, IF(F37&lt;=1000, 35, F37*0.035)))),
0)))</f>
        <v>0</v>
      </c>
      <c r="H37" s="163">
        <f>IF(I37="مخالفات",50,Basic[[#This Row],[قيمة الرسوم / العموله]]+Basic[[#This Row],[قيمة الشحنه]])</f>
        <v>0</v>
      </c>
      <c r="I37" s="90"/>
      <c r="J37" s="142" t="str">
        <f t="shared" si="0"/>
        <v>31.5.2026</v>
      </c>
      <c r="L37" s="153">
        <v>26</v>
      </c>
      <c r="M37" s="92"/>
    </row>
    <row r="38" spans="1:13" ht="21.6" x14ac:dyDescent="0.65">
      <c r="A38" s="195"/>
      <c r="B38" s="140">
        <v>35</v>
      </c>
      <c r="C38" s="2"/>
      <c r="D38" s="1"/>
      <c r="E38" s="3"/>
      <c r="F38" s="1"/>
      <c r="G38" s="141">
        <f>IF(Basic[[#This Row],[نوع الخدمة]]="مخالفات", 50,
IF(Basic[[#This Row],[نوع الخدمة]]="كاش ان",
    IF(F38&lt;=100, 18, IF(F38&lt;=250, 23, IF(F38&lt;=500, 35, IF(F38&lt;=1000, 40, F38*0.04)))),
IF(Basic[[#This Row],[نوع الخدمة]]="كاش اوت",
    IF(F38&lt;=100, 15, IF(F38&lt;=250, 20, IF(F38&lt;=500, 30, IF(F38&lt;=1000, 35, F38*0.035)))),
0)))</f>
        <v>0</v>
      </c>
      <c r="H38" s="163">
        <f>IF(I38="مخالفات",50,Basic[[#This Row],[قيمة الرسوم / العموله]]+Basic[[#This Row],[قيمة الشحنه]])</f>
        <v>0</v>
      </c>
      <c r="I38" s="90"/>
      <c r="J38" s="142" t="str">
        <f t="shared" si="0"/>
        <v>31.5.2026</v>
      </c>
      <c r="L38" s="153">
        <v>27</v>
      </c>
      <c r="M38" s="92"/>
    </row>
    <row r="39" spans="1:13" ht="21.6" x14ac:dyDescent="0.65">
      <c r="A39" s="195"/>
      <c r="B39" s="140">
        <v>36</v>
      </c>
      <c r="C39" s="2"/>
      <c r="D39" s="1"/>
      <c r="E39" s="3"/>
      <c r="F39" s="1"/>
      <c r="G39" s="141">
        <f>IF(Basic[[#This Row],[نوع الخدمة]]="مخالفات", 50,
IF(Basic[[#This Row],[نوع الخدمة]]="كاش ان",
    IF(F39&lt;=100, 18, IF(F39&lt;=250, 23, IF(F39&lt;=500, 35, IF(F39&lt;=1000, 40, F39*0.04)))),
IF(Basic[[#This Row],[نوع الخدمة]]="كاش اوت",
    IF(F39&lt;=100, 15, IF(F39&lt;=250, 20, IF(F39&lt;=500, 30, IF(F39&lt;=1000, 35, F39*0.035)))),
0)))</f>
        <v>0</v>
      </c>
      <c r="H39" s="163">
        <f>IF(I39="مخالفات",50,Basic[[#This Row],[قيمة الرسوم / العموله]]+Basic[[#This Row],[قيمة الشحنه]])</f>
        <v>0</v>
      </c>
      <c r="I39" s="90"/>
      <c r="J39" s="142" t="str">
        <f t="shared" si="0"/>
        <v>31.5.2026</v>
      </c>
      <c r="L39" s="153">
        <v>28</v>
      </c>
      <c r="M39" s="92"/>
    </row>
    <row r="40" spans="1:13" ht="21.6" x14ac:dyDescent="0.65">
      <c r="A40" s="195"/>
      <c r="B40" s="140">
        <v>37</v>
      </c>
      <c r="C40" s="2"/>
      <c r="D40" s="1"/>
      <c r="E40" s="3"/>
      <c r="F40" s="1"/>
      <c r="G40" s="141">
        <f>IF(Basic[[#This Row],[نوع الخدمة]]="مخالفات", 50,
IF(Basic[[#This Row],[نوع الخدمة]]="كاش ان",
    IF(F40&lt;=100, 18, IF(F40&lt;=250, 23, IF(F40&lt;=500, 35, IF(F40&lt;=1000, 40, F40*0.04)))),
IF(Basic[[#This Row],[نوع الخدمة]]="كاش اوت",
    IF(F40&lt;=100, 15, IF(F40&lt;=250, 20, IF(F40&lt;=500, 30, IF(F40&lt;=1000, 35, F40*0.035)))),
0)))</f>
        <v>0</v>
      </c>
      <c r="H40" s="163">
        <f>IF(I40="مخالفات",50,Basic[[#This Row],[قيمة الرسوم / العموله]]+Basic[[#This Row],[قيمة الشحنه]])</f>
        <v>0</v>
      </c>
      <c r="I40" s="90"/>
      <c r="J40" s="142" t="str">
        <f t="shared" si="0"/>
        <v>31.5.2026</v>
      </c>
      <c r="L40" s="153">
        <v>29</v>
      </c>
      <c r="M40" s="92"/>
    </row>
    <row r="41" spans="1:13" ht="21.6" x14ac:dyDescent="0.65">
      <c r="A41" s="195"/>
      <c r="B41" s="144">
        <v>38</v>
      </c>
      <c r="C41" s="2"/>
      <c r="D41" s="1"/>
      <c r="E41" s="3"/>
      <c r="F41" s="1"/>
      <c r="G41" s="141">
        <f>IF(Basic[[#This Row],[نوع الخدمة]]="مخالفات", 50,
IF(Basic[[#This Row],[نوع الخدمة]]="كاش ان",
    IF(F41&lt;=100, 18, IF(F41&lt;=250, 23, IF(F41&lt;=500, 35, IF(F41&lt;=1000, 40, F41*0.04)))),
IF(Basic[[#This Row],[نوع الخدمة]]="كاش اوت",
    IF(F41&lt;=100, 15, IF(F41&lt;=250, 20, IF(F41&lt;=500, 30, IF(F41&lt;=1000, 35, F41*0.035)))),
0)))</f>
        <v>0</v>
      </c>
      <c r="H41" s="163">
        <f>IF(I41="مخالفات",50,Basic[[#This Row],[قيمة الرسوم / العموله]]+Basic[[#This Row],[قيمة الشحنه]])</f>
        <v>0</v>
      </c>
      <c r="I41" s="90"/>
      <c r="J41" s="142" t="str">
        <f t="shared" si="0"/>
        <v>31.5.2026</v>
      </c>
      <c r="L41" s="153">
        <v>30</v>
      </c>
      <c r="M41" s="92"/>
    </row>
    <row r="42" spans="1:13" ht="21.6" x14ac:dyDescent="0.65">
      <c r="A42" s="195"/>
      <c r="B42" s="140">
        <v>39</v>
      </c>
      <c r="C42" s="2"/>
      <c r="D42" s="1"/>
      <c r="E42" s="3"/>
      <c r="F42" s="1"/>
      <c r="G42" s="141">
        <f>IF(Basic[[#This Row],[نوع الخدمة]]="مخالفات", 50,
IF(Basic[[#This Row],[نوع الخدمة]]="كاش ان",
    IF(F42&lt;=100, 18, IF(F42&lt;=250, 23, IF(F42&lt;=500, 35, IF(F42&lt;=1000, 40, F42*0.04)))),
IF(Basic[[#This Row],[نوع الخدمة]]="كاش اوت",
    IF(F42&lt;=100, 15, IF(F42&lt;=250, 20, IF(F42&lt;=500, 30, IF(F42&lt;=1000, 35, F42*0.035)))),
0)))</f>
        <v>0</v>
      </c>
      <c r="H42" s="163">
        <f>IF(I42="مخالفات",50,Basic[[#This Row],[قيمة الرسوم / العموله]]+Basic[[#This Row],[قيمة الشحنه]])</f>
        <v>0</v>
      </c>
      <c r="I42" s="90"/>
      <c r="J42" s="142" t="str">
        <f t="shared" si="0"/>
        <v>31.5.2026</v>
      </c>
      <c r="L42" s="153">
        <v>31</v>
      </c>
      <c r="M42" s="92"/>
    </row>
    <row r="43" spans="1:13" ht="21.6" x14ac:dyDescent="0.65">
      <c r="A43" s="195"/>
      <c r="B43" s="140">
        <v>40</v>
      </c>
      <c r="C43" s="2"/>
      <c r="D43" s="1"/>
      <c r="E43" s="3"/>
      <c r="F43" s="1"/>
      <c r="G43" s="141">
        <f>IF(Basic[[#This Row],[نوع الخدمة]]="مخالفات", 50,
IF(Basic[[#This Row],[نوع الخدمة]]="كاش ان",
    IF(F43&lt;=100, 18, IF(F43&lt;=250, 23, IF(F43&lt;=500, 35, IF(F43&lt;=1000, 40, F43*0.04)))),
IF(Basic[[#This Row],[نوع الخدمة]]="كاش اوت",
    IF(F43&lt;=100, 15, IF(F43&lt;=250, 20, IF(F43&lt;=500, 30, IF(F43&lt;=1000, 35, F43*0.035)))),
0)))</f>
        <v>0</v>
      </c>
      <c r="H43" s="163">
        <f>IF(I43="مخالفات",50,Basic[[#This Row],[قيمة الرسوم / العموله]]+Basic[[#This Row],[قيمة الشحنه]])</f>
        <v>0</v>
      </c>
      <c r="I43" s="90"/>
      <c r="J43" s="142" t="str">
        <f t="shared" si="0"/>
        <v>31.5.2026</v>
      </c>
      <c r="L43" s="153">
        <v>32</v>
      </c>
      <c r="M43" s="92"/>
    </row>
    <row r="44" spans="1:13" ht="21.6" x14ac:dyDescent="0.65">
      <c r="A44" s="195"/>
      <c r="B44" s="140">
        <v>41</v>
      </c>
      <c r="C44" s="2"/>
      <c r="D44" s="1"/>
      <c r="E44" s="3"/>
      <c r="F44" s="1"/>
      <c r="G44" s="141">
        <f>IF(Basic[[#This Row],[نوع الخدمة]]="مخالفات", 50,
IF(Basic[[#This Row],[نوع الخدمة]]="كاش ان",
    IF(F44&lt;=100, 18, IF(F44&lt;=250, 23, IF(F44&lt;=500, 35, IF(F44&lt;=1000, 40, F44*0.04)))),
IF(Basic[[#This Row],[نوع الخدمة]]="كاش اوت",
    IF(F44&lt;=100, 15, IF(F44&lt;=250, 20, IF(F44&lt;=500, 30, IF(F44&lt;=1000, 35, F44*0.035)))),
0)))</f>
        <v>0</v>
      </c>
      <c r="H44" s="163">
        <f>IF(I44="مخالفات",50,Basic[[#This Row],[قيمة الرسوم / العموله]]+Basic[[#This Row],[قيمة الشحنه]])</f>
        <v>0</v>
      </c>
      <c r="I44" s="90"/>
      <c r="J44" s="142" t="str">
        <f t="shared" si="0"/>
        <v>31.5.2026</v>
      </c>
      <c r="L44" s="153">
        <v>33</v>
      </c>
      <c r="M44" s="92"/>
    </row>
    <row r="45" spans="1:13" ht="21.6" x14ac:dyDescent="0.65">
      <c r="A45" s="195"/>
      <c r="B45" s="144">
        <v>42</v>
      </c>
      <c r="C45" s="2"/>
      <c r="D45" s="1"/>
      <c r="E45" s="3"/>
      <c r="F45" s="1"/>
      <c r="G45" s="141">
        <f>IF(Basic[[#This Row],[نوع الخدمة]]="مخالفات", 50,
IF(Basic[[#This Row],[نوع الخدمة]]="كاش ان",
    IF(F45&lt;=100, 18, IF(F45&lt;=250, 23, IF(F45&lt;=500, 35, IF(F45&lt;=1000, 40, F45*0.04)))),
IF(Basic[[#This Row],[نوع الخدمة]]="كاش اوت",
    IF(F45&lt;=100, 15, IF(F45&lt;=250, 20, IF(F45&lt;=500, 30, IF(F45&lt;=1000, 35, F45*0.035)))),
0)))</f>
        <v>0</v>
      </c>
      <c r="H45" s="163">
        <f>IF(I45="مخالفات",50,Basic[[#This Row],[قيمة الرسوم / العموله]]+Basic[[#This Row],[قيمة الشحنه]])</f>
        <v>0</v>
      </c>
      <c r="I45" s="90"/>
      <c r="J45" s="142" t="str">
        <f t="shared" si="0"/>
        <v>31.5.2026</v>
      </c>
      <c r="L45" s="153">
        <v>34</v>
      </c>
      <c r="M45" s="92"/>
    </row>
    <row r="46" spans="1:13" ht="21.6" x14ac:dyDescent="0.65">
      <c r="A46" s="195"/>
      <c r="B46" s="140">
        <v>43</v>
      </c>
      <c r="C46" s="2"/>
      <c r="D46" s="1"/>
      <c r="E46" s="3"/>
      <c r="F46" s="1"/>
      <c r="G46" s="141">
        <f>IF(Basic[[#This Row],[نوع الخدمة]]="مخالفات", 50,
IF(Basic[[#This Row],[نوع الخدمة]]="كاش ان",
    IF(F46&lt;=100, 18, IF(F46&lt;=250, 23, IF(F46&lt;=500, 35, IF(F46&lt;=1000, 40, F46*0.04)))),
IF(Basic[[#This Row],[نوع الخدمة]]="كاش اوت",
    IF(F46&lt;=100, 15, IF(F46&lt;=250, 20, IF(F46&lt;=500, 30, IF(F46&lt;=1000, 35, F46*0.035)))),
0)))</f>
        <v>0</v>
      </c>
      <c r="H46" s="163">
        <f>IF(I46="مخالفات",50,Basic[[#This Row],[قيمة الرسوم / العموله]]+Basic[[#This Row],[قيمة الشحنه]])</f>
        <v>0</v>
      </c>
      <c r="I46" s="90"/>
      <c r="J46" s="142" t="str">
        <f t="shared" si="0"/>
        <v>31.5.2026</v>
      </c>
      <c r="L46" s="153">
        <v>35</v>
      </c>
      <c r="M46" s="92"/>
    </row>
    <row r="47" spans="1:13" ht="21.6" x14ac:dyDescent="0.65">
      <c r="A47" s="195"/>
      <c r="B47" s="140">
        <v>44</v>
      </c>
      <c r="C47" s="2"/>
      <c r="D47" s="1"/>
      <c r="E47" s="3"/>
      <c r="F47" s="1"/>
      <c r="G47" s="141">
        <f>IF(Basic[[#This Row],[نوع الخدمة]]="مخالفات", 50,
IF(Basic[[#This Row],[نوع الخدمة]]="كاش ان",
    IF(F47&lt;=100, 18, IF(F47&lt;=250, 23, IF(F47&lt;=500, 35, IF(F47&lt;=1000, 40, F47*0.04)))),
IF(Basic[[#This Row],[نوع الخدمة]]="كاش اوت",
    IF(F47&lt;=100, 15, IF(F47&lt;=250, 20, IF(F47&lt;=500, 30, IF(F47&lt;=1000, 35, F47*0.035)))),
0)))</f>
        <v>0</v>
      </c>
      <c r="H47" s="163">
        <f>IF(I47="مخالفات",50,Basic[[#This Row],[قيمة الرسوم / العموله]]+Basic[[#This Row],[قيمة الشحنه]])</f>
        <v>0</v>
      </c>
      <c r="I47" s="90"/>
      <c r="J47" s="142" t="str">
        <f t="shared" si="0"/>
        <v>31.5.2026</v>
      </c>
      <c r="L47" s="153">
        <v>36</v>
      </c>
      <c r="M47" s="92"/>
    </row>
    <row r="48" spans="1:13" ht="21.6" x14ac:dyDescent="0.65">
      <c r="A48" s="195"/>
      <c r="B48" s="140">
        <v>45</v>
      </c>
      <c r="C48" s="2"/>
      <c r="D48" s="1"/>
      <c r="E48" s="3"/>
      <c r="F48" s="1"/>
      <c r="G48" s="141">
        <f>IF(Basic[[#This Row],[نوع الخدمة]]="مخالفات", 50,
IF(Basic[[#This Row],[نوع الخدمة]]="كاش ان",
    IF(F48&lt;=100, 18, IF(F48&lt;=250, 23, IF(F48&lt;=500, 35, IF(F48&lt;=1000, 40, F48*0.04)))),
IF(Basic[[#This Row],[نوع الخدمة]]="كاش اوت",
    IF(F48&lt;=100, 15, IF(F48&lt;=250, 20, IF(F48&lt;=500, 30, IF(F48&lt;=1000, 35, F48*0.035)))),
0)))</f>
        <v>0</v>
      </c>
      <c r="H48" s="163">
        <f>IF(I48="مخالفات",50,Basic[[#This Row],[قيمة الرسوم / العموله]]+Basic[[#This Row],[قيمة الشحنه]])</f>
        <v>0</v>
      </c>
      <c r="I48" s="90"/>
      <c r="J48" s="142" t="str">
        <f t="shared" si="0"/>
        <v>31.5.2026</v>
      </c>
      <c r="L48" s="153">
        <v>37</v>
      </c>
      <c r="M48" s="92"/>
    </row>
    <row r="49" spans="1:13" ht="21.6" x14ac:dyDescent="0.65">
      <c r="A49" s="195"/>
      <c r="B49" s="144">
        <v>46</v>
      </c>
      <c r="C49" s="2"/>
      <c r="D49" s="1"/>
      <c r="E49" s="3"/>
      <c r="F49" s="1"/>
      <c r="G49" s="141">
        <f>IF(Basic[[#This Row],[نوع الخدمة]]="مخالفات", 50,
IF(Basic[[#This Row],[نوع الخدمة]]="كاش ان",
    IF(F49&lt;=100, 18, IF(F49&lt;=250, 23, IF(F49&lt;=500, 35, IF(F49&lt;=1000, 40, F49*0.04)))),
IF(Basic[[#This Row],[نوع الخدمة]]="كاش اوت",
    IF(F49&lt;=100, 15, IF(F49&lt;=250, 20, IF(F49&lt;=500, 30, IF(F49&lt;=1000, 35, F49*0.035)))),
0)))</f>
        <v>0</v>
      </c>
      <c r="H49" s="163">
        <f>IF(I49="مخالفات",50,Basic[[#This Row],[قيمة الرسوم / العموله]]+Basic[[#This Row],[قيمة الشحنه]])</f>
        <v>0</v>
      </c>
      <c r="I49" s="90"/>
      <c r="J49" s="142" t="str">
        <f t="shared" si="0"/>
        <v>31.5.2026</v>
      </c>
      <c r="L49" s="153">
        <v>38</v>
      </c>
      <c r="M49" s="92"/>
    </row>
    <row r="50" spans="1:13" ht="21.6" x14ac:dyDescent="0.65">
      <c r="A50" s="195"/>
      <c r="B50" s="140">
        <v>47</v>
      </c>
      <c r="C50" s="2"/>
      <c r="D50" s="1"/>
      <c r="E50" s="3"/>
      <c r="F50" s="1"/>
      <c r="G50" s="141">
        <f>IF(Basic[[#This Row],[نوع الخدمة]]="مخالفات", 50,
IF(Basic[[#This Row],[نوع الخدمة]]="كاش ان",
    IF(F50&lt;=100, 18, IF(F50&lt;=250, 23, IF(F50&lt;=500, 35, IF(F50&lt;=1000, 40, F50*0.04)))),
IF(Basic[[#This Row],[نوع الخدمة]]="كاش اوت",
    IF(F50&lt;=100, 15, IF(F50&lt;=250, 20, IF(F50&lt;=500, 30, IF(F50&lt;=1000, 35, F50*0.035)))),
0)))</f>
        <v>0</v>
      </c>
      <c r="H50" s="163">
        <f>IF(I50="مخالفات",50,Basic[[#This Row],[قيمة الرسوم / العموله]]+Basic[[#This Row],[قيمة الشحنه]])</f>
        <v>0</v>
      </c>
      <c r="I50" s="90"/>
      <c r="J50" s="142" t="str">
        <f t="shared" si="0"/>
        <v>31.5.2026</v>
      </c>
      <c r="L50" s="153">
        <v>39</v>
      </c>
      <c r="M50" s="92"/>
    </row>
    <row r="51" spans="1:13" ht="21.6" x14ac:dyDescent="0.65">
      <c r="A51" s="195"/>
      <c r="B51" s="140">
        <v>48</v>
      </c>
      <c r="C51" s="2"/>
      <c r="D51" s="1"/>
      <c r="E51" s="3"/>
      <c r="F51" s="1"/>
      <c r="G51" s="141">
        <f>IF(Basic[[#This Row],[نوع الخدمة]]="مخالفات", 50,
IF(Basic[[#This Row],[نوع الخدمة]]="كاش ان",
    IF(F51&lt;=100, 18, IF(F51&lt;=250, 23, IF(F51&lt;=500, 35, IF(F51&lt;=1000, 40, F51*0.04)))),
IF(Basic[[#This Row],[نوع الخدمة]]="كاش اوت",
    IF(F51&lt;=100, 15, IF(F51&lt;=250, 20, IF(F51&lt;=500, 30, IF(F51&lt;=1000, 35, F51*0.035)))),
0)))</f>
        <v>0</v>
      </c>
      <c r="H51" s="163">
        <f>IF(I51="مخالفات",50,Basic[[#This Row],[قيمة الرسوم / العموله]]+Basic[[#This Row],[قيمة الشحنه]])</f>
        <v>0</v>
      </c>
      <c r="I51" s="90"/>
      <c r="J51" s="142" t="str">
        <f t="shared" si="0"/>
        <v>31.5.2026</v>
      </c>
      <c r="L51" s="153">
        <v>40</v>
      </c>
      <c r="M51" s="92"/>
    </row>
    <row r="52" spans="1:13" ht="21.6" x14ac:dyDescent="0.65">
      <c r="A52" s="195"/>
      <c r="B52" s="140">
        <v>49</v>
      </c>
      <c r="C52" s="2"/>
      <c r="D52" s="1"/>
      <c r="E52" s="3"/>
      <c r="F52" s="1"/>
      <c r="G52" s="141">
        <f>IF(Basic[[#This Row],[نوع الخدمة]]="مخالفات", 50,
IF(Basic[[#This Row],[نوع الخدمة]]="كاش ان",
    IF(F52&lt;=100, 18, IF(F52&lt;=250, 23, IF(F52&lt;=500, 35, IF(F52&lt;=1000, 40, F52*0.04)))),
IF(Basic[[#This Row],[نوع الخدمة]]="كاش اوت",
    IF(F52&lt;=100, 15, IF(F52&lt;=250, 20, IF(F52&lt;=500, 30, IF(F52&lt;=1000, 35, F52*0.035)))),
0)))</f>
        <v>0</v>
      </c>
      <c r="H52" s="163">
        <f>IF(I52="مخالفات",50,Basic[[#This Row],[قيمة الرسوم / العموله]]+Basic[[#This Row],[قيمة الشحنه]])</f>
        <v>0</v>
      </c>
      <c r="I52" s="90"/>
      <c r="J52" s="142" t="str">
        <f t="shared" si="0"/>
        <v>31.5.2026</v>
      </c>
      <c r="L52" s="153">
        <v>41</v>
      </c>
      <c r="M52" s="92"/>
    </row>
    <row r="53" spans="1:13" ht="21.6" x14ac:dyDescent="0.65">
      <c r="A53" s="195"/>
      <c r="B53" s="144">
        <v>50</v>
      </c>
      <c r="C53" s="2"/>
      <c r="D53" s="1"/>
      <c r="E53" s="3"/>
      <c r="F53" s="1"/>
      <c r="G53" s="141">
        <f>IF(Basic[[#This Row],[نوع الخدمة]]="مخالفات", 50,
IF(Basic[[#This Row],[نوع الخدمة]]="كاش ان",
    IF(F53&lt;=100, 18, IF(F53&lt;=250, 23, IF(F53&lt;=500, 35, IF(F53&lt;=1000, 40, F53*0.04)))),
IF(Basic[[#This Row],[نوع الخدمة]]="كاش اوت",
    IF(F53&lt;=100, 15, IF(F53&lt;=250, 20, IF(F53&lt;=500, 30, IF(F53&lt;=1000, 35, F53*0.035)))),
0)))</f>
        <v>0</v>
      </c>
      <c r="H53" s="163">
        <f>IF(I53="مخالفات",50,Basic[[#This Row],[قيمة الرسوم / العموله]]+Basic[[#This Row],[قيمة الشحنه]])</f>
        <v>0</v>
      </c>
      <c r="I53" s="90"/>
      <c r="J53" s="142" t="str">
        <f t="shared" si="0"/>
        <v>31.5.2026</v>
      </c>
      <c r="L53" s="153">
        <v>42</v>
      </c>
      <c r="M53" s="92"/>
    </row>
    <row r="54" spans="1:13" ht="21.6" x14ac:dyDescent="0.65">
      <c r="A54" s="195"/>
      <c r="B54" s="140">
        <v>51</v>
      </c>
      <c r="C54" s="2"/>
      <c r="D54" s="1"/>
      <c r="E54" s="3"/>
      <c r="F54" s="1"/>
      <c r="G54" s="141">
        <f>IF(Basic[[#This Row],[نوع الخدمة]]="مخالفات", 50,
IF(Basic[[#This Row],[نوع الخدمة]]="كاش ان",
    IF(F54&lt;=100, 18, IF(F54&lt;=250, 23, IF(F54&lt;=500, 35, IF(F54&lt;=1000, 40, F54*0.04)))),
IF(Basic[[#This Row],[نوع الخدمة]]="كاش اوت",
    IF(F54&lt;=100, 15, IF(F54&lt;=250, 20, IF(F54&lt;=500, 30, IF(F54&lt;=1000, 35, F54*0.035)))),
0)))</f>
        <v>0</v>
      </c>
      <c r="H54" s="163">
        <f>IF(I54="مخالفات",50,Basic[[#This Row],[قيمة الرسوم / العموله]]+Basic[[#This Row],[قيمة الشحنه]])</f>
        <v>0</v>
      </c>
      <c r="I54" s="90"/>
      <c r="J54" s="142" t="str">
        <f t="shared" si="0"/>
        <v>31.5.2026</v>
      </c>
      <c r="L54" s="153">
        <v>43</v>
      </c>
      <c r="M54" s="92"/>
    </row>
    <row r="55" spans="1:13" ht="21.6" x14ac:dyDescent="0.65">
      <c r="A55" s="195"/>
      <c r="B55" s="140">
        <v>52</v>
      </c>
      <c r="C55" s="2"/>
      <c r="D55" s="1"/>
      <c r="E55" s="3"/>
      <c r="F55" s="1"/>
      <c r="G55" s="141">
        <f>IF(Basic[[#This Row],[نوع الخدمة]]="مخالفات", 50,
IF(Basic[[#This Row],[نوع الخدمة]]="كاش ان",
    IF(F55&lt;=100, 18, IF(F55&lt;=250, 23, IF(F55&lt;=500, 35, IF(F55&lt;=1000, 40, F55*0.04)))),
IF(Basic[[#This Row],[نوع الخدمة]]="كاش اوت",
    IF(F55&lt;=100, 15, IF(F55&lt;=250, 20, IF(F55&lt;=500, 30, IF(F55&lt;=1000, 35, F55*0.035)))),
0)))</f>
        <v>0</v>
      </c>
      <c r="H55" s="163">
        <f>IF(I55="مخالفات",50,Basic[[#This Row],[قيمة الرسوم / العموله]]+Basic[[#This Row],[قيمة الشحنه]])</f>
        <v>0</v>
      </c>
      <c r="I55" s="90"/>
      <c r="J55" s="142" t="str">
        <f t="shared" si="0"/>
        <v>31.5.2026</v>
      </c>
      <c r="L55" s="153">
        <v>44</v>
      </c>
      <c r="M55" s="92"/>
    </row>
    <row r="56" spans="1:13" ht="21.6" x14ac:dyDescent="0.65">
      <c r="A56" s="195"/>
      <c r="B56" s="140">
        <v>53</v>
      </c>
      <c r="C56" s="2"/>
      <c r="D56" s="1"/>
      <c r="E56" s="3"/>
      <c r="F56" s="1"/>
      <c r="G56" s="141">
        <f>IF(Basic[[#This Row],[نوع الخدمة]]="مخالفات", 50,
IF(Basic[[#This Row],[نوع الخدمة]]="كاش ان",
    IF(F56&lt;=100, 18, IF(F56&lt;=250, 23, IF(F56&lt;=500, 35, IF(F56&lt;=1000, 40, F56*0.04)))),
IF(Basic[[#This Row],[نوع الخدمة]]="كاش اوت",
    IF(F56&lt;=100, 15, IF(F56&lt;=250, 20, IF(F56&lt;=500, 30, IF(F56&lt;=1000, 35, F56*0.035)))),
0)))</f>
        <v>0</v>
      </c>
      <c r="H56" s="163">
        <f>IF(I56="مخالفات",50,Basic[[#This Row],[قيمة الرسوم / العموله]]+Basic[[#This Row],[قيمة الشحنه]])</f>
        <v>0</v>
      </c>
      <c r="I56" s="90"/>
      <c r="J56" s="142" t="str">
        <f t="shared" si="0"/>
        <v>31.5.2026</v>
      </c>
      <c r="L56" s="153">
        <v>45</v>
      </c>
      <c r="M56" s="92"/>
    </row>
    <row r="57" spans="1:13" ht="21.6" x14ac:dyDescent="0.65">
      <c r="A57" s="195"/>
      <c r="B57" s="144">
        <v>54</v>
      </c>
      <c r="C57" s="2"/>
      <c r="D57" s="1"/>
      <c r="E57" s="3"/>
      <c r="F57" s="1"/>
      <c r="G57" s="141">
        <f>IF(Basic[[#This Row],[نوع الخدمة]]="مخالفات", 50,
IF(Basic[[#This Row],[نوع الخدمة]]="كاش ان",
    IF(F57&lt;=100, 18, IF(F57&lt;=250, 23, IF(F57&lt;=500, 35, IF(F57&lt;=1000, 40, F57*0.04)))),
IF(Basic[[#This Row],[نوع الخدمة]]="كاش اوت",
    IF(F57&lt;=100, 15, IF(F57&lt;=250, 20, IF(F57&lt;=500, 30, IF(F57&lt;=1000, 35, F57*0.035)))),
0)))</f>
        <v>0</v>
      </c>
      <c r="H57" s="163">
        <f>IF(I57="مخالفات",50,Basic[[#This Row],[قيمة الرسوم / العموله]]+Basic[[#This Row],[قيمة الشحنه]])</f>
        <v>0</v>
      </c>
      <c r="I57" s="90"/>
      <c r="J57" s="142" t="str">
        <f t="shared" si="0"/>
        <v>31.5.2026</v>
      </c>
      <c r="L57" s="153">
        <v>46</v>
      </c>
      <c r="M57" s="92"/>
    </row>
    <row r="58" spans="1:13" ht="21.6" x14ac:dyDescent="0.65">
      <c r="A58" s="195"/>
      <c r="B58" s="140">
        <v>55</v>
      </c>
      <c r="C58" s="2"/>
      <c r="D58" s="1"/>
      <c r="E58" s="3"/>
      <c r="F58" s="1"/>
      <c r="G58" s="141">
        <f>IF(Basic[[#This Row],[نوع الخدمة]]="مخالفات", 50,
IF(Basic[[#This Row],[نوع الخدمة]]="كاش ان",
    IF(F58&lt;=100, 18, IF(F58&lt;=250, 23, IF(F58&lt;=500, 35, IF(F58&lt;=1000, 40, F58*0.04)))),
IF(Basic[[#This Row],[نوع الخدمة]]="كاش اوت",
    IF(F58&lt;=100, 15, IF(F58&lt;=250, 20, IF(F58&lt;=500, 30, IF(F58&lt;=1000, 35, F58*0.035)))),
0)))</f>
        <v>0</v>
      </c>
      <c r="H58" s="163">
        <f>IF(I58="مخالفات",50,Basic[[#This Row],[قيمة الرسوم / العموله]]+Basic[[#This Row],[قيمة الشحنه]])</f>
        <v>0</v>
      </c>
      <c r="I58" s="90"/>
      <c r="J58" s="142" t="str">
        <f t="shared" si="0"/>
        <v>31.5.2026</v>
      </c>
      <c r="L58" s="153">
        <v>47</v>
      </c>
      <c r="M58" s="92"/>
    </row>
    <row r="59" spans="1:13" ht="21.6" x14ac:dyDescent="0.65">
      <c r="A59" s="195"/>
      <c r="B59" s="140">
        <v>56</v>
      </c>
      <c r="C59" s="2"/>
      <c r="D59" s="1"/>
      <c r="E59" s="3"/>
      <c r="F59" s="1"/>
      <c r="G59" s="141">
        <f>IF(Basic[[#This Row],[نوع الخدمة]]="مخالفات", 50,
IF(Basic[[#This Row],[نوع الخدمة]]="كاش ان",
    IF(F59&lt;=100, 18, IF(F59&lt;=250, 23, IF(F59&lt;=500, 35, IF(F59&lt;=1000, 40, F59*0.04)))),
IF(Basic[[#This Row],[نوع الخدمة]]="كاش اوت",
    IF(F59&lt;=100, 15, IF(F59&lt;=250, 20, IF(F59&lt;=500, 30, IF(F59&lt;=1000, 35, F59*0.035)))),
0)))</f>
        <v>0</v>
      </c>
      <c r="H59" s="163">
        <f>IF(I59="مخالفات",50,Basic[[#This Row],[قيمة الرسوم / العموله]]+Basic[[#This Row],[قيمة الشحنه]])</f>
        <v>0</v>
      </c>
      <c r="I59" s="90"/>
      <c r="J59" s="142" t="str">
        <f t="shared" si="0"/>
        <v>31.5.2026</v>
      </c>
      <c r="L59" s="153">
        <v>48</v>
      </c>
      <c r="M59" s="92"/>
    </row>
    <row r="60" spans="1:13" ht="21.6" x14ac:dyDescent="0.65">
      <c r="A60" s="195"/>
      <c r="B60" s="140">
        <v>57</v>
      </c>
      <c r="C60" s="2"/>
      <c r="D60" s="1"/>
      <c r="E60" s="3"/>
      <c r="F60" s="1"/>
      <c r="G60" s="141">
        <f>IF(Basic[[#This Row],[نوع الخدمة]]="مخالفات", 50,
IF(Basic[[#This Row],[نوع الخدمة]]="كاش ان",
    IF(F60&lt;=100, 18, IF(F60&lt;=250, 23, IF(F60&lt;=500, 35, IF(F60&lt;=1000, 40, F60*0.04)))),
IF(Basic[[#This Row],[نوع الخدمة]]="كاش اوت",
    IF(F60&lt;=100, 15, IF(F60&lt;=250, 20, IF(F60&lt;=500, 30, IF(F60&lt;=1000, 35, F60*0.035)))),
0)))</f>
        <v>0</v>
      </c>
      <c r="H60" s="163">
        <f>IF(I60="مخالفات",50,Basic[[#This Row],[قيمة الرسوم / العموله]]+Basic[[#This Row],[قيمة الشحنه]])</f>
        <v>0</v>
      </c>
      <c r="I60" s="90"/>
      <c r="J60" s="142" t="str">
        <f t="shared" si="0"/>
        <v>31.5.2026</v>
      </c>
      <c r="L60" s="153">
        <v>49</v>
      </c>
      <c r="M60" s="92"/>
    </row>
    <row r="61" spans="1:13" ht="21.6" x14ac:dyDescent="0.65">
      <c r="A61" s="195"/>
      <c r="B61" s="144">
        <v>58</v>
      </c>
      <c r="C61" s="2"/>
      <c r="D61" s="1"/>
      <c r="E61" s="3"/>
      <c r="F61" s="1"/>
      <c r="G61" s="141">
        <f>IF(Basic[[#This Row],[نوع الخدمة]]="مخالفات", 50,
IF(Basic[[#This Row],[نوع الخدمة]]="كاش ان",
    IF(F61&lt;=100, 18, IF(F61&lt;=250, 23, IF(F61&lt;=500, 35, IF(F61&lt;=1000, 40, F61*0.04)))),
IF(Basic[[#This Row],[نوع الخدمة]]="كاش اوت",
    IF(F61&lt;=100, 15, IF(F61&lt;=250, 20, IF(F61&lt;=500, 30, IF(F61&lt;=1000, 35, F61*0.035)))),
0)))</f>
        <v>0</v>
      </c>
      <c r="H61" s="163">
        <f>IF(I61="مخالفات",50,Basic[[#This Row],[قيمة الرسوم / العموله]]+Basic[[#This Row],[قيمة الشحنه]])</f>
        <v>0</v>
      </c>
      <c r="I61" s="90"/>
      <c r="J61" s="142" t="str">
        <f t="shared" si="0"/>
        <v>31.5.2026</v>
      </c>
      <c r="L61" s="153">
        <v>50</v>
      </c>
      <c r="M61" s="92"/>
    </row>
    <row r="62" spans="1:13" ht="21.6" x14ac:dyDescent="0.65">
      <c r="A62" s="195"/>
      <c r="B62" s="140">
        <v>59</v>
      </c>
      <c r="C62" s="2"/>
      <c r="D62" s="1"/>
      <c r="E62" s="3"/>
      <c r="F62" s="1"/>
      <c r="G62" s="141">
        <f>IF(Basic[[#This Row],[نوع الخدمة]]="مخالفات", 50,
IF(Basic[[#This Row],[نوع الخدمة]]="كاش ان",
    IF(F62&lt;=100, 18, IF(F62&lt;=250, 23, IF(F62&lt;=500, 35, IF(F62&lt;=1000, 40, F62*0.04)))),
IF(Basic[[#This Row],[نوع الخدمة]]="كاش اوت",
    IF(F62&lt;=100, 15, IF(F62&lt;=250, 20, IF(F62&lt;=500, 30, IF(F62&lt;=1000, 35, F62*0.035)))),
0)))</f>
        <v>0</v>
      </c>
      <c r="H62" s="163">
        <f>IF(I62="مخالفات",50,Basic[[#This Row],[قيمة الرسوم / العموله]]+Basic[[#This Row],[قيمة الشحنه]])</f>
        <v>0</v>
      </c>
      <c r="I62" s="90"/>
      <c r="J62" s="142" t="str">
        <f t="shared" si="0"/>
        <v>31.5.2026</v>
      </c>
      <c r="L62" s="153">
        <v>51</v>
      </c>
      <c r="M62" s="92"/>
    </row>
    <row r="63" spans="1:13" ht="21.6" x14ac:dyDescent="0.65">
      <c r="A63" s="195"/>
      <c r="B63" s="140">
        <v>60</v>
      </c>
      <c r="C63" s="2"/>
      <c r="D63" s="1"/>
      <c r="E63" s="3"/>
      <c r="F63" s="1"/>
      <c r="G63" s="141">
        <f>IF(Basic[[#This Row],[نوع الخدمة]]="مخالفات", 50,
IF(Basic[[#This Row],[نوع الخدمة]]="كاش ان",
    IF(F63&lt;=100, 18, IF(F63&lt;=250, 23, IF(F63&lt;=500, 35, IF(F63&lt;=1000, 40, F63*0.04)))),
IF(Basic[[#This Row],[نوع الخدمة]]="كاش اوت",
    IF(F63&lt;=100, 15, IF(F63&lt;=250, 20, IF(F63&lt;=500, 30, IF(F63&lt;=1000, 35, F63*0.035)))),
0)))</f>
        <v>0</v>
      </c>
      <c r="H63" s="163">
        <f>IF(I63="مخالفات",50,Basic[[#This Row],[قيمة الرسوم / العموله]]+Basic[[#This Row],[قيمة الشحنه]])</f>
        <v>0</v>
      </c>
      <c r="I63" s="90"/>
      <c r="J63" s="142" t="str">
        <f t="shared" si="0"/>
        <v>31.5.2026</v>
      </c>
      <c r="L63" s="153">
        <v>52</v>
      </c>
      <c r="M63" s="92"/>
    </row>
    <row r="64" spans="1:13" ht="21.6" x14ac:dyDescent="0.65">
      <c r="A64" s="195"/>
      <c r="B64" s="140">
        <v>61</v>
      </c>
      <c r="C64" s="2"/>
      <c r="D64" s="1"/>
      <c r="E64" s="3"/>
      <c r="F64" s="1"/>
      <c r="G64" s="141">
        <f>IF(Basic[[#This Row],[نوع الخدمة]]="مخالفات", 50,
IF(Basic[[#This Row],[نوع الخدمة]]="كاش ان",
    IF(F64&lt;=100, 18, IF(F64&lt;=250, 23, IF(F64&lt;=500, 35, IF(F64&lt;=1000, 40, F64*0.04)))),
IF(Basic[[#This Row],[نوع الخدمة]]="كاش اوت",
    IF(F64&lt;=100, 15, IF(F64&lt;=250, 20, IF(F64&lt;=500, 30, IF(F64&lt;=1000, 35, F64*0.035)))),
0)))</f>
        <v>0</v>
      </c>
      <c r="H64" s="163">
        <f>IF(I64="مخالفات",50,Basic[[#This Row],[قيمة الرسوم / العموله]]+Basic[[#This Row],[قيمة الشحنه]])</f>
        <v>0</v>
      </c>
      <c r="I64" s="90"/>
      <c r="J64" s="142" t="str">
        <f t="shared" si="0"/>
        <v>31.5.2026</v>
      </c>
      <c r="L64" s="153">
        <v>53</v>
      </c>
      <c r="M64" s="92"/>
    </row>
    <row r="65" spans="1:13" ht="21.6" x14ac:dyDescent="0.65">
      <c r="A65" s="195"/>
      <c r="B65" s="144">
        <v>62</v>
      </c>
      <c r="C65" s="2"/>
      <c r="D65" s="1"/>
      <c r="E65" s="3"/>
      <c r="F65" s="1"/>
      <c r="G65" s="141">
        <f>IF(Basic[[#This Row],[نوع الخدمة]]="مخالفات", 50,
IF(Basic[[#This Row],[نوع الخدمة]]="كاش ان",
    IF(F65&lt;=100, 18, IF(F65&lt;=250, 23, IF(F65&lt;=500, 35, IF(F65&lt;=1000, 40, F65*0.04)))),
IF(Basic[[#This Row],[نوع الخدمة]]="كاش اوت",
    IF(F65&lt;=100, 15, IF(F65&lt;=250, 20, IF(F65&lt;=500, 30, IF(F65&lt;=1000, 35, F65*0.035)))),
0)))</f>
        <v>0</v>
      </c>
      <c r="H65" s="163">
        <f>IF(I65="مخالفات",50,Basic[[#This Row],[قيمة الرسوم / العموله]]+Basic[[#This Row],[قيمة الشحنه]])</f>
        <v>0</v>
      </c>
      <c r="I65" s="90"/>
      <c r="J65" s="142" t="str">
        <f t="shared" si="0"/>
        <v>31.5.2026</v>
      </c>
      <c r="L65" s="153">
        <v>54</v>
      </c>
      <c r="M65" s="92"/>
    </row>
    <row r="66" spans="1:13" ht="21.6" x14ac:dyDescent="0.65">
      <c r="A66" s="195"/>
      <c r="B66" s="140">
        <v>63</v>
      </c>
      <c r="C66" s="2"/>
      <c r="D66" s="1"/>
      <c r="E66" s="3"/>
      <c r="F66" s="1"/>
      <c r="G66" s="141">
        <f>IF(Basic[[#This Row],[نوع الخدمة]]="مخالفات", 50,
IF(Basic[[#This Row],[نوع الخدمة]]="كاش ان",
    IF(F66&lt;=100, 18, IF(F66&lt;=250, 23, IF(F66&lt;=500, 35, IF(F66&lt;=1000, 40, F66*0.04)))),
IF(Basic[[#This Row],[نوع الخدمة]]="كاش اوت",
    IF(F66&lt;=100, 15, IF(F66&lt;=250, 20, IF(F66&lt;=500, 30, IF(F66&lt;=1000, 35, F66*0.035)))),
0)))</f>
        <v>0</v>
      </c>
      <c r="H66" s="163">
        <f>IF(I66="مخالفات",50,Basic[[#This Row],[قيمة الرسوم / العموله]]+Basic[[#This Row],[قيمة الشحنه]])</f>
        <v>0</v>
      </c>
      <c r="I66" s="90"/>
      <c r="J66" s="142" t="str">
        <f t="shared" si="0"/>
        <v>31.5.2026</v>
      </c>
      <c r="L66" s="153">
        <v>55</v>
      </c>
      <c r="M66" s="92"/>
    </row>
    <row r="67" spans="1:13" ht="21.6" x14ac:dyDescent="0.65">
      <c r="A67" s="195"/>
      <c r="B67" s="140">
        <v>64</v>
      </c>
      <c r="C67" s="2"/>
      <c r="D67" s="1"/>
      <c r="E67" s="3"/>
      <c r="F67" s="1"/>
      <c r="G67" s="141">
        <f>IF(Basic[[#This Row],[نوع الخدمة]]="مخالفات", 50,
IF(Basic[[#This Row],[نوع الخدمة]]="كاش ان",
    IF(F67&lt;=100, 18, IF(F67&lt;=250, 23, IF(F67&lt;=500, 35, IF(F67&lt;=1000, 40, F67*0.04)))),
IF(Basic[[#This Row],[نوع الخدمة]]="كاش اوت",
    IF(F67&lt;=100, 15, IF(F67&lt;=250, 20, IF(F67&lt;=500, 30, IF(F67&lt;=1000, 35, F67*0.035)))),
0)))</f>
        <v>0</v>
      </c>
      <c r="H67" s="163">
        <f>IF(I67="مخالفات",50,Basic[[#This Row],[قيمة الرسوم / العموله]]+Basic[[#This Row],[قيمة الشحنه]])</f>
        <v>0</v>
      </c>
      <c r="I67" s="90"/>
      <c r="J67" s="142" t="str">
        <f t="shared" si="0"/>
        <v>31.5.2026</v>
      </c>
      <c r="L67" s="153">
        <v>56</v>
      </c>
      <c r="M67" s="92"/>
    </row>
    <row r="68" spans="1:13" ht="21.6" x14ac:dyDescent="0.65">
      <c r="A68" s="195"/>
      <c r="B68" s="140">
        <v>65</v>
      </c>
      <c r="C68" s="2"/>
      <c r="D68" s="1"/>
      <c r="E68" s="3"/>
      <c r="F68" s="1"/>
      <c r="G68" s="141">
        <f>IF(Basic[[#This Row],[نوع الخدمة]]="مخالفات", 50,
IF(Basic[[#This Row],[نوع الخدمة]]="كاش ان",
    IF(F68&lt;=100, 18, IF(F68&lt;=250, 23, IF(F68&lt;=500, 35, IF(F68&lt;=1000, 40, F68*0.04)))),
IF(Basic[[#This Row],[نوع الخدمة]]="كاش اوت",
    IF(F68&lt;=100, 15, IF(F68&lt;=250, 20, IF(F68&lt;=500, 30, IF(F68&lt;=1000, 35, F68*0.035)))),
0)))</f>
        <v>0</v>
      </c>
      <c r="H68" s="163">
        <f>IF(I68="مخالفات",50,Basic[[#This Row],[قيمة الرسوم / العموله]]+Basic[[#This Row],[قيمة الشحنه]])</f>
        <v>0</v>
      </c>
      <c r="I68" s="90"/>
      <c r="J68" s="142" t="str">
        <f t="shared" ref="J68:J131" si="1">M$3</f>
        <v>31.5.2026</v>
      </c>
      <c r="L68" s="153">
        <v>57</v>
      </c>
      <c r="M68" s="92"/>
    </row>
    <row r="69" spans="1:13" ht="21.6" x14ac:dyDescent="0.65">
      <c r="A69" s="195"/>
      <c r="B69" s="144">
        <v>66</v>
      </c>
      <c r="C69" s="2"/>
      <c r="D69" s="1"/>
      <c r="E69" s="3"/>
      <c r="F69" s="1"/>
      <c r="G69" s="141">
        <f>IF(Basic[[#This Row],[نوع الخدمة]]="مخالفات", 50,
IF(Basic[[#This Row],[نوع الخدمة]]="كاش ان",
    IF(F69&lt;=100, 18, IF(F69&lt;=250, 23, IF(F69&lt;=500, 35, IF(F69&lt;=1000, 40, F69*0.04)))),
IF(Basic[[#This Row],[نوع الخدمة]]="كاش اوت",
    IF(F69&lt;=100, 15, IF(F69&lt;=250, 20, IF(F69&lt;=500, 30, IF(F69&lt;=1000, 35, F69*0.035)))),
0)))</f>
        <v>0</v>
      </c>
      <c r="H69" s="163">
        <f>IF(I69="مخالفات",50,Basic[[#This Row],[قيمة الرسوم / العموله]]+Basic[[#This Row],[قيمة الشحنه]])</f>
        <v>0</v>
      </c>
      <c r="I69" s="90"/>
      <c r="J69" s="142" t="str">
        <f t="shared" si="1"/>
        <v>31.5.2026</v>
      </c>
      <c r="L69" s="153">
        <v>58</v>
      </c>
      <c r="M69" s="92"/>
    </row>
    <row r="70" spans="1:13" ht="21.6" x14ac:dyDescent="0.65">
      <c r="A70" s="195"/>
      <c r="B70" s="140">
        <v>67</v>
      </c>
      <c r="C70" s="2"/>
      <c r="D70" s="1"/>
      <c r="E70" s="3"/>
      <c r="F70" s="1"/>
      <c r="G70" s="141">
        <f>IF(Basic[[#This Row],[نوع الخدمة]]="مخالفات", 50,
IF(Basic[[#This Row],[نوع الخدمة]]="كاش ان",
    IF(F70&lt;=100, 18, IF(F70&lt;=250, 23, IF(F70&lt;=500, 35, IF(F70&lt;=1000, 40, F70*0.04)))),
IF(Basic[[#This Row],[نوع الخدمة]]="كاش اوت",
    IF(F70&lt;=100, 15, IF(F70&lt;=250, 20, IF(F70&lt;=500, 30, IF(F70&lt;=1000, 35, F70*0.035)))),
0)))</f>
        <v>0</v>
      </c>
      <c r="H70" s="163">
        <f>IF(I70="مخالفات",50,Basic[[#This Row],[قيمة الرسوم / العموله]]+Basic[[#This Row],[قيمة الشحنه]])</f>
        <v>0</v>
      </c>
      <c r="I70" s="90"/>
      <c r="J70" s="142" t="str">
        <f t="shared" si="1"/>
        <v>31.5.2026</v>
      </c>
      <c r="L70" s="153">
        <v>59</v>
      </c>
      <c r="M70" s="92"/>
    </row>
    <row r="71" spans="1:13" ht="21.6" x14ac:dyDescent="0.65">
      <c r="A71" s="195"/>
      <c r="B71" s="140">
        <v>68</v>
      </c>
      <c r="C71" s="2"/>
      <c r="D71" s="1"/>
      <c r="E71" s="3"/>
      <c r="F71" s="1"/>
      <c r="G71" s="141">
        <f>IF(Basic[[#This Row],[نوع الخدمة]]="مخالفات", 50,
IF(Basic[[#This Row],[نوع الخدمة]]="كاش ان",
    IF(F71&lt;=100, 18, IF(F71&lt;=250, 23, IF(F71&lt;=500, 35, IF(F71&lt;=1000, 40, F71*0.04)))),
IF(Basic[[#This Row],[نوع الخدمة]]="كاش اوت",
    IF(F71&lt;=100, 15, IF(F71&lt;=250, 20, IF(F71&lt;=500, 30, IF(F71&lt;=1000, 35, F71*0.035)))),
0)))</f>
        <v>0</v>
      </c>
      <c r="H71" s="163">
        <f>IF(I71="مخالفات",50,Basic[[#This Row],[قيمة الرسوم / العموله]]+Basic[[#This Row],[قيمة الشحنه]])</f>
        <v>0</v>
      </c>
      <c r="I71" s="90"/>
      <c r="J71" s="142" t="str">
        <f t="shared" si="1"/>
        <v>31.5.2026</v>
      </c>
      <c r="L71" s="153">
        <v>60</v>
      </c>
      <c r="M71" s="92"/>
    </row>
    <row r="72" spans="1:13" ht="21.6" x14ac:dyDescent="0.65">
      <c r="A72" s="195"/>
      <c r="B72" s="140">
        <v>69</v>
      </c>
      <c r="C72" s="2"/>
      <c r="D72" s="1"/>
      <c r="E72" s="3"/>
      <c r="F72" s="1"/>
      <c r="G72" s="141">
        <f>IF(Basic[[#This Row],[نوع الخدمة]]="مخالفات", 50,
IF(Basic[[#This Row],[نوع الخدمة]]="كاش ان",
    IF(F72&lt;=100, 18, IF(F72&lt;=250, 23, IF(F72&lt;=500, 35, IF(F72&lt;=1000, 40, F72*0.04)))),
IF(Basic[[#This Row],[نوع الخدمة]]="كاش اوت",
    IF(F72&lt;=100, 15, IF(F72&lt;=250, 20, IF(F72&lt;=500, 30, IF(F72&lt;=1000, 35, F72*0.035)))),
0)))</f>
        <v>0</v>
      </c>
      <c r="H72" s="163">
        <f>IF(I72="مخالفات",50,Basic[[#This Row],[قيمة الرسوم / العموله]]+Basic[[#This Row],[قيمة الشحنه]])</f>
        <v>0</v>
      </c>
      <c r="I72" s="90"/>
      <c r="J72" s="142" t="str">
        <f t="shared" si="1"/>
        <v>31.5.2026</v>
      </c>
      <c r="L72" s="153">
        <v>61</v>
      </c>
      <c r="M72" s="92"/>
    </row>
    <row r="73" spans="1:13" ht="21.6" x14ac:dyDescent="0.65">
      <c r="A73" s="195"/>
      <c r="B73" s="144">
        <v>70</v>
      </c>
      <c r="C73" s="2"/>
      <c r="D73" s="1"/>
      <c r="E73" s="3"/>
      <c r="F73" s="1"/>
      <c r="G73" s="141">
        <f>IF(Basic[[#This Row],[نوع الخدمة]]="مخالفات", 50,
IF(Basic[[#This Row],[نوع الخدمة]]="كاش ان",
    IF(F73&lt;=100, 18, IF(F73&lt;=250, 23, IF(F73&lt;=500, 35, IF(F73&lt;=1000, 40, F73*0.04)))),
IF(Basic[[#This Row],[نوع الخدمة]]="كاش اوت",
    IF(F73&lt;=100, 15, IF(F73&lt;=250, 20, IF(F73&lt;=500, 30, IF(F73&lt;=1000, 35, F73*0.035)))),
0)))</f>
        <v>0</v>
      </c>
      <c r="H73" s="163">
        <f>IF(I73="مخالفات",50,Basic[[#This Row],[قيمة الرسوم / العموله]]+Basic[[#This Row],[قيمة الشحنه]])</f>
        <v>0</v>
      </c>
      <c r="I73" s="90"/>
      <c r="J73" s="142" t="str">
        <f t="shared" si="1"/>
        <v>31.5.2026</v>
      </c>
      <c r="L73" s="153">
        <v>62</v>
      </c>
      <c r="M73" s="92"/>
    </row>
    <row r="74" spans="1:13" ht="21.6" x14ac:dyDescent="0.65">
      <c r="A74" s="195"/>
      <c r="B74" s="140">
        <v>71</v>
      </c>
      <c r="C74" s="2"/>
      <c r="D74" s="1"/>
      <c r="E74" s="3"/>
      <c r="F74" s="1"/>
      <c r="G74" s="141">
        <f>IF(Basic[[#This Row],[نوع الخدمة]]="مخالفات", 50,
IF(Basic[[#This Row],[نوع الخدمة]]="كاش ان",
    IF(F74&lt;=100, 18, IF(F74&lt;=250, 23, IF(F74&lt;=500, 35, IF(F74&lt;=1000, 40, F74*0.04)))),
IF(Basic[[#This Row],[نوع الخدمة]]="كاش اوت",
    IF(F74&lt;=100, 15, IF(F74&lt;=250, 20, IF(F74&lt;=500, 30, IF(F74&lt;=1000, 35, F74*0.035)))),
0)))</f>
        <v>0</v>
      </c>
      <c r="H74" s="163">
        <f>IF(I74="مخالفات",50,Basic[[#This Row],[قيمة الرسوم / العموله]]+Basic[[#This Row],[قيمة الشحنه]])</f>
        <v>0</v>
      </c>
      <c r="I74" s="90"/>
      <c r="J74" s="142" t="str">
        <f t="shared" si="1"/>
        <v>31.5.2026</v>
      </c>
      <c r="L74" s="153">
        <v>63</v>
      </c>
      <c r="M74" s="92"/>
    </row>
    <row r="75" spans="1:13" ht="21.6" x14ac:dyDescent="0.65">
      <c r="A75" s="195"/>
      <c r="B75" s="140">
        <v>72</v>
      </c>
      <c r="C75" s="2"/>
      <c r="D75" s="1"/>
      <c r="E75" s="3"/>
      <c r="F75" s="1"/>
      <c r="G75" s="141">
        <f>IF(Basic[[#This Row],[نوع الخدمة]]="مخالفات", 50,
IF(Basic[[#This Row],[نوع الخدمة]]="كاش ان",
    IF(F75&lt;=100, 18, IF(F75&lt;=250, 23, IF(F75&lt;=500, 35, IF(F75&lt;=1000, 40, F75*0.04)))),
IF(Basic[[#This Row],[نوع الخدمة]]="كاش اوت",
    IF(F75&lt;=100, 15, IF(F75&lt;=250, 20, IF(F75&lt;=500, 30, IF(F75&lt;=1000, 35, F75*0.035)))),
0)))</f>
        <v>0</v>
      </c>
      <c r="H75" s="163">
        <f>IF(I75="مخالفات",50,Basic[[#This Row],[قيمة الرسوم / العموله]]+Basic[[#This Row],[قيمة الشحنه]])</f>
        <v>0</v>
      </c>
      <c r="I75" s="90"/>
      <c r="J75" s="142" t="str">
        <f t="shared" si="1"/>
        <v>31.5.2026</v>
      </c>
      <c r="L75" s="153">
        <v>64</v>
      </c>
      <c r="M75" s="92"/>
    </row>
    <row r="76" spans="1:13" ht="21.6" x14ac:dyDescent="0.65">
      <c r="A76" s="195"/>
      <c r="B76" s="140">
        <v>73</v>
      </c>
      <c r="C76" s="2"/>
      <c r="D76" s="1"/>
      <c r="E76" s="3"/>
      <c r="F76" s="1"/>
      <c r="G76" s="141">
        <f>IF(Basic[[#This Row],[نوع الخدمة]]="مخالفات", 50,
IF(Basic[[#This Row],[نوع الخدمة]]="كاش ان",
    IF(F76&lt;=100, 18, IF(F76&lt;=250, 23, IF(F76&lt;=500, 35, IF(F76&lt;=1000, 40, F76*0.04)))),
IF(Basic[[#This Row],[نوع الخدمة]]="كاش اوت",
    IF(F76&lt;=100, 15, IF(F76&lt;=250, 20, IF(F76&lt;=500, 30, IF(F76&lt;=1000, 35, F76*0.035)))),
0)))</f>
        <v>0</v>
      </c>
      <c r="H76" s="163">
        <f>IF(I76="مخالفات",50,Basic[[#This Row],[قيمة الرسوم / العموله]]+Basic[[#This Row],[قيمة الشحنه]])</f>
        <v>0</v>
      </c>
      <c r="I76" s="90"/>
      <c r="J76" s="142" t="str">
        <f t="shared" si="1"/>
        <v>31.5.2026</v>
      </c>
      <c r="L76" s="153">
        <v>65</v>
      </c>
      <c r="M76" s="92"/>
    </row>
    <row r="77" spans="1:13" ht="21.6" x14ac:dyDescent="0.65">
      <c r="A77" s="195"/>
      <c r="B77" s="144">
        <v>74</v>
      </c>
      <c r="C77" s="2"/>
      <c r="D77" s="1"/>
      <c r="E77" s="3"/>
      <c r="F77" s="1"/>
      <c r="G77" s="141">
        <f>IF(Basic[[#This Row],[نوع الخدمة]]="مخالفات", 50,
IF(Basic[[#This Row],[نوع الخدمة]]="كاش ان",
    IF(F77&lt;=100, 18, IF(F77&lt;=250, 23, IF(F77&lt;=500, 35, IF(F77&lt;=1000, 40, F77*0.04)))),
IF(Basic[[#This Row],[نوع الخدمة]]="كاش اوت",
    IF(F77&lt;=100, 15, IF(F77&lt;=250, 20, IF(F77&lt;=500, 30, IF(F77&lt;=1000, 35, F77*0.035)))),
0)))</f>
        <v>0</v>
      </c>
      <c r="H77" s="163">
        <f>IF(I77="مخالفات",50,Basic[[#This Row],[قيمة الرسوم / العموله]]+Basic[[#This Row],[قيمة الشحنه]])</f>
        <v>0</v>
      </c>
      <c r="I77" s="90"/>
      <c r="J77" s="142" t="str">
        <f t="shared" si="1"/>
        <v>31.5.2026</v>
      </c>
      <c r="L77" s="153">
        <v>66</v>
      </c>
      <c r="M77" s="92"/>
    </row>
    <row r="78" spans="1:13" ht="21.6" x14ac:dyDescent="0.65">
      <c r="A78" s="195"/>
      <c r="B78" s="140">
        <v>75</v>
      </c>
      <c r="C78" s="2"/>
      <c r="D78" s="1"/>
      <c r="E78" s="3"/>
      <c r="F78" s="1"/>
      <c r="G78" s="141">
        <f>IF(Basic[[#This Row],[نوع الخدمة]]="مخالفات", 50,
IF(Basic[[#This Row],[نوع الخدمة]]="كاش ان",
    IF(F78&lt;=100, 18, IF(F78&lt;=250, 23, IF(F78&lt;=500, 35, IF(F78&lt;=1000, 40, F78*0.04)))),
IF(Basic[[#This Row],[نوع الخدمة]]="كاش اوت",
    IF(F78&lt;=100, 15, IF(F78&lt;=250, 20, IF(F78&lt;=500, 30, IF(F78&lt;=1000, 35, F78*0.035)))),
0)))</f>
        <v>0</v>
      </c>
      <c r="H78" s="163">
        <f>IF(I78="مخالفات",50,Basic[[#This Row],[قيمة الرسوم / العموله]]+Basic[[#This Row],[قيمة الشحنه]])</f>
        <v>0</v>
      </c>
      <c r="I78" s="90"/>
      <c r="J78" s="142" t="str">
        <f t="shared" si="1"/>
        <v>31.5.2026</v>
      </c>
      <c r="L78" s="153">
        <v>67</v>
      </c>
      <c r="M78" s="92"/>
    </row>
    <row r="79" spans="1:13" ht="21.6" x14ac:dyDescent="0.65">
      <c r="A79" s="195"/>
      <c r="B79" s="140">
        <v>76</v>
      </c>
      <c r="C79" s="2"/>
      <c r="D79" s="1"/>
      <c r="E79" s="3"/>
      <c r="F79" s="1"/>
      <c r="G79" s="141">
        <f>IF(Basic[[#This Row],[نوع الخدمة]]="مخالفات", 50,
IF(Basic[[#This Row],[نوع الخدمة]]="كاش ان",
    IF(F79&lt;=100, 18, IF(F79&lt;=250, 23, IF(F79&lt;=500, 35, IF(F79&lt;=1000, 40, F79*0.04)))),
IF(Basic[[#This Row],[نوع الخدمة]]="كاش اوت",
    IF(F79&lt;=100, 15, IF(F79&lt;=250, 20, IF(F79&lt;=500, 30, IF(F79&lt;=1000, 35, F79*0.035)))),
0)))</f>
        <v>0</v>
      </c>
      <c r="H79" s="163">
        <f>IF(I79="مخالفات",50,Basic[[#This Row],[قيمة الرسوم / العموله]]+Basic[[#This Row],[قيمة الشحنه]])</f>
        <v>0</v>
      </c>
      <c r="I79" s="90"/>
      <c r="J79" s="142" t="str">
        <f t="shared" si="1"/>
        <v>31.5.2026</v>
      </c>
      <c r="L79" s="153">
        <v>68</v>
      </c>
      <c r="M79" s="92"/>
    </row>
    <row r="80" spans="1:13" ht="21.6" x14ac:dyDescent="0.65">
      <c r="A80" s="195"/>
      <c r="B80" s="140">
        <v>77</v>
      </c>
      <c r="C80" s="2"/>
      <c r="D80" s="1"/>
      <c r="E80" s="3"/>
      <c r="F80" s="1"/>
      <c r="G80" s="141">
        <f>IF(Basic[[#This Row],[نوع الخدمة]]="مخالفات", 50,
IF(Basic[[#This Row],[نوع الخدمة]]="كاش ان",
    IF(F80&lt;=100, 18, IF(F80&lt;=250, 23, IF(F80&lt;=500, 35, IF(F80&lt;=1000, 40, F80*0.04)))),
IF(Basic[[#This Row],[نوع الخدمة]]="كاش اوت",
    IF(F80&lt;=100, 15, IF(F80&lt;=250, 20, IF(F80&lt;=500, 30, IF(F80&lt;=1000, 35, F80*0.035)))),
0)))</f>
        <v>0</v>
      </c>
      <c r="H80" s="163">
        <f>IF(I80="مخالفات",50,Basic[[#This Row],[قيمة الرسوم / العموله]]+Basic[[#This Row],[قيمة الشحنه]])</f>
        <v>0</v>
      </c>
      <c r="I80" s="90"/>
      <c r="J80" s="142" t="str">
        <f t="shared" si="1"/>
        <v>31.5.2026</v>
      </c>
      <c r="L80" s="153">
        <v>69</v>
      </c>
      <c r="M80" s="92"/>
    </row>
    <row r="81" spans="1:13" ht="21.6" x14ac:dyDescent="0.65">
      <c r="A81" s="195"/>
      <c r="B81" s="144">
        <v>78</v>
      </c>
      <c r="C81" s="2"/>
      <c r="D81" s="1"/>
      <c r="E81" s="3"/>
      <c r="F81" s="1"/>
      <c r="G81" s="141">
        <f>IF(Basic[[#This Row],[نوع الخدمة]]="مخالفات", 50,
IF(Basic[[#This Row],[نوع الخدمة]]="كاش ان",
    IF(F81&lt;=100, 18, IF(F81&lt;=250, 23, IF(F81&lt;=500, 35, IF(F81&lt;=1000, 40, F81*0.04)))),
IF(Basic[[#This Row],[نوع الخدمة]]="كاش اوت",
    IF(F81&lt;=100, 15, IF(F81&lt;=250, 20, IF(F81&lt;=500, 30, IF(F81&lt;=1000, 35, F81*0.035)))),
0)))</f>
        <v>0</v>
      </c>
      <c r="H81" s="163">
        <f>IF(I81="مخالفات",50,Basic[[#This Row],[قيمة الرسوم / العموله]]+Basic[[#This Row],[قيمة الشحنه]])</f>
        <v>0</v>
      </c>
      <c r="I81" s="90"/>
      <c r="J81" s="142" t="str">
        <f t="shared" si="1"/>
        <v>31.5.2026</v>
      </c>
      <c r="L81" s="153">
        <v>70</v>
      </c>
      <c r="M81" s="92"/>
    </row>
    <row r="82" spans="1:13" ht="21.6" x14ac:dyDescent="0.65">
      <c r="A82" s="195"/>
      <c r="B82" s="140">
        <v>79</v>
      </c>
      <c r="C82" s="2"/>
      <c r="D82" s="1"/>
      <c r="E82" s="3"/>
      <c r="F82" s="1"/>
      <c r="G82" s="141">
        <f>IF(Basic[[#This Row],[نوع الخدمة]]="مخالفات", 50,
IF(Basic[[#This Row],[نوع الخدمة]]="كاش ان",
    IF(F82&lt;=100, 18, IF(F82&lt;=250, 23, IF(F82&lt;=500, 35, IF(F82&lt;=1000, 40, F82*0.04)))),
IF(Basic[[#This Row],[نوع الخدمة]]="كاش اوت",
    IF(F82&lt;=100, 15, IF(F82&lt;=250, 20, IF(F82&lt;=500, 30, IF(F82&lt;=1000, 35, F82*0.035)))),
0)))</f>
        <v>0</v>
      </c>
      <c r="H82" s="163">
        <f>IF(I82="مخالفات",50,Basic[[#This Row],[قيمة الرسوم / العموله]]+Basic[[#This Row],[قيمة الشحنه]])</f>
        <v>0</v>
      </c>
      <c r="I82" s="90"/>
      <c r="J82" s="142" t="str">
        <f t="shared" si="1"/>
        <v>31.5.2026</v>
      </c>
      <c r="L82" s="153">
        <v>71</v>
      </c>
      <c r="M82" s="92"/>
    </row>
    <row r="83" spans="1:13" ht="21.6" x14ac:dyDescent="0.65">
      <c r="A83" s="195"/>
      <c r="B83" s="140">
        <v>80</v>
      </c>
      <c r="C83" s="2"/>
      <c r="D83" s="1"/>
      <c r="E83" s="3"/>
      <c r="F83" s="1"/>
      <c r="G83" s="141">
        <f>IF(Basic[[#This Row],[نوع الخدمة]]="مخالفات", 50,
IF(Basic[[#This Row],[نوع الخدمة]]="كاش ان",
    IF(F83&lt;=100, 18, IF(F83&lt;=250, 23, IF(F83&lt;=500, 35, IF(F83&lt;=1000, 40, F83*0.04)))),
IF(Basic[[#This Row],[نوع الخدمة]]="كاش اوت",
    IF(F83&lt;=100, 15, IF(F83&lt;=250, 20, IF(F83&lt;=500, 30, IF(F83&lt;=1000, 35, F83*0.035)))),
0)))</f>
        <v>0</v>
      </c>
      <c r="H83" s="163">
        <f>IF(I83="مخالفات",50,Basic[[#This Row],[قيمة الرسوم / العموله]]+Basic[[#This Row],[قيمة الشحنه]])</f>
        <v>0</v>
      </c>
      <c r="I83" s="90"/>
      <c r="J83" s="142" t="str">
        <f t="shared" si="1"/>
        <v>31.5.2026</v>
      </c>
      <c r="L83" s="153">
        <v>72</v>
      </c>
      <c r="M83" s="92"/>
    </row>
    <row r="84" spans="1:13" ht="21.6" x14ac:dyDescent="0.65">
      <c r="A84" s="195"/>
      <c r="B84" s="140">
        <v>81</v>
      </c>
      <c r="C84" s="2"/>
      <c r="D84" s="1"/>
      <c r="E84" s="3"/>
      <c r="F84" s="1"/>
      <c r="G84" s="141">
        <f>IF(Basic[[#This Row],[نوع الخدمة]]="مخالفات", 50,
IF(Basic[[#This Row],[نوع الخدمة]]="كاش ان",
    IF(F84&lt;=100, 18, IF(F84&lt;=250, 23, IF(F84&lt;=500, 35, IF(F84&lt;=1000, 40, F84*0.04)))),
IF(Basic[[#This Row],[نوع الخدمة]]="كاش اوت",
    IF(F84&lt;=100, 15, IF(F84&lt;=250, 20, IF(F84&lt;=500, 30, IF(F84&lt;=1000, 35, F84*0.035)))),
0)))</f>
        <v>0</v>
      </c>
      <c r="H84" s="163">
        <f>IF(I84="مخالفات",50,Basic[[#This Row],[قيمة الرسوم / العموله]]+Basic[[#This Row],[قيمة الشحنه]])</f>
        <v>0</v>
      </c>
      <c r="I84" s="90"/>
      <c r="J84" s="142" t="str">
        <f t="shared" si="1"/>
        <v>31.5.2026</v>
      </c>
      <c r="L84" s="153">
        <v>73</v>
      </c>
      <c r="M84" s="92"/>
    </row>
    <row r="85" spans="1:13" ht="21.6" x14ac:dyDescent="0.65">
      <c r="A85" s="195"/>
      <c r="B85" s="144">
        <v>82</v>
      </c>
      <c r="C85" s="2"/>
      <c r="D85" s="1"/>
      <c r="E85" s="3"/>
      <c r="F85" s="1"/>
      <c r="G85" s="141">
        <f>IF(Basic[[#This Row],[نوع الخدمة]]="مخالفات", 50,
IF(Basic[[#This Row],[نوع الخدمة]]="كاش ان",
    IF(F85&lt;=100, 18, IF(F85&lt;=250, 23, IF(F85&lt;=500, 35, IF(F85&lt;=1000, 40, F85*0.04)))),
IF(Basic[[#This Row],[نوع الخدمة]]="كاش اوت",
    IF(F85&lt;=100, 15, IF(F85&lt;=250, 20, IF(F85&lt;=500, 30, IF(F85&lt;=1000, 35, F85*0.035)))),
0)))</f>
        <v>0</v>
      </c>
      <c r="H85" s="163">
        <f>IF(I85="مخالفات",50,Basic[[#This Row],[قيمة الرسوم / العموله]]+Basic[[#This Row],[قيمة الشحنه]])</f>
        <v>0</v>
      </c>
      <c r="I85" s="90"/>
      <c r="J85" s="142" t="str">
        <f t="shared" si="1"/>
        <v>31.5.2026</v>
      </c>
      <c r="L85" s="153">
        <v>74</v>
      </c>
      <c r="M85" s="92"/>
    </row>
    <row r="86" spans="1:13" ht="21.6" x14ac:dyDescent="0.65">
      <c r="A86" s="195"/>
      <c r="B86" s="140">
        <v>83</v>
      </c>
      <c r="C86" s="2"/>
      <c r="D86" s="1"/>
      <c r="E86" s="3"/>
      <c r="F86" s="1"/>
      <c r="G86" s="141">
        <f>IF(Basic[[#This Row],[نوع الخدمة]]="مخالفات", 50,
IF(Basic[[#This Row],[نوع الخدمة]]="كاش ان",
    IF(F86&lt;=100, 18, IF(F86&lt;=250, 23, IF(F86&lt;=500, 35, IF(F86&lt;=1000, 40, F86*0.04)))),
IF(Basic[[#This Row],[نوع الخدمة]]="كاش اوت",
    IF(F86&lt;=100, 15, IF(F86&lt;=250, 20, IF(F86&lt;=500, 30, IF(F86&lt;=1000, 35, F86*0.035)))),
0)))</f>
        <v>0</v>
      </c>
      <c r="H86" s="163">
        <f>IF(I86="مخالفات",50,Basic[[#This Row],[قيمة الرسوم / العموله]]+Basic[[#This Row],[قيمة الشحنه]])</f>
        <v>0</v>
      </c>
      <c r="I86" s="90"/>
      <c r="J86" s="142" t="str">
        <f t="shared" si="1"/>
        <v>31.5.2026</v>
      </c>
      <c r="L86" s="153">
        <v>75</v>
      </c>
      <c r="M86" s="92"/>
    </row>
    <row r="87" spans="1:13" ht="21.6" x14ac:dyDescent="0.65">
      <c r="A87" s="195"/>
      <c r="B87" s="140">
        <v>84</v>
      </c>
      <c r="C87" s="2"/>
      <c r="D87" s="1"/>
      <c r="E87" s="3"/>
      <c r="F87" s="1"/>
      <c r="G87" s="141">
        <f>IF(Basic[[#This Row],[نوع الخدمة]]="مخالفات", 50,
IF(Basic[[#This Row],[نوع الخدمة]]="كاش ان",
    IF(F87&lt;=100, 18, IF(F87&lt;=250, 23, IF(F87&lt;=500, 35, IF(F87&lt;=1000, 40, F87*0.04)))),
IF(Basic[[#This Row],[نوع الخدمة]]="كاش اوت",
    IF(F87&lt;=100, 15, IF(F87&lt;=250, 20, IF(F87&lt;=500, 30, IF(F87&lt;=1000, 35, F87*0.035)))),
0)))</f>
        <v>0</v>
      </c>
      <c r="H87" s="163">
        <f>IF(I87="مخالفات",50,Basic[[#This Row],[قيمة الرسوم / العموله]]+Basic[[#This Row],[قيمة الشحنه]])</f>
        <v>0</v>
      </c>
      <c r="I87" s="90"/>
      <c r="J87" s="142" t="str">
        <f t="shared" si="1"/>
        <v>31.5.2026</v>
      </c>
      <c r="L87" s="153">
        <v>76</v>
      </c>
      <c r="M87" s="92"/>
    </row>
    <row r="88" spans="1:13" ht="21.6" x14ac:dyDescent="0.65">
      <c r="A88" s="195"/>
      <c r="B88" s="140">
        <v>85</v>
      </c>
      <c r="C88" s="2"/>
      <c r="D88" s="1"/>
      <c r="E88" s="3"/>
      <c r="F88" s="1"/>
      <c r="G88" s="141">
        <f>IF(Basic[[#This Row],[نوع الخدمة]]="مخالفات", 50,
IF(Basic[[#This Row],[نوع الخدمة]]="كاش ان",
    IF(F88&lt;=100, 18, IF(F88&lt;=250, 23, IF(F88&lt;=500, 35, IF(F88&lt;=1000, 40, F88*0.04)))),
IF(Basic[[#This Row],[نوع الخدمة]]="كاش اوت",
    IF(F88&lt;=100, 15, IF(F88&lt;=250, 20, IF(F88&lt;=500, 30, IF(F88&lt;=1000, 35, F88*0.035)))),
0)))</f>
        <v>0</v>
      </c>
      <c r="H88" s="163">
        <f>IF(I88="مخالفات",50,Basic[[#This Row],[قيمة الرسوم / العموله]]+Basic[[#This Row],[قيمة الشحنه]])</f>
        <v>0</v>
      </c>
      <c r="I88" s="90"/>
      <c r="J88" s="142" t="str">
        <f t="shared" si="1"/>
        <v>31.5.2026</v>
      </c>
      <c r="L88" s="153">
        <v>77</v>
      </c>
      <c r="M88" s="92"/>
    </row>
    <row r="89" spans="1:13" ht="21.6" x14ac:dyDescent="0.65">
      <c r="A89" s="195"/>
      <c r="B89" s="144">
        <v>86</v>
      </c>
      <c r="C89" s="2"/>
      <c r="D89" s="1"/>
      <c r="E89" s="3"/>
      <c r="F89" s="1"/>
      <c r="G89" s="141">
        <f>IF(Basic[[#This Row],[نوع الخدمة]]="مخالفات", 50,
IF(Basic[[#This Row],[نوع الخدمة]]="كاش ان",
    IF(F89&lt;=100, 18, IF(F89&lt;=250, 23, IF(F89&lt;=500, 35, IF(F89&lt;=1000, 40, F89*0.04)))),
IF(Basic[[#This Row],[نوع الخدمة]]="كاش اوت",
    IF(F89&lt;=100, 15, IF(F89&lt;=250, 20, IF(F89&lt;=500, 30, IF(F89&lt;=1000, 35, F89*0.035)))),
0)))</f>
        <v>0</v>
      </c>
      <c r="H89" s="163">
        <f>IF(I89="مخالفات",50,Basic[[#This Row],[قيمة الرسوم / العموله]]+Basic[[#This Row],[قيمة الشحنه]])</f>
        <v>0</v>
      </c>
      <c r="I89" s="90"/>
      <c r="J89" s="142" t="str">
        <f t="shared" si="1"/>
        <v>31.5.2026</v>
      </c>
      <c r="L89" s="153">
        <v>78</v>
      </c>
      <c r="M89" s="92"/>
    </row>
    <row r="90" spans="1:13" ht="21.6" x14ac:dyDescent="0.65">
      <c r="A90" s="195"/>
      <c r="B90" s="140">
        <v>87</v>
      </c>
      <c r="C90" s="2"/>
      <c r="D90" s="1"/>
      <c r="E90" s="3"/>
      <c r="F90" s="1"/>
      <c r="G90" s="141">
        <f>IF(Basic[[#This Row],[نوع الخدمة]]="مخالفات", 50,
IF(Basic[[#This Row],[نوع الخدمة]]="كاش ان",
    IF(F90&lt;=100, 18, IF(F90&lt;=250, 23, IF(F90&lt;=500, 35, IF(F90&lt;=1000, 40, F90*0.04)))),
IF(Basic[[#This Row],[نوع الخدمة]]="كاش اوت",
    IF(F90&lt;=100, 15, IF(F90&lt;=250, 20, IF(F90&lt;=500, 30, IF(F90&lt;=1000, 35, F90*0.035)))),
0)))</f>
        <v>0</v>
      </c>
      <c r="H90" s="163">
        <f>IF(I90="مخالفات",50,Basic[[#This Row],[قيمة الرسوم / العموله]]+Basic[[#This Row],[قيمة الشحنه]])</f>
        <v>0</v>
      </c>
      <c r="I90" s="90"/>
      <c r="J90" s="142" t="str">
        <f t="shared" si="1"/>
        <v>31.5.2026</v>
      </c>
      <c r="L90" s="153">
        <v>79</v>
      </c>
      <c r="M90" s="92"/>
    </row>
    <row r="91" spans="1:13" ht="21.6" x14ac:dyDescent="0.65">
      <c r="A91" s="195"/>
      <c r="B91" s="140">
        <v>88</v>
      </c>
      <c r="C91" s="2"/>
      <c r="D91" s="1"/>
      <c r="E91" s="3"/>
      <c r="F91" s="1"/>
      <c r="G91" s="141">
        <f>IF(Basic[[#This Row],[نوع الخدمة]]="مخالفات", 50,
IF(Basic[[#This Row],[نوع الخدمة]]="كاش ان",
    IF(F91&lt;=100, 18, IF(F91&lt;=250, 23, IF(F91&lt;=500, 35, IF(F91&lt;=1000, 40, F91*0.04)))),
IF(Basic[[#This Row],[نوع الخدمة]]="كاش اوت",
    IF(F91&lt;=100, 15, IF(F91&lt;=250, 20, IF(F91&lt;=500, 30, IF(F91&lt;=1000, 35, F91*0.035)))),
0)))</f>
        <v>0</v>
      </c>
      <c r="H91" s="163">
        <f>IF(I91="مخالفات",50,Basic[[#This Row],[قيمة الرسوم / العموله]]+Basic[[#This Row],[قيمة الشحنه]])</f>
        <v>0</v>
      </c>
      <c r="I91" s="90"/>
      <c r="J91" s="142" t="str">
        <f t="shared" si="1"/>
        <v>31.5.2026</v>
      </c>
      <c r="L91" s="153">
        <v>80</v>
      </c>
      <c r="M91" s="92"/>
    </row>
    <row r="92" spans="1:13" ht="21.6" x14ac:dyDescent="0.65">
      <c r="A92" s="195"/>
      <c r="B92" s="140">
        <v>89</v>
      </c>
      <c r="C92" s="2"/>
      <c r="D92" s="1"/>
      <c r="E92" s="3"/>
      <c r="F92" s="1"/>
      <c r="G92" s="141">
        <f>IF(Basic[[#This Row],[نوع الخدمة]]="مخالفات", 50,
IF(Basic[[#This Row],[نوع الخدمة]]="كاش ان",
    IF(F92&lt;=100, 18, IF(F92&lt;=250, 23, IF(F92&lt;=500, 35, IF(F92&lt;=1000, 40, F92*0.04)))),
IF(Basic[[#This Row],[نوع الخدمة]]="كاش اوت",
    IF(F92&lt;=100, 15, IF(F92&lt;=250, 20, IF(F92&lt;=500, 30, IF(F92&lt;=1000, 35, F92*0.035)))),
0)))</f>
        <v>0</v>
      </c>
      <c r="H92" s="163">
        <f>IF(I92="مخالفات",50,Basic[[#This Row],[قيمة الرسوم / العموله]]+Basic[[#This Row],[قيمة الشحنه]])</f>
        <v>0</v>
      </c>
      <c r="I92" s="90"/>
      <c r="J92" s="142" t="str">
        <f t="shared" si="1"/>
        <v>31.5.2026</v>
      </c>
      <c r="L92" s="153">
        <v>81</v>
      </c>
      <c r="M92" s="92"/>
    </row>
    <row r="93" spans="1:13" ht="21.6" x14ac:dyDescent="0.65">
      <c r="A93" s="195"/>
      <c r="B93" s="144">
        <v>90</v>
      </c>
      <c r="C93" s="2"/>
      <c r="D93" s="1"/>
      <c r="E93" s="3"/>
      <c r="F93" s="1"/>
      <c r="G93" s="141">
        <f>IF(Basic[[#This Row],[نوع الخدمة]]="مخالفات", 50,
IF(Basic[[#This Row],[نوع الخدمة]]="كاش ان",
    IF(F93&lt;=100, 18, IF(F93&lt;=250, 23, IF(F93&lt;=500, 35, IF(F93&lt;=1000, 40, F93*0.04)))),
IF(Basic[[#This Row],[نوع الخدمة]]="كاش اوت",
    IF(F93&lt;=100, 15, IF(F93&lt;=250, 20, IF(F93&lt;=500, 30, IF(F93&lt;=1000, 35, F93*0.035)))),
0)))</f>
        <v>0</v>
      </c>
      <c r="H93" s="163">
        <f>IF(I93="مخالفات",50,Basic[[#This Row],[قيمة الرسوم / العموله]]+Basic[[#This Row],[قيمة الشحنه]])</f>
        <v>0</v>
      </c>
      <c r="I93" s="90"/>
      <c r="J93" s="142" t="str">
        <f t="shared" si="1"/>
        <v>31.5.2026</v>
      </c>
      <c r="L93" s="153">
        <v>82</v>
      </c>
      <c r="M93" s="92"/>
    </row>
    <row r="94" spans="1:13" ht="21.6" x14ac:dyDescent="0.65">
      <c r="A94" s="195"/>
      <c r="B94" s="140">
        <v>91</v>
      </c>
      <c r="C94" s="2"/>
      <c r="D94" s="1"/>
      <c r="E94" s="3"/>
      <c r="F94" s="1"/>
      <c r="G94" s="141">
        <f>IF(Basic[[#This Row],[نوع الخدمة]]="مخالفات", 50,
IF(Basic[[#This Row],[نوع الخدمة]]="كاش ان",
    IF(F94&lt;=100, 18, IF(F94&lt;=250, 23, IF(F94&lt;=500, 35, IF(F94&lt;=1000, 40, F94*0.04)))),
IF(Basic[[#This Row],[نوع الخدمة]]="كاش اوت",
    IF(F94&lt;=100, 15, IF(F94&lt;=250, 20, IF(F94&lt;=500, 30, IF(F94&lt;=1000, 35, F94*0.035)))),
0)))</f>
        <v>0</v>
      </c>
      <c r="H94" s="163">
        <f>IF(I94="مخالفات",50,Basic[[#This Row],[قيمة الرسوم / العموله]]+Basic[[#This Row],[قيمة الشحنه]])</f>
        <v>0</v>
      </c>
      <c r="I94" s="90"/>
      <c r="J94" s="142" t="str">
        <f t="shared" si="1"/>
        <v>31.5.2026</v>
      </c>
      <c r="L94" s="153">
        <v>83</v>
      </c>
      <c r="M94" s="92"/>
    </row>
    <row r="95" spans="1:13" ht="21.6" x14ac:dyDescent="0.65">
      <c r="A95" s="195"/>
      <c r="B95" s="140">
        <v>92</v>
      </c>
      <c r="C95" s="2"/>
      <c r="D95" s="1"/>
      <c r="E95" s="3"/>
      <c r="F95" s="1"/>
      <c r="G95" s="141">
        <f>IF(Basic[[#This Row],[نوع الخدمة]]="مخالفات", 50,
IF(Basic[[#This Row],[نوع الخدمة]]="كاش ان",
    IF(F95&lt;=100, 18, IF(F95&lt;=250, 23, IF(F95&lt;=500, 35, IF(F95&lt;=1000, 40, F95*0.04)))),
IF(Basic[[#This Row],[نوع الخدمة]]="كاش اوت",
    IF(F95&lt;=100, 15, IF(F95&lt;=250, 20, IF(F95&lt;=500, 30, IF(F95&lt;=1000, 35, F95*0.035)))),
0)))</f>
        <v>0</v>
      </c>
      <c r="H95" s="163">
        <f>IF(I95="مخالفات",50,Basic[[#This Row],[قيمة الرسوم / العموله]]+Basic[[#This Row],[قيمة الشحنه]])</f>
        <v>0</v>
      </c>
      <c r="I95" s="90"/>
      <c r="J95" s="142" t="str">
        <f t="shared" si="1"/>
        <v>31.5.2026</v>
      </c>
      <c r="L95" s="153">
        <v>84</v>
      </c>
      <c r="M95" s="92"/>
    </row>
    <row r="96" spans="1:13" ht="21.6" x14ac:dyDescent="0.65">
      <c r="A96" s="195"/>
      <c r="B96" s="140">
        <v>93</v>
      </c>
      <c r="C96" s="2"/>
      <c r="D96" s="1"/>
      <c r="E96" s="3"/>
      <c r="F96" s="1"/>
      <c r="G96" s="141">
        <f>IF(Basic[[#This Row],[نوع الخدمة]]="مخالفات", 50,
IF(Basic[[#This Row],[نوع الخدمة]]="كاش ان",
    IF(F96&lt;=100, 18, IF(F96&lt;=250, 23, IF(F96&lt;=500, 35, IF(F96&lt;=1000, 40, F96*0.04)))),
IF(Basic[[#This Row],[نوع الخدمة]]="كاش اوت",
    IF(F96&lt;=100, 15, IF(F96&lt;=250, 20, IF(F96&lt;=500, 30, IF(F96&lt;=1000, 35, F96*0.035)))),
0)))</f>
        <v>0</v>
      </c>
      <c r="H96" s="163">
        <f>IF(I96="مخالفات",50,Basic[[#This Row],[قيمة الرسوم / العموله]]+Basic[[#This Row],[قيمة الشحنه]])</f>
        <v>0</v>
      </c>
      <c r="I96" s="90"/>
      <c r="J96" s="142" t="str">
        <f t="shared" si="1"/>
        <v>31.5.2026</v>
      </c>
      <c r="L96" s="153">
        <v>85</v>
      </c>
      <c r="M96" s="92"/>
    </row>
    <row r="97" spans="1:13" ht="21.6" x14ac:dyDescent="0.65">
      <c r="A97" s="195"/>
      <c r="B97" s="144">
        <v>94</v>
      </c>
      <c r="C97" s="2"/>
      <c r="D97" s="1"/>
      <c r="E97" s="3"/>
      <c r="F97" s="1"/>
      <c r="G97" s="141">
        <f>IF(Basic[[#This Row],[نوع الخدمة]]="مخالفات", 50,
IF(Basic[[#This Row],[نوع الخدمة]]="كاش ان",
    IF(F97&lt;=100, 18, IF(F97&lt;=250, 23, IF(F97&lt;=500, 35, IF(F97&lt;=1000, 40, F97*0.04)))),
IF(Basic[[#This Row],[نوع الخدمة]]="كاش اوت",
    IF(F97&lt;=100, 15, IF(F97&lt;=250, 20, IF(F97&lt;=500, 30, IF(F97&lt;=1000, 35, F97*0.035)))),
0)))</f>
        <v>0</v>
      </c>
      <c r="H97" s="163">
        <f>IF(I97="مخالفات",50,Basic[[#This Row],[قيمة الرسوم / العموله]]+Basic[[#This Row],[قيمة الشحنه]])</f>
        <v>0</v>
      </c>
      <c r="I97" s="90"/>
      <c r="J97" s="142" t="str">
        <f t="shared" si="1"/>
        <v>31.5.2026</v>
      </c>
      <c r="L97" s="153">
        <v>86</v>
      </c>
      <c r="M97" s="92"/>
    </row>
    <row r="98" spans="1:13" ht="21.6" x14ac:dyDescent="0.65">
      <c r="A98" s="195"/>
      <c r="B98" s="140">
        <v>95</v>
      </c>
      <c r="C98" s="2"/>
      <c r="D98" s="1"/>
      <c r="E98" s="3"/>
      <c r="F98" s="1"/>
      <c r="G98" s="141">
        <f>IF(Basic[[#This Row],[نوع الخدمة]]="مخالفات", 50,
IF(Basic[[#This Row],[نوع الخدمة]]="كاش ان",
    IF(F98&lt;=100, 18, IF(F98&lt;=250, 23, IF(F98&lt;=500, 35, IF(F98&lt;=1000, 40, F98*0.04)))),
IF(Basic[[#This Row],[نوع الخدمة]]="كاش اوت",
    IF(F98&lt;=100, 15, IF(F98&lt;=250, 20, IF(F98&lt;=500, 30, IF(F98&lt;=1000, 35, F98*0.035)))),
0)))</f>
        <v>0</v>
      </c>
      <c r="H98" s="163">
        <f>IF(I98="مخالفات",50,Basic[[#This Row],[قيمة الرسوم / العموله]]+Basic[[#This Row],[قيمة الشحنه]])</f>
        <v>0</v>
      </c>
      <c r="I98" s="90"/>
      <c r="J98" s="142" t="str">
        <f t="shared" si="1"/>
        <v>31.5.2026</v>
      </c>
      <c r="L98" s="153">
        <v>87</v>
      </c>
      <c r="M98" s="92"/>
    </row>
    <row r="99" spans="1:13" ht="21.6" x14ac:dyDescent="0.65">
      <c r="A99" s="195"/>
      <c r="B99" s="140">
        <v>96</v>
      </c>
      <c r="C99" s="2"/>
      <c r="D99" s="1"/>
      <c r="E99" s="3"/>
      <c r="F99" s="1"/>
      <c r="G99" s="141">
        <f>IF(Basic[[#This Row],[نوع الخدمة]]="مخالفات", 50,
IF(Basic[[#This Row],[نوع الخدمة]]="كاش ان",
    IF(F99&lt;=100, 18, IF(F99&lt;=250, 23, IF(F99&lt;=500, 35, IF(F99&lt;=1000, 40, F99*0.04)))),
IF(Basic[[#This Row],[نوع الخدمة]]="كاش اوت",
    IF(F99&lt;=100, 15, IF(F99&lt;=250, 20, IF(F99&lt;=500, 30, IF(F99&lt;=1000, 35, F99*0.035)))),
0)))</f>
        <v>0</v>
      </c>
      <c r="H99" s="163">
        <f>IF(I99="مخالفات",50,Basic[[#This Row],[قيمة الرسوم / العموله]]+Basic[[#This Row],[قيمة الشحنه]])</f>
        <v>0</v>
      </c>
      <c r="I99" s="90"/>
      <c r="J99" s="142" t="str">
        <f t="shared" si="1"/>
        <v>31.5.2026</v>
      </c>
      <c r="L99" s="153">
        <v>88</v>
      </c>
      <c r="M99" s="92"/>
    </row>
    <row r="100" spans="1:13" ht="21.6" x14ac:dyDescent="0.65">
      <c r="A100" s="195"/>
      <c r="B100" s="140">
        <v>97</v>
      </c>
      <c r="C100" s="2"/>
      <c r="D100" s="1"/>
      <c r="E100" s="3"/>
      <c r="F100" s="1"/>
      <c r="G100" s="141">
        <f>IF(Basic[[#This Row],[نوع الخدمة]]="مخالفات", 50,
IF(Basic[[#This Row],[نوع الخدمة]]="كاش ان",
    IF(F100&lt;=100, 18, IF(F100&lt;=250, 23, IF(F100&lt;=500, 35, IF(F100&lt;=1000, 40, F100*0.04)))),
IF(Basic[[#This Row],[نوع الخدمة]]="كاش اوت",
    IF(F100&lt;=100, 15, IF(F100&lt;=250, 20, IF(F100&lt;=500, 30, IF(F100&lt;=1000, 35, F100*0.035)))),
0)))</f>
        <v>0</v>
      </c>
      <c r="H100" s="163">
        <f>IF(I100="مخالفات",50,Basic[[#This Row],[قيمة الرسوم / العموله]]+Basic[[#This Row],[قيمة الشحنه]])</f>
        <v>0</v>
      </c>
      <c r="I100" s="90"/>
      <c r="J100" s="142" t="str">
        <f t="shared" si="1"/>
        <v>31.5.2026</v>
      </c>
      <c r="L100" s="153">
        <v>89</v>
      </c>
      <c r="M100" s="92"/>
    </row>
    <row r="101" spans="1:13" ht="21.6" x14ac:dyDescent="0.65">
      <c r="A101" s="195"/>
      <c r="B101" s="144">
        <v>98</v>
      </c>
      <c r="C101" s="2"/>
      <c r="D101" s="1"/>
      <c r="E101" s="3"/>
      <c r="F101" s="1"/>
      <c r="G101" s="141">
        <f>IF(Basic[[#This Row],[نوع الخدمة]]="مخالفات", 50,
IF(Basic[[#This Row],[نوع الخدمة]]="كاش ان",
    IF(F101&lt;=100, 18, IF(F101&lt;=250, 23, IF(F101&lt;=500, 35, IF(F101&lt;=1000, 40, F101*0.04)))),
IF(Basic[[#This Row],[نوع الخدمة]]="كاش اوت",
    IF(F101&lt;=100, 15, IF(F101&lt;=250, 20, IF(F101&lt;=500, 30, IF(F101&lt;=1000, 35, F101*0.035)))),
0)))</f>
        <v>0</v>
      </c>
      <c r="H101" s="163">
        <f>IF(I101="مخالفات",50,Basic[[#This Row],[قيمة الرسوم / العموله]]+Basic[[#This Row],[قيمة الشحنه]])</f>
        <v>0</v>
      </c>
      <c r="I101" s="90"/>
      <c r="J101" s="142" t="str">
        <f t="shared" si="1"/>
        <v>31.5.2026</v>
      </c>
      <c r="L101" s="153">
        <v>90</v>
      </c>
      <c r="M101" s="92"/>
    </row>
    <row r="102" spans="1:13" ht="21.6" x14ac:dyDescent="0.65">
      <c r="A102" s="195"/>
      <c r="B102" s="140">
        <v>99</v>
      </c>
      <c r="C102" s="2"/>
      <c r="D102" s="1"/>
      <c r="E102" s="3"/>
      <c r="F102" s="1"/>
      <c r="G102" s="141">
        <f>IF(Basic[[#This Row],[نوع الخدمة]]="مخالفات", 50,
IF(Basic[[#This Row],[نوع الخدمة]]="كاش ان",
    IF(F102&lt;=100, 18, IF(F102&lt;=250, 23, IF(F102&lt;=500, 35, IF(F102&lt;=1000, 40, F102*0.04)))),
IF(Basic[[#This Row],[نوع الخدمة]]="كاش اوت",
    IF(F102&lt;=100, 15, IF(F102&lt;=250, 20, IF(F102&lt;=500, 30, IF(F102&lt;=1000, 35, F102*0.035)))),
0)))</f>
        <v>0</v>
      </c>
      <c r="H102" s="163">
        <f>IF(I102="مخالفات",50,Basic[[#This Row],[قيمة الرسوم / العموله]]+Basic[[#This Row],[قيمة الشحنه]])</f>
        <v>0</v>
      </c>
      <c r="I102" s="90"/>
      <c r="J102" s="142" t="str">
        <f t="shared" si="1"/>
        <v>31.5.2026</v>
      </c>
      <c r="L102" s="153">
        <v>91</v>
      </c>
      <c r="M102" s="92"/>
    </row>
    <row r="103" spans="1:13" ht="21.6" x14ac:dyDescent="0.65">
      <c r="A103" s="195"/>
      <c r="B103" s="140">
        <v>100</v>
      </c>
      <c r="C103" s="2"/>
      <c r="D103" s="1"/>
      <c r="E103" s="3"/>
      <c r="F103" s="1"/>
      <c r="G103" s="141">
        <f>IF(Basic[[#This Row],[نوع الخدمة]]="مخالفات", 50,
IF(Basic[[#This Row],[نوع الخدمة]]="كاش ان",
    IF(F103&lt;=100, 18, IF(F103&lt;=250, 23, IF(F103&lt;=500, 35, IF(F103&lt;=1000, 40, F103*0.04)))),
IF(Basic[[#This Row],[نوع الخدمة]]="كاش اوت",
    IF(F103&lt;=100, 15, IF(F103&lt;=250, 20, IF(F103&lt;=500, 30, IF(F103&lt;=1000, 35, F103*0.035)))),
0)))</f>
        <v>0</v>
      </c>
      <c r="H103" s="163">
        <f>IF(I103="مخالفات",50,Basic[[#This Row],[قيمة الرسوم / العموله]]+Basic[[#This Row],[قيمة الشحنه]])</f>
        <v>0</v>
      </c>
      <c r="I103" s="90"/>
      <c r="J103" s="142" t="str">
        <f t="shared" si="1"/>
        <v>31.5.2026</v>
      </c>
      <c r="L103" s="153">
        <v>92</v>
      </c>
      <c r="M103" s="92"/>
    </row>
    <row r="104" spans="1:13" ht="21.6" x14ac:dyDescent="0.65">
      <c r="A104" s="195"/>
      <c r="B104" s="140">
        <v>101</v>
      </c>
      <c r="C104" s="2"/>
      <c r="D104" s="1"/>
      <c r="E104" s="3"/>
      <c r="F104" s="1"/>
      <c r="G104" s="141">
        <f>IF(Basic[[#This Row],[نوع الخدمة]]="مخالفات", 50,
IF(Basic[[#This Row],[نوع الخدمة]]="كاش ان",
    IF(F104&lt;=100, 18, IF(F104&lt;=250, 23, IF(F104&lt;=500, 35, IF(F104&lt;=1000, 40, F104*0.04)))),
IF(Basic[[#This Row],[نوع الخدمة]]="كاش اوت",
    IF(F104&lt;=100, 15, IF(F104&lt;=250, 20, IF(F104&lt;=500, 30, IF(F104&lt;=1000, 35, F104*0.035)))),
0)))</f>
        <v>0</v>
      </c>
      <c r="H104" s="163">
        <f>IF(I104="مخالفات",50,Basic[[#This Row],[قيمة الرسوم / العموله]]+Basic[[#This Row],[قيمة الشحنه]])</f>
        <v>0</v>
      </c>
      <c r="I104" s="90"/>
      <c r="J104" s="142" t="str">
        <f t="shared" si="1"/>
        <v>31.5.2026</v>
      </c>
      <c r="L104" s="153">
        <v>93</v>
      </c>
      <c r="M104" s="92"/>
    </row>
    <row r="105" spans="1:13" ht="21.6" x14ac:dyDescent="0.65">
      <c r="A105" s="195"/>
      <c r="B105" s="144">
        <v>102</v>
      </c>
      <c r="C105" s="2"/>
      <c r="D105" s="1"/>
      <c r="E105" s="3"/>
      <c r="F105" s="1"/>
      <c r="G105" s="141">
        <f>IF(Basic[[#This Row],[نوع الخدمة]]="مخالفات", 50,
IF(Basic[[#This Row],[نوع الخدمة]]="كاش ان",
    IF(F105&lt;=100, 18, IF(F105&lt;=250, 23, IF(F105&lt;=500, 35, IF(F105&lt;=1000, 40, F105*0.04)))),
IF(Basic[[#This Row],[نوع الخدمة]]="كاش اوت",
    IF(F105&lt;=100, 15, IF(F105&lt;=250, 20, IF(F105&lt;=500, 30, IF(F105&lt;=1000, 35, F105*0.035)))),
0)))</f>
        <v>0</v>
      </c>
      <c r="H105" s="163">
        <f>IF(I105="مخالفات",50,Basic[[#This Row],[قيمة الرسوم / العموله]]+Basic[[#This Row],[قيمة الشحنه]])</f>
        <v>0</v>
      </c>
      <c r="I105" s="90"/>
      <c r="J105" s="142" t="str">
        <f t="shared" si="1"/>
        <v>31.5.2026</v>
      </c>
      <c r="L105" s="153">
        <v>94</v>
      </c>
      <c r="M105" s="92"/>
    </row>
    <row r="106" spans="1:13" ht="21.6" x14ac:dyDescent="0.65">
      <c r="A106" s="195"/>
      <c r="B106" s="140">
        <v>103</v>
      </c>
      <c r="C106" s="2"/>
      <c r="D106" s="1"/>
      <c r="E106" s="3"/>
      <c r="F106" s="1"/>
      <c r="G106" s="141">
        <f>IF(Basic[[#This Row],[نوع الخدمة]]="مخالفات", 50,
IF(Basic[[#This Row],[نوع الخدمة]]="كاش ان",
    IF(F106&lt;=100, 18, IF(F106&lt;=250, 23, IF(F106&lt;=500, 35, IF(F106&lt;=1000, 40, F106*0.04)))),
IF(Basic[[#This Row],[نوع الخدمة]]="كاش اوت",
    IF(F106&lt;=100, 15, IF(F106&lt;=250, 20, IF(F106&lt;=500, 30, IF(F106&lt;=1000, 35, F106*0.035)))),
0)))</f>
        <v>0</v>
      </c>
      <c r="H106" s="163">
        <f>IF(I106="مخالفات",50,Basic[[#This Row],[قيمة الرسوم / العموله]]+Basic[[#This Row],[قيمة الشحنه]])</f>
        <v>0</v>
      </c>
      <c r="I106" s="90"/>
      <c r="J106" s="142" t="str">
        <f t="shared" si="1"/>
        <v>31.5.2026</v>
      </c>
      <c r="L106" s="153">
        <v>95</v>
      </c>
      <c r="M106" s="92"/>
    </row>
    <row r="107" spans="1:13" ht="21.6" x14ac:dyDescent="0.65">
      <c r="A107" s="195"/>
      <c r="B107" s="140">
        <v>104</v>
      </c>
      <c r="C107" s="2"/>
      <c r="D107" s="1"/>
      <c r="E107" s="3"/>
      <c r="F107" s="1"/>
      <c r="G107" s="141">
        <f>IF(Basic[[#This Row],[نوع الخدمة]]="مخالفات", 50,
IF(Basic[[#This Row],[نوع الخدمة]]="كاش ان",
    IF(F107&lt;=100, 18, IF(F107&lt;=250, 23, IF(F107&lt;=500, 35, IF(F107&lt;=1000, 40, F107*0.04)))),
IF(Basic[[#This Row],[نوع الخدمة]]="كاش اوت",
    IF(F107&lt;=100, 15, IF(F107&lt;=250, 20, IF(F107&lt;=500, 30, IF(F107&lt;=1000, 35, F107*0.035)))),
0)))</f>
        <v>0</v>
      </c>
      <c r="H107" s="163">
        <f>IF(I107="مخالفات",50,Basic[[#This Row],[قيمة الرسوم / العموله]]+Basic[[#This Row],[قيمة الشحنه]])</f>
        <v>0</v>
      </c>
      <c r="I107" s="90"/>
      <c r="J107" s="142" t="str">
        <f t="shared" si="1"/>
        <v>31.5.2026</v>
      </c>
      <c r="L107" s="153">
        <v>96</v>
      </c>
      <c r="M107" s="92"/>
    </row>
    <row r="108" spans="1:13" ht="21.6" x14ac:dyDescent="0.65">
      <c r="A108" s="195"/>
      <c r="B108" s="140">
        <v>105</v>
      </c>
      <c r="C108" s="2"/>
      <c r="D108" s="1"/>
      <c r="E108" s="3"/>
      <c r="F108" s="1"/>
      <c r="G108" s="141">
        <f>IF(Basic[[#This Row],[نوع الخدمة]]="مخالفات", 50,
IF(Basic[[#This Row],[نوع الخدمة]]="كاش ان",
    IF(F108&lt;=100, 18, IF(F108&lt;=250, 23, IF(F108&lt;=500, 35, IF(F108&lt;=1000, 40, F108*0.04)))),
IF(Basic[[#This Row],[نوع الخدمة]]="كاش اوت",
    IF(F108&lt;=100, 15, IF(F108&lt;=250, 20, IF(F108&lt;=500, 30, IF(F108&lt;=1000, 35, F108*0.035)))),
0)))</f>
        <v>0</v>
      </c>
      <c r="H108" s="163">
        <f>IF(I108="مخالفات",50,Basic[[#This Row],[قيمة الرسوم / العموله]]+Basic[[#This Row],[قيمة الشحنه]])</f>
        <v>0</v>
      </c>
      <c r="I108" s="90"/>
      <c r="J108" s="142" t="str">
        <f t="shared" si="1"/>
        <v>31.5.2026</v>
      </c>
      <c r="L108" s="153">
        <v>97</v>
      </c>
      <c r="M108" s="92"/>
    </row>
    <row r="109" spans="1:13" ht="21.6" x14ac:dyDescent="0.65">
      <c r="A109" s="195"/>
      <c r="B109" s="144">
        <v>106</v>
      </c>
      <c r="C109" s="2"/>
      <c r="D109" s="1"/>
      <c r="E109" s="3"/>
      <c r="F109" s="1"/>
      <c r="G109" s="141">
        <f>IF(Basic[[#This Row],[نوع الخدمة]]="مخالفات", 50,
IF(Basic[[#This Row],[نوع الخدمة]]="كاش ان",
    IF(F109&lt;=100, 18, IF(F109&lt;=250, 23, IF(F109&lt;=500, 35, IF(F109&lt;=1000, 40, F109*0.04)))),
IF(Basic[[#This Row],[نوع الخدمة]]="كاش اوت",
    IF(F109&lt;=100, 15, IF(F109&lt;=250, 20, IF(F109&lt;=500, 30, IF(F109&lt;=1000, 35, F109*0.035)))),
0)))</f>
        <v>0</v>
      </c>
      <c r="H109" s="163">
        <f>IF(I109="مخالفات",50,Basic[[#This Row],[قيمة الرسوم / العموله]]+Basic[[#This Row],[قيمة الشحنه]])</f>
        <v>0</v>
      </c>
      <c r="I109" s="90"/>
      <c r="J109" s="142" t="str">
        <f t="shared" si="1"/>
        <v>31.5.2026</v>
      </c>
      <c r="L109" s="153">
        <v>98</v>
      </c>
      <c r="M109" s="92"/>
    </row>
    <row r="110" spans="1:13" ht="21.6" x14ac:dyDescent="0.65">
      <c r="A110" s="195"/>
      <c r="B110" s="140">
        <v>107</v>
      </c>
      <c r="C110" s="2"/>
      <c r="D110" s="1"/>
      <c r="E110" s="3"/>
      <c r="F110" s="1"/>
      <c r="G110" s="141">
        <f>IF(Basic[[#This Row],[نوع الخدمة]]="مخالفات", 50,
IF(Basic[[#This Row],[نوع الخدمة]]="كاش ان",
    IF(F110&lt;=100, 18, IF(F110&lt;=250, 23, IF(F110&lt;=500, 35, IF(F110&lt;=1000, 40, F110*0.04)))),
IF(Basic[[#This Row],[نوع الخدمة]]="كاش اوت",
    IF(F110&lt;=100, 15, IF(F110&lt;=250, 20, IF(F110&lt;=500, 30, IF(F110&lt;=1000, 35, F110*0.035)))),
0)))</f>
        <v>0</v>
      </c>
      <c r="H110" s="163">
        <f>IF(I110="مخالفات",50,Basic[[#This Row],[قيمة الرسوم / العموله]]+Basic[[#This Row],[قيمة الشحنه]])</f>
        <v>0</v>
      </c>
      <c r="I110" s="90"/>
      <c r="J110" s="142" t="str">
        <f t="shared" si="1"/>
        <v>31.5.2026</v>
      </c>
      <c r="L110" s="153">
        <v>99</v>
      </c>
      <c r="M110" s="92"/>
    </row>
    <row r="111" spans="1:13" ht="21.6" x14ac:dyDescent="0.65">
      <c r="A111" s="195"/>
      <c r="B111" s="140">
        <v>108</v>
      </c>
      <c r="C111" s="2"/>
      <c r="D111" s="1"/>
      <c r="E111" s="3"/>
      <c r="F111" s="1"/>
      <c r="G111" s="141">
        <f>IF(Basic[[#This Row],[نوع الخدمة]]="مخالفات", 50,
IF(Basic[[#This Row],[نوع الخدمة]]="كاش ان",
    IF(F111&lt;=100, 18, IF(F111&lt;=250, 23, IF(F111&lt;=500, 35, IF(F111&lt;=1000, 40, F111*0.04)))),
IF(Basic[[#This Row],[نوع الخدمة]]="كاش اوت",
    IF(F111&lt;=100, 15, IF(F111&lt;=250, 20, IF(F111&lt;=500, 30, IF(F111&lt;=1000, 35, F111*0.035)))),
0)))</f>
        <v>0</v>
      </c>
      <c r="H111" s="163">
        <f>IF(I111="مخالفات",50,Basic[[#This Row],[قيمة الرسوم / العموله]]+Basic[[#This Row],[قيمة الشحنه]])</f>
        <v>0</v>
      </c>
      <c r="I111" s="90"/>
      <c r="J111" s="142" t="str">
        <f t="shared" si="1"/>
        <v>31.5.2026</v>
      </c>
      <c r="L111" s="153">
        <v>100</v>
      </c>
      <c r="M111" s="92"/>
    </row>
    <row r="112" spans="1:13" ht="21.6" x14ac:dyDescent="0.65">
      <c r="A112" s="195"/>
      <c r="B112" s="140">
        <v>109</v>
      </c>
      <c r="C112" s="2"/>
      <c r="D112" s="1"/>
      <c r="E112" s="3"/>
      <c r="F112" s="1"/>
      <c r="G112" s="141">
        <f>IF(Basic[[#This Row],[نوع الخدمة]]="مخالفات", 50,
IF(Basic[[#This Row],[نوع الخدمة]]="كاش ان",
    IF(F112&lt;=100, 18, IF(F112&lt;=250, 23, IF(F112&lt;=500, 35, IF(F112&lt;=1000, 40, F112*0.04)))),
IF(Basic[[#This Row],[نوع الخدمة]]="كاش اوت",
    IF(F112&lt;=100, 15, IF(F112&lt;=250, 20, IF(F112&lt;=500, 30, IF(F112&lt;=1000, 35, F112*0.035)))),
0)))</f>
        <v>0</v>
      </c>
      <c r="H112" s="163">
        <f>IF(I112="مخالفات",50,Basic[[#This Row],[قيمة الرسوم / العموله]]+Basic[[#This Row],[قيمة الشحنه]])</f>
        <v>0</v>
      </c>
      <c r="I112" s="90"/>
      <c r="J112" s="142" t="str">
        <f t="shared" si="1"/>
        <v>31.5.2026</v>
      </c>
      <c r="L112" s="153">
        <v>101</v>
      </c>
      <c r="M112" s="92"/>
    </row>
    <row r="113" spans="1:13" ht="21.6" x14ac:dyDescent="0.65">
      <c r="A113" s="195"/>
      <c r="B113" s="144">
        <v>110</v>
      </c>
      <c r="C113" s="2"/>
      <c r="D113" s="1"/>
      <c r="E113" s="3"/>
      <c r="F113" s="1"/>
      <c r="G113" s="141">
        <f>IF(Basic[[#This Row],[نوع الخدمة]]="مخالفات", 50,
IF(Basic[[#This Row],[نوع الخدمة]]="كاش ان",
    IF(F113&lt;=100, 18, IF(F113&lt;=250, 23, IF(F113&lt;=500, 35, IF(F113&lt;=1000, 40, F113*0.04)))),
IF(Basic[[#This Row],[نوع الخدمة]]="كاش اوت",
    IF(F113&lt;=100, 15, IF(F113&lt;=250, 20, IF(F113&lt;=500, 30, IF(F113&lt;=1000, 35, F113*0.035)))),
0)))</f>
        <v>0</v>
      </c>
      <c r="H113" s="163">
        <f>IF(I113="مخالفات",50,Basic[[#This Row],[قيمة الرسوم / العموله]]+Basic[[#This Row],[قيمة الشحنه]])</f>
        <v>0</v>
      </c>
      <c r="I113" s="90"/>
      <c r="J113" s="142" t="str">
        <f t="shared" si="1"/>
        <v>31.5.2026</v>
      </c>
      <c r="L113" s="153">
        <v>102</v>
      </c>
      <c r="M113" s="92"/>
    </row>
    <row r="114" spans="1:13" ht="21.6" x14ac:dyDescent="0.65">
      <c r="A114" s="195"/>
      <c r="B114" s="140">
        <v>111</v>
      </c>
      <c r="C114" s="2"/>
      <c r="D114" s="1"/>
      <c r="E114" s="3"/>
      <c r="F114" s="1"/>
      <c r="G114" s="141">
        <f>IF(Basic[[#This Row],[نوع الخدمة]]="مخالفات", 50,
IF(Basic[[#This Row],[نوع الخدمة]]="كاش ان",
    IF(F114&lt;=100, 18, IF(F114&lt;=250, 23, IF(F114&lt;=500, 35, IF(F114&lt;=1000, 40, F114*0.04)))),
IF(Basic[[#This Row],[نوع الخدمة]]="كاش اوت",
    IF(F114&lt;=100, 15, IF(F114&lt;=250, 20, IF(F114&lt;=500, 30, IF(F114&lt;=1000, 35, F114*0.035)))),
0)))</f>
        <v>0</v>
      </c>
      <c r="H114" s="163">
        <f>IF(I114="مخالفات",50,Basic[[#This Row],[قيمة الرسوم / العموله]]+Basic[[#This Row],[قيمة الشحنه]])</f>
        <v>0</v>
      </c>
      <c r="I114" s="90"/>
      <c r="J114" s="142" t="str">
        <f t="shared" si="1"/>
        <v>31.5.2026</v>
      </c>
      <c r="L114" s="153">
        <v>103</v>
      </c>
      <c r="M114" s="92"/>
    </row>
    <row r="115" spans="1:13" ht="21.6" x14ac:dyDescent="0.65">
      <c r="A115" s="195"/>
      <c r="B115" s="140">
        <v>112</v>
      </c>
      <c r="C115" s="2"/>
      <c r="D115" s="1"/>
      <c r="E115" s="3"/>
      <c r="F115" s="1"/>
      <c r="G115" s="141">
        <f>IF(Basic[[#This Row],[نوع الخدمة]]="مخالفات", 50,
IF(Basic[[#This Row],[نوع الخدمة]]="كاش ان",
    IF(F115&lt;=100, 18, IF(F115&lt;=250, 23, IF(F115&lt;=500, 35, IF(F115&lt;=1000, 40, F115*0.04)))),
IF(Basic[[#This Row],[نوع الخدمة]]="كاش اوت",
    IF(F115&lt;=100, 15, IF(F115&lt;=250, 20, IF(F115&lt;=500, 30, IF(F115&lt;=1000, 35, F115*0.035)))),
0)))</f>
        <v>0</v>
      </c>
      <c r="H115" s="163">
        <f>IF(I115="مخالفات",50,Basic[[#This Row],[قيمة الرسوم / العموله]]+Basic[[#This Row],[قيمة الشحنه]])</f>
        <v>0</v>
      </c>
      <c r="I115" s="90"/>
      <c r="J115" s="142" t="str">
        <f t="shared" si="1"/>
        <v>31.5.2026</v>
      </c>
      <c r="L115" s="153">
        <v>104</v>
      </c>
      <c r="M115" s="92"/>
    </row>
    <row r="116" spans="1:13" ht="21.6" x14ac:dyDescent="0.65">
      <c r="A116" s="195"/>
      <c r="B116" s="140">
        <v>113</v>
      </c>
      <c r="C116" s="2"/>
      <c r="D116" s="1"/>
      <c r="E116" s="3"/>
      <c r="F116" s="1"/>
      <c r="G116" s="141">
        <f>IF(Basic[[#This Row],[نوع الخدمة]]="مخالفات", 50,
IF(Basic[[#This Row],[نوع الخدمة]]="كاش ان",
    IF(F116&lt;=100, 18, IF(F116&lt;=250, 23, IF(F116&lt;=500, 35, IF(F116&lt;=1000, 40, F116*0.04)))),
IF(Basic[[#This Row],[نوع الخدمة]]="كاش اوت",
    IF(F116&lt;=100, 15, IF(F116&lt;=250, 20, IF(F116&lt;=500, 30, IF(F116&lt;=1000, 35, F116*0.035)))),
0)))</f>
        <v>0</v>
      </c>
      <c r="H116" s="163">
        <f>IF(I116="مخالفات",50,Basic[[#This Row],[قيمة الرسوم / العموله]]+Basic[[#This Row],[قيمة الشحنه]])</f>
        <v>0</v>
      </c>
      <c r="I116" s="90"/>
      <c r="J116" s="142" t="str">
        <f t="shared" si="1"/>
        <v>31.5.2026</v>
      </c>
      <c r="L116" s="153">
        <v>105</v>
      </c>
      <c r="M116" s="92"/>
    </row>
    <row r="117" spans="1:13" ht="21.6" x14ac:dyDescent="0.65">
      <c r="A117" s="195"/>
      <c r="B117" s="144">
        <v>114</v>
      </c>
      <c r="C117" s="2"/>
      <c r="D117" s="1"/>
      <c r="E117" s="3"/>
      <c r="F117" s="1"/>
      <c r="G117" s="141">
        <f>IF(Basic[[#This Row],[نوع الخدمة]]="مخالفات", 50,
IF(Basic[[#This Row],[نوع الخدمة]]="كاش ان",
    IF(F117&lt;=100, 18, IF(F117&lt;=250, 23, IF(F117&lt;=500, 35, IF(F117&lt;=1000, 40, F117*0.04)))),
IF(Basic[[#This Row],[نوع الخدمة]]="كاش اوت",
    IF(F117&lt;=100, 15, IF(F117&lt;=250, 20, IF(F117&lt;=500, 30, IF(F117&lt;=1000, 35, F117*0.035)))),
0)))</f>
        <v>0</v>
      </c>
      <c r="H117" s="163">
        <f>IF(I117="مخالفات",50,Basic[[#This Row],[قيمة الرسوم / العموله]]+Basic[[#This Row],[قيمة الشحنه]])</f>
        <v>0</v>
      </c>
      <c r="I117" s="90"/>
      <c r="J117" s="142" t="str">
        <f t="shared" si="1"/>
        <v>31.5.2026</v>
      </c>
      <c r="L117" s="153">
        <v>106</v>
      </c>
      <c r="M117" s="92"/>
    </row>
    <row r="118" spans="1:13" ht="21.6" x14ac:dyDescent="0.65">
      <c r="A118" s="195"/>
      <c r="B118" s="140">
        <v>115</v>
      </c>
      <c r="C118" s="2"/>
      <c r="D118" s="1"/>
      <c r="E118" s="3"/>
      <c r="F118" s="1"/>
      <c r="G118" s="141">
        <f>IF(Basic[[#This Row],[نوع الخدمة]]="مخالفات", 50,
IF(Basic[[#This Row],[نوع الخدمة]]="كاش ان",
    IF(F118&lt;=100, 18, IF(F118&lt;=250, 23, IF(F118&lt;=500, 35, IF(F118&lt;=1000, 40, F118*0.04)))),
IF(Basic[[#This Row],[نوع الخدمة]]="كاش اوت",
    IF(F118&lt;=100, 15, IF(F118&lt;=250, 20, IF(F118&lt;=500, 30, IF(F118&lt;=1000, 35, F118*0.035)))),
0)))</f>
        <v>0</v>
      </c>
      <c r="H118" s="163">
        <f>IF(I118="مخالفات",50,Basic[[#This Row],[قيمة الرسوم / العموله]]+Basic[[#This Row],[قيمة الشحنه]])</f>
        <v>0</v>
      </c>
      <c r="I118" s="90"/>
      <c r="J118" s="142" t="str">
        <f t="shared" si="1"/>
        <v>31.5.2026</v>
      </c>
      <c r="L118" s="153">
        <v>107</v>
      </c>
      <c r="M118" s="92"/>
    </row>
    <row r="119" spans="1:13" ht="21.6" x14ac:dyDescent="0.65">
      <c r="A119" s="195"/>
      <c r="B119" s="140">
        <v>116</v>
      </c>
      <c r="C119" s="2"/>
      <c r="D119" s="1"/>
      <c r="E119" s="3"/>
      <c r="F119" s="1"/>
      <c r="G119" s="141">
        <f>IF(Basic[[#This Row],[نوع الخدمة]]="مخالفات", 50,
IF(Basic[[#This Row],[نوع الخدمة]]="كاش ان",
    IF(F119&lt;=100, 18, IF(F119&lt;=250, 23, IF(F119&lt;=500, 35, IF(F119&lt;=1000, 40, F119*0.04)))),
IF(Basic[[#This Row],[نوع الخدمة]]="كاش اوت",
    IF(F119&lt;=100, 15, IF(F119&lt;=250, 20, IF(F119&lt;=500, 30, IF(F119&lt;=1000, 35, F119*0.035)))),
0)))</f>
        <v>0</v>
      </c>
      <c r="H119" s="163">
        <f>IF(I119="مخالفات",50,Basic[[#This Row],[قيمة الرسوم / العموله]]+Basic[[#This Row],[قيمة الشحنه]])</f>
        <v>0</v>
      </c>
      <c r="I119" s="90"/>
      <c r="J119" s="142" t="str">
        <f t="shared" si="1"/>
        <v>31.5.2026</v>
      </c>
      <c r="L119" s="153">
        <v>108</v>
      </c>
      <c r="M119" s="92"/>
    </row>
    <row r="120" spans="1:13" ht="21.6" x14ac:dyDescent="0.65">
      <c r="A120" s="195"/>
      <c r="B120" s="140">
        <v>117</v>
      </c>
      <c r="C120" s="2"/>
      <c r="D120" s="1"/>
      <c r="E120" s="3"/>
      <c r="F120" s="1"/>
      <c r="G120" s="141">
        <f>IF(Basic[[#This Row],[نوع الخدمة]]="مخالفات", 50,
IF(Basic[[#This Row],[نوع الخدمة]]="كاش ان",
    IF(F120&lt;=100, 18, IF(F120&lt;=250, 23, IF(F120&lt;=500, 35, IF(F120&lt;=1000, 40, F120*0.04)))),
IF(Basic[[#This Row],[نوع الخدمة]]="كاش اوت",
    IF(F120&lt;=100, 15, IF(F120&lt;=250, 20, IF(F120&lt;=500, 30, IF(F120&lt;=1000, 35, F120*0.035)))),
0)))</f>
        <v>0</v>
      </c>
      <c r="H120" s="163">
        <f>IF(I120="مخالفات",50,Basic[[#This Row],[قيمة الرسوم / العموله]]+Basic[[#This Row],[قيمة الشحنه]])</f>
        <v>0</v>
      </c>
      <c r="I120" s="90"/>
      <c r="J120" s="142" t="str">
        <f t="shared" si="1"/>
        <v>31.5.2026</v>
      </c>
      <c r="L120" s="153">
        <v>109</v>
      </c>
      <c r="M120" s="92"/>
    </row>
    <row r="121" spans="1:13" ht="21.6" x14ac:dyDescent="0.65">
      <c r="A121" s="195"/>
      <c r="B121" s="144">
        <v>118</v>
      </c>
      <c r="C121" s="2"/>
      <c r="D121" s="1"/>
      <c r="E121" s="3"/>
      <c r="F121" s="1"/>
      <c r="G121" s="141">
        <f>IF(Basic[[#This Row],[نوع الخدمة]]="مخالفات", 50,
IF(Basic[[#This Row],[نوع الخدمة]]="كاش ان",
    IF(F121&lt;=100, 18, IF(F121&lt;=250, 23, IF(F121&lt;=500, 35, IF(F121&lt;=1000, 40, F121*0.04)))),
IF(Basic[[#This Row],[نوع الخدمة]]="كاش اوت",
    IF(F121&lt;=100, 15, IF(F121&lt;=250, 20, IF(F121&lt;=500, 30, IF(F121&lt;=1000, 35, F121*0.035)))),
0)))</f>
        <v>0</v>
      </c>
      <c r="H121" s="163">
        <f>IF(I121="مخالفات",50,Basic[[#This Row],[قيمة الرسوم / العموله]]+Basic[[#This Row],[قيمة الشحنه]])</f>
        <v>0</v>
      </c>
      <c r="I121" s="90"/>
      <c r="J121" s="142" t="str">
        <f t="shared" si="1"/>
        <v>31.5.2026</v>
      </c>
      <c r="L121" s="153">
        <v>110</v>
      </c>
      <c r="M121" s="92"/>
    </row>
    <row r="122" spans="1:13" ht="21.6" x14ac:dyDescent="0.65">
      <c r="A122" s="195"/>
      <c r="B122" s="140">
        <v>119</v>
      </c>
      <c r="C122" s="2"/>
      <c r="D122" s="1"/>
      <c r="E122" s="3"/>
      <c r="F122" s="1"/>
      <c r="G122" s="141">
        <f>IF(Basic[[#This Row],[نوع الخدمة]]="مخالفات", 50,
IF(Basic[[#This Row],[نوع الخدمة]]="كاش ان",
    IF(F122&lt;=100, 18, IF(F122&lt;=250, 23, IF(F122&lt;=500, 35, IF(F122&lt;=1000, 40, F122*0.04)))),
IF(Basic[[#This Row],[نوع الخدمة]]="كاش اوت",
    IF(F122&lt;=100, 15, IF(F122&lt;=250, 20, IF(F122&lt;=500, 30, IF(F122&lt;=1000, 35, F122*0.035)))),
0)))</f>
        <v>0</v>
      </c>
      <c r="H122" s="163">
        <f>IF(I122="مخالفات",50,Basic[[#This Row],[قيمة الرسوم / العموله]]+Basic[[#This Row],[قيمة الشحنه]])</f>
        <v>0</v>
      </c>
      <c r="I122" s="90"/>
      <c r="J122" s="142" t="str">
        <f t="shared" si="1"/>
        <v>31.5.2026</v>
      </c>
      <c r="L122" s="153">
        <v>111</v>
      </c>
      <c r="M122" s="92"/>
    </row>
    <row r="123" spans="1:13" ht="21.6" x14ac:dyDescent="0.65">
      <c r="A123" s="195"/>
      <c r="B123" s="140">
        <v>120</v>
      </c>
      <c r="C123" s="2"/>
      <c r="D123" s="1"/>
      <c r="E123" s="3"/>
      <c r="F123" s="1"/>
      <c r="G123" s="141">
        <f>IF(Basic[[#This Row],[نوع الخدمة]]="مخالفات", 50,
IF(Basic[[#This Row],[نوع الخدمة]]="كاش ان",
    IF(F123&lt;=100, 18, IF(F123&lt;=250, 23, IF(F123&lt;=500, 35, IF(F123&lt;=1000, 40, F123*0.04)))),
IF(Basic[[#This Row],[نوع الخدمة]]="كاش اوت",
    IF(F123&lt;=100, 15, IF(F123&lt;=250, 20, IF(F123&lt;=500, 30, IF(F123&lt;=1000, 35, F123*0.035)))),
0)))</f>
        <v>0</v>
      </c>
      <c r="H123" s="163">
        <f>IF(I123="مخالفات",50,Basic[[#This Row],[قيمة الرسوم / العموله]]+Basic[[#This Row],[قيمة الشحنه]])</f>
        <v>0</v>
      </c>
      <c r="I123" s="90"/>
      <c r="J123" s="142" t="str">
        <f t="shared" si="1"/>
        <v>31.5.2026</v>
      </c>
      <c r="L123" s="153">
        <v>112</v>
      </c>
      <c r="M123" s="92"/>
    </row>
    <row r="124" spans="1:13" ht="21.6" x14ac:dyDescent="0.65">
      <c r="A124" s="195"/>
      <c r="B124" s="140">
        <v>121</v>
      </c>
      <c r="C124" s="2"/>
      <c r="D124" s="1"/>
      <c r="E124" s="3"/>
      <c r="F124" s="1"/>
      <c r="G124" s="141">
        <f>IF(Basic[[#This Row],[نوع الخدمة]]="مخالفات", 50,
IF(Basic[[#This Row],[نوع الخدمة]]="كاش ان",
    IF(F124&lt;=100, 18, IF(F124&lt;=250, 23, IF(F124&lt;=500, 35, IF(F124&lt;=1000, 40, F124*0.04)))),
IF(Basic[[#This Row],[نوع الخدمة]]="كاش اوت",
    IF(F124&lt;=100, 15, IF(F124&lt;=250, 20, IF(F124&lt;=500, 30, IF(F124&lt;=1000, 35, F124*0.035)))),
0)))</f>
        <v>0</v>
      </c>
      <c r="H124" s="163">
        <f>IF(I124="مخالفات",50,Basic[[#This Row],[قيمة الرسوم / العموله]]+Basic[[#This Row],[قيمة الشحنه]])</f>
        <v>0</v>
      </c>
      <c r="I124" s="90"/>
      <c r="J124" s="142" t="str">
        <f t="shared" si="1"/>
        <v>31.5.2026</v>
      </c>
      <c r="L124" s="153">
        <v>113</v>
      </c>
      <c r="M124" s="92"/>
    </row>
    <row r="125" spans="1:13" ht="21.6" x14ac:dyDescent="0.65">
      <c r="A125" s="195"/>
      <c r="B125" s="144">
        <v>122</v>
      </c>
      <c r="C125" s="2"/>
      <c r="D125" s="1"/>
      <c r="E125" s="3"/>
      <c r="F125" s="1"/>
      <c r="G125" s="141">
        <f>IF(Basic[[#This Row],[نوع الخدمة]]="مخالفات", 50,
IF(Basic[[#This Row],[نوع الخدمة]]="كاش ان",
    IF(F125&lt;=100, 18, IF(F125&lt;=250, 23, IF(F125&lt;=500, 35, IF(F125&lt;=1000, 40, F125*0.04)))),
IF(Basic[[#This Row],[نوع الخدمة]]="كاش اوت",
    IF(F125&lt;=100, 15, IF(F125&lt;=250, 20, IF(F125&lt;=500, 30, IF(F125&lt;=1000, 35, F125*0.035)))),
0)))</f>
        <v>0</v>
      </c>
      <c r="H125" s="163">
        <f>IF(I125="مخالفات",50,Basic[[#This Row],[قيمة الرسوم / العموله]]+Basic[[#This Row],[قيمة الشحنه]])</f>
        <v>0</v>
      </c>
      <c r="I125" s="90"/>
      <c r="J125" s="142" t="str">
        <f t="shared" si="1"/>
        <v>31.5.2026</v>
      </c>
      <c r="L125" s="153">
        <v>114</v>
      </c>
      <c r="M125" s="92"/>
    </row>
    <row r="126" spans="1:13" ht="21.6" x14ac:dyDescent="0.65">
      <c r="A126" s="195"/>
      <c r="B126" s="140">
        <v>123</v>
      </c>
      <c r="C126" s="2"/>
      <c r="D126" s="1"/>
      <c r="E126" s="3"/>
      <c r="F126" s="1"/>
      <c r="G126" s="141">
        <f>IF(Basic[[#This Row],[نوع الخدمة]]="مخالفات", 50,
IF(Basic[[#This Row],[نوع الخدمة]]="كاش ان",
    IF(F126&lt;=100, 18, IF(F126&lt;=250, 23, IF(F126&lt;=500, 35, IF(F126&lt;=1000, 40, F126*0.04)))),
IF(Basic[[#This Row],[نوع الخدمة]]="كاش اوت",
    IF(F126&lt;=100, 15, IF(F126&lt;=250, 20, IF(F126&lt;=500, 30, IF(F126&lt;=1000, 35, F126*0.035)))),
0)))</f>
        <v>0</v>
      </c>
      <c r="H126" s="163">
        <f>IF(I126="مخالفات",50,Basic[[#This Row],[قيمة الرسوم / العموله]]+Basic[[#This Row],[قيمة الشحنه]])</f>
        <v>0</v>
      </c>
      <c r="I126" s="90"/>
      <c r="J126" s="142" t="str">
        <f t="shared" si="1"/>
        <v>31.5.2026</v>
      </c>
      <c r="L126" s="153">
        <v>115</v>
      </c>
      <c r="M126" s="92"/>
    </row>
    <row r="127" spans="1:13" ht="21.6" x14ac:dyDescent="0.65">
      <c r="A127" s="195"/>
      <c r="B127" s="140">
        <v>124</v>
      </c>
      <c r="C127" s="2"/>
      <c r="D127" s="1"/>
      <c r="E127" s="3"/>
      <c r="F127" s="1"/>
      <c r="G127" s="141">
        <f>IF(Basic[[#This Row],[نوع الخدمة]]="مخالفات", 50,
IF(Basic[[#This Row],[نوع الخدمة]]="كاش ان",
    IF(F127&lt;=100, 18, IF(F127&lt;=250, 23, IF(F127&lt;=500, 35, IF(F127&lt;=1000, 40, F127*0.04)))),
IF(Basic[[#This Row],[نوع الخدمة]]="كاش اوت",
    IF(F127&lt;=100, 15, IF(F127&lt;=250, 20, IF(F127&lt;=500, 30, IF(F127&lt;=1000, 35, F127*0.035)))),
0)))</f>
        <v>0</v>
      </c>
      <c r="H127" s="163">
        <f>IF(I127="مخالفات",50,Basic[[#This Row],[قيمة الرسوم / العموله]]+Basic[[#This Row],[قيمة الشحنه]])</f>
        <v>0</v>
      </c>
      <c r="I127" s="90"/>
      <c r="J127" s="142" t="str">
        <f t="shared" si="1"/>
        <v>31.5.2026</v>
      </c>
      <c r="L127" s="153">
        <v>116</v>
      </c>
      <c r="M127" s="92"/>
    </row>
    <row r="128" spans="1:13" ht="21.6" x14ac:dyDescent="0.65">
      <c r="A128" s="195"/>
      <c r="B128" s="140">
        <v>125</v>
      </c>
      <c r="C128" s="2"/>
      <c r="D128" s="1"/>
      <c r="E128" s="3"/>
      <c r="F128" s="1"/>
      <c r="G128" s="141">
        <f>IF(Basic[[#This Row],[نوع الخدمة]]="مخالفات", 50,
IF(Basic[[#This Row],[نوع الخدمة]]="كاش ان",
    IF(F128&lt;=100, 18, IF(F128&lt;=250, 23, IF(F128&lt;=500, 35, IF(F128&lt;=1000, 40, F128*0.04)))),
IF(Basic[[#This Row],[نوع الخدمة]]="كاش اوت",
    IF(F128&lt;=100, 15, IF(F128&lt;=250, 20, IF(F128&lt;=500, 30, IF(F128&lt;=1000, 35, F128*0.035)))),
0)))</f>
        <v>0</v>
      </c>
      <c r="H128" s="163">
        <f>IF(I128="مخالفات",50,Basic[[#This Row],[قيمة الرسوم / العموله]]+Basic[[#This Row],[قيمة الشحنه]])</f>
        <v>0</v>
      </c>
      <c r="I128" s="90"/>
      <c r="J128" s="142" t="str">
        <f t="shared" si="1"/>
        <v>31.5.2026</v>
      </c>
      <c r="L128" s="153">
        <v>117</v>
      </c>
      <c r="M128" s="92"/>
    </row>
    <row r="129" spans="1:13" ht="21.6" x14ac:dyDescent="0.65">
      <c r="A129" s="195"/>
      <c r="B129" s="144">
        <v>126</v>
      </c>
      <c r="C129" s="2"/>
      <c r="D129" s="1"/>
      <c r="E129" s="3"/>
      <c r="F129" s="1"/>
      <c r="G129" s="141">
        <f>IF(Basic[[#This Row],[نوع الخدمة]]="مخالفات", 50,
IF(Basic[[#This Row],[نوع الخدمة]]="كاش ان",
    IF(F129&lt;=100, 18, IF(F129&lt;=250, 23, IF(F129&lt;=500, 35, IF(F129&lt;=1000, 40, F129*0.04)))),
IF(Basic[[#This Row],[نوع الخدمة]]="كاش اوت",
    IF(F129&lt;=100, 15, IF(F129&lt;=250, 20, IF(F129&lt;=500, 30, IF(F129&lt;=1000, 35, F129*0.035)))),
0)))</f>
        <v>0</v>
      </c>
      <c r="H129" s="163">
        <f>IF(I129="مخالفات",50,Basic[[#This Row],[قيمة الرسوم / العموله]]+Basic[[#This Row],[قيمة الشحنه]])</f>
        <v>0</v>
      </c>
      <c r="I129" s="90"/>
      <c r="J129" s="142" t="str">
        <f t="shared" si="1"/>
        <v>31.5.2026</v>
      </c>
      <c r="L129" s="153">
        <v>118</v>
      </c>
      <c r="M129" s="92"/>
    </row>
    <row r="130" spans="1:13" ht="21.6" x14ac:dyDescent="0.65">
      <c r="A130" s="195"/>
      <c r="B130" s="140">
        <v>127</v>
      </c>
      <c r="C130" s="2"/>
      <c r="D130" s="1"/>
      <c r="E130" s="3"/>
      <c r="F130" s="1"/>
      <c r="G130" s="141">
        <f>IF(Basic[[#This Row],[نوع الخدمة]]="مخالفات", 50,
IF(Basic[[#This Row],[نوع الخدمة]]="كاش ان",
    IF(F130&lt;=100, 18, IF(F130&lt;=250, 23, IF(F130&lt;=500, 35, IF(F130&lt;=1000, 40, F130*0.04)))),
IF(Basic[[#This Row],[نوع الخدمة]]="كاش اوت",
    IF(F130&lt;=100, 15, IF(F130&lt;=250, 20, IF(F130&lt;=500, 30, IF(F130&lt;=1000, 35, F130*0.035)))),
0)))</f>
        <v>0</v>
      </c>
      <c r="H130" s="163">
        <f>IF(I130="مخالفات",50,Basic[[#This Row],[قيمة الرسوم / العموله]]+Basic[[#This Row],[قيمة الشحنه]])</f>
        <v>0</v>
      </c>
      <c r="I130" s="90"/>
      <c r="J130" s="142" t="str">
        <f t="shared" si="1"/>
        <v>31.5.2026</v>
      </c>
      <c r="L130" s="153">
        <v>119</v>
      </c>
      <c r="M130" s="92"/>
    </row>
    <row r="131" spans="1:13" ht="21.6" x14ac:dyDescent="0.65">
      <c r="A131" s="195"/>
      <c r="B131" s="140">
        <v>128</v>
      </c>
      <c r="C131" s="2"/>
      <c r="D131" s="1"/>
      <c r="E131" s="3"/>
      <c r="F131" s="1"/>
      <c r="G131" s="141">
        <f>IF(Basic[[#This Row],[نوع الخدمة]]="مخالفات", 50,
IF(Basic[[#This Row],[نوع الخدمة]]="كاش ان",
    IF(F131&lt;=100, 18, IF(F131&lt;=250, 23, IF(F131&lt;=500, 35, IF(F131&lt;=1000, 40, F131*0.04)))),
IF(Basic[[#This Row],[نوع الخدمة]]="كاش اوت",
    IF(F131&lt;=100, 15, IF(F131&lt;=250, 20, IF(F131&lt;=500, 30, IF(F131&lt;=1000, 35, F131*0.035)))),
0)))</f>
        <v>0</v>
      </c>
      <c r="H131" s="163">
        <f>IF(I131="مخالفات",50,Basic[[#This Row],[قيمة الرسوم / العموله]]+Basic[[#This Row],[قيمة الشحنه]])</f>
        <v>0</v>
      </c>
      <c r="I131" s="90"/>
      <c r="J131" s="142" t="str">
        <f t="shared" si="1"/>
        <v>31.5.2026</v>
      </c>
      <c r="L131" s="153">
        <v>120</v>
      </c>
      <c r="M131" s="92"/>
    </row>
    <row r="132" spans="1:13" ht="21.6" x14ac:dyDescent="0.65">
      <c r="A132" s="195"/>
      <c r="B132" s="140">
        <v>129</v>
      </c>
      <c r="C132" s="2"/>
      <c r="D132" s="1"/>
      <c r="E132" s="3"/>
      <c r="F132" s="1"/>
      <c r="G132" s="141">
        <f>IF(Basic[[#This Row],[نوع الخدمة]]="مخالفات", 50,
IF(Basic[[#This Row],[نوع الخدمة]]="كاش ان",
    IF(F132&lt;=100, 18, IF(F132&lt;=250, 23, IF(F132&lt;=500, 35, IF(F132&lt;=1000, 40, F132*0.04)))),
IF(Basic[[#This Row],[نوع الخدمة]]="كاش اوت",
    IF(F132&lt;=100, 15, IF(F132&lt;=250, 20, IF(F132&lt;=500, 30, IF(F132&lt;=1000, 35, F132*0.035)))),
0)))</f>
        <v>0</v>
      </c>
      <c r="H132" s="163">
        <f>IF(I132="مخالفات",50,Basic[[#This Row],[قيمة الرسوم / العموله]]+Basic[[#This Row],[قيمة الشحنه]])</f>
        <v>0</v>
      </c>
      <c r="I132" s="90"/>
      <c r="J132" s="142" t="str">
        <f t="shared" ref="J132:J195" si="2">M$3</f>
        <v>31.5.2026</v>
      </c>
      <c r="L132" s="153">
        <v>121</v>
      </c>
      <c r="M132" s="92"/>
    </row>
    <row r="133" spans="1:13" ht="21.6" x14ac:dyDescent="0.65">
      <c r="A133" s="195"/>
      <c r="B133" s="144">
        <v>130</v>
      </c>
      <c r="C133" s="2"/>
      <c r="D133" s="1"/>
      <c r="E133" s="3"/>
      <c r="F133" s="1"/>
      <c r="G133" s="141">
        <f>IF(Basic[[#This Row],[نوع الخدمة]]="مخالفات", 50,
IF(Basic[[#This Row],[نوع الخدمة]]="كاش ان",
    IF(F133&lt;=100, 18, IF(F133&lt;=250, 23, IF(F133&lt;=500, 35, IF(F133&lt;=1000, 40, F133*0.04)))),
IF(Basic[[#This Row],[نوع الخدمة]]="كاش اوت",
    IF(F133&lt;=100, 15, IF(F133&lt;=250, 20, IF(F133&lt;=500, 30, IF(F133&lt;=1000, 35, F133*0.035)))),
0)))</f>
        <v>0</v>
      </c>
      <c r="H133" s="163">
        <f>IF(I133="مخالفات",50,Basic[[#This Row],[قيمة الرسوم / العموله]]+Basic[[#This Row],[قيمة الشحنه]])</f>
        <v>0</v>
      </c>
      <c r="I133" s="90"/>
      <c r="J133" s="142" t="str">
        <f t="shared" si="2"/>
        <v>31.5.2026</v>
      </c>
      <c r="L133" s="153">
        <v>122</v>
      </c>
      <c r="M133" s="92"/>
    </row>
    <row r="134" spans="1:13" ht="21.6" x14ac:dyDescent="0.65">
      <c r="A134" s="195"/>
      <c r="B134" s="140">
        <v>131</v>
      </c>
      <c r="C134" s="2"/>
      <c r="D134" s="1"/>
      <c r="E134" s="3"/>
      <c r="F134" s="1"/>
      <c r="G134" s="141">
        <f>IF(Basic[[#This Row],[نوع الخدمة]]="مخالفات", 50,
IF(Basic[[#This Row],[نوع الخدمة]]="كاش ان",
    IF(F134&lt;=100, 18, IF(F134&lt;=250, 23, IF(F134&lt;=500, 35, IF(F134&lt;=1000, 40, F134*0.04)))),
IF(Basic[[#This Row],[نوع الخدمة]]="كاش اوت",
    IF(F134&lt;=100, 15, IF(F134&lt;=250, 20, IF(F134&lt;=500, 30, IF(F134&lt;=1000, 35, F134*0.035)))),
0)))</f>
        <v>0</v>
      </c>
      <c r="H134" s="163">
        <f>IF(I134="مخالفات",50,Basic[[#This Row],[قيمة الرسوم / العموله]]+Basic[[#This Row],[قيمة الشحنه]])</f>
        <v>0</v>
      </c>
      <c r="I134" s="90"/>
      <c r="J134" s="142" t="str">
        <f t="shared" si="2"/>
        <v>31.5.2026</v>
      </c>
      <c r="L134" s="153">
        <v>123</v>
      </c>
      <c r="M134" s="92"/>
    </row>
    <row r="135" spans="1:13" ht="21.6" x14ac:dyDescent="0.65">
      <c r="A135" s="195"/>
      <c r="B135" s="140">
        <v>132</v>
      </c>
      <c r="C135" s="2"/>
      <c r="D135" s="1"/>
      <c r="E135" s="3"/>
      <c r="F135" s="1"/>
      <c r="G135" s="141">
        <f>IF(Basic[[#This Row],[نوع الخدمة]]="مخالفات", 50,
IF(Basic[[#This Row],[نوع الخدمة]]="كاش ان",
    IF(F135&lt;=100, 18, IF(F135&lt;=250, 23, IF(F135&lt;=500, 35, IF(F135&lt;=1000, 40, F135*0.04)))),
IF(Basic[[#This Row],[نوع الخدمة]]="كاش اوت",
    IF(F135&lt;=100, 15, IF(F135&lt;=250, 20, IF(F135&lt;=500, 30, IF(F135&lt;=1000, 35, F135*0.035)))),
0)))</f>
        <v>0</v>
      </c>
      <c r="H135" s="163">
        <f>IF(I135="مخالفات",50,Basic[[#This Row],[قيمة الرسوم / العموله]]+Basic[[#This Row],[قيمة الشحنه]])</f>
        <v>0</v>
      </c>
      <c r="I135" s="90"/>
      <c r="J135" s="142" t="str">
        <f t="shared" si="2"/>
        <v>31.5.2026</v>
      </c>
      <c r="L135" s="153">
        <v>124</v>
      </c>
      <c r="M135" s="92"/>
    </row>
    <row r="136" spans="1:13" ht="21.6" x14ac:dyDescent="0.65">
      <c r="A136" s="195"/>
      <c r="B136" s="140">
        <v>133</v>
      </c>
      <c r="C136" s="2"/>
      <c r="D136" s="1"/>
      <c r="E136" s="3"/>
      <c r="F136" s="1"/>
      <c r="G136" s="141">
        <f>IF(Basic[[#This Row],[نوع الخدمة]]="مخالفات", 50,
IF(Basic[[#This Row],[نوع الخدمة]]="كاش ان",
    IF(F136&lt;=100, 18, IF(F136&lt;=250, 23, IF(F136&lt;=500, 35, IF(F136&lt;=1000, 40, F136*0.04)))),
IF(Basic[[#This Row],[نوع الخدمة]]="كاش اوت",
    IF(F136&lt;=100, 15, IF(F136&lt;=250, 20, IF(F136&lt;=500, 30, IF(F136&lt;=1000, 35, F136*0.035)))),
0)))</f>
        <v>0</v>
      </c>
      <c r="H136" s="163">
        <f>IF(I136="مخالفات",50,Basic[[#This Row],[قيمة الرسوم / العموله]]+Basic[[#This Row],[قيمة الشحنه]])</f>
        <v>0</v>
      </c>
      <c r="I136" s="90"/>
      <c r="J136" s="142" t="str">
        <f t="shared" si="2"/>
        <v>31.5.2026</v>
      </c>
      <c r="L136" s="153">
        <v>125</v>
      </c>
      <c r="M136" s="92"/>
    </row>
    <row r="137" spans="1:13" ht="21.6" x14ac:dyDescent="0.65">
      <c r="A137" s="195"/>
      <c r="B137" s="144">
        <v>134</v>
      </c>
      <c r="C137" s="2"/>
      <c r="D137" s="1"/>
      <c r="E137" s="3"/>
      <c r="F137" s="1"/>
      <c r="G137" s="141">
        <f>IF(Basic[[#This Row],[نوع الخدمة]]="مخالفات", 50,
IF(Basic[[#This Row],[نوع الخدمة]]="كاش ان",
    IF(F137&lt;=100, 18, IF(F137&lt;=250, 23, IF(F137&lt;=500, 35, IF(F137&lt;=1000, 40, F137*0.04)))),
IF(Basic[[#This Row],[نوع الخدمة]]="كاش اوت",
    IF(F137&lt;=100, 15, IF(F137&lt;=250, 20, IF(F137&lt;=500, 30, IF(F137&lt;=1000, 35, F137*0.035)))),
0)))</f>
        <v>0</v>
      </c>
      <c r="H137" s="163">
        <f>IF(I137="مخالفات",50,Basic[[#This Row],[قيمة الرسوم / العموله]]+Basic[[#This Row],[قيمة الشحنه]])</f>
        <v>0</v>
      </c>
      <c r="I137" s="90"/>
      <c r="J137" s="142" t="str">
        <f t="shared" si="2"/>
        <v>31.5.2026</v>
      </c>
      <c r="L137" s="153">
        <v>126</v>
      </c>
      <c r="M137" s="92"/>
    </row>
    <row r="138" spans="1:13" ht="21.6" x14ac:dyDescent="0.65">
      <c r="A138" s="195"/>
      <c r="B138" s="140">
        <v>135</v>
      </c>
      <c r="C138" s="2"/>
      <c r="D138" s="1"/>
      <c r="E138" s="3"/>
      <c r="F138" s="1"/>
      <c r="G138" s="141">
        <f>IF(Basic[[#This Row],[نوع الخدمة]]="مخالفات", 50,
IF(Basic[[#This Row],[نوع الخدمة]]="كاش ان",
    IF(F138&lt;=100, 18, IF(F138&lt;=250, 23, IF(F138&lt;=500, 35, IF(F138&lt;=1000, 40, F138*0.04)))),
IF(Basic[[#This Row],[نوع الخدمة]]="كاش اوت",
    IF(F138&lt;=100, 15, IF(F138&lt;=250, 20, IF(F138&lt;=500, 30, IF(F138&lt;=1000, 35, F138*0.035)))),
0)))</f>
        <v>0</v>
      </c>
      <c r="H138" s="163">
        <f>IF(I138="مخالفات",50,Basic[[#This Row],[قيمة الرسوم / العموله]]+Basic[[#This Row],[قيمة الشحنه]])</f>
        <v>0</v>
      </c>
      <c r="I138" s="90"/>
      <c r="J138" s="142" t="str">
        <f t="shared" si="2"/>
        <v>31.5.2026</v>
      </c>
      <c r="L138" s="153">
        <v>127</v>
      </c>
      <c r="M138" s="92"/>
    </row>
    <row r="139" spans="1:13" ht="21.6" x14ac:dyDescent="0.65">
      <c r="A139" s="195"/>
      <c r="B139" s="140">
        <v>136</v>
      </c>
      <c r="C139" s="2"/>
      <c r="D139" s="1"/>
      <c r="E139" s="3"/>
      <c r="F139" s="1"/>
      <c r="G139" s="141">
        <f>IF(Basic[[#This Row],[نوع الخدمة]]="مخالفات", 50,
IF(Basic[[#This Row],[نوع الخدمة]]="كاش ان",
    IF(F139&lt;=100, 18, IF(F139&lt;=250, 23, IF(F139&lt;=500, 35, IF(F139&lt;=1000, 40, F139*0.04)))),
IF(Basic[[#This Row],[نوع الخدمة]]="كاش اوت",
    IF(F139&lt;=100, 15, IF(F139&lt;=250, 20, IF(F139&lt;=500, 30, IF(F139&lt;=1000, 35, F139*0.035)))),
0)))</f>
        <v>0</v>
      </c>
      <c r="H139" s="163">
        <f>IF(I139="مخالفات",50,Basic[[#This Row],[قيمة الرسوم / العموله]]+Basic[[#This Row],[قيمة الشحنه]])</f>
        <v>0</v>
      </c>
      <c r="I139" s="90"/>
      <c r="J139" s="142" t="str">
        <f t="shared" si="2"/>
        <v>31.5.2026</v>
      </c>
      <c r="L139" s="153">
        <v>128</v>
      </c>
      <c r="M139" s="92"/>
    </row>
    <row r="140" spans="1:13" ht="21.6" x14ac:dyDescent="0.65">
      <c r="A140" s="195"/>
      <c r="B140" s="140">
        <v>137</v>
      </c>
      <c r="C140" s="2"/>
      <c r="D140" s="1"/>
      <c r="E140" s="3"/>
      <c r="F140" s="1"/>
      <c r="G140" s="141">
        <f>IF(Basic[[#This Row],[نوع الخدمة]]="مخالفات", 50,
IF(Basic[[#This Row],[نوع الخدمة]]="كاش ان",
    IF(F140&lt;=100, 18, IF(F140&lt;=250, 23, IF(F140&lt;=500, 35, IF(F140&lt;=1000, 40, F140*0.04)))),
IF(Basic[[#This Row],[نوع الخدمة]]="كاش اوت",
    IF(F140&lt;=100, 15, IF(F140&lt;=250, 20, IF(F140&lt;=500, 30, IF(F140&lt;=1000, 35, F140*0.035)))),
0)))</f>
        <v>0</v>
      </c>
      <c r="H140" s="163">
        <f>IF(I140="مخالفات",50,Basic[[#This Row],[قيمة الرسوم / العموله]]+Basic[[#This Row],[قيمة الشحنه]])</f>
        <v>0</v>
      </c>
      <c r="I140" s="90"/>
      <c r="J140" s="142" t="str">
        <f t="shared" si="2"/>
        <v>31.5.2026</v>
      </c>
      <c r="L140" s="153">
        <v>129</v>
      </c>
      <c r="M140" s="92"/>
    </row>
    <row r="141" spans="1:13" ht="21.6" x14ac:dyDescent="0.65">
      <c r="A141" s="195"/>
      <c r="B141" s="144">
        <v>138</v>
      </c>
      <c r="C141" s="2"/>
      <c r="D141" s="1"/>
      <c r="E141" s="3"/>
      <c r="F141" s="1"/>
      <c r="G141" s="141">
        <f>IF(Basic[[#This Row],[نوع الخدمة]]="مخالفات", 50,
IF(Basic[[#This Row],[نوع الخدمة]]="كاش ان",
    IF(F141&lt;=100, 18, IF(F141&lt;=250, 23, IF(F141&lt;=500, 35, IF(F141&lt;=1000, 40, F141*0.04)))),
IF(Basic[[#This Row],[نوع الخدمة]]="كاش اوت",
    IF(F141&lt;=100, 15, IF(F141&lt;=250, 20, IF(F141&lt;=500, 30, IF(F141&lt;=1000, 35, F141*0.035)))),
0)))</f>
        <v>0</v>
      </c>
      <c r="H141" s="163">
        <f>IF(I141="مخالفات",50,Basic[[#This Row],[قيمة الرسوم / العموله]]+Basic[[#This Row],[قيمة الشحنه]])</f>
        <v>0</v>
      </c>
      <c r="I141" s="90"/>
      <c r="J141" s="142" t="str">
        <f t="shared" si="2"/>
        <v>31.5.2026</v>
      </c>
      <c r="L141" s="153">
        <v>130</v>
      </c>
      <c r="M141" s="92"/>
    </row>
    <row r="142" spans="1:13" ht="21.6" x14ac:dyDescent="0.65">
      <c r="A142" s="195"/>
      <c r="B142" s="140">
        <v>139</v>
      </c>
      <c r="C142" s="2"/>
      <c r="D142" s="1"/>
      <c r="E142" s="3"/>
      <c r="F142" s="1"/>
      <c r="G142" s="141">
        <f>IF(Basic[[#This Row],[نوع الخدمة]]="مخالفات", 50,
IF(Basic[[#This Row],[نوع الخدمة]]="كاش ان",
    IF(F142&lt;=100, 18, IF(F142&lt;=250, 23, IF(F142&lt;=500, 35, IF(F142&lt;=1000, 40, F142*0.04)))),
IF(Basic[[#This Row],[نوع الخدمة]]="كاش اوت",
    IF(F142&lt;=100, 15, IF(F142&lt;=250, 20, IF(F142&lt;=500, 30, IF(F142&lt;=1000, 35, F142*0.035)))),
0)))</f>
        <v>0</v>
      </c>
      <c r="H142" s="163">
        <f>IF(I142="مخالفات",50,Basic[[#This Row],[قيمة الرسوم / العموله]]+Basic[[#This Row],[قيمة الشحنه]])</f>
        <v>0</v>
      </c>
      <c r="I142" s="90"/>
      <c r="J142" s="142" t="str">
        <f t="shared" si="2"/>
        <v>31.5.2026</v>
      </c>
      <c r="L142" s="153">
        <v>131</v>
      </c>
      <c r="M142" s="92"/>
    </row>
    <row r="143" spans="1:13" ht="21.6" x14ac:dyDescent="0.65">
      <c r="A143" s="195"/>
      <c r="B143" s="140">
        <v>140</v>
      </c>
      <c r="C143" s="2"/>
      <c r="D143" s="1"/>
      <c r="E143" s="3"/>
      <c r="F143" s="1"/>
      <c r="G143" s="141">
        <f>IF(Basic[[#This Row],[نوع الخدمة]]="مخالفات", 50,
IF(Basic[[#This Row],[نوع الخدمة]]="كاش ان",
    IF(F143&lt;=100, 18, IF(F143&lt;=250, 23, IF(F143&lt;=500, 35, IF(F143&lt;=1000, 40, F143*0.04)))),
IF(Basic[[#This Row],[نوع الخدمة]]="كاش اوت",
    IF(F143&lt;=100, 15, IF(F143&lt;=250, 20, IF(F143&lt;=500, 30, IF(F143&lt;=1000, 35, F143*0.035)))),
0)))</f>
        <v>0</v>
      </c>
      <c r="H143" s="163">
        <f>IF(I143="مخالفات",50,Basic[[#This Row],[قيمة الرسوم / العموله]]+Basic[[#This Row],[قيمة الشحنه]])</f>
        <v>0</v>
      </c>
      <c r="I143" s="90"/>
      <c r="J143" s="142" t="str">
        <f t="shared" si="2"/>
        <v>31.5.2026</v>
      </c>
      <c r="L143" s="153">
        <v>132</v>
      </c>
      <c r="M143" s="92"/>
    </row>
    <row r="144" spans="1:13" ht="21.6" x14ac:dyDescent="0.65">
      <c r="A144" s="195"/>
      <c r="B144" s="140">
        <v>141</v>
      </c>
      <c r="C144" s="2"/>
      <c r="D144" s="1"/>
      <c r="E144" s="3"/>
      <c r="F144" s="1"/>
      <c r="G144" s="141">
        <f>IF(Basic[[#This Row],[نوع الخدمة]]="مخالفات", 50,
IF(Basic[[#This Row],[نوع الخدمة]]="كاش ان",
    IF(F144&lt;=100, 18, IF(F144&lt;=250, 23, IF(F144&lt;=500, 35, IF(F144&lt;=1000, 40, F144*0.04)))),
IF(Basic[[#This Row],[نوع الخدمة]]="كاش اوت",
    IF(F144&lt;=100, 15, IF(F144&lt;=250, 20, IF(F144&lt;=500, 30, IF(F144&lt;=1000, 35, F144*0.035)))),
0)))</f>
        <v>0</v>
      </c>
      <c r="H144" s="163">
        <f>IF(I144="مخالفات",50,Basic[[#This Row],[قيمة الرسوم / العموله]]+Basic[[#This Row],[قيمة الشحنه]])</f>
        <v>0</v>
      </c>
      <c r="I144" s="90"/>
      <c r="J144" s="142" t="str">
        <f t="shared" si="2"/>
        <v>31.5.2026</v>
      </c>
      <c r="L144" s="153">
        <v>133</v>
      </c>
      <c r="M144" s="92"/>
    </row>
    <row r="145" spans="1:13" ht="21.6" x14ac:dyDescent="0.65">
      <c r="A145" s="195"/>
      <c r="B145" s="144">
        <v>142</v>
      </c>
      <c r="C145" s="2"/>
      <c r="D145" s="1"/>
      <c r="E145" s="3"/>
      <c r="F145" s="1"/>
      <c r="G145" s="141">
        <f>IF(Basic[[#This Row],[نوع الخدمة]]="مخالفات", 50,
IF(Basic[[#This Row],[نوع الخدمة]]="كاش ان",
    IF(F145&lt;=100, 18, IF(F145&lt;=250, 23, IF(F145&lt;=500, 35, IF(F145&lt;=1000, 40, F145*0.04)))),
IF(Basic[[#This Row],[نوع الخدمة]]="كاش اوت",
    IF(F145&lt;=100, 15, IF(F145&lt;=250, 20, IF(F145&lt;=500, 30, IF(F145&lt;=1000, 35, F145*0.035)))),
0)))</f>
        <v>0</v>
      </c>
      <c r="H145" s="163">
        <f>IF(I145="مخالفات",50,Basic[[#This Row],[قيمة الرسوم / العموله]]+Basic[[#This Row],[قيمة الشحنه]])</f>
        <v>0</v>
      </c>
      <c r="I145" s="90"/>
      <c r="J145" s="142" t="str">
        <f t="shared" si="2"/>
        <v>31.5.2026</v>
      </c>
      <c r="L145" s="153">
        <v>134</v>
      </c>
      <c r="M145" s="92"/>
    </row>
    <row r="146" spans="1:13" ht="21.6" x14ac:dyDescent="0.65">
      <c r="A146" s="195"/>
      <c r="B146" s="140">
        <v>143</v>
      </c>
      <c r="C146" s="2"/>
      <c r="D146" s="1"/>
      <c r="E146" s="3"/>
      <c r="F146" s="1"/>
      <c r="G146" s="141">
        <f>IF(Basic[[#This Row],[نوع الخدمة]]="مخالفات", 50,
IF(Basic[[#This Row],[نوع الخدمة]]="كاش ان",
    IF(F146&lt;=100, 18, IF(F146&lt;=250, 23, IF(F146&lt;=500, 35, IF(F146&lt;=1000, 40, F146*0.04)))),
IF(Basic[[#This Row],[نوع الخدمة]]="كاش اوت",
    IF(F146&lt;=100, 15, IF(F146&lt;=250, 20, IF(F146&lt;=500, 30, IF(F146&lt;=1000, 35, F146*0.035)))),
0)))</f>
        <v>0</v>
      </c>
      <c r="H146" s="163">
        <f>IF(I146="مخالفات",50,Basic[[#This Row],[قيمة الرسوم / العموله]]+Basic[[#This Row],[قيمة الشحنه]])</f>
        <v>0</v>
      </c>
      <c r="I146" s="90"/>
      <c r="J146" s="142" t="str">
        <f t="shared" si="2"/>
        <v>31.5.2026</v>
      </c>
      <c r="L146" s="153">
        <v>135</v>
      </c>
      <c r="M146" s="92"/>
    </row>
    <row r="147" spans="1:13" ht="21.6" x14ac:dyDescent="0.65">
      <c r="A147" s="195"/>
      <c r="B147" s="140">
        <v>144</v>
      </c>
      <c r="C147" s="2"/>
      <c r="D147" s="1"/>
      <c r="E147" s="3"/>
      <c r="F147" s="1"/>
      <c r="G147" s="141">
        <f>IF(Basic[[#This Row],[نوع الخدمة]]="مخالفات", 50,
IF(Basic[[#This Row],[نوع الخدمة]]="كاش ان",
    IF(F147&lt;=100, 18, IF(F147&lt;=250, 23, IF(F147&lt;=500, 35, IF(F147&lt;=1000, 40, F147*0.04)))),
IF(Basic[[#This Row],[نوع الخدمة]]="كاش اوت",
    IF(F147&lt;=100, 15, IF(F147&lt;=250, 20, IF(F147&lt;=500, 30, IF(F147&lt;=1000, 35, F147*0.035)))),
0)))</f>
        <v>0</v>
      </c>
      <c r="H147" s="163">
        <f>IF(I147="مخالفات",50,Basic[[#This Row],[قيمة الرسوم / العموله]]+Basic[[#This Row],[قيمة الشحنه]])</f>
        <v>0</v>
      </c>
      <c r="I147" s="90"/>
      <c r="J147" s="142" t="str">
        <f t="shared" si="2"/>
        <v>31.5.2026</v>
      </c>
      <c r="L147" s="153">
        <v>136</v>
      </c>
      <c r="M147" s="92"/>
    </row>
    <row r="148" spans="1:13" ht="21.6" x14ac:dyDescent="0.65">
      <c r="A148" s="195"/>
      <c r="B148" s="140">
        <v>145</v>
      </c>
      <c r="C148" s="2"/>
      <c r="D148" s="1"/>
      <c r="E148" s="3"/>
      <c r="F148" s="1"/>
      <c r="G148" s="141">
        <f>IF(Basic[[#This Row],[نوع الخدمة]]="مخالفات", 50,
IF(Basic[[#This Row],[نوع الخدمة]]="كاش ان",
    IF(F148&lt;=100, 18, IF(F148&lt;=250, 23, IF(F148&lt;=500, 35, IF(F148&lt;=1000, 40, F148*0.04)))),
IF(Basic[[#This Row],[نوع الخدمة]]="كاش اوت",
    IF(F148&lt;=100, 15, IF(F148&lt;=250, 20, IF(F148&lt;=500, 30, IF(F148&lt;=1000, 35, F148*0.035)))),
0)))</f>
        <v>0</v>
      </c>
      <c r="H148" s="163">
        <f>IF(I148="مخالفات",50,Basic[[#This Row],[قيمة الرسوم / العموله]]+Basic[[#This Row],[قيمة الشحنه]])</f>
        <v>0</v>
      </c>
      <c r="I148" s="90"/>
      <c r="J148" s="142" t="str">
        <f t="shared" si="2"/>
        <v>31.5.2026</v>
      </c>
      <c r="L148" s="153">
        <v>137</v>
      </c>
      <c r="M148" s="92"/>
    </row>
    <row r="149" spans="1:13" ht="21.6" x14ac:dyDescent="0.65">
      <c r="A149" s="195"/>
      <c r="B149" s="144">
        <v>146</v>
      </c>
      <c r="C149" s="2"/>
      <c r="D149" s="1"/>
      <c r="E149" s="3"/>
      <c r="F149" s="1"/>
      <c r="G149" s="141">
        <f>IF(Basic[[#This Row],[نوع الخدمة]]="مخالفات", 50,
IF(Basic[[#This Row],[نوع الخدمة]]="كاش ان",
    IF(F149&lt;=100, 18, IF(F149&lt;=250, 23, IF(F149&lt;=500, 35, IF(F149&lt;=1000, 40, F149*0.04)))),
IF(Basic[[#This Row],[نوع الخدمة]]="كاش اوت",
    IF(F149&lt;=100, 15, IF(F149&lt;=250, 20, IF(F149&lt;=500, 30, IF(F149&lt;=1000, 35, F149*0.035)))),
0)))</f>
        <v>0</v>
      </c>
      <c r="H149" s="163">
        <f>IF(I149="مخالفات",50,Basic[[#This Row],[قيمة الرسوم / العموله]]+Basic[[#This Row],[قيمة الشحنه]])</f>
        <v>0</v>
      </c>
      <c r="I149" s="90"/>
      <c r="J149" s="142" t="str">
        <f t="shared" si="2"/>
        <v>31.5.2026</v>
      </c>
      <c r="L149" s="153">
        <v>138</v>
      </c>
      <c r="M149" s="92"/>
    </row>
    <row r="150" spans="1:13" ht="21.6" x14ac:dyDescent="0.65">
      <c r="A150" s="195"/>
      <c r="B150" s="140">
        <v>147</v>
      </c>
      <c r="C150" s="2"/>
      <c r="D150" s="1"/>
      <c r="E150" s="3"/>
      <c r="F150" s="1"/>
      <c r="G150" s="141">
        <f>IF(Basic[[#This Row],[نوع الخدمة]]="مخالفات", 50,
IF(Basic[[#This Row],[نوع الخدمة]]="كاش ان",
    IF(F150&lt;=100, 18, IF(F150&lt;=250, 23, IF(F150&lt;=500, 35, IF(F150&lt;=1000, 40, F150*0.04)))),
IF(Basic[[#This Row],[نوع الخدمة]]="كاش اوت",
    IF(F150&lt;=100, 15, IF(F150&lt;=250, 20, IF(F150&lt;=500, 30, IF(F150&lt;=1000, 35, F150*0.035)))),
0)))</f>
        <v>0</v>
      </c>
      <c r="H150" s="163">
        <f>IF(I150="مخالفات",50,Basic[[#This Row],[قيمة الرسوم / العموله]]+Basic[[#This Row],[قيمة الشحنه]])</f>
        <v>0</v>
      </c>
      <c r="I150" s="90"/>
      <c r="J150" s="142" t="str">
        <f t="shared" si="2"/>
        <v>31.5.2026</v>
      </c>
      <c r="L150" s="153">
        <v>139</v>
      </c>
      <c r="M150" s="92"/>
    </row>
    <row r="151" spans="1:13" ht="21.6" x14ac:dyDescent="0.65">
      <c r="A151" s="195"/>
      <c r="B151" s="140">
        <v>148</v>
      </c>
      <c r="C151" s="2"/>
      <c r="D151" s="1"/>
      <c r="E151" s="3"/>
      <c r="F151" s="1"/>
      <c r="G151" s="141">
        <f>IF(Basic[[#This Row],[نوع الخدمة]]="مخالفات", 50,
IF(Basic[[#This Row],[نوع الخدمة]]="كاش ان",
    IF(F151&lt;=100, 18, IF(F151&lt;=250, 23, IF(F151&lt;=500, 35, IF(F151&lt;=1000, 40, F151*0.04)))),
IF(Basic[[#This Row],[نوع الخدمة]]="كاش اوت",
    IF(F151&lt;=100, 15, IF(F151&lt;=250, 20, IF(F151&lt;=500, 30, IF(F151&lt;=1000, 35, F151*0.035)))),
0)))</f>
        <v>0</v>
      </c>
      <c r="H151" s="163">
        <f>IF(I151="مخالفات",50,Basic[[#This Row],[قيمة الرسوم / العموله]]+Basic[[#This Row],[قيمة الشحنه]])</f>
        <v>0</v>
      </c>
      <c r="I151" s="90"/>
      <c r="J151" s="142" t="str">
        <f t="shared" si="2"/>
        <v>31.5.2026</v>
      </c>
      <c r="L151" s="153">
        <v>140</v>
      </c>
      <c r="M151" s="92"/>
    </row>
    <row r="152" spans="1:13" ht="21.6" x14ac:dyDescent="0.65">
      <c r="A152" s="195"/>
      <c r="B152" s="140">
        <v>149</v>
      </c>
      <c r="C152" s="2"/>
      <c r="D152" s="1"/>
      <c r="E152" s="3"/>
      <c r="F152" s="1"/>
      <c r="G152" s="141">
        <f>IF(Basic[[#This Row],[نوع الخدمة]]="مخالفات", 50,
IF(Basic[[#This Row],[نوع الخدمة]]="كاش ان",
    IF(F152&lt;=100, 18, IF(F152&lt;=250, 23, IF(F152&lt;=500, 35, IF(F152&lt;=1000, 40, F152*0.04)))),
IF(Basic[[#This Row],[نوع الخدمة]]="كاش اوت",
    IF(F152&lt;=100, 15, IF(F152&lt;=250, 20, IF(F152&lt;=500, 30, IF(F152&lt;=1000, 35, F152*0.035)))),
0)))</f>
        <v>0</v>
      </c>
      <c r="H152" s="163">
        <f>IF(I152="مخالفات",50,Basic[[#This Row],[قيمة الرسوم / العموله]]+Basic[[#This Row],[قيمة الشحنه]])</f>
        <v>0</v>
      </c>
      <c r="I152" s="90"/>
      <c r="J152" s="142" t="str">
        <f t="shared" si="2"/>
        <v>31.5.2026</v>
      </c>
      <c r="L152" s="153">
        <v>141</v>
      </c>
      <c r="M152" s="92"/>
    </row>
    <row r="153" spans="1:13" ht="21.6" x14ac:dyDescent="0.65">
      <c r="A153" s="195"/>
      <c r="B153" s="144">
        <v>150</v>
      </c>
      <c r="C153" s="2"/>
      <c r="D153" s="1"/>
      <c r="E153" s="3"/>
      <c r="F153" s="1"/>
      <c r="G153" s="141">
        <f>IF(Basic[[#This Row],[نوع الخدمة]]="مخالفات", 50,
IF(Basic[[#This Row],[نوع الخدمة]]="كاش ان",
    IF(F153&lt;=100, 18, IF(F153&lt;=250, 23, IF(F153&lt;=500, 35, IF(F153&lt;=1000, 40, F153*0.04)))),
IF(Basic[[#This Row],[نوع الخدمة]]="كاش اوت",
    IF(F153&lt;=100, 15, IF(F153&lt;=250, 20, IF(F153&lt;=500, 30, IF(F153&lt;=1000, 35, F153*0.035)))),
0)))</f>
        <v>0</v>
      </c>
      <c r="H153" s="163">
        <f>IF(I153="مخالفات",50,Basic[[#This Row],[قيمة الرسوم / العموله]]+Basic[[#This Row],[قيمة الشحنه]])</f>
        <v>0</v>
      </c>
      <c r="I153" s="90"/>
      <c r="J153" s="142" t="str">
        <f t="shared" si="2"/>
        <v>31.5.2026</v>
      </c>
      <c r="L153" s="153">
        <v>142</v>
      </c>
      <c r="M153" s="92"/>
    </row>
    <row r="154" spans="1:13" ht="21.6" x14ac:dyDescent="0.65">
      <c r="A154" s="195"/>
      <c r="B154" s="140">
        <v>151</v>
      </c>
      <c r="C154" s="2"/>
      <c r="D154" s="1"/>
      <c r="E154" s="3"/>
      <c r="F154" s="1"/>
      <c r="G154" s="141">
        <f>IF(Basic[[#This Row],[نوع الخدمة]]="مخالفات", 50,
IF(Basic[[#This Row],[نوع الخدمة]]="كاش ان",
    IF(F154&lt;=100, 18, IF(F154&lt;=250, 23, IF(F154&lt;=500, 35, IF(F154&lt;=1000, 40, F154*0.04)))),
IF(Basic[[#This Row],[نوع الخدمة]]="كاش اوت",
    IF(F154&lt;=100, 15, IF(F154&lt;=250, 20, IF(F154&lt;=500, 30, IF(F154&lt;=1000, 35, F154*0.035)))),
0)))</f>
        <v>0</v>
      </c>
      <c r="H154" s="163">
        <f>IF(I154="مخالفات",50,Basic[[#This Row],[قيمة الرسوم / العموله]]+Basic[[#This Row],[قيمة الشحنه]])</f>
        <v>0</v>
      </c>
      <c r="I154" s="90"/>
      <c r="J154" s="142" t="str">
        <f t="shared" si="2"/>
        <v>31.5.2026</v>
      </c>
      <c r="L154" s="153">
        <v>143</v>
      </c>
      <c r="M154" s="92"/>
    </row>
    <row r="155" spans="1:13" ht="21.6" x14ac:dyDescent="0.65">
      <c r="A155" s="195"/>
      <c r="B155" s="140">
        <v>152</v>
      </c>
      <c r="C155" s="2"/>
      <c r="D155" s="1"/>
      <c r="E155" s="3"/>
      <c r="F155" s="1"/>
      <c r="G155" s="141">
        <f>IF(Basic[[#This Row],[نوع الخدمة]]="مخالفات", 50,
IF(Basic[[#This Row],[نوع الخدمة]]="كاش ان",
    IF(F155&lt;=100, 18, IF(F155&lt;=250, 23, IF(F155&lt;=500, 35, IF(F155&lt;=1000, 40, F155*0.04)))),
IF(Basic[[#This Row],[نوع الخدمة]]="كاش اوت",
    IF(F155&lt;=100, 15, IF(F155&lt;=250, 20, IF(F155&lt;=500, 30, IF(F155&lt;=1000, 35, F155*0.035)))),
0)))</f>
        <v>0</v>
      </c>
      <c r="H155" s="163">
        <f>IF(I155="مخالفات",50,Basic[[#This Row],[قيمة الرسوم / العموله]]+Basic[[#This Row],[قيمة الشحنه]])</f>
        <v>0</v>
      </c>
      <c r="I155" s="90"/>
      <c r="J155" s="142" t="str">
        <f t="shared" si="2"/>
        <v>31.5.2026</v>
      </c>
      <c r="L155" s="153">
        <v>144</v>
      </c>
      <c r="M155" s="92"/>
    </row>
    <row r="156" spans="1:13" ht="21.6" x14ac:dyDescent="0.65">
      <c r="A156" s="195"/>
      <c r="B156" s="140">
        <v>153</v>
      </c>
      <c r="C156" s="2"/>
      <c r="D156" s="1"/>
      <c r="E156" s="3"/>
      <c r="F156" s="1"/>
      <c r="G156" s="141">
        <f>IF(Basic[[#This Row],[نوع الخدمة]]="مخالفات", 50,
IF(Basic[[#This Row],[نوع الخدمة]]="كاش ان",
    IF(F156&lt;=100, 18, IF(F156&lt;=250, 23, IF(F156&lt;=500, 35, IF(F156&lt;=1000, 40, F156*0.04)))),
IF(Basic[[#This Row],[نوع الخدمة]]="كاش اوت",
    IF(F156&lt;=100, 15, IF(F156&lt;=250, 20, IF(F156&lt;=500, 30, IF(F156&lt;=1000, 35, F156*0.035)))),
0)))</f>
        <v>0</v>
      </c>
      <c r="H156" s="163">
        <f>IF(I156="مخالفات",50,Basic[[#This Row],[قيمة الرسوم / العموله]]+Basic[[#This Row],[قيمة الشحنه]])</f>
        <v>0</v>
      </c>
      <c r="I156" s="90"/>
      <c r="J156" s="142" t="str">
        <f t="shared" si="2"/>
        <v>31.5.2026</v>
      </c>
      <c r="L156" s="153">
        <v>145</v>
      </c>
      <c r="M156" s="92"/>
    </row>
    <row r="157" spans="1:13" ht="21.6" x14ac:dyDescent="0.65">
      <c r="A157" s="195"/>
      <c r="B157" s="144">
        <v>154</v>
      </c>
      <c r="C157" s="2"/>
      <c r="D157" s="1"/>
      <c r="E157" s="3"/>
      <c r="F157" s="1"/>
      <c r="G157" s="141">
        <f>IF(Basic[[#This Row],[نوع الخدمة]]="مخالفات", 50,
IF(Basic[[#This Row],[نوع الخدمة]]="كاش ان",
    IF(F157&lt;=100, 18, IF(F157&lt;=250, 23, IF(F157&lt;=500, 35, IF(F157&lt;=1000, 40, F157*0.04)))),
IF(Basic[[#This Row],[نوع الخدمة]]="كاش اوت",
    IF(F157&lt;=100, 15, IF(F157&lt;=250, 20, IF(F157&lt;=500, 30, IF(F157&lt;=1000, 35, F157*0.035)))),
0)))</f>
        <v>0</v>
      </c>
      <c r="H157" s="163">
        <f>IF(I157="مخالفات",50,Basic[[#This Row],[قيمة الرسوم / العموله]]+Basic[[#This Row],[قيمة الشحنه]])</f>
        <v>0</v>
      </c>
      <c r="I157" s="90"/>
      <c r="J157" s="142" t="str">
        <f t="shared" si="2"/>
        <v>31.5.2026</v>
      </c>
      <c r="L157" s="153">
        <v>146</v>
      </c>
      <c r="M157" s="92"/>
    </row>
    <row r="158" spans="1:13" ht="21.6" x14ac:dyDescent="0.65">
      <c r="A158" s="195"/>
      <c r="B158" s="140">
        <v>155</v>
      </c>
      <c r="C158" s="2"/>
      <c r="D158" s="1"/>
      <c r="E158" s="3"/>
      <c r="F158" s="1"/>
      <c r="G158" s="141">
        <f>IF(Basic[[#This Row],[نوع الخدمة]]="مخالفات", 50,
IF(Basic[[#This Row],[نوع الخدمة]]="كاش ان",
    IF(F158&lt;=100, 18, IF(F158&lt;=250, 23, IF(F158&lt;=500, 35, IF(F158&lt;=1000, 40, F158*0.04)))),
IF(Basic[[#This Row],[نوع الخدمة]]="كاش اوت",
    IF(F158&lt;=100, 15, IF(F158&lt;=250, 20, IF(F158&lt;=500, 30, IF(F158&lt;=1000, 35, F158*0.035)))),
0)))</f>
        <v>0</v>
      </c>
      <c r="H158" s="163">
        <f>IF(I158="مخالفات",50,Basic[[#This Row],[قيمة الرسوم / العموله]]+Basic[[#This Row],[قيمة الشحنه]])</f>
        <v>0</v>
      </c>
      <c r="I158" s="90"/>
      <c r="J158" s="142" t="str">
        <f t="shared" si="2"/>
        <v>31.5.2026</v>
      </c>
      <c r="L158" s="153">
        <v>147</v>
      </c>
      <c r="M158" s="92"/>
    </row>
    <row r="159" spans="1:13" ht="21.6" x14ac:dyDescent="0.65">
      <c r="A159" s="195"/>
      <c r="B159" s="140">
        <v>156</v>
      </c>
      <c r="C159" s="2"/>
      <c r="D159" s="1"/>
      <c r="E159" s="3"/>
      <c r="F159" s="1"/>
      <c r="G159" s="141">
        <f>IF(Basic[[#This Row],[نوع الخدمة]]="مخالفات", 50,
IF(Basic[[#This Row],[نوع الخدمة]]="كاش ان",
    IF(F159&lt;=100, 18, IF(F159&lt;=250, 23, IF(F159&lt;=500, 35, IF(F159&lt;=1000, 40, F159*0.04)))),
IF(Basic[[#This Row],[نوع الخدمة]]="كاش اوت",
    IF(F159&lt;=100, 15, IF(F159&lt;=250, 20, IF(F159&lt;=500, 30, IF(F159&lt;=1000, 35, F159*0.035)))),
0)))</f>
        <v>0</v>
      </c>
      <c r="H159" s="163">
        <f>IF(I159="مخالفات",50,Basic[[#This Row],[قيمة الرسوم / العموله]]+Basic[[#This Row],[قيمة الشحنه]])</f>
        <v>0</v>
      </c>
      <c r="I159" s="90"/>
      <c r="J159" s="142" t="str">
        <f t="shared" si="2"/>
        <v>31.5.2026</v>
      </c>
      <c r="L159" s="153">
        <v>148</v>
      </c>
      <c r="M159" s="92"/>
    </row>
    <row r="160" spans="1:13" ht="21.6" x14ac:dyDescent="0.65">
      <c r="A160" s="195"/>
      <c r="B160" s="140">
        <v>157</v>
      </c>
      <c r="C160" s="2"/>
      <c r="D160" s="1"/>
      <c r="E160" s="3"/>
      <c r="F160" s="1"/>
      <c r="G160" s="141">
        <f>IF(Basic[[#This Row],[نوع الخدمة]]="مخالفات", 50,
IF(Basic[[#This Row],[نوع الخدمة]]="كاش ان",
    IF(F160&lt;=100, 18, IF(F160&lt;=250, 23, IF(F160&lt;=500, 35, IF(F160&lt;=1000, 40, F160*0.04)))),
IF(Basic[[#This Row],[نوع الخدمة]]="كاش اوت",
    IF(F160&lt;=100, 15, IF(F160&lt;=250, 20, IF(F160&lt;=500, 30, IF(F160&lt;=1000, 35, F160*0.035)))),
0)))</f>
        <v>0</v>
      </c>
      <c r="H160" s="163">
        <f>IF(I160="مخالفات",50,Basic[[#This Row],[قيمة الرسوم / العموله]]+Basic[[#This Row],[قيمة الشحنه]])</f>
        <v>0</v>
      </c>
      <c r="I160" s="90"/>
      <c r="J160" s="142" t="str">
        <f t="shared" si="2"/>
        <v>31.5.2026</v>
      </c>
      <c r="L160" s="153">
        <v>149</v>
      </c>
      <c r="M160" s="92"/>
    </row>
    <row r="161" spans="1:13" ht="21.6" x14ac:dyDescent="0.65">
      <c r="A161" s="195"/>
      <c r="B161" s="144">
        <v>158</v>
      </c>
      <c r="C161" s="2"/>
      <c r="D161" s="1"/>
      <c r="E161" s="3"/>
      <c r="F161" s="1"/>
      <c r="G161" s="141">
        <f>IF(Basic[[#This Row],[نوع الخدمة]]="مخالفات", 50,
IF(Basic[[#This Row],[نوع الخدمة]]="كاش ان",
    IF(F161&lt;=100, 18, IF(F161&lt;=250, 23, IF(F161&lt;=500, 35, IF(F161&lt;=1000, 40, F161*0.04)))),
IF(Basic[[#This Row],[نوع الخدمة]]="كاش اوت",
    IF(F161&lt;=100, 15, IF(F161&lt;=250, 20, IF(F161&lt;=500, 30, IF(F161&lt;=1000, 35, F161*0.035)))),
0)))</f>
        <v>0</v>
      </c>
      <c r="H161" s="163">
        <f>IF(I161="مخالفات",50,Basic[[#This Row],[قيمة الرسوم / العموله]]+Basic[[#This Row],[قيمة الشحنه]])</f>
        <v>0</v>
      </c>
      <c r="I161" s="90"/>
      <c r="J161" s="142" t="str">
        <f t="shared" si="2"/>
        <v>31.5.2026</v>
      </c>
      <c r="L161" s="153">
        <v>150</v>
      </c>
      <c r="M161" s="92"/>
    </row>
    <row r="162" spans="1:13" ht="21.6" x14ac:dyDescent="0.65">
      <c r="A162" s="195"/>
      <c r="B162" s="140">
        <v>159</v>
      </c>
      <c r="C162" s="2"/>
      <c r="D162" s="1"/>
      <c r="E162" s="3"/>
      <c r="F162" s="1"/>
      <c r="G162" s="141">
        <f>IF(Basic[[#This Row],[نوع الخدمة]]="مخالفات", 50,
IF(Basic[[#This Row],[نوع الخدمة]]="كاش ان",
    IF(F162&lt;=100, 18, IF(F162&lt;=250, 23, IF(F162&lt;=500, 35, IF(F162&lt;=1000, 40, F162*0.04)))),
IF(Basic[[#This Row],[نوع الخدمة]]="كاش اوت",
    IF(F162&lt;=100, 15, IF(F162&lt;=250, 20, IF(F162&lt;=500, 30, IF(F162&lt;=1000, 35, F162*0.035)))),
0)))</f>
        <v>0</v>
      </c>
      <c r="H162" s="163">
        <f>IF(I162="مخالفات",50,Basic[[#This Row],[قيمة الرسوم / العموله]]+Basic[[#This Row],[قيمة الشحنه]])</f>
        <v>0</v>
      </c>
      <c r="I162" s="90"/>
      <c r="J162" s="142" t="str">
        <f t="shared" si="2"/>
        <v>31.5.2026</v>
      </c>
      <c r="L162" s="153">
        <v>151</v>
      </c>
      <c r="M162" s="92"/>
    </row>
    <row r="163" spans="1:13" ht="21.6" x14ac:dyDescent="0.65">
      <c r="A163" s="195"/>
      <c r="B163" s="140">
        <v>160</v>
      </c>
      <c r="C163" s="2"/>
      <c r="D163" s="1"/>
      <c r="E163" s="3"/>
      <c r="F163" s="1"/>
      <c r="G163" s="141">
        <f>IF(Basic[[#This Row],[نوع الخدمة]]="مخالفات", 50,
IF(Basic[[#This Row],[نوع الخدمة]]="كاش ان",
    IF(F163&lt;=100, 18, IF(F163&lt;=250, 23, IF(F163&lt;=500, 35, IF(F163&lt;=1000, 40, F163*0.04)))),
IF(Basic[[#This Row],[نوع الخدمة]]="كاش اوت",
    IF(F163&lt;=100, 15, IF(F163&lt;=250, 20, IF(F163&lt;=500, 30, IF(F163&lt;=1000, 35, F163*0.035)))),
0)))</f>
        <v>0</v>
      </c>
      <c r="H163" s="163">
        <f>IF(I163="مخالفات",50,Basic[[#This Row],[قيمة الرسوم / العموله]]+Basic[[#This Row],[قيمة الشحنه]])</f>
        <v>0</v>
      </c>
      <c r="I163" s="90"/>
      <c r="J163" s="142" t="str">
        <f t="shared" si="2"/>
        <v>31.5.2026</v>
      </c>
      <c r="L163" s="153">
        <v>152</v>
      </c>
      <c r="M163" s="92"/>
    </row>
    <row r="164" spans="1:13" ht="21.6" x14ac:dyDescent="0.65">
      <c r="A164" s="195"/>
      <c r="B164" s="140">
        <v>161</v>
      </c>
      <c r="C164" s="2"/>
      <c r="D164" s="1"/>
      <c r="E164" s="3"/>
      <c r="F164" s="1"/>
      <c r="G164" s="141">
        <f>IF(Basic[[#This Row],[نوع الخدمة]]="مخالفات", 50,
IF(Basic[[#This Row],[نوع الخدمة]]="كاش ان",
    IF(F164&lt;=100, 18, IF(F164&lt;=250, 23, IF(F164&lt;=500, 35, IF(F164&lt;=1000, 40, F164*0.04)))),
IF(Basic[[#This Row],[نوع الخدمة]]="كاش اوت",
    IF(F164&lt;=100, 15, IF(F164&lt;=250, 20, IF(F164&lt;=500, 30, IF(F164&lt;=1000, 35, F164*0.035)))),
0)))</f>
        <v>0</v>
      </c>
      <c r="H164" s="163">
        <f>IF(I164="مخالفات",50,Basic[[#This Row],[قيمة الرسوم / العموله]]+Basic[[#This Row],[قيمة الشحنه]])</f>
        <v>0</v>
      </c>
      <c r="I164" s="90"/>
      <c r="J164" s="142" t="str">
        <f t="shared" si="2"/>
        <v>31.5.2026</v>
      </c>
      <c r="L164" s="153">
        <v>153</v>
      </c>
      <c r="M164" s="92"/>
    </row>
    <row r="165" spans="1:13" ht="21.6" x14ac:dyDescent="0.65">
      <c r="A165" s="195"/>
      <c r="B165" s="144">
        <v>162</v>
      </c>
      <c r="C165" s="2"/>
      <c r="D165" s="1"/>
      <c r="E165" s="3"/>
      <c r="F165" s="1"/>
      <c r="G165" s="141">
        <f>IF(Basic[[#This Row],[نوع الخدمة]]="مخالفات", 50,
IF(Basic[[#This Row],[نوع الخدمة]]="كاش ان",
    IF(F165&lt;=100, 18, IF(F165&lt;=250, 23, IF(F165&lt;=500, 35, IF(F165&lt;=1000, 40, F165*0.04)))),
IF(Basic[[#This Row],[نوع الخدمة]]="كاش اوت",
    IF(F165&lt;=100, 15, IF(F165&lt;=250, 20, IF(F165&lt;=500, 30, IF(F165&lt;=1000, 35, F165*0.035)))),
0)))</f>
        <v>0</v>
      </c>
      <c r="H165" s="163">
        <f>IF(I165="مخالفات",50,Basic[[#This Row],[قيمة الرسوم / العموله]]+Basic[[#This Row],[قيمة الشحنه]])</f>
        <v>0</v>
      </c>
      <c r="I165" s="90"/>
      <c r="J165" s="142" t="str">
        <f t="shared" si="2"/>
        <v>31.5.2026</v>
      </c>
      <c r="L165" s="153">
        <v>154</v>
      </c>
      <c r="M165" s="92"/>
    </row>
    <row r="166" spans="1:13" ht="21.6" x14ac:dyDescent="0.65">
      <c r="A166" s="195"/>
      <c r="B166" s="140">
        <v>163</v>
      </c>
      <c r="C166" s="2"/>
      <c r="D166" s="1"/>
      <c r="E166" s="3"/>
      <c r="F166" s="1"/>
      <c r="G166" s="141">
        <f>IF(Basic[[#This Row],[نوع الخدمة]]="مخالفات", 50,
IF(Basic[[#This Row],[نوع الخدمة]]="كاش ان",
    IF(F166&lt;=100, 18, IF(F166&lt;=250, 23, IF(F166&lt;=500, 35, IF(F166&lt;=1000, 40, F166*0.04)))),
IF(Basic[[#This Row],[نوع الخدمة]]="كاش اوت",
    IF(F166&lt;=100, 15, IF(F166&lt;=250, 20, IF(F166&lt;=500, 30, IF(F166&lt;=1000, 35, F166*0.035)))),
0)))</f>
        <v>0</v>
      </c>
      <c r="H166" s="163">
        <f>IF(I166="مخالفات",50,Basic[[#This Row],[قيمة الرسوم / العموله]]+Basic[[#This Row],[قيمة الشحنه]])</f>
        <v>0</v>
      </c>
      <c r="I166" s="90"/>
      <c r="J166" s="142" t="str">
        <f t="shared" si="2"/>
        <v>31.5.2026</v>
      </c>
      <c r="L166" s="153">
        <v>155</v>
      </c>
      <c r="M166" s="92"/>
    </row>
    <row r="167" spans="1:13" ht="21.6" x14ac:dyDescent="0.65">
      <c r="A167" s="195"/>
      <c r="B167" s="140">
        <v>164</v>
      </c>
      <c r="C167" s="2"/>
      <c r="D167" s="1"/>
      <c r="E167" s="3"/>
      <c r="F167" s="1"/>
      <c r="G167" s="141">
        <f>IF(Basic[[#This Row],[نوع الخدمة]]="مخالفات", 50,
IF(Basic[[#This Row],[نوع الخدمة]]="كاش ان",
    IF(F167&lt;=100, 18, IF(F167&lt;=250, 23, IF(F167&lt;=500, 35, IF(F167&lt;=1000, 40, F167*0.04)))),
IF(Basic[[#This Row],[نوع الخدمة]]="كاش اوت",
    IF(F167&lt;=100, 15, IF(F167&lt;=250, 20, IF(F167&lt;=500, 30, IF(F167&lt;=1000, 35, F167*0.035)))),
0)))</f>
        <v>0</v>
      </c>
      <c r="H167" s="163">
        <f>IF(I167="مخالفات",50,Basic[[#This Row],[قيمة الرسوم / العموله]]+Basic[[#This Row],[قيمة الشحنه]])</f>
        <v>0</v>
      </c>
      <c r="I167" s="90"/>
      <c r="J167" s="142" t="str">
        <f t="shared" si="2"/>
        <v>31.5.2026</v>
      </c>
      <c r="L167" s="153">
        <v>156</v>
      </c>
      <c r="M167" s="92"/>
    </row>
    <row r="168" spans="1:13" ht="21.6" x14ac:dyDescent="0.65">
      <c r="A168" s="195"/>
      <c r="B168" s="140">
        <v>165</v>
      </c>
      <c r="C168" s="2"/>
      <c r="D168" s="1"/>
      <c r="E168" s="3"/>
      <c r="F168" s="1"/>
      <c r="G168" s="141">
        <f>IF(Basic[[#This Row],[نوع الخدمة]]="مخالفات", 50,
IF(Basic[[#This Row],[نوع الخدمة]]="كاش ان",
    IF(F168&lt;=100, 18, IF(F168&lt;=250, 23, IF(F168&lt;=500, 35, IF(F168&lt;=1000, 40, F168*0.04)))),
IF(Basic[[#This Row],[نوع الخدمة]]="كاش اوت",
    IF(F168&lt;=100, 15, IF(F168&lt;=250, 20, IF(F168&lt;=500, 30, IF(F168&lt;=1000, 35, F168*0.035)))),
0)))</f>
        <v>0</v>
      </c>
      <c r="H168" s="163">
        <f>IF(I168="مخالفات",50,Basic[[#This Row],[قيمة الرسوم / العموله]]+Basic[[#This Row],[قيمة الشحنه]])</f>
        <v>0</v>
      </c>
      <c r="I168" s="90"/>
      <c r="J168" s="142" t="str">
        <f t="shared" si="2"/>
        <v>31.5.2026</v>
      </c>
      <c r="L168" s="153">
        <v>157</v>
      </c>
      <c r="M168" s="92"/>
    </row>
    <row r="169" spans="1:13" ht="21.6" x14ac:dyDescent="0.65">
      <c r="A169" s="195"/>
      <c r="B169" s="144">
        <v>166</v>
      </c>
      <c r="C169" s="2"/>
      <c r="D169" s="1"/>
      <c r="E169" s="3"/>
      <c r="F169" s="1"/>
      <c r="G169" s="141">
        <f>IF(Basic[[#This Row],[نوع الخدمة]]="مخالفات", 50,
IF(Basic[[#This Row],[نوع الخدمة]]="كاش ان",
    IF(F169&lt;=100, 18, IF(F169&lt;=250, 23, IF(F169&lt;=500, 35, IF(F169&lt;=1000, 40, F169*0.04)))),
IF(Basic[[#This Row],[نوع الخدمة]]="كاش اوت",
    IF(F169&lt;=100, 15, IF(F169&lt;=250, 20, IF(F169&lt;=500, 30, IF(F169&lt;=1000, 35, F169*0.035)))),
0)))</f>
        <v>0</v>
      </c>
      <c r="H169" s="163">
        <f>IF(I169="مخالفات",50,Basic[[#This Row],[قيمة الرسوم / العموله]]+Basic[[#This Row],[قيمة الشحنه]])</f>
        <v>0</v>
      </c>
      <c r="I169" s="90"/>
      <c r="J169" s="142" t="str">
        <f t="shared" si="2"/>
        <v>31.5.2026</v>
      </c>
      <c r="L169" s="153">
        <v>158</v>
      </c>
      <c r="M169" s="92"/>
    </row>
    <row r="170" spans="1:13" ht="21.6" x14ac:dyDescent="0.65">
      <c r="A170" s="195"/>
      <c r="B170" s="140">
        <v>167</v>
      </c>
      <c r="C170" s="2"/>
      <c r="D170" s="1"/>
      <c r="E170" s="3"/>
      <c r="F170" s="1"/>
      <c r="G170" s="141">
        <f>IF(Basic[[#This Row],[نوع الخدمة]]="مخالفات", 50,
IF(Basic[[#This Row],[نوع الخدمة]]="كاش ان",
    IF(F170&lt;=100, 18, IF(F170&lt;=250, 23, IF(F170&lt;=500, 35, IF(F170&lt;=1000, 40, F170*0.04)))),
IF(Basic[[#This Row],[نوع الخدمة]]="كاش اوت",
    IF(F170&lt;=100, 15, IF(F170&lt;=250, 20, IF(F170&lt;=500, 30, IF(F170&lt;=1000, 35, F170*0.035)))),
0)))</f>
        <v>0</v>
      </c>
      <c r="H170" s="163">
        <f>IF(I170="مخالفات",50,Basic[[#This Row],[قيمة الرسوم / العموله]]+Basic[[#This Row],[قيمة الشحنه]])</f>
        <v>0</v>
      </c>
      <c r="I170" s="90"/>
      <c r="J170" s="142" t="str">
        <f t="shared" si="2"/>
        <v>31.5.2026</v>
      </c>
      <c r="L170" s="153">
        <v>159</v>
      </c>
      <c r="M170" s="92"/>
    </row>
    <row r="171" spans="1:13" ht="21.6" x14ac:dyDescent="0.65">
      <c r="A171" s="195"/>
      <c r="B171" s="140">
        <v>168</v>
      </c>
      <c r="C171" s="2"/>
      <c r="D171" s="1"/>
      <c r="E171" s="3"/>
      <c r="F171" s="1"/>
      <c r="G171" s="141">
        <f>IF(Basic[[#This Row],[نوع الخدمة]]="مخالفات", 50,
IF(Basic[[#This Row],[نوع الخدمة]]="كاش ان",
    IF(F171&lt;=100, 18, IF(F171&lt;=250, 23, IF(F171&lt;=500, 35, IF(F171&lt;=1000, 40, F171*0.04)))),
IF(Basic[[#This Row],[نوع الخدمة]]="كاش اوت",
    IF(F171&lt;=100, 15, IF(F171&lt;=250, 20, IF(F171&lt;=500, 30, IF(F171&lt;=1000, 35, F171*0.035)))),
0)))</f>
        <v>0</v>
      </c>
      <c r="H171" s="163">
        <f>IF(I171="مخالفات",50,Basic[[#This Row],[قيمة الرسوم / العموله]]+Basic[[#This Row],[قيمة الشحنه]])</f>
        <v>0</v>
      </c>
      <c r="I171" s="90"/>
      <c r="J171" s="142" t="str">
        <f t="shared" si="2"/>
        <v>31.5.2026</v>
      </c>
      <c r="L171" s="153">
        <v>160</v>
      </c>
      <c r="M171" s="92"/>
    </row>
    <row r="172" spans="1:13" ht="21.6" x14ac:dyDescent="0.65">
      <c r="A172" s="195"/>
      <c r="B172" s="140">
        <v>169</v>
      </c>
      <c r="C172" s="2"/>
      <c r="D172" s="1"/>
      <c r="E172" s="3"/>
      <c r="F172" s="1"/>
      <c r="G172" s="141">
        <f>IF(Basic[[#This Row],[نوع الخدمة]]="مخالفات", 50,
IF(Basic[[#This Row],[نوع الخدمة]]="كاش ان",
    IF(F172&lt;=100, 18, IF(F172&lt;=250, 23, IF(F172&lt;=500, 35, IF(F172&lt;=1000, 40, F172*0.04)))),
IF(Basic[[#This Row],[نوع الخدمة]]="كاش اوت",
    IF(F172&lt;=100, 15, IF(F172&lt;=250, 20, IF(F172&lt;=500, 30, IF(F172&lt;=1000, 35, F172*0.035)))),
0)))</f>
        <v>0</v>
      </c>
      <c r="H172" s="163">
        <f>IF(I172="مخالفات",50,Basic[[#This Row],[قيمة الرسوم / العموله]]+Basic[[#This Row],[قيمة الشحنه]])</f>
        <v>0</v>
      </c>
      <c r="I172" s="90"/>
      <c r="J172" s="142" t="str">
        <f t="shared" si="2"/>
        <v>31.5.2026</v>
      </c>
      <c r="L172" s="153">
        <v>161</v>
      </c>
      <c r="M172" s="92"/>
    </row>
    <row r="173" spans="1:13" ht="21.6" x14ac:dyDescent="0.65">
      <c r="A173" s="195"/>
      <c r="B173" s="144">
        <v>170</v>
      </c>
      <c r="C173" s="2"/>
      <c r="D173" s="1"/>
      <c r="E173" s="3"/>
      <c r="F173" s="1"/>
      <c r="G173" s="141">
        <f>IF(Basic[[#This Row],[نوع الخدمة]]="مخالفات", 50,
IF(Basic[[#This Row],[نوع الخدمة]]="كاش ان",
    IF(F173&lt;=100, 18, IF(F173&lt;=250, 23, IF(F173&lt;=500, 35, IF(F173&lt;=1000, 40, F173*0.04)))),
IF(Basic[[#This Row],[نوع الخدمة]]="كاش اوت",
    IF(F173&lt;=100, 15, IF(F173&lt;=250, 20, IF(F173&lt;=500, 30, IF(F173&lt;=1000, 35, F173*0.035)))),
0)))</f>
        <v>0</v>
      </c>
      <c r="H173" s="163">
        <f>IF(I173="مخالفات",50,Basic[[#This Row],[قيمة الرسوم / العموله]]+Basic[[#This Row],[قيمة الشحنه]])</f>
        <v>0</v>
      </c>
      <c r="I173" s="90"/>
      <c r="J173" s="142" t="str">
        <f t="shared" si="2"/>
        <v>31.5.2026</v>
      </c>
      <c r="L173" s="153">
        <v>162</v>
      </c>
      <c r="M173" s="92"/>
    </row>
    <row r="174" spans="1:13" ht="21.6" x14ac:dyDescent="0.65">
      <c r="A174" s="195"/>
      <c r="B174" s="140">
        <v>171</v>
      </c>
      <c r="C174" s="2"/>
      <c r="D174" s="1"/>
      <c r="E174" s="3"/>
      <c r="F174" s="1"/>
      <c r="G174" s="141">
        <f>IF(Basic[[#This Row],[نوع الخدمة]]="مخالفات", 50,
IF(Basic[[#This Row],[نوع الخدمة]]="كاش ان",
    IF(F174&lt;=100, 18, IF(F174&lt;=250, 23, IF(F174&lt;=500, 35, IF(F174&lt;=1000, 40, F174*0.04)))),
IF(Basic[[#This Row],[نوع الخدمة]]="كاش اوت",
    IF(F174&lt;=100, 15, IF(F174&lt;=250, 20, IF(F174&lt;=500, 30, IF(F174&lt;=1000, 35, F174*0.035)))),
0)))</f>
        <v>0</v>
      </c>
      <c r="H174" s="163">
        <f>IF(I174="مخالفات",50,Basic[[#This Row],[قيمة الرسوم / العموله]]+Basic[[#This Row],[قيمة الشحنه]])</f>
        <v>0</v>
      </c>
      <c r="I174" s="90"/>
      <c r="J174" s="142" t="str">
        <f t="shared" si="2"/>
        <v>31.5.2026</v>
      </c>
      <c r="L174" s="153">
        <v>163</v>
      </c>
      <c r="M174" s="92"/>
    </row>
    <row r="175" spans="1:13" ht="21.6" x14ac:dyDescent="0.65">
      <c r="A175" s="195"/>
      <c r="B175" s="140">
        <v>172</v>
      </c>
      <c r="C175" s="2"/>
      <c r="D175" s="1"/>
      <c r="E175" s="3"/>
      <c r="F175" s="1"/>
      <c r="G175" s="141">
        <f>IF(Basic[[#This Row],[نوع الخدمة]]="مخالفات", 50,
IF(Basic[[#This Row],[نوع الخدمة]]="كاش ان",
    IF(F175&lt;=100, 18, IF(F175&lt;=250, 23, IF(F175&lt;=500, 35, IF(F175&lt;=1000, 40, F175*0.04)))),
IF(Basic[[#This Row],[نوع الخدمة]]="كاش اوت",
    IF(F175&lt;=100, 15, IF(F175&lt;=250, 20, IF(F175&lt;=500, 30, IF(F175&lt;=1000, 35, F175*0.035)))),
0)))</f>
        <v>0</v>
      </c>
      <c r="H175" s="163">
        <f>IF(I175="مخالفات",50,Basic[[#This Row],[قيمة الرسوم / العموله]]+Basic[[#This Row],[قيمة الشحنه]])</f>
        <v>0</v>
      </c>
      <c r="I175" s="90"/>
      <c r="J175" s="142" t="str">
        <f t="shared" si="2"/>
        <v>31.5.2026</v>
      </c>
      <c r="L175" s="153">
        <v>164</v>
      </c>
      <c r="M175" s="92"/>
    </row>
    <row r="176" spans="1:13" ht="21.6" x14ac:dyDescent="0.65">
      <c r="A176" s="195"/>
      <c r="B176" s="140">
        <v>173</v>
      </c>
      <c r="C176" s="2"/>
      <c r="D176" s="1"/>
      <c r="E176" s="3"/>
      <c r="F176" s="1"/>
      <c r="G176" s="141">
        <f>IF(Basic[[#This Row],[نوع الخدمة]]="مخالفات", 50,
IF(Basic[[#This Row],[نوع الخدمة]]="كاش ان",
    IF(F176&lt;=100, 18, IF(F176&lt;=250, 23, IF(F176&lt;=500, 35, IF(F176&lt;=1000, 40, F176*0.04)))),
IF(Basic[[#This Row],[نوع الخدمة]]="كاش اوت",
    IF(F176&lt;=100, 15, IF(F176&lt;=250, 20, IF(F176&lt;=500, 30, IF(F176&lt;=1000, 35, F176*0.035)))),
0)))</f>
        <v>0</v>
      </c>
      <c r="H176" s="163">
        <f>IF(I176="مخالفات",50,Basic[[#This Row],[قيمة الرسوم / العموله]]+Basic[[#This Row],[قيمة الشحنه]])</f>
        <v>0</v>
      </c>
      <c r="I176" s="90"/>
      <c r="J176" s="142" t="str">
        <f t="shared" si="2"/>
        <v>31.5.2026</v>
      </c>
      <c r="L176" s="153">
        <v>165</v>
      </c>
      <c r="M176" s="92"/>
    </row>
    <row r="177" spans="1:13" ht="21.6" x14ac:dyDescent="0.65">
      <c r="A177" s="195"/>
      <c r="B177" s="144">
        <v>174</v>
      </c>
      <c r="C177" s="2"/>
      <c r="D177" s="1"/>
      <c r="E177" s="3"/>
      <c r="F177" s="1"/>
      <c r="G177" s="141">
        <f>IF(Basic[[#This Row],[نوع الخدمة]]="مخالفات", 50,
IF(Basic[[#This Row],[نوع الخدمة]]="كاش ان",
    IF(F177&lt;=100, 18, IF(F177&lt;=250, 23, IF(F177&lt;=500, 35, IF(F177&lt;=1000, 40, F177*0.04)))),
IF(Basic[[#This Row],[نوع الخدمة]]="كاش اوت",
    IF(F177&lt;=100, 15, IF(F177&lt;=250, 20, IF(F177&lt;=500, 30, IF(F177&lt;=1000, 35, F177*0.035)))),
0)))</f>
        <v>0</v>
      </c>
      <c r="H177" s="163">
        <f>IF(I177="مخالفات",50,Basic[[#This Row],[قيمة الرسوم / العموله]]+Basic[[#This Row],[قيمة الشحنه]])</f>
        <v>0</v>
      </c>
      <c r="I177" s="90"/>
      <c r="J177" s="142" t="str">
        <f t="shared" si="2"/>
        <v>31.5.2026</v>
      </c>
      <c r="L177" s="153">
        <v>166</v>
      </c>
      <c r="M177" s="92"/>
    </row>
    <row r="178" spans="1:13" ht="21.6" x14ac:dyDescent="0.65">
      <c r="A178" s="195"/>
      <c r="B178" s="140">
        <v>175</v>
      </c>
      <c r="C178" s="2"/>
      <c r="D178" s="1"/>
      <c r="E178" s="3"/>
      <c r="F178" s="1"/>
      <c r="G178" s="141">
        <f>IF(Basic[[#This Row],[نوع الخدمة]]="مخالفات", 50,
IF(Basic[[#This Row],[نوع الخدمة]]="كاش ان",
    IF(F178&lt;=100, 18, IF(F178&lt;=250, 23, IF(F178&lt;=500, 35, IF(F178&lt;=1000, 40, F178*0.04)))),
IF(Basic[[#This Row],[نوع الخدمة]]="كاش اوت",
    IF(F178&lt;=100, 15, IF(F178&lt;=250, 20, IF(F178&lt;=500, 30, IF(F178&lt;=1000, 35, F178*0.035)))),
0)))</f>
        <v>0</v>
      </c>
      <c r="H178" s="163">
        <f>IF(I178="مخالفات",50,Basic[[#This Row],[قيمة الرسوم / العموله]]+Basic[[#This Row],[قيمة الشحنه]])</f>
        <v>0</v>
      </c>
      <c r="I178" s="90"/>
      <c r="J178" s="142" t="str">
        <f t="shared" si="2"/>
        <v>31.5.2026</v>
      </c>
      <c r="L178" s="153">
        <v>167</v>
      </c>
      <c r="M178" s="92"/>
    </row>
    <row r="179" spans="1:13" ht="21.6" x14ac:dyDescent="0.65">
      <c r="A179" s="195"/>
      <c r="B179" s="140">
        <v>176</v>
      </c>
      <c r="C179" s="2"/>
      <c r="D179" s="1"/>
      <c r="E179" s="3"/>
      <c r="F179" s="1"/>
      <c r="G179" s="141">
        <f>IF(Basic[[#This Row],[نوع الخدمة]]="مخالفات", 50,
IF(Basic[[#This Row],[نوع الخدمة]]="كاش ان",
    IF(F179&lt;=100, 18, IF(F179&lt;=250, 23, IF(F179&lt;=500, 35, IF(F179&lt;=1000, 40, F179*0.04)))),
IF(Basic[[#This Row],[نوع الخدمة]]="كاش اوت",
    IF(F179&lt;=100, 15, IF(F179&lt;=250, 20, IF(F179&lt;=500, 30, IF(F179&lt;=1000, 35, F179*0.035)))),
0)))</f>
        <v>0</v>
      </c>
      <c r="H179" s="163">
        <f>IF(I179="مخالفات",50,Basic[[#This Row],[قيمة الرسوم / العموله]]+Basic[[#This Row],[قيمة الشحنه]])</f>
        <v>0</v>
      </c>
      <c r="I179" s="90"/>
      <c r="J179" s="142" t="str">
        <f t="shared" si="2"/>
        <v>31.5.2026</v>
      </c>
      <c r="L179" s="153">
        <v>168</v>
      </c>
      <c r="M179" s="92"/>
    </row>
    <row r="180" spans="1:13" ht="21.6" x14ac:dyDescent="0.65">
      <c r="A180" s="195"/>
      <c r="B180" s="140">
        <v>177</v>
      </c>
      <c r="C180" s="2"/>
      <c r="D180" s="1"/>
      <c r="E180" s="3"/>
      <c r="F180" s="1"/>
      <c r="G180" s="141">
        <f>IF(Basic[[#This Row],[نوع الخدمة]]="مخالفات", 50,
IF(Basic[[#This Row],[نوع الخدمة]]="كاش ان",
    IF(F180&lt;=100, 18, IF(F180&lt;=250, 23, IF(F180&lt;=500, 35, IF(F180&lt;=1000, 40, F180*0.04)))),
IF(Basic[[#This Row],[نوع الخدمة]]="كاش اوت",
    IF(F180&lt;=100, 15, IF(F180&lt;=250, 20, IF(F180&lt;=500, 30, IF(F180&lt;=1000, 35, F180*0.035)))),
0)))</f>
        <v>0</v>
      </c>
      <c r="H180" s="163">
        <f>IF(I180="مخالفات",50,Basic[[#This Row],[قيمة الرسوم / العموله]]+Basic[[#This Row],[قيمة الشحنه]])</f>
        <v>0</v>
      </c>
      <c r="I180" s="90"/>
      <c r="J180" s="142" t="str">
        <f t="shared" si="2"/>
        <v>31.5.2026</v>
      </c>
      <c r="L180" s="153">
        <v>169</v>
      </c>
      <c r="M180" s="92"/>
    </row>
    <row r="181" spans="1:13" ht="21.6" x14ac:dyDescent="0.65">
      <c r="A181" s="195"/>
      <c r="B181" s="144">
        <v>178</v>
      </c>
      <c r="C181" s="2"/>
      <c r="D181" s="1"/>
      <c r="E181" s="3"/>
      <c r="F181" s="1"/>
      <c r="G181" s="141">
        <f>IF(Basic[[#This Row],[نوع الخدمة]]="مخالفات", 50,
IF(Basic[[#This Row],[نوع الخدمة]]="كاش ان",
    IF(F181&lt;=100, 18, IF(F181&lt;=250, 23, IF(F181&lt;=500, 35, IF(F181&lt;=1000, 40, F181*0.04)))),
IF(Basic[[#This Row],[نوع الخدمة]]="كاش اوت",
    IF(F181&lt;=100, 15, IF(F181&lt;=250, 20, IF(F181&lt;=500, 30, IF(F181&lt;=1000, 35, F181*0.035)))),
0)))</f>
        <v>0</v>
      </c>
      <c r="H181" s="163">
        <f>IF(I181="مخالفات",50,Basic[[#This Row],[قيمة الرسوم / العموله]]+Basic[[#This Row],[قيمة الشحنه]])</f>
        <v>0</v>
      </c>
      <c r="I181" s="90"/>
      <c r="J181" s="142" t="str">
        <f t="shared" si="2"/>
        <v>31.5.2026</v>
      </c>
      <c r="L181" s="153">
        <v>170</v>
      </c>
      <c r="M181" s="92"/>
    </row>
    <row r="182" spans="1:13" ht="21.6" x14ac:dyDescent="0.65">
      <c r="A182" s="195"/>
      <c r="B182" s="140">
        <v>179</v>
      </c>
      <c r="C182" s="2"/>
      <c r="D182" s="1"/>
      <c r="E182" s="3"/>
      <c r="F182" s="1"/>
      <c r="G182" s="141">
        <f>IF(Basic[[#This Row],[نوع الخدمة]]="مخالفات", 50,
IF(Basic[[#This Row],[نوع الخدمة]]="كاش ان",
    IF(F182&lt;=100, 18, IF(F182&lt;=250, 23, IF(F182&lt;=500, 35, IF(F182&lt;=1000, 40, F182*0.04)))),
IF(Basic[[#This Row],[نوع الخدمة]]="كاش اوت",
    IF(F182&lt;=100, 15, IF(F182&lt;=250, 20, IF(F182&lt;=500, 30, IF(F182&lt;=1000, 35, F182*0.035)))),
0)))</f>
        <v>0</v>
      </c>
      <c r="H182" s="163">
        <f>IF(I182="مخالفات",50,Basic[[#This Row],[قيمة الرسوم / العموله]]+Basic[[#This Row],[قيمة الشحنه]])</f>
        <v>0</v>
      </c>
      <c r="I182" s="90"/>
      <c r="J182" s="142" t="str">
        <f t="shared" si="2"/>
        <v>31.5.2026</v>
      </c>
      <c r="L182" s="153">
        <v>171</v>
      </c>
      <c r="M182" s="92"/>
    </row>
    <row r="183" spans="1:13" ht="21.6" x14ac:dyDescent="0.65">
      <c r="A183" s="195"/>
      <c r="B183" s="140">
        <v>180</v>
      </c>
      <c r="C183" s="2"/>
      <c r="D183" s="1"/>
      <c r="E183" s="3"/>
      <c r="F183" s="1"/>
      <c r="G183" s="141">
        <f>IF(Basic[[#This Row],[نوع الخدمة]]="مخالفات", 50,
IF(Basic[[#This Row],[نوع الخدمة]]="كاش ان",
    IF(F183&lt;=100, 18, IF(F183&lt;=250, 23, IF(F183&lt;=500, 35, IF(F183&lt;=1000, 40, F183*0.04)))),
IF(Basic[[#This Row],[نوع الخدمة]]="كاش اوت",
    IF(F183&lt;=100, 15, IF(F183&lt;=250, 20, IF(F183&lt;=500, 30, IF(F183&lt;=1000, 35, F183*0.035)))),
0)))</f>
        <v>0</v>
      </c>
      <c r="H183" s="163">
        <f>IF(I183="مخالفات",50,Basic[[#This Row],[قيمة الرسوم / العموله]]+Basic[[#This Row],[قيمة الشحنه]])</f>
        <v>0</v>
      </c>
      <c r="I183" s="90"/>
      <c r="J183" s="142" t="str">
        <f t="shared" si="2"/>
        <v>31.5.2026</v>
      </c>
      <c r="L183" s="153">
        <v>172</v>
      </c>
      <c r="M183" s="92"/>
    </row>
    <row r="184" spans="1:13" ht="21.6" x14ac:dyDescent="0.65">
      <c r="A184" s="195"/>
      <c r="B184" s="140">
        <v>181</v>
      </c>
      <c r="C184" s="2"/>
      <c r="D184" s="1"/>
      <c r="E184" s="3"/>
      <c r="F184" s="1"/>
      <c r="G184" s="141">
        <f>IF(Basic[[#This Row],[نوع الخدمة]]="مخالفات", 50,
IF(Basic[[#This Row],[نوع الخدمة]]="كاش ان",
    IF(F184&lt;=100, 18, IF(F184&lt;=250, 23, IF(F184&lt;=500, 35, IF(F184&lt;=1000, 40, F184*0.04)))),
IF(Basic[[#This Row],[نوع الخدمة]]="كاش اوت",
    IF(F184&lt;=100, 15, IF(F184&lt;=250, 20, IF(F184&lt;=500, 30, IF(F184&lt;=1000, 35, F184*0.035)))),
0)))</f>
        <v>0</v>
      </c>
      <c r="H184" s="163">
        <f>IF(I184="مخالفات",50,Basic[[#This Row],[قيمة الرسوم / العموله]]+Basic[[#This Row],[قيمة الشحنه]])</f>
        <v>0</v>
      </c>
      <c r="I184" s="90"/>
      <c r="J184" s="142" t="str">
        <f t="shared" si="2"/>
        <v>31.5.2026</v>
      </c>
      <c r="L184" s="153">
        <v>173</v>
      </c>
      <c r="M184" s="92"/>
    </row>
    <row r="185" spans="1:13" ht="21.6" x14ac:dyDescent="0.65">
      <c r="A185" s="195"/>
      <c r="B185" s="144">
        <v>182</v>
      </c>
      <c r="C185" s="2"/>
      <c r="D185" s="1"/>
      <c r="E185" s="3"/>
      <c r="F185" s="1"/>
      <c r="G185" s="141">
        <f>IF(Basic[[#This Row],[نوع الخدمة]]="مخالفات", 50,
IF(Basic[[#This Row],[نوع الخدمة]]="كاش ان",
    IF(F185&lt;=100, 18, IF(F185&lt;=250, 23, IF(F185&lt;=500, 35, IF(F185&lt;=1000, 40, F185*0.04)))),
IF(Basic[[#This Row],[نوع الخدمة]]="كاش اوت",
    IF(F185&lt;=100, 15, IF(F185&lt;=250, 20, IF(F185&lt;=500, 30, IF(F185&lt;=1000, 35, F185*0.035)))),
0)))</f>
        <v>0</v>
      </c>
      <c r="H185" s="163">
        <f>IF(I185="مخالفات",50,Basic[[#This Row],[قيمة الرسوم / العموله]]+Basic[[#This Row],[قيمة الشحنه]])</f>
        <v>0</v>
      </c>
      <c r="I185" s="90"/>
      <c r="J185" s="142" t="str">
        <f t="shared" si="2"/>
        <v>31.5.2026</v>
      </c>
      <c r="L185" s="153">
        <v>174</v>
      </c>
      <c r="M185" s="92"/>
    </row>
    <row r="186" spans="1:13" ht="21.6" x14ac:dyDescent="0.65">
      <c r="A186" s="195"/>
      <c r="B186" s="140">
        <v>183</v>
      </c>
      <c r="C186" s="2"/>
      <c r="D186" s="1"/>
      <c r="E186" s="3"/>
      <c r="F186" s="1"/>
      <c r="G186" s="141">
        <f>IF(Basic[[#This Row],[نوع الخدمة]]="مخالفات", 50,
IF(Basic[[#This Row],[نوع الخدمة]]="كاش ان",
    IF(F186&lt;=100, 18, IF(F186&lt;=250, 23, IF(F186&lt;=500, 35, IF(F186&lt;=1000, 40, F186*0.04)))),
IF(Basic[[#This Row],[نوع الخدمة]]="كاش اوت",
    IF(F186&lt;=100, 15, IF(F186&lt;=250, 20, IF(F186&lt;=500, 30, IF(F186&lt;=1000, 35, F186*0.035)))),
0)))</f>
        <v>0</v>
      </c>
      <c r="H186" s="163">
        <f>IF(I186="مخالفات",50,Basic[[#This Row],[قيمة الرسوم / العموله]]+Basic[[#This Row],[قيمة الشحنه]])</f>
        <v>0</v>
      </c>
      <c r="I186" s="90"/>
      <c r="J186" s="142" t="str">
        <f t="shared" si="2"/>
        <v>31.5.2026</v>
      </c>
      <c r="L186" s="153">
        <v>175</v>
      </c>
      <c r="M186" s="92"/>
    </row>
    <row r="187" spans="1:13" ht="21.6" x14ac:dyDescent="0.65">
      <c r="A187" s="195"/>
      <c r="B187" s="140">
        <v>184</v>
      </c>
      <c r="C187" s="2"/>
      <c r="D187" s="1"/>
      <c r="E187" s="3"/>
      <c r="F187" s="1"/>
      <c r="G187" s="141">
        <f>IF(Basic[[#This Row],[نوع الخدمة]]="مخالفات", 50,
IF(Basic[[#This Row],[نوع الخدمة]]="كاش ان",
    IF(F187&lt;=100, 18, IF(F187&lt;=250, 23, IF(F187&lt;=500, 35, IF(F187&lt;=1000, 40, F187*0.04)))),
IF(Basic[[#This Row],[نوع الخدمة]]="كاش اوت",
    IF(F187&lt;=100, 15, IF(F187&lt;=250, 20, IF(F187&lt;=500, 30, IF(F187&lt;=1000, 35, F187*0.035)))),
0)))</f>
        <v>0</v>
      </c>
      <c r="H187" s="163">
        <f>IF(I187="مخالفات",50,Basic[[#This Row],[قيمة الرسوم / العموله]]+Basic[[#This Row],[قيمة الشحنه]])</f>
        <v>0</v>
      </c>
      <c r="I187" s="90"/>
      <c r="J187" s="142" t="str">
        <f t="shared" si="2"/>
        <v>31.5.2026</v>
      </c>
      <c r="L187" s="153">
        <v>176</v>
      </c>
      <c r="M187" s="92"/>
    </row>
    <row r="188" spans="1:13" ht="21.6" x14ac:dyDescent="0.65">
      <c r="A188" s="195"/>
      <c r="B188" s="140">
        <v>185</v>
      </c>
      <c r="C188" s="2"/>
      <c r="D188" s="1"/>
      <c r="E188" s="3"/>
      <c r="F188" s="1"/>
      <c r="G188" s="141">
        <f>IF(Basic[[#This Row],[نوع الخدمة]]="مخالفات", 50,
IF(Basic[[#This Row],[نوع الخدمة]]="كاش ان",
    IF(F188&lt;=100, 18, IF(F188&lt;=250, 23, IF(F188&lt;=500, 35, IF(F188&lt;=1000, 40, F188*0.04)))),
IF(Basic[[#This Row],[نوع الخدمة]]="كاش اوت",
    IF(F188&lt;=100, 15, IF(F188&lt;=250, 20, IF(F188&lt;=500, 30, IF(F188&lt;=1000, 35, F188*0.035)))),
0)))</f>
        <v>0</v>
      </c>
      <c r="H188" s="163">
        <f>IF(I188="مخالفات",50,Basic[[#This Row],[قيمة الرسوم / العموله]]+Basic[[#This Row],[قيمة الشحنه]])</f>
        <v>0</v>
      </c>
      <c r="I188" s="90"/>
      <c r="J188" s="142" t="str">
        <f t="shared" si="2"/>
        <v>31.5.2026</v>
      </c>
      <c r="L188" s="153">
        <v>177</v>
      </c>
      <c r="M188" s="92"/>
    </row>
    <row r="189" spans="1:13" ht="21.6" x14ac:dyDescent="0.65">
      <c r="A189" s="195"/>
      <c r="B189" s="144">
        <v>186</v>
      </c>
      <c r="C189" s="2"/>
      <c r="D189" s="1"/>
      <c r="E189" s="3"/>
      <c r="F189" s="1"/>
      <c r="G189" s="141">
        <f>IF(Basic[[#This Row],[نوع الخدمة]]="مخالفات", 50,
IF(Basic[[#This Row],[نوع الخدمة]]="كاش ان",
    IF(F189&lt;=100, 18, IF(F189&lt;=250, 23, IF(F189&lt;=500, 35, IF(F189&lt;=1000, 40, F189*0.04)))),
IF(Basic[[#This Row],[نوع الخدمة]]="كاش اوت",
    IF(F189&lt;=100, 15, IF(F189&lt;=250, 20, IF(F189&lt;=500, 30, IF(F189&lt;=1000, 35, F189*0.035)))),
0)))</f>
        <v>0</v>
      </c>
      <c r="H189" s="163">
        <f>IF(I189="مخالفات",50,Basic[[#This Row],[قيمة الرسوم / العموله]]+Basic[[#This Row],[قيمة الشحنه]])</f>
        <v>0</v>
      </c>
      <c r="I189" s="90"/>
      <c r="J189" s="142" t="str">
        <f t="shared" si="2"/>
        <v>31.5.2026</v>
      </c>
      <c r="L189" s="153">
        <v>178</v>
      </c>
      <c r="M189" s="92"/>
    </row>
    <row r="190" spans="1:13" ht="21.6" x14ac:dyDescent="0.65">
      <c r="A190" s="195"/>
      <c r="B190" s="140">
        <v>187</v>
      </c>
      <c r="C190" s="2"/>
      <c r="D190" s="1"/>
      <c r="E190" s="3"/>
      <c r="F190" s="1"/>
      <c r="G190" s="141">
        <f>IF(Basic[[#This Row],[نوع الخدمة]]="مخالفات", 50,
IF(Basic[[#This Row],[نوع الخدمة]]="كاش ان",
    IF(F190&lt;=100, 18, IF(F190&lt;=250, 23, IF(F190&lt;=500, 35, IF(F190&lt;=1000, 40, F190*0.04)))),
IF(Basic[[#This Row],[نوع الخدمة]]="كاش اوت",
    IF(F190&lt;=100, 15, IF(F190&lt;=250, 20, IF(F190&lt;=500, 30, IF(F190&lt;=1000, 35, F190*0.035)))),
0)))</f>
        <v>0</v>
      </c>
      <c r="H190" s="163">
        <f>IF(I190="مخالفات",50,Basic[[#This Row],[قيمة الرسوم / العموله]]+Basic[[#This Row],[قيمة الشحنه]])</f>
        <v>0</v>
      </c>
      <c r="I190" s="90"/>
      <c r="J190" s="142" t="str">
        <f t="shared" si="2"/>
        <v>31.5.2026</v>
      </c>
      <c r="L190" s="153">
        <v>179</v>
      </c>
      <c r="M190" s="92"/>
    </row>
    <row r="191" spans="1:13" ht="21.6" x14ac:dyDescent="0.65">
      <c r="A191" s="195"/>
      <c r="B191" s="140">
        <v>188</v>
      </c>
      <c r="C191" s="2"/>
      <c r="D191" s="1"/>
      <c r="E191" s="3"/>
      <c r="F191" s="1"/>
      <c r="G191" s="141">
        <f>IF(Basic[[#This Row],[نوع الخدمة]]="مخالفات", 50,
IF(Basic[[#This Row],[نوع الخدمة]]="كاش ان",
    IF(F191&lt;=100, 18, IF(F191&lt;=250, 23, IF(F191&lt;=500, 35, IF(F191&lt;=1000, 40, F191*0.04)))),
IF(Basic[[#This Row],[نوع الخدمة]]="كاش اوت",
    IF(F191&lt;=100, 15, IF(F191&lt;=250, 20, IF(F191&lt;=500, 30, IF(F191&lt;=1000, 35, F191*0.035)))),
0)))</f>
        <v>0</v>
      </c>
      <c r="H191" s="163">
        <f>IF(I191="مخالفات",50,Basic[[#This Row],[قيمة الرسوم / العموله]]+Basic[[#This Row],[قيمة الشحنه]])</f>
        <v>0</v>
      </c>
      <c r="I191" s="90"/>
      <c r="J191" s="142" t="str">
        <f t="shared" si="2"/>
        <v>31.5.2026</v>
      </c>
      <c r="L191" s="153">
        <v>180</v>
      </c>
      <c r="M191" s="92"/>
    </row>
    <row r="192" spans="1:13" ht="21.6" x14ac:dyDescent="0.65">
      <c r="A192" s="195"/>
      <c r="B192" s="140">
        <v>189</v>
      </c>
      <c r="C192" s="2"/>
      <c r="D192" s="1"/>
      <c r="E192" s="3"/>
      <c r="F192" s="1"/>
      <c r="G192" s="141">
        <f>IF(Basic[[#This Row],[نوع الخدمة]]="مخالفات", 50,
IF(Basic[[#This Row],[نوع الخدمة]]="كاش ان",
    IF(F192&lt;=100, 18, IF(F192&lt;=250, 23, IF(F192&lt;=500, 35, IF(F192&lt;=1000, 40, F192*0.04)))),
IF(Basic[[#This Row],[نوع الخدمة]]="كاش اوت",
    IF(F192&lt;=100, 15, IF(F192&lt;=250, 20, IF(F192&lt;=500, 30, IF(F192&lt;=1000, 35, F192*0.035)))),
0)))</f>
        <v>0</v>
      </c>
      <c r="H192" s="163">
        <f>IF(I192="مخالفات",50,Basic[[#This Row],[قيمة الرسوم / العموله]]+Basic[[#This Row],[قيمة الشحنه]])</f>
        <v>0</v>
      </c>
      <c r="I192" s="90"/>
      <c r="J192" s="142" t="str">
        <f t="shared" si="2"/>
        <v>31.5.2026</v>
      </c>
      <c r="L192" s="153">
        <v>181</v>
      </c>
      <c r="M192" s="92"/>
    </row>
    <row r="193" spans="1:13" ht="21.6" x14ac:dyDescent="0.65">
      <c r="A193" s="195"/>
      <c r="B193" s="144">
        <v>190</v>
      </c>
      <c r="C193" s="2"/>
      <c r="D193" s="1"/>
      <c r="E193" s="3"/>
      <c r="F193" s="1"/>
      <c r="G193" s="141">
        <f>IF(Basic[[#This Row],[نوع الخدمة]]="مخالفات", 50,
IF(Basic[[#This Row],[نوع الخدمة]]="كاش ان",
    IF(F193&lt;=100, 18, IF(F193&lt;=250, 23, IF(F193&lt;=500, 35, IF(F193&lt;=1000, 40, F193*0.04)))),
IF(Basic[[#This Row],[نوع الخدمة]]="كاش اوت",
    IF(F193&lt;=100, 15, IF(F193&lt;=250, 20, IF(F193&lt;=500, 30, IF(F193&lt;=1000, 35, F193*0.035)))),
0)))</f>
        <v>0</v>
      </c>
      <c r="H193" s="163">
        <f>IF(I193="مخالفات",50,Basic[[#This Row],[قيمة الرسوم / العموله]]+Basic[[#This Row],[قيمة الشحنه]])</f>
        <v>0</v>
      </c>
      <c r="I193" s="90"/>
      <c r="J193" s="142" t="str">
        <f t="shared" si="2"/>
        <v>31.5.2026</v>
      </c>
      <c r="L193" s="153">
        <v>182</v>
      </c>
      <c r="M193" s="92"/>
    </row>
    <row r="194" spans="1:13" ht="21.6" x14ac:dyDescent="0.65">
      <c r="A194" s="195"/>
      <c r="B194" s="140">
        <v>191</v>
      </c>
      <c r="C194" s="2"/>
      <c r="D194" s="1"/>
      <c r="E194" s="3"/>
      <c r="F194" s="1"/>
      <c r="G194" s="141">
        <f>IF(Basic[[#This Row],[نوع الخدمة]]="مخالفات", 50,
IF(Basic[[#This Row],[نوع الخدمة]]="كاش ان",
    IF(F194&lt;=100, 18, IF(F194&lt;=250, 23, IF(F194&lt;=500, 35, IF(F194&lt;=1000, 40, F194*0.04)))),
IF(Basic[[#This Row],[نوع الخدمة]]="كاش اوت",
    IF(F194&lt;=100, 15, IF(F194&lt;=250, 20, IF(F194&lt;=500, 30, IF(F194&lt;=1000, 35, F194*0.035)))),
0)))</f>
        <v>0</v>
      </c>
      <c r="H194" s="163">
        <f>IF(I194="مخالفات",50,Basic[[#This Row],[قيمة الرسوم / العموله]]+Basic[[#This Row],[قيمة الشحنه]])</f>
        <v>0</v>
      </c>
      <c r="I194" s="90"/>
      <c r="J194" s="142" t="str">
        <f t="shared" si="2"/>
        <v>31.5.2026</v>
      </c>
      <c r="L194" s="153">
        <v>183</v>
      </c>
      <c r="M194" s="92"/>
    </row>
    <row r="195" spans="1:13" ht="21.6" x14ac:dyDescent="0.65">
      <c r="A195" s="195"/>
      <c r="B195" s="140">
        <v>192</v>
      </c>
      <c r="C195" s="2"/>
      <c r="D195" s="1"/>
      <c r="E195" s="3"/>
      <c r="F195" s="1"/>
      <c r="G195" s="141">
        <f>IF(Basic[[#This Row],[نوع الخدمة]]="مخالفات", 50,
IF(Basic[[#This Row],[نوع الخدمة]]="كاش ان",
    IF(F195&lt;=100, 18, IF(F195&lt;=250, 23, IF(F195&lt;=500, 35, IF(F195&lt;=1000, 40, F195*0.04)))),
IF(Basic[[#This Row],[نوع الخدمة]]="كاش اوت",
    IF(F195&lt;=100, 15, IF(F195&lt;=250, 20, IF(F195&lt;=500, 30, IF(F195&lt;=1000, 35, F195*0.035)))),
0)))</f>
        <v>0</v>
      </c>
      <c r="H195" s="163">
        <f>IF(I195="مخالفات",50,Basic[[#This Row],[قيمة الرسوم / العموله]]+Basic[[#This Row],[قيمة الشحنه]])</f>
        <v>0</v>
      </c>
      <c r="I195" s="90"/>
      <c r="J195" s="142" t="str">
        <f t="shared" si="2"/>
        <v>31.5.2026</v>
      </c>
      <c r="L195" s="153">
        <v>184</v>
      </c>
      <c r="M195" s="92"/>
    </row>
    <row r="196" spans="1:13" ht="21.6" x14ac:dyDescent="0.65">
      <c r="A196" s="195"/>
      <c r="B196" s="140">
        <v>193</v>
      </c>
      <c r="C196" s="2"/>
      <c r="D196" s="1"/>
      <c r="E196" s="3"/>
      <c r="F196" s="1"/>
      <c r="G196" s="141">
        <f>IF(Basic[[#This Row],[نوع الخدمة]]="مخالفات", 50,
IF(Basic[[#This Row],[نوع الخدمة]]="كاش ان",
    IF(F196&lt;=100, 18, IF(F196&lt;=250, 23, IF(F196&lt;=500, 35, IF(F196&lt;=1000, 40, F196*0.04)))),
IF(Basic[[#This Row],[نوع الخدمة]]="كاش اوت",
    IF(F196&lt;=100, 15, IF(F196&lt;=250, 20, IF(F196&lt;=500, 30, IF(F196&lt;=1000, 35, F196*0.035)))),
0)))</f>
        <v>0</v>
      </c>
      <c r="H196" s="163">
        <f>IF(I196="مخالفات",50,Basic[[#This Row],[قيمة الرسوم / العموله]]+Basic[[#This Row],[قيمة الشحنه]])</f>
        <v>0</v>
      </c>
      <c r="I196" s="90"/>
      <c r="J196" s="142" t="str">
        <f t="shared" ref="J196:J226" si="3">M$3</f>
        <v>31.5.2026</v>
      </c>
      <c r="L196" s="153">
        <v>185</v>
      </c>
      <c r="M196" s="92"/>
    </row>
    <row r="197" spans="1:13" ht="21.6" x14ac:dyDescent="0.65">
      <c r="A197" s="195"/>
      <c r="B197" s="144">
        <v>194</v>
      </c>
      <c r="C197" s="2"/>
      <c r="D197" s="1"/>
      <c r="E197" s="3"/>
      <c r="F197" s="1"/>
      <c r="G197" s="141">
        <f>IF(Basic[[#This Row],[نوع الخدمة]]="مخالفات", 50,
IF(Basic[[#This Row],[نوع الخدمة]]="كاش ان",
    IF(F197&lt;=100, 18, IF(F197&lt;=250, 23, IF(F197&lt;=500, 35, IF(F197&lt;=1000, 40, F197*0.04)))),
IF(Basic[[#This Row],[نوع الخدمة]]="كاش اوت",
    IF(F197&lt;=100, 15, IF(F197&lt;=250, 20, IF(F197&lt;=500, 30, IF(F197&lt;=1000, 35, F197*0.035)))),
0)))</f>
        <v>0</v>
      </c>
      <c r="H197" s="163">
        <f>IF(I197="مخالفات",50,Basic[[#This Row],[قيمة الرسوم / العموله]]+Basic[[#This Row],[قيمة الشحنه]])</f>
        <v>0</v>
      </c>
      <c r="I197" s="90"/>
      <c r="J197" s="142" t="str">
        <f t="shared" si="3"/>
        <v>31.5.2026</v>
      </c>
      <c r="L197" s="153">
        <v>186</v>
      </c>
      <c r="M197" s="92"/>
    </row>
    <row r="198" spans="1:13" ht="21.6" x14ac:dyDescent="0.65">
      <c r="A198" s="195"/>
      <c r="B198" s="140">
        <v>195</v>
      </c>
      <c r="C198" s="2"/>
      <c r="D198" s="1"/>
      <c r="E198" s="3"/>
      <c r="F198" s="1"/>
      <c r="G198" s="141">
        <f>IF(Basic[[#This Row],[نوع الخدمة]]="مخالفات", 50,
IF(Basic[[#This Row],[نوع الخدمة]]="كاش ان",
    IF(F198&lt;=100, 18, IF(F198&lt;=250, 23, IF(F198&lt;=500, 35, IF(F198&lt;=1000, 40, F198*0.04)))),
IF(Basic[[#This Row],[نوع الخدمة]]="كاش اوت",
    IF(F198&lt;=100, 15, IF(F198&lt;=250, 20, IF(F198&lt;=500, 30, IF(F198&lt;=1000, 35, F198*0.035)))),
0)))</f>
        <v>0</v>
      </c>
      <c r="H198" s="163">
        <f>IF(I198="مخالفات",50,Basic[[#This Row],[قيمة الرسوم / العموله]]+Basic[[#This Row],[قيمة الشحنه]])</f>
        <v>0</v>
      </c>
      <c r="I198" s="90"/>
      <c r="J198" s="142" t="str">
        <f t="shared" si="3"/>
        <v>31.5.2026</v>
      </c>
      <c r="L198" s="153">
        <v>187</v>
      </c>
      <c r="M198" s="92"/>
    </row>
    <row r="199" spans="1:13" ht="21.6" x14ac:dyDescent="0.65">
      <c r="A199" s="195"/>
      <c r="B199" s="140">
        <v>196</v>
      </c>
      <c r="C199" s="2"/>
      <c r="D199" s="1"/>
      <c r="E199" s="3"/>
      <c r="F199" s="1"/>
      <c r="G199" s="141">
        <f>IF(Basic[[#This Row],[نوع الخدمة]]="مخالفات", 50,
IF(Basic[[#This Row],[نوع الخدمة]]="كاش ان",
    IF(F199&lt;=100, 18, IF(F199&lt;=250, 23, IF(F199&lt;=500, 35, IF(F199&lt;=1000, 40, F199*0.04)))),
IF(Basic[[#This Row],[نوع الخدمة]]="كاش اوت",
    IF(F199&lt;=100, 15, IF(F199&lt;=250, 20, IF(F199&lt;=500, 30, IF(F199&lt;=1000, 35, F199*0.035)))),
0)))</f>
        <v>0</v>
      </c>
      <c r="H199" s="163">
        <f>IF(I199="مخالفات",50,Basic[[#This Row],[قيمة الرسوم / العموله]]+Basic[[#This Row],[قيمة الشحنه]])</f>
        <v>0</v>
      </c>
      <c r="I199" s="90"/>
      <c r="J199" s="142" t="str">
        <f t="shared" si="3"/>
        <v>31.5.2026</v>
      </c>
      <c r="L199" s="153">
        <v>188</v>
      </c>
      <c r="M199" s="92"/>
    </row>
    <row r="200" spans="1:13" ht="21.6" x14ac:dyDescent="0.65">
      <c r="A200" s="195"/>
      <c r="B200" s="140">
        <v>197</v>
      </c>
      <c r="C200" s="2"/>
      <c r="D200" s="1"/>
      <c r="E200" s="3"/>
      <c r="F200" s="1"/>
      <c r="G200" s="141">
        <f>IF(Basic[[#This Row],[نوع الخدمة]]="مخالفات", 50,
IF(Basic[[#This Row],[نوع الخدمة]]="كاش ان",
    IF(F200&lt;=100, 18, IF(F200&lt;=250, 23, IF(F200&lt;=500, 35, IF(F200&lt;=1000, 40, F200*0.04)))),
IF(Basic[[#This Row],[نوع الخدمة]]="كاش اوت",
    IF(F200&lt;=100, 15, IF(F200&lt;=250, 20, IF(F200&lt;=500, 30, IF(F200&lt;=1000, 35, F200*0.035)))),
0)))</f>
        <v>0</v>
      </c>
      <c r="H200" s="163">
        <f>IF(I200="مخالفات",50,Basic[[#This Row],[قيمة الرسوم / العموله]]+Basic[[#This Row],[قيمة الشحنه]])</f>
        <v>0</v>
      </c>
      <c r="I200" s="90"/>
      <c r="J200" s="142" t="str">
        <f t="shared" si="3"/>
        <v>31.5.2026</v>
      </c>
      <c r="L200" s="153">
        <v>189</v>
      </c>
      <c r="M200" s="92"/>
    </row>
    <row r="201" spans="1:13" ht="21.6" x14ac:dyDescent="0.65">
      <c r="A201" s="195"/>
      <c r="B201" s="144">
        <v>198</v>
      </c>
      <c r="C201" s="2"/>
      <c r="D201" s="1"/>
      <c r="E201" s="3"/>
      <c r="F201" s="1"/>
      <c r="G201" s="141">
        <f>IF(Basic[[#This Row],[نوع الخدمة]]="مخالفات", 50,
IF(Basic[[#This Row],[نوع الخدمة]]="كاش ان",
    IF(F201&lt;=100, 18, IF(F201&lt;=250, 23, IF(F201&lt;=500, 35, IF(F201&lt;=1000, 40, F201*0.04)))),
IF(Basic[[#This Row],[نوع الخدمة]]="كاش اوت",
    IF(F201&lt;=100, 15, IF(F201&lt;=250, 20, IF(F201&lt;=500, 30, IF(F201&lt;=1000, 35, F201*0.035)))),
0)))</f>
        <v>0</v>
      </c>
      <c r="H201" s="163">
        <f>IF(I201="مخالفات",50,Basic[[#This Row],[قيمة الرسوم / العموله]]+Basic[[#This Row],[قيمة الشحنه]])</f>
        <v>0</v>
      </c>
      <c r="I201" s="90"/>
      <c r="J201" s="142" t="str">
        <f t="shared" si="3"/>
        <v>31.5.2026</v>
      </c>
      <c r="L201" s="153">
        <v>190</v>
      </c>
      <c r="M201" s="92"/>
    </row>
    <row r="202" spans="1:13" ht="21.6" x14ac:dyDescent="0.65">
      <c r="A202" s="195"/>
      <c r="B202" s="140">
        <v>199</v>
      </c>
      <c r="C202" s="2"/>
      <c r="D202" s="1"/>
      <c r="E202" s="3"/>
      <c r="F202" s="1"/>
      <c r="G202" s="141">
        <f>IF(Basic[[#This Row],[نوع الخدمة]]="مخالفات", 50,
IF(Basic[[#This Row],[نوع الخدمة]]="كاش ان",
    IF(F202&lt;=100, 18, IF(F202&lt;=250, 23, IF(F202&lt;=500, 35, IF(F202&lt;=1000, 40, F202*0.04)))),
IF(Basic[[#This Row],[نوع الخدمة]]="كاش اوت",
    IF(F202&lt;=100, 15, IF(F202&lt;=250, 20, IF(F202&lt;=500, 30, IF(F202&lt;=1000, 35, F202*0.035)))),
0)))</f>
        <v>0</v>
      </c>
      <c r="H202" s="163">
        <f>IF(I202="مخالفات",50,Basic[[#This Row],[قيمة الرسوم / العموله]]+Basic[[#This Row],[قيمة الشحنه]])</f>
        <v>0</v>
      </c>
      <c r="I202" s="90"/>
      <c r="J202" s="142" t="str">
        <f t="shared" si="3"/>
        <v>31.5.2026</v>
      </c>
      <c r="L202" s="153">
        <v>191</v>
      </c>
      <c r="M202" s="92"/>
    </row>
    <row r="203" spans="1:13" ht="21.6" x14ac:dyDescent="0.65">
      <c r="A203" s="195"/>
      <c r="B203" s="140">
        <v>200</v>
      </c>
      <c r="C203" s="2"/>
      <c r="D203" s="1"/>
      <c r="E203" s="3"/>
      <c r="F203" s="1"/>
      <c r="G203" s="141">
        <f>IF(Basic[[#This Row],[نوع الخدمة]]="مخالفات", 50,
IF(Basic[[#This Row],[نوع الخدمة]]="كاش ان",
    IF(F203&lt;=100, 18, IF(F203&lt;=250, 23, IF(F203&lt;=500, 35, IF(F203&lt;=1000, 40, F203*0.04)))),
IF(Basic[[#This Row],[نوع الخدمة]]="كاش اوت",
    IF(F203&lt;=100, 15, IF(F203&lt;=250, 20, IF(F203&lt;=500, 30, IF(F203&lt;=1000, 35, F203*0.035)))),
0)))</f>
        <v>0</v>
      </c>
      <c r="H203" s="163">
        <f>IF(I203="مخالفات",50,Basic[[#This Row],[قيمة الرسوم / العموله]]+Basic[[#This Row],[قيمة الشحنه]])</f>
        <v>0</v>
      </c>
      <c r="I203" s="90"/>
      <c r="J203" s="142" t="str">
        <f t="shared" si="3"/>
        <v>31.5.2026</v>
      </c>
      <c r="L203" s="153">
        <v>192</v>
      </c>
      <c r="M203" s="92"/>
    </row>
    <row r="204" spans="1:13" ht="21.6" x14ac:dyDescent="0.65">
      <c r="A204" s="195"/>
      <c r="B204" s="140">
        <v>201</v>
      </c>
      <c r="C204" s="2"/>
      <c r="D204" s="1"/>
      <c r="E204" s="3"/>
      <c r="F204" s="1"/>
      <c r="G204" s="141">
        <f>IF(Basic[[#This Row],[نوع الخدمة]]="مخالفات", 50,
IF(Basic[[#This Row],[نوع الخدمة]]="كاش ان",
    IF(F204&lt;=100, 18, IF(F204&lt;=250, 23, IF(F204&lt;=500, 35, IF(F204&lt;=1000, 40, F204*0.04)))),
IF(Basic[[#This Row],[نوع الخدمة]]="كاش اوت",
    IF(F204&lt;=100, 15, IF(F204&lt;=250, 20, IF(F204&lt;=500, 30, IF(F204&lt;=1000, 35, F204*0.035)))),
0)))</f>
        <v>0</v>
      </c>
      <c r="H204" s="163">
        <f>IF(I204="مخالفات",50,Basic[[#This Row],[قيمة الرسوم / العموله]]+Basic[[#This Row],[قيمة الشحنه]])</f>
        <v>0</v>
      </c>
      <c r="I204" s="90"/>
      <c r="J204" s="142" t="str">
        <f t="shared" si="3"/>
        <v>31.5.2026</v>
      </c>
      <c r="L204" s="153">
        <v>193</v>
      </c>
      <c r="M204" s="92"/>
    </row>
    <row r="205" spans="1:13" ht="21.6" x14ac:dyDescent="0.65">
      <c r="A205" s="195"/>
      <c r="B205" s="144">
        <v>202</v>
      </c>
      <c r="C205" s="2"/>
      <c r="D205" s="1"/>
      <c r="E205" s="3"/>
      <c r="F205" s="1"/>
      <c r="G205" s="141">
        <f>IF(Basic[[#This Row],[نوع الخدمة]]="مخالفات", 50,
IF(Basic[[#This Row],[نوع الخدمة]]="كاش ان",
    IF(F205&lt;=100, 18, IF(F205&lt;=250, 23, IF(F205&lt;=500, 35, IF(F205&lt;=1000, 40, F205*0.04)))),
IF(Basic[[#This Row],[نوع الخدمة]]="كاش اوت",
    IF(F205&lt;=100, 15, IF(F205&lt;=250, 20, IF(F205&lt;=500, 30, IF(F205&lt;=1000, 35, F205*0.035)))),
0)))</f>
        <v>0</v>
      </c>
      <c r="H205" s="163">
        <f>IF(I205="مخالفات",50,Basic[[#This Row],[قيمة الرسوم / العموله]]+Basic[[#This Row],[قيمة الشحنه]])</f>
        <v>0</v>
      </c>
      <c r="I205" s="90"/>
      <c r="J205" s="142" t="str">
        <f t="shared" si="3"/>
        <v>31.5.2026</v>
      </c>
      <c r="L205" s="153">
        <v>194</v>
      </c>
      <c r="M205" s="92"/>
    </row>
    <row r="206" spans="1:13" ht="21.6" x14ac:dyDescent="0.65">
      <c r="A206" s="195"/>
      <c r="B206" s="140">
        <v>203</v>
      </c>
      <c r="C206" s="2"/>
      <c r="D206" s="1"/>
      <c r="E206" s="3"/>
      <c r="F206" s="1"/>
      <c r="G206" s="141">
        <f>IF(Basic[[#This Row],[نوع الخدمة]]="مخالفات", 50,
IF(Basic[[#This Row],[نوع الخدمة]]="كاش ان",
    IF(F206&lt;=100, 18, IF(F206&lt;=250, 23, IF(F206&lt;=500, 35, IF(F206&lt;=1000, 40, F206*0.04)))),
IF(Basic[[#This Row],[نوع الخدمة]]="كاش اوت",
    IF(F206&lt;=100, 15, IF(F206&lt;=250, 20, IF(F206&lt;=500, 30, IF(F206&lt;=1000, 35, F206*0.035)))),
0)))</f>
        <v>0</v>
      </c>
      <c r="H206" s="163">
        <f>IF(I206="مخالفات",50,Basic[[#This Row],[قيمة الرسوم / العموله]]+Basic[[#This Row],[قيمة الشحنه]])</f>
        <v>0</v>
      </c>
      <c r="I206" s="90"/>
      <c r="J206" s="142" t="str">
        <f t="shared" si="3"/>
        <v>31.5.2026</v>
      </c>
      <c r="L206" s="153">
        <v>195</v>
      </c>
      <c r="M206" s="92"/>
    </row>
    <row r="207" spans="1:13" ht="21.6" x14ac:dyDescent="0.65">
      <c r="A207" s="195"/>
      <c r="B207" s="140">
        <v>204</v>
      </c>
      <c r="C207" s="2"/>
      <c r="D207" s="1"/>
      <c r="E207" s="3"/>
      <c r="F207" s="1"/>
      <c r="G207" s="141">
        <f>IF(Basic[[#This Row],[نوع الخدمة]]="مخالفات", 50,
IF(Basic[[#This Row],[نوع الخدمة]]="كاش ان",
    IF(F207&lt;=100, 18, IF(F207&lt;=250, 23, IF(F207&lt;=500, 35, IF(F207&lt;=1000, 40, F207*0.04)))),
IF(Basic[[#This Row],[نوع الخدمة]]="كاش اوت",
    IF(F207&lt;=100, 15, IF(F207&lt;=250, 20, IF(F207&lt;=500, 30, IF(F207&lt;=1000, 35, F207*0.035)))),
0)))</f>
        <v>0</v>
      </c>
      <c r="H207" s="163">
        <f>IF(I207="مخالفات",50,Basic[[#This Row],[قيمة الرسوم / العموله]]+Basic[[#This Row],[قيمة الشحنه]])</f>
        <v>0</v>
      </c>
      <c r="I207" s="90"/>
      <c r="J207" s="142" t="str">
        <f t="shared" si="3"/>
        <v>31.5.2026</v>
      </c>
      <c r="L207" s="153">
        <v>196</v>
      </c>
      <c r="M207" s="92"/>
    </row>
    <row r="208" spans="1:13" ht="21.6" x14ac:dyDescent="0.65">
      <c r="A208" s="195"/>
      <c r="B208" s="140">
        <v>205</v>
      </c>
      <c r="C208" s="2"/>
      <c r="D208" s="1"/>
      <c r="E208" s="3"/>
      <c r="F208" s="1"/>
      <c r="G208" s="141">
        <f>IF(Basic[[#This Row],[نوع الخدمة]]="مخالفات", 50,
IF(Basic[[#This Row],[نوع الخدمة]]="كاش ان",
    IF(F208&lt;=100, 18, IF(F208&lt;=250, 23, IF(F208&lt;=500, 35, IF(F208&lt;=1000, 40, F208*0.04)))),
IF(Basic[[#This Row],[نوع الخدمة]]="كاش اوت",
    IF(F208&lt;=100, 15, IF(F208&lt;=250, 20, IF(F208&lt;=500, 30, IF(F208&lt;=1000, 35, F208*0.035)))),
0)))</f>
        <v>0</v>
      </c>
      <c r="H208" s="163">
        <f>IF(I208="مخالفات",50,Basic[[#This Row],[قيمة الرسوم / العموله]]+Basic[[#This Row],[قيمة الشحنه]])</f>
        <v>0</v>
      </c>
      <c r="I208" s="90"/>
      <c r="J208" s="142" t="str">
        <f t="shared" si="3"/>
        <v>31.5.2026</v>
      </c>
      <c r="L208" s="153">
        <v>197</v>
      </c>
      <c r="M208" s="92"/>
    </row>
    <row r="209" spans="1:13" ht="21.6" x14ac:dyDescent="0.65">
      <c r="A209" s="195"/>
      <c r="B209" s="144">
        <v>206</v>
      </c>
      <c r="C209" s="2"/>
      <c r="D209" s="1"/>
      <c r="E209" s="3"/>
      <c r="F209" s="1"/>
      <c r="G209" s="141">
        <f>IF(Basic[[#This Row],[نوع الخدمة]]="مخالفات", 50,
IF(Basic[[#This Row],[نوع الخدمة]]="كاش ان",
    IF(F209&lt;=100, 18, IF(F209&lt;=250, 23, IF(F209&lt;=500, 35, IF(F209&lt;=1000, 40, F209*0.04)))),
IF(Basic[[#This Row],[نوع الخدمة]]="كاش اوت",
    IF(F209&lt;=100, 15, IF(F209&lt;=250, 20, IF(F209&lt;=500, 30, IF(F209&lt;=1000, 35, F209*0.035)))),
0)))</f>
        <v>0</v>
      </c>
      <c r="H209" s="163">
        <f>IF(I209="مخالفات",50,Basic[[#This Row],[قيمة الرسوم / العموله]]+Basic[[#This Row],[قيمة الشحنه]])</f>
        <v>0</v>
      </c>
      <c r="I209" s="90"/>
      <c r="J209" s="142" t="str">
        <f t="shared" si="3"/>
        <v>31.5.2026</v>
      </c>
      <c r="L209" s="153">
        <v>198</v>
      </c>
      <c r="M209" s="92"/>
    </row>
    <row r="210" spans="1:13" ht="21.6" x14ac:dyDescent="0.65">
      <c r="A210" s="195"/>
      <c r="B210" s="140">
        <v>207</v>
      </c>
      <c r="C210" s="2"/>
      <c r="D210" s="1"/>
      <c r="E210" s="3"/>
      <c r="F210" s="1"/>
      <c r="G210" s="141">
        <f>IF(Basic[[#This Row],[نوع الخدمة]]="مخالفات", 50,
IF(Basic[[#This Row],[نوع الخدمة]]="كاش ان",
    IF(F210&lt;=100, 18, IF(F210&lt;=250, 23, IF(F210&lt;=500, 35, IF(F210&lt;=1000, 40, F210*0.04)))),
IF(Basic[[#This Row],[نوع الخدمة]]="كاش اوت",
    IF(F210&lt;=100, 15, IF(F210&lt;=250, 20, IF(F210&lt;=500, 30, IF(F210&lt;=1000, 35, F210*0.035)))),
0)))</f>
        <v>0</v>
      </c>
      <c r="H210" s="163">
        <f>IF(I210="مخالفات",50,Basic[[#This Row],[قيمة الرسوم / العموله]]+Basic[[#This Row],[قيمة الشحنه]])</f>
        <v>0</v>
      </c>
      <c r="I210" s="90"/>
      <c r="J210" s="142" t="str">
        <f t="shared" si="3"/>
        <v>31.5.2026</v>
      </c>
      <c r="L210" s="153">
        <v>199</v>
      </c>
      <c r="M210" s="92"/>
    </row>
    <row r="211" spans="1:13" ht="21.6" x14ac:dyDescent="0.65">
      <c r="A211" s="195"/>
      <c r="B211" s="140">
        <v>208</v>
      </c>
      <c r="C211" s="2"/>
      <c r="D211" s="1"/>
      <c r="E211" s="3"/>
      <c r="F211" s="1"/>
      <c r="G211" s="141">
        <f>IF(Basic[[#This Row],[نوع الخدمة]]="مخالفات", 50,
IF(Basic[[#This Row],[نوع الخدمة]]="كاش ان",
    IF(F211&lt;=100, 18, IF(F211&lt;=250, 23, IF(F211&lt;=500, 35, IF(F211&lt;=1000, 40, F211*0.04)))),
IF(Basic[[#This Row],[نوع الخدمة]]="كاش اوت",
    IF(F211&lt;=100, 15, IF(F211&lt;=250, 20, IF(F211&lt;=500, 30, IF(F211&lt;=1000, 35, F211*0.035)))),
0)))</f>
        <v>0</v>
      </c>
      <c r="H211" s="163">
        <f>IF(I211="مخالفات",50,Basic[[#This Row],[قيمة الرسوم / العموله]]+Basic[[#This Row],[قيمة الشحنه]])</f>
        <v>0</v>
      </c>
      <c r="I211" s="90"/>
      <c r="J211" s="142" t="str">
        <f t="shared" si="3"/>
        <v>31.5.2026</v>
      </c>
      <c r="L211" s="153">
        <v>200</v>
      </c>
      <c r="M211" s="92"/>
    </row>
    <row r="212" spans="1:13" ht="21.6" x14ac:dyDescent="0.65">
      <c r="A212" s="195"/>
      <c r="B212" s="140">
        <v>209</v>
      </c>
      <c r="C212" s="2"/>
      <c r="D212" s="1"/>
      <c r="E212" s="3"/>
      <c r="F212" s="1"/>
      <c r="G212" s="141">
        <f>IF(Basic[[#This Row],[نوع الخدمة]]="مخالفات", 50,
IF(Basic[[#This Row],[نوع الخدمة]]="كاش ان",
    IF(F212&lt;=100, 18, IF(F212&lt;=250, 23, IF(F212&lt;=500, 35, IF(F212&lt;=1000, 40, F212*0.04)))),
IF(Basic[[#This Row],[نوع الخدمة]]="كاش اوت",
    IF(F212&lt;=100, 15, IF(F212&lt;=250, 20, IF(F212&lt;=500, 30, IF(F212&lt;=1000, 35, F212*0.035)))),
0)))</f>
        <v>0</v>
      </c>
      <c r="H212" s="163">
        <f>IF(I212="مخالفات",50,Basic[[#This Row],[قيمة الرسوم / العموله]]+Basic[[#This Row],[قيمة الشحنه]])</f>
        <v>0</v>
      </c>
      <c r="I212" s="90"/>
      <c r="J212" s="142" t="str">
        <f t="shared" si="3"/>
        <v>31.5.2026</v>
      </c>
      <c r="L212" s="153">
        <v>201</v>
      </c>
      <c r="M212" s="92"/>
    </row>
    <row r="213" spans="1:13" ht="21.6" x14ac:dyDescent="0.65">
      <c r="A213" s="195"/>
      <c r="B213" s="144">
        <v>210</v>
      </c>
      <c r="C213" s="2"/>
      <c r="D213" s="1"/>
      <c r="E213" s="3"/>
      <c r="F213" s="1"/>
      <c r="G213" s="141">
        <f>IF(Basic[[#This Row],[نوع الخدمة]]="مخالفات", 50,
IF(Basic[[#This Row],[نوع الخدمة]]="كاش ان",
    IF(F213&lt;=100, 18, IF(F213&lt;=250, 23, IF(F213&lt;=500, 35, IF(F213&lt;=1000, 40, F213*0.04)))),
IF(Basic[[#This Row],[نوع الخدمة]]="كاش اوت",
    IF(F213&lt;=100, 15, IF(F213&lt;=250, 20, IF(F213&lt;=500, 30, IF(F213&lt;=1000, 35, F213*0.035)))),
0)))</f>
        <v>0</v>
      </c>
      <c r="H213" s="163">
        <f>IF(I213="مخالفات",50,Basic[[#This Row],[قيمة الرسوم / العموله]]+Basic[[#This Row],[قيمة الشحنه]])</f>
        <v>0</v>
      </c>
      <c r="I213" s="90"/>
      <c r="J213" s="142" t="str">
        <f t="shared" si="3"/>
        <v>31.5.2026</v>
      </c>
      <c r="L213" s="153">
        <v>202</v>
      </c>
      <c r="M213" s="92"/>
    </row>
    <row r="214" spans="1:13" ht="21.6" x14ac:dyDescent="0.65">
      <c r="A214" s="195"/>
      <c r="B214" s="140">
        <v>211</v>
      </c>
      <c r="C214" s="2"/>
      <c r="D214" s="1"/>
      <c r="E214" s="3"/>
      <c r="F214" s="1"/>
      <c r="G214" s="141">
        <f>IF(Basic[[#This Row],[نوع الخدمة]]="مخالفات", 50,
IF(Basic[[#This Row],[نوع الخدمة]]="كاش ان",
    IF(F214&lt;=100, 18, IF(F214&lt;=250, 23, IF(F214&lt;=500, 35, IF(F214&lt;=1000, 40, F214*0.04)))),
IF(Basic[[#This Row],[نوع الخدمة]]="كاش اوت",
    IF(F214&lt;=100, 15, IF(F214&lt;=250, 20, IF(F214&lt;=500, 30, IF(F214&lt;=1000, 35, F214*0.035)))),
0)))</f>
        <v>0</v>
      </c>
      <c r="H214" s="163">
        <f>IF(I214="مخالفات",50,Basic[[#This Row],[قيمة الرسوم / العموله]]+Basic[[#This Row],[قيمة الشحنه]])</f>
        <v>0</v>
      </c>
      <c r="I214" s="90"/>
      <c r="J214" s="142" t="str">
        <f t="shared" si="3"/>
        <v>31.5.2026</v>
      </c>
      <c r="L214" s="153">
        <v>203</v>
      </c>
      <c r="M214" s="92"/>
    </row>
    <row r="215" spans="1:13" ht="21.6" x14ac:dyDescent="0.65">
      <c r="A215" s="195"/>
      <c r="B215" s="140">
        <v>212</v>
      </c>
      <c r="C215" s="2"/>
      <c r="D215" s="1"/>
      <c r="E215" s="3"/>
      <c r="F215" s="1"/>
      <c r="G215" s="141">
        <f>IF(Basic[[#This Row],[نوع الخدمة]]="مخالفات", 50,
IF(Basic[[#This Row],[نوع الخدمة]]="كاش ان",
    IF(F215&lt;=100, 18, IF(F215&lt;=250, 23, IF(F215&lt;=500, 35, IF(F215&lt;=1000, 40, F215*0.04)))),
IF(Basic[[#This Row],[نوع الخدمة]]="كاش اوت",
    IF(F215&lt;=100, 15, IF(F215&lt;=250, 20, IF(F215&lt;=500, 30, IF(F215&lt;=1000, 35, F215*0.035)))),
0)))</f>
        <v>0</v>
      </c>
      <c r="H215" s="163">
        <f>IF(I215="مخالفات",50,Basic[[#This Row],[قيمة الرسوم / العموله]]+Basic[[#This Row],[قيمة الشحنه]])</f>
        <v>0</v>
      </c>
      <c r="I215" s="90"/>
      <c r="J215" s="142" t="str">
        <f t="shared" si="3"/>
        <v>31.5.2026</v>
      </c>
      <c r="L215" s="153">
        <v>204</v>
      </c>
      <c r="M215" s="92"/>
    </row>
    <row r="216" spans="1:13" ht="21.6" x14ac:dyDescent="0.65">
      <c r="A216" s="195"/>
      <c r="B216" s="140">
        <v>213</v>
      </c>
      <c r="C216" s="2"/>
      <c r="D216" s="1"/>
      <c r="E216" s="3"/>
      <c r="F216" s="1"/>
      <c r="G216" s="141">
        <f>IF(Basic[[#This Row],[نوع الخدمة]]="مخالفات", 50,
IF(Basic[[#This Row],[نوع الخدمة]]="كاش ان",
    IF(F216&lt;=100, 18, IF(F216&lt;=250, 23, IF(F216&lt;=500, 35, IF(F216&lt;=1000, 40, F216*0.04)))),
IF(Basic[[#This Row],[نوع الخدمة]]="كاش اوت",
    IF(F216&lt;=100, 15, IF(F216&lt;=250, 20, IF(F216&lt;=500, 30, IF(F216&lt;=1000, 35, F216*0.035)))),
0)))</f>
        <v>0</v>
      </c>
      <c r="H216" s="163">
        <f>IF(I216="مخالفات",50,Basic[[#This Row],[قيمة الرسوم / العموله]]+Basic[[#This Row],[قيمة الشحنه]])</f>
        <v>0</v>
      </c>
      <c r="I216" s="90"/>
      <c r="J216" s="142" t="str">
        <f t="shared" si="3"/>
        <v>31.5.2026</v>
      </c>
      <c r="L216" s="153">
        <v>205</v>
      </c>
      <c r="M216" s="92"/>
    </row>
    <row r="217" spans="1:13" ht="21.6" x14ac:dyDescent="0.65">
      <c r="A217" s="195"/>
      <c r="B217" s="144">
        <v>214</v>
      </c>
      <c r="C217" s="2"/>
      <c r="D217" s="1"/>
      <c r="E217" s="3"/>
      <c r="F217" s="1"/>
      <c r="G217" s="141">
        <f>IF(Basic[[#This Row],[نوع الخدمة]]="مخالفات", 50,
IF(Basic[[#This Row],[نوع الخدمة]]="كاش ان",
    IF(F217&lt;=100, 18, IF(F217&lt;=250, 23, IF(F217&lt;=500, 35, IF(F217&lt;=1000, 40, F217*0.04)))),
IF(Basic[[#This Row],[نوع الخدمة]]="كاش اوت",
    IF(F217&lt;=100, 15, IF(F217&lt;=250, 20, IF(F217&lt;=500, 30, IF(F217&lt;=1000, 35, F217*0.035)))),
0)))</f>
        <v>0</v>
      </c>
      <c r="H217" s="163">
        <f>IF(I217="مخالفات",50,Basic[[#This Row],[قيمة الرسوم / العموله]]+Basic[[#This Row],[قيمة الشحنه]])</f>
        <v>0</v>
      </c>
      <c r="I217" s="90"/>
      <c r="J217" s="142" t="str">
        <f t="shared" si="3"/>
        <v>31.5.2026</v>
      </c>
      <c r="L217" s="153">
        <v>206</v>
      </c>
      <c r="M217" s="92"/>
    </row>
    <row r="218" spans="1:13" ht="21.6" x14ac:dyDescent="0.65">
      <c r="A218" s="195"/>
      <c r="B218" s="140">
        <v>215</v>
      </c>
      <c r="C218" s="2"/>
      <c r="D218" s="1"/>
      <c r="E218" s="3"/>
      <c r="F218" s="1"/>
      <c r="G218" s="141">
        <f>IF(Basic[[#This Row],[نوع الخدمة]]="مخالفات", 50,
IF(Basic[[#This Row],[نوع الخدمة]]="كاش ان",
    IF(F218&lt;=100, 18, IF(F218&lt;=250, 23, IF(F218&lt;=500, 35, IF(F218&lt;=1000, 40, F218*0.04)))),
IF(Basic[[#This Row],[نوع الخدمة]]="كاش اوت",
    IF(F218&lt;=100, 15, IF(F218&lt;=250, 20, IF(F218&lt;=500, 30, IF(F218&lt;=1000, 35, F218*0.035)))),
0)))</f>
        <v>0</v>
      </c>
      <c r="H218" s="163">
        <f>IF(I218="مخالفات",50,Basic[[#This Row],[قيمة الرسوم / العموله]]+Basic[[#This Row],[قيمة الشحنه]])</f>
        <v>0</v>
      </c>
      <c r="I218" s="90"/>
      <c r="J218" s="142" t="str">
        <f t="shared" si="3"/>
        <v>31.5.2026</v>
      </c>
      <c r="L218" s="153">
        <v>207</v>
      </c>
      <c r="M218" s="92"/>
    </row>
    <row r="219" spans="1:13" ht="21.6" x14ac:dyDescent="0.65">
      <c r="A219" s="195"/>
      <c r="B219" s="140">
        <v>216</v>
      </c>
      <c r="C219" s="2"/>
      <c r="D219" s="1"/>
      <c r="E219" s="3"/>
      <c r="F219" s="1"/>
      <c r="G219" s="141">
        <f>IF(Basic[[#This Row],[نوع الخدمة]]="مخالفات", 50,
IF(Basic[[#This Row],[نوع الخدمة]]="كاش ان",
    IF(F219&lt;=100, 18, IF(F219&lt;=250, 23, IF(F219&lt;=500, 35, IF(F219&lt;=1000, 40, F219*0.04)))),
IF(Basic[[#This Row],[نوع الخدمة]]="كاش اوت",
    IF(F219&lt;=100, 15, IF(F219&lt;=250, 20, IF(F219&lt;=500, 30, IF(F219&lt;=1000, 35, F219*0.035)))),
0)))</f>
        <v>0</v>
      </c>
      <c r="H219" s="163">
        <f>IF(I219="مخالفات",50,Basic[[#This Row],[قيمة الرسوم / العموله]]+Basic[[#This Row],[قيمة الشحنه]])</f>
        <v>0</v>
      </c>
      <c r="I219" s="90"/>
      <c r="J219" s="142" t="str">
        <f t="shared" si="3"/>
        <v>31.5.2026</v>
      </c>
      <c r="L219" s="153">
        <v>208</v>
      </c>
      <c r="M219" s="92"/>
    </row>
    <row r="220" spans="1:13" ht="21.6" x14ac:dyDescent="0.65">
      <c r="A220" s="195"/>
      <c r="B220" s="140">
        <v>217</v>
      </c>
      <c r="C220" s="2"/>
      <c r="D220" s="1"/>
      <c r="E220" s="3"/>
      <c r="F220" s="1"/>
      <c r="G220" s="141">
        <f>IF(Basic[[#This Row],[نوع الخدمة]]="مخالفات", 50,
IF(Basic[[#This Row],[نوع الخدمة]]="كاش ان",
    IF(F220&lt;=100, 18, IF(F220&lt;=250, 23, IF(F220&lt;=500, 35, IF(F220&lt;=1000, 40, F220*0.04)))),
IF(Basic[[#This Row],[نوع الخدمة]]="كاش اوت",
    IF(F220&lt;=100, 15, IF(F220&lt;=250, 20, IF(F220&lt;=500, 30, IF(F220&lt;=1000, 35, F220*0.035)))),
0)))</f>
        <v>0</v>
      </c>
      <c r="H220" s="163">
        <f>IF(I220="مخالفات",50,Basic[[#This Row],[قيمة الرسوم / العموله]]+Basic[[#This Row],[قيمة الشحنه]])</f>
        <v>0</v>
      </c>
      <c r="I220" s="90"/>
      <c r="J220" s="142" t="str">
        <f t="shared" si="3"/>
        <v>31.5.2026</v>
      </c>
      <c r="L220" s="153">
        <v>209</v>
      </c>
      <c r="M220" s="92"/>
    </row>
    <row r="221" spans="1:13" ht="21.6" x14ac:dyDescent="0.65">
      <c r="A221" s="195"/>
      <c r="B221" s="144">
        <v>218</v>
      </c>
      <c r="C221" s="2"/>
      <c r="D221" s="1"/>
      <c r="E221" s="3"/>
      <c r="F221" s="1"/>
      <c r="G221" s="141">
        <f>IF(Basic[[#This Row],[نوع الخدمة]]="مخالفات", 50,
IF(Basic[[#This Row],[نوع الخدمة]]="كاش ان",
    IF(F221&lt;=100, 18, IF(F221&lt;=250, 23, IF(F221&lt;=500, 35, IF(F221&lt;=1000, 40, F221*0.04)))),
IF(Basic[[#This Row],[نوع الخدمة]]="كاش اوت",
    IF(F221&lt;=100, 15, IF(F221&lt;=250, 20, IF(F221&lt;=500, 30, IF(F221&lt;=1000, 35, F221*0.035)))),
0)))</f>
        <v>0</v>
      </c>
      <c r="H221" s="163">
        <f>IF(I221="مخالفات",50,Basic[[#This Row],[قيمة الرسوم / العموله]]+Basic[[#This Row],[قيمة الشحنه]])</f>
        <v>0</v>
      </c>
      <c r="I221" s="90"/>
      <c r="J221" s="142" t="str">
        <f t="shared" si="3"/>
        <v>31.5.2026</v>
      </c>
      <c r="L221" s="153">
        <v>210</v>
      </c>
      <c r="M221" s="92"/>
    </row>
    <row r="222" spans="1:13" ht="21.6" x14ac:dyDescent="0.65">
      <c r="A222" s="195"/>
      <c r="B222" s="140">
        <v>219</v>
      </c>
      <c r="C222" s="2"/>
      <c r="D222" s="1"/>
      <c r="E222" s="3"/>
      <c r="F222" s="1"/>
      <c r="G222" s="141">
        <f>IF(Basic[[#This Row],[نوع الخدمة]]="مخالفات", 50,
IF(Basic[[#This Row],[نوع الخدمة]]="كاش ان",
    IF(F222&lt;=100, 18, IF(F222&lt;=250, 23, IF(F222&lt;=500, 35, IF(F222&lt;=1000, 40, F222*0.04)))),
IF(Basic[[#This Row],[نوع الخدمة]]="كاش اوت",
    IF(F222&lt;=100, 15, IF(F222&lt;=250, 20, IF(F222&lt;=500, 30, IF(F222&lt;=1000, 35, F222*0.035)))),
0)))</f>
        <v>0</v>
      </c>
      <c r="H222" s="163">
        <f>IF(I222="مخالفات",50,Basic[[#This Row],[قيمة الرسوم / العموله]]+Basic[[#This Row],[قيمة الشحنه]])</f>
        <v>0</v>
      </c>
      <c r="I222" s="90"/>
      <c r="J222" s="142" t="str">
        <f t="shared" si="3"/>
        <v>31.5.2026</v>
      </c>
      <c r="L222" s="153">
        <v>211</v>
      </c>
      <c r="M222" s="92"/>
    </row>
    <row r="223" spans="1:13" ht="21.6" x14ac:dyDescent="0.65">
      <c r="A223" s="195"/>
      <c r="B223" s="140">
        <v>220</v>
      </c>
      <c r="C223" s="2"/>
      <c r="D223" s="1"/>
      <c r="E223" s="3"/>
      <c r="F223" s="1"/>
      <c r="G223" s="141">
        <f>IF(Basic[[#This Row],[نوع الخدمة]]="مخالفات", 50,
IF(Basic[[#This Row],[نوع الخدمة]]="كاش ان",
    IF(F223&lt;=100, 18, IF(F223&lt;=250, 23, IF(F223&lt;=500, 35, IF(F223&lt;=1000, 40, F223*0.04)))),
IF(Basic[[#This Row],[نوع الخدمة]]="كاش اوت",
    IF(F223&lt;=100, 15, IF(F223&lt;=250, 20, IF(F223&lt;=500, 30, IF(F223&lt;=1000, 35, F223*0.035)))),
0)))</f>
        <v>0</v>
      </c>
      <c r="H223" s="163">
        <f>IF(I223="مخالفات",50,Basic[[#This Row],[قيمة الرسوم / العموله]]+Basic[[#This Row],[قيمة الشحنه]])</f>
        <v>0</v>
      </c>
      <c r="I223" s="90"/>
      <c r="J223" s="142" t="str">
        <f t="shared" si="3"/>
        <v>31.5.2026</v>
      </c>
      <c r="L223" s="153">
        <v>212</v>
      </c>
      <c r="M223" s="92"/>
    </row>
    <row r="224" spans="1:13" ht="21.6" x14ac:dyDescent="0.65">
      <c r="A224" s="195"/>
      <c r="B224" s="140">
        <v>221</v>
      </c>
      <c r="C224" s="2"/>
      <c r="D224" s="1"/>
      <c r="E224" s="3"/>
      <c r="F224" s="1"/>
      <c r="G224" s="141">
        <f>IF(Basic[[#This Row],[نوع الخدمة]]="مخالفات", 50,
IF(Basic[[#This Row],[نوع الخدمة]]="كاش ان",
    IF(F224&lt;=100, 18, IF(F224&lt;=250, 23, IF(F224&lt;=500, 35, IF(F224&lt;=1000, 40, F224*0.04)))),
IF(Basic[[#This Row],[نوع الخدمة]]="كاش اوت",
    IF(F224&lt;=100, 15, IF(F224&lt;=250, 20, IF(F224&lt;=500, 30, IF(F224&lt;=1000, 35, F224*0.035)))),
0)))</f>
        <v>0</v>
      </c>
      <c r="H224" s="163">
        <f>IF(I224="مخالفات",50,Basic[[#This Row],[قيمة الرسوم / العموله]]+Basic[[#This Row],[قيمة الشحنه]])</f>
        <v>0</v>
      </c>
      <c r="I224" s="90"/>
      <c r="J224" s="142" t="str">
        <f t="shared" si="3"/>
        <v>31.5.2026</v>
      </c>
      <c r="L224" s="153">
        <v>213</v>
      </c>
      <c r="M224" s="92"/>
    </row>
    <row r="225" spans="1:13" ht="21.6" x14ac:dyDescent="0.65">
      <c r="A225" s="195"/>
      <c r="B225" s="144">
        <v>222</v>
      </c>
      <c r="C225" s="2"/>
      <c r="D225" s="1"/>
      <c r="E225" s="3"/>
      <c r="F225" s="1"/>
      <c r="G225" s="141">
        <f>IF(Basic[[#This Row],[نوع الخدمة]]="مخالفات", 50,
IF(Basic[[#This Row],[نوع الخدمة]]="كاش ان",
    IF(F225&lt;=100, 18, IF(F225&lt;=250, 23, IF(F225&lt;=500, 35, IF(F225&lt;=1000, 40, F225*0.04)))),
IF(Basic[[#This Row],[نوع الخدمة]]="كاش اوت",
    IF(F225&lt;=100, 15, IF(F225&lt;=250, 20, IF(F225&lt;=500, 30, IF(F225&lt;=1000, 35, F225*0.035)))),
0)))</f>
        <v>0</v>
      </c>
      <c r="H225" s="163">
        <f>IF(I225="مخالفات",50,Basic[[#This Row],[قيمة الرسوم / العموله]]+Basic[[#This Row],[قيمة الشحنه]])</f>
        <v>0</v>
      </c>
      <c r="I225" s="90"/>
      <c r="J225" s="142" t="str">
        <f t="shared" si="3"/>
        <v>31.5.2026</v>
      </c>
      <c r="L225" s="153">
        <v>214</v>
      </c>
      <c r="M225" s="92"/>
    </row>
    <row r="226" spans="1:13" ht="21.6" x14ac:dyDescent="0.65">
      <c r="A226" s="195"/>
      <c r="B226" s="140">
        <v>223</v>
      </c>
      <c r="C226" s="4"/>
      <c r="D226" s="5"/>
      <c r="E226" s="6"/>
      <c r="F226" s="5"/>
      <c r="G226" s="141">
        <f>IF(Basic[[#This Row],[نوع الخدمة]]="مخالفات", 50,
IF(Basic[[#This Row],[نوع الخدمة]]="كاش ان",
    IF(F226&lt;=100, 18, IF(F226&lt;=250, 23, IF(F226&lt;=500, 35, IF(F226&lt;=1000, 40, F226*0.04)))),
IF(Basic[[#This Row],[نوع الخدمة]]="كاش اوت",
    IF(F226&lt;=100, 15, IF(F226&lt;=250, 20, IF(F226&lt;=500, 30, IF(F226&lt;=1000, 35, F226*0.035)))),
0)))</f>
        <v>0</v>
      </c>
      <c r="H226" s="164">
        <f>IF(I226="مخالفات",50,Basic[[#This Row],[قيمة الرسوم / العموله]]+Basic[[#This Row],[قيمة الشحنه]])</f>
        <v>0</v>
      </c>
      <c r="I226" s="90"/>
      <c r="J226" s="142" t="str">
        <f t="shared" si="3"/>
        <v>31.5.2026</v>
      </c>
      <c r="L226" s="156">
        <v>215</v>
      </c>
      <c r="M226" s="93"/>
    </row>
  </sheetData>
  <sheetProtection algorithmName="SHA-512" hashValue="+anSr9mqDx1NWyZXhMkOGUQLx4bBUjWefWbC+OZsnHkmDlStLTM3mirt6Z5SVGOoM0wzMlSyAgnXHK6FfgLD0w==" saltValue="RxK/bNJy0jbTgao6c2iZ4Q==" spinCount="100000" sheet="1" objects="1" scenarios="1"/>
  <mergeCells count="7">
    <mergeCell ref="A4:A226"/>
    <mergeCell ref="O24:P24"/>
    <mergeCell ref="O27:P27"/>
    <mergeCell ref="R10:W10"/>
    <mergeCell ref="F1:H1"/>
    <mergeCell ref="O20:P20"/>
    <mergeCell ref="O21:P21"/>
  </mergeCells>
  <conditionalFormatting sqref="I4:I226">
    <cfRule type="cellIs" dxfId="3" priority="12" operator="equal">
      <formula>$BH$10</formula>
    </cfRule>
    <cfRule type="cellIs" dxfId="2" priority="13" operator="equal">
      <formula>$BH$9</formula>
    </cfRule>
    <cfRule type="cellIs" dxfId="1" priority="14" operator="equal">
      <formula>$BH$8</formula>
    </cfRule>
  </conditionalFormatting>
  <conditionalFormatting sqref="P11">
    <cfRule type="cellIs" dxfId="0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{20E9A718-8036-4B0B-A97B-36ED460D4714}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{0BDEE755-6D56-4C6E-BFD2-5139839B8E84}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{1253596C-C89A-4B05-8842-41AF1FBF7DF4}</x14:id>
        </ext>
      </extLst>
    </cfRule>
  </conditionalFormatting>
  <dataValidations count="2">
    <dataValidation type="list" allowBlank="1" showInputMessage="1" showErrorMessage="1" sqref="I4:I226" xr:uid="{00000000-0002-0000-1E00-000000000000}">
      <formula1>$BH$8:$BH$10</formula1>
    </dataValidation>
    <dataValidation type="textLength" operator="equal" allowBlank="1" showInputMessage="1" showErrorMessage="1" errorTitle="يجب إخال رقم IPN صحيح 13 رقم" sqref="C1:C1048576" xr:uid="{00000000-0002-0000-1E00-000001000000}">
      <formula1>13</formula1>
    </dataValidation>
  </dataValidations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0E9A718-8036-4B0B-A97B-36ED460D471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0BDEE755-6D56-4C6E-BFD2-5139839B8E8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1253596C-C89A-4B05-8842-41AF1FBF7DF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00B050"/>
  </sheetPr>
  <dimension ref="A1:CJ8807"/>
  <sheetViews>
    <sheetView showRowColHeaders="0" rightToLeft="1" zoomScale="80" zoomScaleNormal="80" workbookViewId="0">
      <selection activeCell="K25" sqref="K25"/>
    </sheetView>
  </sheetViews>
  <sheetFormatPr defaultColWidth="20" defaultRowHeight="18" x14ac:dyDescent="0.35"/>
  <cols>
    <col min="1" max="1" width="4" style="14" customWidth="1"/>
    <col min="2" max="2" width="12.109375" style="14" customWidth="1"/>
    <col min="3" max="3" width="20.5546875" style="77" customWidth="1"/>
    <col min="4" max="4" width="12.5546875" style="78" customWidth="1"/>
    <col min="5" max="5" width="7.88671875" style="14" customWidth="1"/>
    <col min="6" max="6" width="20" style="79"/>
    <col min="7" max="7" width="29.44140625" style="79" customWidth="1"/>
    <col min="8" max="8" width="20" style="80"/>
    <col min="9" max="9" width="20" style="81"/>
    <col min="10" max="10" width="15.88671875" style="82" customWidth="1"/>
    <col min="11" max="11" width="18.88671875" style="83" customWidth="1"/>
    <col min="12" max="12" width="20" style="83"/>
    <col min="13" max="13" width="16.88671875" style="84" customWidth="1"/>
    <col min="14" max="14" width="17.33203125" style="83" customWidth="1"/>
    <col min="15" max="15" width="20" style="83"/>
    <col min="16" max="16" width="20" style="84"/>
    <col min="17" max="17" width="20" style="85"/>
    <col min="18" max="22" width="20" style="14"/>
    <col min="23" max="38" width="0" style="14" hidden="1" customWidth="1"/>
    <col min="39" max="16384" width="20" style="14"/>
  </cols>
  <sheetData>
    <row r="1" spans="1:84" x14ac:dyDescent="0.3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2"/>
      <c r="U1" s="12"/>
      <c r="V1" s="12"/>
      <c r="W1" s="12"/>
      <c r="X1" s="12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</row>
    <row r="2" spans="1:84" x14ac:dyDescent="0.35">
      <c r="A2" s="13"/>
      <c r="B2" s="13"/>
      <c r="C2" s="13"/>
      <c r="D2" s="13"/>
      <c r="E2" s="13"/>
      <c r="F2" s="13"/>
      <c r="G2" s="15"/>
      <c r="H2" s="214" t="s">
        <v>111</v>
      </c>
      <c r="I2" s="214"/>
      <c r="J2" s="214"/>
      <c r="K2" s="214"/>
      <c r="L2" s="214"/>
      <c r="M2" s="214"/>
      <c r="N2" s="214"/>
      <c r="O2" s="11"/>
      <c r="P2" s="11"/>
      <c r="Q2" s="11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</row>
    <row r="3" spans="1:84" x14ac:dyDescent="0.35">
      <c r="A3" s="13"/>
      <c r="B3" s="13"/>
      <c r="C3" s="13"/>
      <c r="D3" s="13"/>
      <c r="E3" s="15"/>
      <c r="F3" s="16" t="s">
        <v>34</v>
      </c>
      <c r="G3" s="17">
        <v>20</v>
      </c>
      <c r="H3" s="18"/>
      <c r="I3" s="19"/>
      <c r="J3" s="19"/>
      <c r="K3" s="19"/>
      <c r="L3" s="19"/>
      <c r="M3" s="19"/>
      <c r="N3" s="19"/>
      <c r="O3" s="11"/>
      <c r="P3" s="11"/>
      <c r="Q3" s="11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</row>
    <row r="4" spans="1:84" x14ac:dyDescent="0.35">
      <c r="A4" s="15"/>
      <c r="B4" s="20" t="s">
        <v>35</v>
      </c>
      <c r="C4" s="21" t="s">
        <v>36</v>
      </c>
      <c r="D4" s="22" t="s">
        <v>37</v>
      </c>
      <c r="E4" s="23"/>
      <c r="F4" s="24" t="s">
        <v>38</v>
      </c>
      <c r="G4" s="24" t="s">
        <v>39</v>
      </c>
      <c r="H4" s="25" t="s">
        <v>40</v>
      </c>
      <c r="I4" s="25" t="s">
        <v>41</v>
      </c>
      <c r="J4" s="25" t="s">
        <v>24</v>
      </c>
      <c r="K4" s="26" t="s">
        <v>42</v>
      </c>
      <c r="L4" s="25" t="s">
        <v>41</v>
      </c>
      <c r="M4" s="25" t="s">
        <v>24</v>
      </c>
      <c r="N4" s="24" t="s">
        <v>43</v>
      </c>
      <c r="O4" s="11"/>
      <c r="P4" s="11"/>
      <c r="Q4" s="11"/>
      <c r="R4" s="13"/>
      <c r="S4" s="13"/>
      <c r="T4" s="13"/>
      <c r="U4" s="13"/>
      <c r="V4" s="13"/>
      <c r="W4" s="215" t="str">
        <f>H2</f>
        <v>مبيعـــــــــــــــــــــــــــــــــــــــــــــــــات الشهــــــــــــــــــــر</v>
      </c>
      <c r="X4" s="216"/>
      <c r="Y4" s="13"/>
      <c r="Z4" s="13"/>
      <c r="AA4" s="13"/>
      <c r="AB4" s="13"/>
      <c r="AC4" s="13"/>
      <c r="AD4" s="13"/>
      <c r="AE4" s="217" t="s">
        <v>44</v>
      </c>
      <c r="AF4" s="218"/>
      <c r="AG4" s="219" t="s">
        <v>45</v>
      </c>
      <c r="AH4" s="220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</row>
    <row r="5" spans="1:84" x14ac:dyDescent="0.35">
      <c r="A5" s="15"/>
      <c r="B5" s="20">
        <v>1</v>
      </c>
      <c r="C5" s="123">
        <f>'1 '!S5</f>
        <v>0</v>
      </c>
      <c r="D5" s="123">
        <f>'1 '!T5</f>
        <v>0</v>
      </c>
      <c r="E5" s="27"/>
      <c r="F5" s="28">
        <v>69</v>
      </c>
      <c r="G5" s="29" t="s">
        <v>133</v>
      </c>
      <c r="H5" s="30">
        <v>700000</v>
      </c>
      <c r="I5" s="31">
        <f>C36</f>
        <v>60556.78</v>
      </c>
      <c r="J5" s="32">
        <f>I5/H5</f>
        <v>8.6509685714285717E-2</v>
      </c>
      <c r="K5" s="33">
        <v>70</v>
      </c>
      <c r="L5" s="31">
        <f>D36</f>
        <v>4</v>
      </c>
      <c r="M5" s="32">
        <f>L5/K5</f>
        <v>5.7142857142857141E-2</v>
      </c>
      <c r="N5" s="34">
        <f>(M5+J5)/2</f>
        <v>7.1826271428571425E-2</v>
      </c>
      <c r="O5" s="11"/>
      <c r="P5" s="11"/>
      <c r="Q5" s="11"/>
      <c r="R5" s="13"/>
      <c r="S5" s="13"/>
      <c r="T5" s="13"/>
      <c r="U5" s="13"/>
      <c r="V5" s="13"/>
      <c r="W5" s="35" t="s">
        <v>46</v>
      </c>
      <c r="X5" s="35" t="s">
        <v>35</v>
      </c>
      <c r="Y5" s="13"/>
      <c r="Z5" s="13"/>
      <c r="AA5" s="36" t="s">
        <v>47</v>
      </c>
      <c r="AB5" s="36" t="s">
        <v>48</v>
      </c>
      <c r="AC5" s="35" t="s">
        <v>49</v>
      </c>
      <c r="AD5" s="35" t="s">
        <v>50</v>
      </c>
      <c r="AE5" s="37" t="s">
        <v>51</v>
      </c>
      <c r="AF5" s="37" t="s">
        <v>52</v>
      </c>
      <c r="AG5" s="35" t="s">
        <v>53</v>
      </c>
      <c r="AH5" s="38" t="s">
        <v>54</v>
      </c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</row>
    <row r="6" spans="1:84" x14ac:dyDescent="0.35">
      <c r="A6" s="15"/>
      <c r="B6" s="20">
        <v>2</v>
      </c>
      <c r="C6" s="123">
        <f>'2'!S5</f>
        <v>18645</v>
      </c>
      <c r="D6" s="123">
        <f>'2'!T5</f>
        <v>0</v>
      </c>
      <c r="E6" s="27"/>
      <c r="F6" s="39"/>
      <c r="G6" s="39"/>
      <c r="H6" s="39"/>
      <c r="I6" s="39"/>
      <c r="J6" s="39"/>
      <c r="K6" s="39"/>
      <c r="L6" s="39"/>
      <c r="M6" s="39"/>
      <c r="N6" s="39"/>
      <c r="O6" s="11"/>
      <c r="P6" s="11"/>
      <c r="Q6" s="11"/>
      <c r="R6" s="13"/>
      <c r="S6" s="13"/>
      <c r="T6" s="13"/>
      <c r="U6" s="13"/>
      <c r="V6" s="13"/>
      <c r="W6" s="40">
        <f>G3</f>
        <v>20</v>
      </c>
      <c r="X6" s="40">
        <v>30</v>
      </c>
      <c r="Y6" s="13"/>
      <c r="Z6" s="13"/>
      <c r="AA6" s="41">
        <f>H5</f>
        <v>700000</v>
      </c>
      <c r="AB6" s="36">
        <f>W10</f>
        <v>10</v>
      </c>
      <c r="AC6" s="36">
        <f>W6</f>
        <v>20</v>
      </c>
      <c r="AD6" s="36">
        <f>X6</f>
        <v>30</v>
      </c>
      <c r="AE6" s="42">
        <f>AA6/AD6</f>
        <v>23333.333333333332</v>
      </c>
      <c r="AF6" s="42">
        <f>AE6*AC6</f>
        <v>466666.66666666663</v>
      </c>
      <c r="AG6" s="43">
        <f>I5/AF6</f>
        <v>0.12976452857142859</v>
      </c>
      <c r="AH6" s="44">
        <f>(H5-I5)/AB6</f>
        <v>63944.322</v>
      </c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</row>
    <row r="7" spans="1:84" x14ac:dyDescent="0.35">
      <c r="A7" s="15"/>
      <c r="B7" s="20">
        <v>3</v>
      </c>
      <c r="C7" s="123">
        <f>'3'!S5</f>
        <v>30041.78</v>
      </c>
      <c r="D7" s="123">
        <f>'3'!T5</f>
        <v>3</v>
      </c>
      <c r="E7" s="27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3"/>
      <c r="S7" s="13"/>
      <c r="T7" s="13"/>
      <c r="U7" s="13"/>
      <c r="V7" s="13"/>
      <c r="W7" s="221">
        <v>2025</v>
      </c>
      <c r="X7" s="222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</row>
    <row r="8" spans="1:84" x14ac:dyDescent="0.35">
      <c r="A8" s="15"/>
      <c r="B8" s="20">
        <v>4</v>
      </c>
      <c r="C8" s="123">
        <f>'4'!S5</f>
        <v>11870</v>
      </c>
      <c r="D8" s="123">
        <f>'4'!T5</f>
        <v>1</v>
      </c>
      <c r="E8" s="27"/>
      <c r="F8" s="13"/>
      <c r="G8" s="212" t="str">
        <f>G5</f>
        <v>العبور</v>
      </c>
      <c r="H8" s="213"/>
      <c r="I8" s="45"/>
      <c r="J8" s="46"/>
      <c r="K8" s="46"/>
      <c r="L8" s="46"/>
      <c r="M8" s="46"/>
      <c r="N8" s="46"/>
      <c r="O8" s="46"/>
      <c r="P8" s="46"/>
      <c r="Q8" s="46"/>
      <c r="R8" s="13"/>
      <c r="S8" s="13"/>
      <c r="T8" s="13"/>
      <c r="U8" s="13"/>
      <c r="V8" s="13"/>
      <c r="W8" s="12"/>
      <c r="X8" s="12"/>
      <c r="Y8" s="13"/>
      <c r="Z8" s="13"/>
      <c r="AA8" s="36" t="s">
        <v>47</v>
      </c>
      <c r="AB8" s="36" t="s">
        <v>48</v>
      </c>
      <c r="AC8" s="35" t="s">
        <v>49</v>
      </c>
      <c r="AD8" s="35" t="s">
        <v>50</v>
      </c>
      <c r="AE8" s="37" t="s">
        <v>51</v>
      </c>
      <c r="AF8" s="37" t="s">
        <v>52</v>
      </c>
      <c r="AG8" s="35" t="s">
        <v>53</v>
      </c>
      <c r="AH8" s="38" t="s">
        <v>54</v>
      </c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</row>
    <row r="9" spans="1:84" x14ac:dyDescent="0.35">
      <c r="A9" s="15"/>
      <c r="B9" s="20">
        <v>5</v>
      </c>
      <c r="C9" s="123">
        <f>'5'!S5</f>
        <v>0</v>
      </c>
      <c r="D9" s="123">
        <f>'5'!T5</f>
        <v>0</v>
      </c>
      <c r="E9" s="27"/>
      <c r="F9" s="13"/>
      <c r="G9" s="47">
        <f>G3</f>
        <v>20</v>
      </c>
      <c r="H9" s="48">
        <f>W12</f>
        <v>0.66666666666666663</v>
      </c>
      <c r="I9" s="46"/>
      <c r="J9" s="227" t="s">
        <v>55</v>
      </c>
      <c r="K9" s="228"/>
      <c r="L9" s="49"/>
      <c r="M9" s="229" t="s">
        <v>56</v>
      </c>
      <c r="N9" s="230"/>
      <c r="O9" s="49"/>
      <c r="P9" s="49"/>
      <c r="Q9" s="50"/>
      <c r="R9" s="13"/>
      <c r="S9" s="13"/>
      <c r="T9" s="13"/>
      <c r="U9" s="13"/>
      <c r="V9" s="13"/>
      <c r="W9" s="221" t="s">
        <v>57</v>
      </c>
      <c r="X9" s="222"/>
      <c r="Y9" s="13"/>
      <c r="Z9" s="13"/>
      <c r="AA9" s="41">
        <f>K5</f>
        <v>70</v>
      </c>
      <c r="AB9" s="36">
        <f>W10</f>
        <v>10</v>
      </c>
      <c r="AC9" s="36">
        <f>W6</f>
        <v>20</v>
      </c>
      <c r="AD9" s="36">
        <f>X6</f>
        <v>30</v>
      </c>
      <c r="AE9" s="42">
        <f>AA9/AD9</f>
        <v>2.3333333333333335</v>
      </c>
      <c r="AF9" s="42">
        <f>AE9*AC9</f>
        <v>46.666666666666671</v>
      </c>
      <c r="AG9" s="43">
        <f>L5/AF9</f>
        <v>8.5714285714285701E-2</v>
      </c>
      <c r="AH9" s="44">
        <f>(K5-L5)/AB9</f>
        <v>6.6</v>
      </c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</row>
    <row r="10" spans="1:84" x14ac:dyDescent="0.35">
      <c r="A10" s="15"/>
      <c r="B10" s="20">
        <v>6</v>
      </c>
      <c r="C10" s="123">
        <f>'6'!S5</f>
        <v>0</v>
      </c>
      <c r="D10" s="123">
        <f>'6'!T5</f>
        <v>0</v>
      </c>
      <c r="E10" s="27"/>
      <c r="F10" s="13"/>
      <c r="G10" s="51" t="s">
        <v>58</v>
      </c>
      <c r="H10" s="52">
        <f>H5/25</f>
        <v>28000</v>
      </c>
      <c r="I10" s="46"/>
      <c r="J10" s="53" t="str">
        <f>W15</f>
        <v>شحنات</v>
      </c>
      <c r="K10" s="54">
        <f>W16</f>
        <v>63944.322</v>
      </c>
      <c r="L10" s="49"/>
      <c r="M10" s="55" t="str">
        <f>AA15</f>
        <v>شحنات</v>
      </c>
      <c r="N10" s="89">
        <f>AA16</f>
        <v>0.12976452857142859</v>
      </c>
      <c r="O10" s="49"/>
      <c r="P10" s="49"/>
      <c r="Q10" s="50"/>
      <c r="R10" s="13"/>
      <c r="S10" s="13"/>
      <c r="T10" s="13"/>
      <c r="U10" s="13"/>
      <c r="V10" s="13"/>
      <c r="W10" s="221">
        <f>X6-W6</f>
        <v>10</v>
      </c>
      <c r="X10" s="222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</row>
    <row r="11" spans="1:84" x14ac:dyDescent="0.35">
      <c r="A11" s="15"/>
      <c r="B11" s="20">
        <v>7</v>
      </c>
      <c r="C11" s="123">
        <f>'7'!S5</f>
        <v>0</v>
      </c>
      <c r="D11" s="123">
        <f>'7'!T5</f>
        <v>0</v>
      </c>
      <c r="E11" s="27"/>
      <c r="F11" s="13"/>
      <c r="G11" s="51" t="s">
        <v>59</v>
      </c>
      <c r="H11" s="40">
        <v>8232</v>
      </c>
      <c r="I11" s="46"/>
      <c r="J11" s="53" t="str">
        <f>W18</f>
        <v>كروت</v>
      </c>
      <c r="K11" s="56">
        <f>W19</f>
        <v>6.6</v>
      </c>
      <c r="L11" s="49"/>
      <c r="M11" s="55" t="str">
        <f>AA18</f>
        <v>كروت</v>
      </c>
      <c r="N11" s="89">
        <f>AA19</f>
        <v>8.5714285714285701E-2</v>
      </c>
      <c r="O11" s="49"/>
      <c r="P11" s="49"/>
      <c r="Q11" s="50"/>
      <c r="R11" s="13"/>
      <c r="S11" s="13"/>
      <c r="T11" s="13"/>
      <c r="U11" s="13"/>
      <c r="V11" s="13"/>
      <c r="W11" s="221" t="s">
        <v>60</v>
      </c>
      <c r="X11" s="222"/>
      <c r="Y11" s="13"/>
      <c r="Z11" s="13"/>
      <c r="AA11" s="36" t="s">
        <v>47</v>
      </c>
      <c r="AB11" s="36" t="s">
        <v>48</v>
      </c>
      <c r="AC11" s="35" t="s">
        <v>49</v>
      </c>
      <c r="AD11" s="35" t="s">
        <v>50</v>
      </c>
      <c r="AE11" s="37" t="s">
        <v>51</v>
      </c>
      <c r="AF11" s="37" t="s">
        <v>52</v>
      </c>
      <c r="AG11" s="35" t="s">
        <v>53</v>
      </c>
      <c r="AH11" s="38" t="s">
        <v>54</v>
      </c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</row>
    <row r="12" spans="1:84" x14ac:dyDescent="0.35">
      <c r="A12" s="15"/>
      <c r="B12" s="20">
        <v>8</v>
      </c>
      <c r="C12" s="123">
        <f>'8'!S5</f>
        <v>0</v>
      </c>
      <c r="D12" s="123">
        <f>'8'!T5</f>
        <v>0</v>
      </c>
      <c r="E12" s="27"/>
      <c r="F12" s="13"/>
      <c r="G12" s="51" t="s">
        <v>61</v>
      </c>
      <c r="H12" s="57">
        <f>K5/25</f>
        <v>2.8</v>
      </c>
      <c r="I12" s="46"/>
      <c r="J12" s="46"/>
      <c r="K12" s="49"/>
      <c r="L12" s="49"/>
      <c r="M12" s="58" t="str">
        <f>AA24</f>
        <v>توتال</v>
      </c>
      <c r="N12" s="34">
        <f>AA25</f>
        <v>0.10773940714285715</v>
      </c>
      <c r="O12" s="49"/>
      <c r="P12" s="49"/>
      <c r="Q12" s="50"/>
      <c r="R12" s="13"/>
      <c r="S12" s="13"/>
      <c r="T12" s="13"/>
      <c r="U12" s="13"/>
      <c r="V12" s="13"/>
      <c r="W12" s="231">
        <f>W6/X6</f>
        <v>0.66666666666666663</v>
      </c>
      <c r="X12" s="232"/>
      <c r="Y12" s="13"/>
      <c r="Z12" s="13"/>
      <c r="AA12" s="41" t="e">
        <f>#REF!</f>
        <v>#REF!</v>
      </c>
      <c r="AB12" s="36">
        <f>W10</f>
        <v>10</v>
      </c>
      <c r="AC12" s="36">
        <f>W6</f>
        <v>20</v>
      </c>
      <c r="AD12" s="36">
        <f>X6</f>
        <v>30</v>
      </c>
      <c r="AE12" s="42" t="e">
        <f>AA12/AD12</f>
        <v>#REF!</v>
      </c>
      <c r="AF12" s="42" t="e">
        <f>AE12*AC12</f>
        <v>#REF!</v>
      </c>
      <c r="AG12" s="43" t="e">
        <f>O5/AF12</f>
        <v>#REF!</v>
      </c>
      <c r="AH12" s="44" t="e">
        <f>(#REF!-O5)/AB12</f>
        <v>#REF!</v>
      </c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</row>
    <row r="13" spans="1:84" x14ac:dyDescent="0.35">
      <c r="A13" s="15"/>
      <c r="B13" s="20">
        <v>9</v>
      </c>
      <c r="C13" s="123">
        <f>'9'!S5</f>
        <v>0</v>
      </c>
      <c r="D13" s="123">
        <f>'9'!T5</f>
        <v>0</v>
      </c>
      <c r="E13" s="27"/>
      <c r="F13" s="13"/>
      <c r="G13" s="51" t="s">
        <v>59</v>
      </c>
      <c r="H13" s="40">
        <v>0</v>
      </c>
      <c r="I13" s="46"/>
      <c r="J13" s="46"/>
      <c r="K13" s="49"/>
      <c r="L13" s="49"/>
      <c r="M13" s="49"/>
      <c r="N13" s="49"/>
      <c r="O13" s="49"/>
      <c r="P13" s="49"/>
      <c r="Q13" s="50"/>
      <c r="R13" s="13"/>
      <c r="S13" s="59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</row>
    <row r="14" spans="1:84" x14ac:dyDescent="0.35">
      <c r="A14" s="15"/>
      <c r="B14" s="20">
        <v>10</v>
      </c>
      <c r="C14" s="123">
        <f>'10'!S5</f>
        <v>0</v>
      </c>
      <c r="D14" s="123">
        <f>'10'!T5</f>
        <v>0</v>
      </c>
      <c r="E14" s="27"/>
      <c r="F14" s="13"/>
      <c r="G14" s="46"/>
      <c r="H14" s="46"/>
      <c r="I14" s="46"/>
      <c r="J14" s="46"/>
      <c r="K14" s="49"/>
      <c r="L14" s="49"/>
      <c r="M14" s="49"/>
      <c r="N14" s="49"/>
      <c r="O14" s="49"/>
      <c r="P14" s="49"/>
      <c r="Q14" s="49"/>
      <c r="R14" s="13"/>
      <c r="S14" s="59"/>
      <c r="T14" s="13"/>
      <c r="U14" s="13"/>
      <c r="V14" s="13"/>
      <c r="W14" s="233" t="s">
        <v>55</v>
      </c>
      <c r="X14" s="234"/>
      <c r="Y14" s="13"/>
      <c r="Z14" s="13"/>
      <c r="AA14" s="235" t="s">
        <v>56</v>
      </c>
      <c r="AB14" s="235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</row>
    <row r="15" spans="1:84" x14ac:dyDescent="0.35">
      <c r="A15" s="15"/>
      <c r="B15" s="20">
        <v>11</v>
      </c>
      <c r="C15" s="123">
        <f>'11'!S5</f>
        <v>0</v>
      </c>
      <c r="D15" s="123">
        <f>'11'!T5</f>
        <v>0</v>
      </c>
      <c r="E15" s="27"/>
      <c r="F15" s="13"/>
      <c r="G15" s="51" t="s">
        <v>62</v>
      </c>
      <c r="H15" s="60">
        <f>H5</f>
        <v>700000</v>
      </c>
      <c r="I15" s="46"/>
      <c r="J15" s="46"/>
      <c r="K15" s="61"/>
      <c r="L15" s="61"/>
      <c r="M15" s="236" t="s">
        <v>63</v>
      </c>
      <c r="N15" s="236"/>
      <c r="O15" s="61"/>
      <c r="P15" s="61"/>
      <c r="Q15" s="61"/>
      <c r="R15" s="13"/>
      <c r="S15" s="59"/>
      <c r="T15" s="13"/>
      <c r="U15" s="13"/>
      <c r="V15" s="13"/>
      <c r="W15" s="237" t="s">
        <v>64</v>
      </c>
      <c r="X15" s="238"/>
      <c r="Y15" s="13"/>
      <c r="Z15" s="13"/>
      <c r="AA15" s="237" t="s">
        <v>64</v>
      </c>
      <c r="AB15" s="238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</row>
    <row r="16" spans="1:84" x14ac:dyDescent="0.35">
      <c r="A16" s="15"/>
      <c r="B16" s="20">
        <v>12</v>
      </c>
      <c r="C16" s="123">
        <f>'12'!S5</f>
        <v>0</v>
      </c>
      <c r="D16" s="123">
        <f>'12'!T5</f>
        <v>0</v>
      </c>
      <c r="E16" s="27"/>
      <c r="F16" s="13"/>
      <c r="G16" s="51" t="s">
        <v>59</v>
      </c>
      <c r="H16" s="60">
        <f>C36</f>
        <v>60556.78</v>
      </c>
      <c r="I16" s="46"/>
      <c r="J16" s="46"/>
      <c r="K16" s="25" t="s">
        <v>40</v>
      </c>
      <c r="L16" s="25" t="s">
        <v>41</v>
      </c>
      <c r="M16" s="25" t="s">
        <v>24</v>
      </c>
      <c r="N16" s="26" t="s">
        <v>42</v>
      </c>
      <c r="O16" s="25" t="s">
        <v>41</v>
      </c>
      <c r="P16" s="25" t="s">
        <v>24</v>
      </c>
      <c r="Q16" s="24" t="s">
        <v>43</v>
      </c>
      <c r="R16" s="13"/>
      <c r="S16" s="59"/>
      <c r="T16" s="13"/>
      <c r="U16" s="13"/>
      <c r="V16" s="13"/>
      <c r="W16" s="223">
        <f>(H5-I5)/W10</f>
        <v>63944.322</v>
      </c>
      <c r="X16" s="224"/>
      <c r="Y16" s="13"/>
      <c r="Z16" s="13"/>
      <c r="AA16" s="225">
        <f>AG6</f>
        <v>0.12976452857142859</v>
      </c>
      <c r="AB16" s="226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</row>
    <row r="17" spans="1:84" x14ac:dyDescent="0.35">
      <c r="A17" s="15"/>
      <c r="B17" s="20">
        <v>13</v>
      </c>
      <c r="C17" s="123">
        <f>'13'!S5</f>
        <v>0</v>
      </c>
      <c r="D17" s="123">
        <f>'13'!T5</f>
        <v>0</v>
      </c>
      <c r="E17" s="27"/>
      <c r="F17" s="13"/>
      <c r="G17" s="51" t="s">
        <v>65</v>
      </c>
      <c r="H17" s="62">
        <f>J5</f>
        <v>8.6509685714285717E-2</v>
      </c>
      <c r="I17" s="46"/>
      <c r="J17" s="46"/>
      <c r="K17" s="63">
        <f>H5</f>
        <v>700000</v>
      </c>
      <c r="L17" s="64">
        <v>56919</v>
      </c>
      <c r="M17" s="65">
        <f>L17/K17</f>
        <v>8.1312857142857145E-2</v>
      </c>
      <c r="N17" s="66">
        <f>K5</f>
        <v>70</v>
      </c>
      <c r="O17" s="64">
        <v>3</v>
      </c>
      <c r="P17" s="65">
        <f>O17/N17</f>
        <v>4.2857142857142858E-2</v>
      </c>
      <c r="Q17" s="34">
        <f>(P17+M17)/2</f>
        <v>6.2085000000000001E-2</v>
      </c>
      <c r="R17" s="13"/>
      <c r="S17" s="59"/>
      <c r="T17" s="13"/>
      <c r="U17" s="13"/>
      <c r="V17" s="13"/>
      <c r="W17" s="59"/>
      <c r="X17" s="67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</row>
    <row r="18" spans="1:84" x14ac:dyDescent="0.35">
      <c r="A18" s="15"/>
      <c r="B18" s="20">
        <v>14</v>
      </c>
      <c r="C18" s="123">
        <f>'14'!S5</f>
        <v>0</v>
      </c>
      <c r="D18" s="123">
        <f>'14'!T5</f>
        <v>0</v>
      </c>
      <c r="E18" s="27"/>
      <c r="F18" s="13"/>
      <c r="G18" s="51" t="s">
        <v>66</v>
      </c>
      <c r="H18" s="60">
        <f>K5</f>
        <v>70</v>
      </c>
      <c r="I18" s="46"/>
      <c r="J18" s="46"/>
      <c r="K18" s="49"/>
      <c r="L18" s="49"/>
      <c r="M18" s="49"/>
      <c r="N18" s="49"/>
      <c r="O18" s="49"/>
      <c r="P18" s="49"/>
      <c r="Q18" s="49"/>
      <c r="R18" s="13"/>
      <c r="S18" s="59"/>
      <c r="T18" s="13"/>
      <c r="U18" s="13"/>
      <c r="V18" s="13"/>
      <c r="W18" s="241" t="s">
        <v>67</v>
      </c>
      <c r="X18" s="242"/>
      <c r="Y18" s="13"/>
      <c r="Z18" s="13"/>
      <c r="AA18" s="241" t="s">
        <v>67</v>
      </c>
      <c r="AB18" s="242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</row>
    <row r="19" spans="1:84" x14ac:dyDescent="0.35">
      <c r="A19" s="15"/>
      <c r="B19" s="20">
        <v>15</v>
      </c>
      <c r="C19" s="123">
        <f>'15'!S5</f>
        <v>0</v>
      </c>
      <c r="D19" s="123">
        <f>'15'!T5</f>
        <v>0</v>
      </c>
      <c r="E19" s="27"/>
      <c r="F19" s="13"/>
      <c r="G19" s="51" t="s">
        <v>59</v>
      </c>
      <c r="H19" s="60">
        <f>D36</f>
        <v>4</v>
      </c>
      <c r="I19" s="46"/>
      <c r="J19" s="46"/>
      <c r="K19" s="49"/>
      <c r="L19" s="49"/>
      <c r="M19" s="49"/>
      <c r="N19" s="49"/>
      <c r="O19" s="49"/>
      <c r="P19" s="49"/>
      <c r="Q19" s="49"/>
      <c r="R19" s="13"/>
      <c r="S19" s="59"/>
      <c r="T19" s="13"/>
      <c r="U19" s="13"/>
      <c r="V19" s="13"/>
      <c r="W19" s="239">
        <f>(K5-L5)/W10</f>
        <v>6.6</v>
      </c>
      <c r="X19" s="240"/>
      <c r="Y19" s="13"/>
      <c r="Z19" s="13"/>
      <c r="AA19" s="225">
        <f>AG9</f>
        <v>8.5714285714285701E-2</v>
      </c>
      <c r="AB19" s="226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</row>
    <row r="20" spans="1:84" x14ac:dyDescent="0.35">
      <c r="A20" s="15"/>
      <c r="B20" s="20">
        <v>16</v>
      </c>
      <c r="C20" s="123">
        <f>'16'!S5</f>
        <v>0</v>
      </c>
      <c r="D20" s="123">
        <f>'16'!T5</f>
        <v>0</v>
      </c>
      <c r="E20" s="27"/>
      <c r="F20" s="13"/>
      <c r="G20" s="51" t="s">
        <v>65</v>
      </c>
      <c r="H20" s="62">
        <f>M5</f>
        <v>5.7142857142857141E-2</v>
      </c>
      <c r="I20" s="46"/>
      <c r="J20" s="46"/>
      <c r="K20" s="49"/>
      <c r="L20" s="49"/>
      <c r="M20" s="49"/>
      <c r="N20" s="49"/>
      <c r="O20" s="49"/>
      <c r="P20" s="49"/>
      <c r="Q20" s="49"/>
      <c r="R20" s="13"/>
      <c r="S20" s="59"/>
      <c r="T20" s="13"/>
      <c r="U20" s="13"/>
      <c r="V20" s="13"/>
      <c r="W20" s="68"/>
      <c r="X20" s="67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</row>
    <row r="21" spans="1:84" x14ac:dyDescent="0.35">
      <c r="A21" s="15"/>
      <c r="B21" s="20">
        <v>17</v>
      </c>
      <c r="C21" s="123">
        <f>'17'!S5</f>
        <v>0</v>
      </c>
      <c r="D21" s="123">
        <f>'17'!T5</f>
        <v>0</v>
      </c>
      <c r="E21" s="27"/>
      <c r="F21" s="13"/>
      <c r="G21" s="69" t="s">
        <v>68</v>
      </c>
      <c r="H21" s="34">
        <f>N12</f>
        <v>0.10773940714285715</v>
      </c>
      <c r="I21" s="46"/>
      <c r="J21" s="46"/>
      <c r="K21" s="49"/>
      <c r="L21" s="49"/>
      <c r="M21" s="49"/>
      <c r="N21" s="49"/>
      <c r="O21" s="49"/>
      <c r="P21" s="49"/>
      <c r="Q21" s="49"/>
      <c r="R21" s="13"/>
      <c r="S21" s="59"/>
      <c r="T21" s="13"/>
      <c r="U21" s="13"/>
      <c r="V21" s="13"/>
      <c r="W21" s="241" t="s">
        <v>69</v>
      </c>
      <c r="X21" s="242"/>
      <c r="Y21" s="13"/>
      <c r="Z21" s="13"/>
      <c r="AA21" s="241" t="s">
        <v>69</v>
      </c>
      <c r="AB21" s="242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</row>
    <row r="22" spans="1:84" x14ac:dyDescent="0.35">
      <c r="A22" s="15"/>
      <c r="B22" s="20">
        <v>18</v>
      </c>
      <c r="C22" s="123">
        <f>'18'!S5</f>
        <v>0</v>
      </c>
      <c r="D22" s="123">
        <f>'18'!T5</f>
        <v>0</v>
      </c>
      <c r="E22" s="27"/>
      <c r="F22" s="13"/>
      <c r="G22" s="46"/>
      <c r="H22" s="46"/>
      <c r="I22" s="46"/>
      <c r="J22" s="46"/>
      <c r="K22" s="49"/>
      <c r="L22" s="49"/>
      <c r="M22" s="49"/>
      <c r="N22" s="49"/>
      <c r="O22" s="49"/>
      <c r="P22" s="49"/>
      <c r="Q22" s="49"/>
      <c r="R22" s="13"/>
      <c r="S22" s="59"/>
      <c r="T22" s="13"/>
      <c r="U22" s="13"/>
      <c r="V22" s="13"/>
      <c r="W22" s="239"/>
      <c r="X22" s="240"/>
      <c r="Y22" s="13"/>
      <c r="Z22" s="13"/>
      <c r="AA22" s="225"/>
      <c r="AB22" s="226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</row>
    <row r="23" spans="1:84" x14ac:dyDescent="0.35">
      <c r="A23" s="15"/>
      <c r="B23" s="20">
        <v>19</v>
      </c>
      <c r="C23" s="123">
        <f>'19'!S5</f>
        <v>0</v>
      </c>
      <c r="D23" s="123">
        <f>'19'!T5</f>
        <v>0</v>
      </c>
      <c r="E23" s="27"/>
      <c r="F23" s="13"/>
      <c r="G23" s="46"/>
      <c r="H23" s="46"/>
      <c r="I23" s="46"/>
      <c r="J23" s="46"/>
      <c r="K23" s="49"/>
      <c r="L23" s="49"/>
      <c r="M23" s="49"/>
      <c r="N23" s="49"/>
      <c r="O23" s="49"/>
      <c r="P23" s="49"/>
      <c r="Q23" s="49"/>
      <c r="R23" s="13"/>
      <c r="S23" s="68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</row>
    <row r="24" spans="1:84" x14ac:dyDescent="0.35">
      <c r="A24" s="15"/>
      <c r="B24" s="20">
        <v>20</v>
      </c>
      <c r="C24" s="123">
        <f>'20'!S5</f>
        <v>0</v>
      </c>
      <c r="D24" s="123">
        <f>'20'!T5</f>
        <v>0</v>
      </c>
      <c r="E24" s="27"/>
      <c r="F24" s="13"/>
      <c r="G24" s="46"/>
      <c r="H24" s="46"/>
      <c r="I24" s="46"/>
      <c r="J24" s="46"/>
      <c r="K24" s="49"/>
      <c r="L24" s="49"/>
      <c r="M24" s="49"/>
      <c r="N24" s="49"/>
      <c r="O24" s="49"/>
      <c r="P24" s="49"/>
      <c r="Q24" s="49"/>
      <c r="R24" s="13"/>
      <c r="S24" s="68"/>
      <c r="T24" s="13"/>
      <c r="U24" s="13"/>
      <c r="V24" s="13"/>
      <c r="W24" s="13"/>
      <c r="X24" s="13"/>
      <c r="Y24" s="13"/>
      <c r="Z24" s="13"/>
      <c r="AA24" s="241" t="s">
        <v>70</v>
      </c>
      <c r="AB24" s="242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</row>
    <row r="25" spans="1:84" x14ac:dyDescent="0.35">
      <c r="A25" s="15"/>
      <c r="B25" s="20">
        <v>21</v>
      </c>
      <c r="C25" s="123">
        <f>'21'!S5</f>
        <v>0</v>
      </c>
      <c r="D25" s="123">
        <f>'21'!T5</f>
        <v>0</v>
      </c>
      <c r="E25" s="27"/>
      <c r="F25" s="13"/>
      <c r="G25" s="46"/>
      <c r="H25" s="46"/>
      <c r="I25" s="46"/>
      <c r="J25" s="46"/>
      <c r="K25" s="49"/>
      <c r="L25" s="49"/>
      <c r="M25" s="49"/>
      <c r="N25" s="49"/>
      <c r="O25" s="49"/>
      <c r="P25" s="49"/>
      <c r="Q25" s="49"/>
      <c r="R25" s="13"/>
      <c r="S25" s="68"/>
      <c r="T25" s="13"/>
      <c r="U25" s="13"/>
      <c r="V25" s="13"/>
      <c r="W25" s="13"/>
      <c r="X25" s="13"/>
      <c r="Y25" s="13"/>
      <c r="Z25" s="13"/>
      <c r="AA25" s="243">
        <f>(AA16+AA19)/2</f>
        <v>0.10773940714285715</v>
      </c>
      <c r="AB25" s="24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</row>
    <row r="26" spans="1:84" x14ac:dyDescent="0.35">
      <c r="A26" s="15"/>
      <c r="B26" s="20">
        <v>22</v>
      </c>
      <c r="C26" s="123">
        <f>'22'!S5</f>
        <v>0</v>
      </c>
      <c r="D26" s="123">
        <f>'22'!T5</f>
        <v>0</v>
      </c>
      <c r="E26" s="27"/>
      <c r="F26" s="13"/>
      <c r="G26" s="46"/>
      <c r="H26" s="46"/>
      <c r="I26" s="46"/>
      <c r="J26" s="46"/>
      <c r="K26" s="49"/>
      <c r="L26" s="49"/>
      <c r="M26" s="49"/>
      <c r="N26" s="49"/>
      <c r="O26" s="49"/>
      <c r="P26" s="49"/>
      <c r="Q26" s="49"/>
      <c r="R26" s="13"/>
      <c r="S26" s="68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</row>
    <row r="27" spans="1:84" x14ac:dyDescent="0.35">
      <c r="A27" s="15"/>
      <c r="B27" s="20">
        <v>23</v>
      </c>
      <c r="C27" s="123">
        <f>'23'!S5</f>
        <v>0</v>
      </c>
      <c r="D27" s="123">
        <f>'23'!T5</f>
        <v>0</v>
      </c>
      <c r="E27" s="27"/>
      <c r="F27" s="13"/>
      <c r="G27" s="46"/>
      <c r="H27" s="46"/>
      <c r="I27" s="46"/>
      <c r="J27" s="46"/>
      <c r="K27" s="49"/>
      <c r="L27" s="49"/>
      <c r="M27" s="49"/>
      <c r="N27" s="49"/>
      <c r="O27" s="49"/>
      <c r="P27" s="49"/>
      <c r="Q27" s="49"/>
      <c r="R27" s="13"/>
      <c r="S27" s="68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</row>
    <row r="28" spans="1:84" x14ac:dyDescent="0.35">
      <c r="A28" s="15"/>
      <c r="B28" s="20">
        <v>24</v>
      </c>
      <c r="C28" s="123">
        <f>'24'!S5</f>
        <v>0</v>
      </c>
      <c r="D28" s="123">
        <f>'24'!T5</f>
        <v>0</v>
      </c>
      <c r="E28" s="27"/>
      <c r="F28" s="13"/>
      <c r="G28" s="13"/>
      <c r="H28" s="13"/>
      <c r="I28" s="46"/>
      <c r="J28" s="46"/>
      <c r="K28" s="49"/>
      <c r="L28" s="49"/>
      <c r="M28" s="49"/>
      <c r="N28" s="49"/>
      <c r="O28" s="49"/>
      <c r="P28" s="49"/>
      <c r="Q28" s="49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</row>
    <row r="29" spans="1:84" x14ac:dyDescent="0.35">
      <c r="A29" s="15"/>
      <c r="B29" s="20">
        <v>25</v>
      </c>
      <c r="C29" s="123">
        <f>'25'!S5</f>
        <v>0</v>
      </c>
      <c r="D29" s="123">
        <f>'25'!T5</f>
        <v>0</v>
      </c>
      <c r="E29" s="27"/>
      <c r="F29" s="13"/>
      <c r="G29" s="13"/>
      <c r="H29" s="13"/>
      <c r="I29" s="46"/>
      <c r="J29" s="46"/>
      <c r="K29" s="49"/>
      <c r="L29" s="49"/>
      <c r="M29" s="49"/>
      <c r="N29" s="49"/>
      <c r="O29" s="49"/>
      <c r="P29" s="49"/>
      <c r="Q29" s="49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</row>
    <row r="30" spans="1:84" x14ac:dyDescent="0.35">
      <c r="A30" s="15"/>
      <c r="B30" s="20">
        <v>26</v>
      </c>
      <c r="C30" s="123">
        <f>'26'!S5</f>
        <v>0</v>
      </c>
      <c r="D30" s="123">
        <f>'26'!T5</f>
        <v>0</v>
      </c>
      <c r="E30" s="27"/>
      <c r="F30" s="13"/>
      <c r="G30" s="13"/>
      <c r="H30" s="13"/>
      <c r="I30" s="46"/>
      <c r="J30" s="46"/>
      <c r="K30" s="49"/>
      <c r="L30" s="49"/>
      <c r="M30" s="49"/>
      <c r="N30" s="49"/>
      <c r="O30" s="49"/>
      <c r="P30" s="49"/>
      <c r="Q30" s="49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</row>
    <row r="31" spans="1:84" x14ac:dyDescent="0.35">
      <c r="A31" s="15"/>
      <c r="B31" s="20">
        <v>27</v>
      </c>
      <c r="C31" s="123">
        <f>'27'!S5</f>
        <v>0</v>
      </c>
      <c r="D31" s="123">
        <f>'27'!T5</f>
        <v>0</v>
      </c>
      <c r="E31" s="27"/>
      <c r="F31" s="13"/>
      <c r="G31" s="13"/>
      <c r="H31" s="13"/>
      <c r="I31" s="46"/>
      <c r="J31" s="46"/>
      <c r="K31" s="49"/>
      <c r="L31" s="49"/>
      <c r="M31" s="49"/>
      <c r="N31" s="49"/>
      <c r="O31" s="49"/>
      <c r="P31" s="49"/>
      <c r="Q31" s="49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</row>
    <row r="32" spans="1:84" x14ac:dyDescent="0.35">
      <c r="A32" s="15"/>
      <c r="B32" s="20">
        <v>28</v>
      </c>
      <c r="C32" s="123">
        <f>'28'!S5</f>
        <v>0</v>
      </c>
      <c r="D32" s="123">
        <f>'28'!T5</f>
        <v>0</v>
      </c>
      <c r="E32" s="27"/>
      <c r="F32" s="13"/>
      <c r="G32" s="13"/>
      <c r="H32" s="13"/>
      <c r="I32" s="46"/>
      <c r="J32" s="46"/>
      <c r="K32" s="49"/>
      <c r="L32" s="49"/>
      <c r="M32" s="49"/>
      <c r="N32" s="49"/>
      <c r="O32" s="49"/>
      <c r="P32" s="49"/>
      <c r="Q32" s="49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</row>
    <row r="33" spans="1:88" x14ac:dyDescent="0.35">
      <c r="A33" s="15"/>
      <c r="B33" s="20">
        <v>29</v>
      </c>
      <c r="C33" s="123">
        <f>'29'!S5</f>
        <v>0</v>
      </c>
      <c r="D33" s="123">
        <f>'29'!T5</f>
        <v>0</v>
      </c>
      <c r="E33" s="27"/>
      <c r="F33" s="13"/>
      <c r="G33" s="13"/>
      <c r="H33" s="13"/>
      <c r="I33" s="46"/>
      <c r="J33" s="46"/>
      <c r="K33" s="49"/>
      <c r="L33" s="49"/>
      <c r="M33" s="49"/>
      <c r="N33" s="49"/>
      <c r="O33" s="49"/>
      <c r="P33" s="49"/>
      <c r="Q33" s="49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</row>
    <row r="34" spans="1:88" x14ac:dyDescent="0.35">
      <c r="A34" s="15"/>
      <c r="B34" s="20">
        <v>30</v>
      </c>
      <c r="C34" s="123">
        <f>'30'!S5</f>
        <v>0</v>
      </c>
      <c r="D34" s="123">
        <f>'30'!T5</f>
        <v>0</v>
      </c>
      <c r="E34" s="27"/>
      <c r="F34" s="13"/>
      <c r="G34" s="13"/>
      <c r="H34" s="13"/>
      <c r="I34" s="46"/>
      <c r="J34" s="46"/>
      <c r="K34" s="49"/>
      <c r="L34" s="49"/>
      <c r="M34" s="49"/>
      <c r="N34" s="49"/>
      <c r="O34" s="49"/>
      <c r="P34" s="49"/>
      <c r="Q34" s="49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</row>
    <row r="35" spans="1:88" x14ac:dyDescent="0.35">
      <c r="A35" s="15"/>
      <c r="B35" s="20">
        <v>31</v>
      </c>
      <c r="C35" s="123">
        <f>'31'!S5</f>
        <v>0</v>
      </c>
      <c r="D35" s="123">
        <f>'31'!T5</f>
        <v>0</v>
      </c>
      <c r="E35" s="27"/>
      <c r="F35" s="13"/>
      <c r="G35" s="13"/>
      <c r="H35" s="13"/>
      <c r="I35" s="46"/>
      <c r="J35" s="46"/>
      <c r="K35" s="49"/>
      <c r="L35" s="49"/>
      <c r="M35" s="49"/>
      <c r="N35" s="49"/>
      <c r="O35" s="49"/>
      <c r="P35" s="49"/>
      <c r="Q35" s="49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</row>
    <row r="36" spans="1:88" x14ac:dyDescent="0.35">
      <c r="A36" s="15"/>
      <c r="B36" s="70" t="s">
        <v>71</v>
      </c>
      <c r="C36" s="71">
        <f>SUM(C5:C35)</f>
        <v>60556.78</v>
      </c>
      <c r="D36" s="72">
        <f t="shared" ref="D36" si="0">SUM(D5:D35)</f>
        <v>4</v>
      </c>
      <c r="E36" s="27"/>
      <c r="F36" s="13"/>
      <c r="G36" s="13"/>
      <c r="H36" s="13"/>
      <c r="I36" s="46"/>
      <c r="J36" s="46"/>
      <c r="K36" s="49"/>
      <c r="L36" s="49"/>
      <c r="M36" s="49"/>
      <c r="N36" s="49"/>
      <c r="O36" s="49"/>
      <c r="P36" s="49"/>
      <c r="Q36" s="49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</row>
    <row r="37" spans="1:88" x14ac:dyDescent="0.35">
      <c r="A37" s="13"/>
      <c r="B37" s="13"/>
      <c r="C37" s="73"/>
      <c r="D37" s="13"/>
      <c r="E37" s="13"/>
      <c r="F37" s="12"/>
      <c r="G37" s="12"/>
      <c r="H37" s="74"/>
      <c r="I37" s="75"/>
      <c r="J37" s="67"/>
      <c r="K37" s="49"/>
      <c r="L37" s="49"/>
      <c r="M37" s="50"/>
      <c r="N37" s="49"/>
      <c r="O37" s="49"/>
      <c r="P37" s="50"/>
      <c r="Q37" s="49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</row>
    <row r="38" spans="1:88" x14ac:dyDescent="0.35">
      <c r="A38" s="13"/>
      <c r="B38" s="13"/>
      <c r="C38" s="73"/>
      <c r="D38" s="13"/>
      <c r="E38" s="13"/>
      <c r="F38" s="12"/>
      <c r="G38" s="12"/>
      <c r="H38" s="74"/>
      <c r="I38" s="75"/>
      <c r="J38" s="67"/>
      <c r="K38" s="49"/>
      <c r="L38" s="49"/>
      <c r="M38" s="50"/>
      <c r="N38" s="49"/>
      <c r="O38" s="49"/>
      <c r="P38" s="50"/>
      <c r="Q38" s="49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</row>
    <row r="39" spans="1:88" x14ac:dyDescent="0.35">
      <c r="A39" s="13"/>
      <c r="B39" s="13"/>
      <c r="C39" s="73"/>
      <c r="D39" s="13"/>
      <c r="E39" s="13"/>
      <c r="F39" s="12"/>
      <c r="G39" s="12"/>
      <c r="H39" s="74"/>
      <c r="I39" s="75"/>
      <c r="J39" s="67"/>
      <c r="K39" s="49"/>
      <c r="L39" s="49"/>
      <c r="M39" s="50"/>
      <c r="N39" s="49"/>
      <c r="O39" s="49"/>
      <c r="P39" s="50"/>
      <c r="Q39" s="49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</row>
    <row r="40" spans="1:88" x14ac:dyDescent="0.35">
      <c r="A40" s="13"/>
      <c r="B40" s="13"/>
      <c r="C40" s="73"/>
      <c r="D40" s="13"/>
      <c r="E40" s="13"/>
      <c r="F40" s="12"/>
      <c r="G40" s="12"/>
      <c r="H40" s="74"/>
      <c r="I40" s="75"/>
      <c r="J40" s="67"/>
      <c r="K40" s="49"/>
      <c r="L40" s="49"/>
      <c r="M40" s="50"/>
      <c r="N40" s="49"/>
      <c r="O40" s="49"/>
      <c r="P40" s="50"/>
      <c r="Q40" s="49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</row>
    <row r="41" spans="1:88" x14ac:dyDescent="0.35">
      <c r="A41" s="13"/>
      <c r="B41" s="13"/>
      <c r="C41" s="73"/>
      <c r="D41" s="13"/>
      <c r="E41" s="13"/>
      <c r="F41" s="12"/>
      <c r="G41" s="12"/>
      <c r="H41" s="74"/>
      <c r="I41" s="75"/>
      <c r="J41" s="67"/>
      <c r="K41" s="49"/>
      <c r="L41" s="49"/>
      <c r="M41" s="50"/>
      <c r="N41" s="49"/>
      <c r="O41" s="49"/>
      <c r="P41" s="50"/>
      <c r="Q41" s="49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</row>
    <row r="42" spans="1:88" x14ac:dyDescent="0.35">
      <c r="A42" s="13"/>
      <c r="B42" s="13"/>
      <c r="C42" s="73"/>
      <c r="D42" s="13"/>
      <c r="E42" s="13"/>
      <c r="F42" s="12"/>
      <c r="G42" s="12"/>
      <c r="H42" s="74"/>
      <c r="I42" s="75"/>
      <c r="J42" s="67"/>
      <c r="K42" s="49"/>
      <c r="L42" s="49"/>
      <c r="M42" s="50"/>
      <c r="N42" s="49"/>
      <c r="O42" s="49"/>
      <c r="P42" s="50"/>
      <c r="Q42" s="49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</row>
    <row r="43" spans="1:88" x14ac:dyDescent="0.35">
      <c r="A43" s="13"/>
      <c r="B43" s="13"/>
      <c r="C43" s="73"/>
      <c r="D43" s="13"/>
      <c r="E43" s="13"/>
      <c r="F43" s="12"/>
      <c r="G43" s="12"/>
      <c r="H43" s="74"/>
      <c r="I43" s="75"/>
      <c r="J43" s="67"/>
      <c r="K43" s="49"/>
      <c r="L43" s="49"/>
      <c r="M43" s="50"/>
      <c r="N43" s="49"/>
      <c r="O43" s="49"/>
      <c r="P43" s="50"/>
      <c r="Q43" s="49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</row>
    <row r="44" spans="1:88" x14ac:dyDescent="0.35">
      <c r="A44" s="13"/>
      <c r="B44" s="13"/>
      <c r="C44" s="73"/>
      <c r="D44" s="13"/>
      <c r="E44" s="13"/>
      <c r="F44" s="12"/>
      <c r="G44" s="12"/>
      <c r="H44" s="74"/>
      <c r="I44" s="75"/>
      <c r="J44" s="67"/>
      <c r="K44" s="49"/>
      <c r="L44" s="49"/>
      <c r="M44" s="50"/>
      <c r="N44" s="49"/>
      <c r="O44" s="49"/>
      <c r="P44" s="50"/>
      <c r="Q44" s="49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</row>
    <row r="45" spans="1:88" x14ac:dyDescent="0.35">
      <c r="A45" s="13"/>
      <c r="B45" s="13"/>
      <c r="C45" s="73"/>
      <c r="D45" s="13"/>
      <c r="E45" s="13"/>
      <c r="F45" s="12"/>
      <c r="G45" s="12"/>
      <c r="H45" s="74"/>
      <c r="I45" s="75"/>
      <c r="J45" s="67"/>
      <c r="K45" s="49"/>
      <c r="L45" s="49"/>
      <c r="M45" s="50"/>
      <c r="N45" s="49"/>
      <c r="O45" s="49"/>
      <c r="P45" s="50"/>
      <c r="Q45" s="49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</row>
    <row r="46" spans="1:88" x14ac:dyDescent="0.35">
      <c r="A46" s="13"/>
      <c r="B46" s="13"/>
      <c r="C46" s="73"/>
      <c r="D46" s="13"/>
      <c r="E46" s="13"/>
      <c r="F46" s="12"/>
      <c r="G46" s="12"/>
      <c r="H46" s="74"/>
      <c r="I46" s="75"/>
      <c r="J46" s="67"/>
      <c r="K46" s="49"/>
      <c r="L46" s="49"/>
      <c r="M46" s="50"/>
      <c r="N46" s="49"/>
      <c r="O46" s="49"/>
      <c r="P46" s="50"/>
      <c r="Q46" s="49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</row>
    <row r="47" spans="1:88" x14ac:dyDescent="0.35">
      <c r="A47" s="13"/>
      <c r="B47" s="13"/>
      <c r="C47" s="73"/>
      <c r="D47" s="13"/>
      <c r="E47" s="13"/>
      <c r="F47" s="12"/>
      <c r="G47" s="12"/>
      <c r="H47" s="74"/>
      <c r="I47" s="75"/>
      <c r="J47" s="67"/>
      <c r="K47" s="49"/>
      <c r="L47" s="49"/>
      <c r="M47" s="50"/>
      <c r="N47" s="49"/>
      <c r="O47" s="49"/>
      <c r="P47" s="50"/>
      <c r="Q47" s="49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</row>
    <row r="48" spans="1:88" x14ac:dyDescent="0.35">
      <c r="A48" s="13"/>
      <c r="B48" s="13"/>
      <c r="C48" s="73"/>
      <c r="D48" s="13"/>
      <c r="E48" s="13"/>
      <c r="F48" s="12"/>
      <c r="G48" s="12"/>
      <c r="H48" s="74"/>
      <c r="I48" s="75"/>
      <c r="J48" s="67"/>
      <c r="K48" s="49"/>
      <c r="L48" s="49"/>
      <c r="M48" s="50"/>
      <c r="N48" s="49"/>
      <c r="O48" s="49"/>
      <c r="P48" s="50"/>
      <c r="Q48" s="49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</row>
    <row r="49" spans="1:88" x14ac:dyDescent="0.35">
      <c r="A49" s="13"/>
      <c r="B49" s="13"/>
      <c r="C49" s="73"/>
      <c r="D49" s="13"/>
      <c r="E49" s="13"/>
      <c r="F49" s="12"/>
      <c r="G49" s="12"/>
      <c r="H49" s="74"/>
      <c r="I49" s="75"/>
      <c r="J49" s="67"/>
      <c r="K49" s="49"/>
      <c r="L49" s="49"/>
      <c r="M49" s="50"/>
      <c r="N49" s="49"/>
      <c r="O49" s="49"/>
      <c r="P49" s="50"/>
      <c r="Q49" s="49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</row>
    <row r="50" spans="1:88" x14ac:dyDescent="0.35">
      <c r="A50" s="13"/>
      <c r="B50" s="13"/>
      <c r="C50" s="73"/>
      <c r="D50" s="13"/>
      <c r="E50" s="13"/>
      <c r="F50" s="12"/>
      <c r="G50" s="12"/>
      <c r="H50" s="74"/>
      <c r="I50" s="75"/>
      <c r="J50" s="67"/>
      <c r="K50" s="49"/>
      <c r="L50" s="49"/>
      <c r="M50" s="50"/>
      <c r="N50" s="49"/>
      <c r="O50" s="49"/>
      <c r="P50" s="50"/>
      <c r="Q50" s="49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</row>
    <row r="51" spans="1:88" x14ac:dyDescent="0.35">
      <c r="A51" s="13"/>
      <c r="B51" s="13"/>
      <c r="C51" s="73"/>
      <c r="D51" s="13"/>
      <c r="E51" s="13"/>
      <c r="F51" s="12"/>
      <c r="G51" s="12"/>
      <c r="H51" s="74"/>
      <c r="I51" s="75"/>
      <c r="J51" s="67"/>
      <c r="K51" s="49"/>
      <c r="L51" s="49"/>
      <c r="M51" s="50"/>
      <c r="N51" s="49"/>
      <c r="O51" s="49"/>
      <c r="P51" s="50"/>
      <c r="Q51" s="49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</row>
    <row r="52" spans="1:88" x14ac:dyDescent="0.35">
      <c r="A52" s="13"/>
      <c r="B52" s="13"/>
      <c r="C52" s="73"/>
      <c r="D52" s="13"/>
      <c r="E52" s="13"/>
      <c r="F52" s="12"/>
      <c r="G52" s="12"/>
      <c r="H52" s="74"/>
      <c r="I52" s="75"/>
      <c r="J52" s="67"/>
      <c r="K52" s="49"/>
      <c r="L52" s="49"/>
      <c r="M52" s="50"/>
      <c r="N52" s="49"/>
      <c r="O52" s="49"/>
      <c r="P52" s="50"/>
      <c r="Q52" s="49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</row>
    <row r="53" spans="1:88" x14ac:dyDescent="0.35">
      <c r="A53" s="13"/>
      <c r="B53" s="13"/>
      <c r="C53" s="73"/>
      <c r="D53" s="13"/>
      <c r="E53" s="13"/>
      <c r="F53" s="12"/>
      <c r="G53" s="12"/>
      <c r="H53" s="74"/>
      <c r="I53" s="75"/>
      <c r="J53" s="67"/>
      <c r="K53" s="49"/>
      <c r="L53" s="49"/>
      <c r="M53" s="50"/>
      <c r="N53" s="49"/>
      <c r="O53" s="49"/>
      <c r="P53" s="50"/>
      <c r="Q53" s="49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</row>
    <row r="54" spans="1:88" x14ac:dyDescent="0.35">
      <c r="A54" s="13"/>
      <c r="B54" s="13"/>
      <c r="C54" s="73"/>
      <c r="D54" s="13"/>
      <c r="E54" s="13"/>
      <c r="F54" s="12"/>
      <c r="G54" s="12"/>
      <c r="H54" s="74"/>
      <c r="I54" s="75"/>
      <c r="J54" s="67"/>
      <c r="K54" s="49"/>
      <c r="L54" s="49"/>
      <c r="M54" s="50"/>
      <c r="N54" s="49"/>
      <c r="O54" s="49"/>
      <c r="P54" s="50"/>
      <c r="Q54" s="49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</row>
    <row r="55" spans="1:88" x14ac:dyDescent="0.35">
      <c r="A55" s="13"/>
      <c r="B55" s="13"/>
      <c r="C55" s="73"/>
      <c r="D55" s="13"/>
      <c r="E55" s="13"/>
      <c r="F55" s="12"/>
      <c r="G55" s="12"/>
      <c r="H55" s="74"/>
      <c r="I55" s="75"/>
      <c r="J55" s="67"/>
      <c r="K55" s="49"/>
      <c r="L55" s="49"/>
      <c r="M55" s="50"/>
      <c r="N55" s="49"/>
      <c r="O55" s="49"/>
      <c r="P55" s="50"/>
      <c r="Q55" s="49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</row>
    <row r="56" spans="1:88" x14ac:dyDescent="0.35">
      <c r="A56" s="13"/>
      <c r="B56" s="13"/>
      <c r="C56" s="73"/>
      <c r="D56" s="13"/>
      <c r="E56" s="13"/>
      <c r="F56" s="12"/>
      <c r="G56" s="12"/>
      <c r="H56" s="74"/>
      <c r="I56" s="75"/>
      <c r="J56" s="67"/>
      <c r="K56" s="49"/>
      <c r="L56" s="49"/>
      <c r="M56" s="50"/>
      <c r="N56" s="49"/>
      <c r="O56" s="49"/>
      <c r="P56" s="50"/>
      <c r="Q56" s="49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</row>
    <row r="57" spans="1:88" x14ac:dyDescent="0.35">
      <c r="A57" s="13"/>
      <c r="B57" s="13"/>
      <c r="C57" s="73"/>
      <c r="D57" s="76"/>
      <c r="E57" s="13"/>
      <c r="F57" s="12"/>
      <c r="G57" s="12"/>
      <c r="H57" s="74"/>
      <c r="I57" s="75"/>
      <c r="J57" s="67"/>
      <c r="K57" s="49"/>
      <c r="L57" s="49"/>
      <c r="M57" s="50"/>
      <c r="N57" s="49"/>
      <c r="O57" s="49"/>
      <c r="P57" s="50"/>
      <c r="Q57" s="49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</row>
    <row r="58" spans="1:88" x14ac:dyDescent="0.35">
      <c r="A58" s="13"/>
      <c r="B58" s="13"/>
      <c r="C58" s="73"/>
      <c r="D58" s="76"/>
      <c r="E58" s="13"/>
      <c r="F58" s="12"/>
      <c r="G58" s="12"/>
      <c r="H58" s="74"/>
      <c r="I58" s="75"/>
      <c r="J58" s="67"/>
      <c r="K58" s="49"/>
      <c r="L58" s="49"/>
      <c r="M58" s="50"/>
      <c r="N58" s="49"/>
      <c r="O58" s="49"/>
      <c r="P58" s="50"/>
      <c r="Q58" s="49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</row>
    <row r="59" spans="1:88" x14ac:dyDescent="0.35">
      <c r="A59" s="13"/>
      <c r="B59" s="13"/>
      <c r="C59" s="73"/>
      <c r="D59" s="76"/>
      <c r="E59" s="13"/>
      <c r="F59" s="12"/>
      <c r="G59" s="12"/>
      <c r="H59" s="74"/>
      <c r="I59" s="75"/>
      <c r="J59" s="67"/>
      <c r="K59" s="49"/>
      <c r="L59" s="49"/>
      <c r="M59" s="50"/>
      <c r="N59" s="49"/>
      <c r="O59" s="49"/>
      <c r="P59" s="50"/>
      <c r="Q59" s="49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</row>
    <row r="60" spans="1:88" x14ac:dyDescent="0.35">
      <c r="A60" s="13"/>
      <c r="B60" s="13"/>
      <c r="C60" s="73"/>
      <c r="D60" s="76"/>
      <c r="E60" s="13"/>
      <c r="F60" s="12"/>
      <c r="G60" s="12"/>
      <c r="H60" s="74"/>
      <c r="I60" s="75"/>
      <c r="J60" s="67"/>
      <c r="K60" s="49"/>
      <c r="L60" s="49"/>
      <c r="M60" s="50"/>
      <c r="N60" s="49"/>
      <c r="O60" s="49"/>
      <c r="P60" s="50"/>
      <c r="Q60" s="49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</row>
    <row r="61" spans="1:88" x14ac:dyDescent="0.35">
      <c r="A61" s="13"/>
      <c r="B61" s="13"/>
      <c r="C61" s="73"/>
      <c r="D61" s="76"/>
      <c r="E61" s="13"/>
      <c r="F61" s="12"/>
      <c r="G61" s="12"/>
      <c r="H61" s="74"/>
      <c r="I61" s="75"/>
      <c r="J61" s="67"/>
      <c r="K61" s="49"/>
      <c r="L61" s="49"/>
      <c r="M61" s="50"/>
      <c r="N61" s="49"/>
      <c r="O61" s="49"/>
      <c r="P61" s="50"/>
      <c r="Q61" s="49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</row>
    <row r="62" spans="1:88" x14ac:dyDescent="0.35">
      <c r="A62" s="13"/>
      <c r="B62" s="13"/>
      <c r="C62" s="73"/>
      <c r="D62" s="76"/>
      <c r="E62" s="13"/>
      <c r="F62" s="12"/>
      <c r="G62" s="12"/>
      <c r="H62" s="74"/>
      <c r="I62" s="75"/>
      <c r="J62" s="67"/>
      <c r="K62" s="49"/>
      <c r="L62" s="49"/>
      <c r="M62" s="50"/>
      <c r="N62" s="49"/>
      <c r="O62" s="49"/>
      <c r="P62" s="50"/>
      <c r="Q62" s="49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</row>
    <row r="63" spans="1:88" x14ac:dyDescent="0.35">
      <c r="A63" s="13"/>
      <c r="B63" s="13"/>
      <c r="C63" s="73"/>
      <c r="D63" s="76"/>
      <c r="E63" s="13"/>
      <c r="F63" s="12"/>
      <c r="G63" s="12"/>
      <c r="H63" s="74"/>
      <c r="I63" s="75"/>
      <c r="J63" s="67"/>
      <c r="K63" s="49"/>
      <c r="L63" s="49"/>
      <c r="M63" s="50"/>
      <c r="N63" s="49"/>
      <c r="O63" s="49"/>
      <c r="P63" s="50"/>
      <c r="Q63" s="49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</row>
    <row r="64" spans="1:88" x14ac:dyDescent="0.35">
      <c r="A64" s="13"/>
      <c r="B64" s="13"/>
      <c r="C64" s="73"/>
      <c r="D64" s="76"/>
      <c r="E64" s="13"/>
      <c r="F64" s="12"/>
      <c r="G64" s="12"/>
      <c r="H64" s="74"/>
      <c r="I64" s="75"/>
      <c r="J64" s="67"/>
      <c r="K64" s="49"/>
      <c r="L64" s="49"/>
      <c r="M64" s="50"/>
      <c r="N64" s="49"/>
      <c r="O64" s="49"/>
      <c r="P64" s="50"/>
      <c r="Q64" s="49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</row>
    <row r="65" spans="2:88" x14ac:dyDescent="0.35">
      <c r="B65" s="13"/>
      <c r="C65" s="73"/>
      <c r="D65" s="76"/>
      <c r="E65" s="13"/>
      <c r="F65" s="12"/>
      <c r="G65" s="12"/>
      <c r="H65" s="74"/>
      <c r="I65" s="75"/>
      <c r="J65" s="67"/>
      <c r="K65" s="49"/>
      <c r="L65" s="49"/>
      <c r="M65" s="50"/>
      <c r="N65" s="49"/>
      <c r="O65" s="49"/>
      <c r="P65" s="50"/>
      <c r="Q65" s="49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</row>
    <row r="66" spans="2:88" x14ac:dyDescent="0.35">
      <c r="B66" s="13"/>
      <c r="C66" s="73"/>
      <c r="D66" s="76"/>
      <c r="E66" s="13"/>
      <c r="F66" s="12"/>
      <c r="G66" s="12"/>
      <c r="H66" s="74"/>
      <c r="I66" s="75"/>
      <c r="J66" s="67"/>
      <c r="K66" s="49"/>
      <c r="L66" s="49"/>
      <c r="M66" s="50"/>
      <c r="N66" s="49"/>
      <c r="O66" s="49"/>
      <c r="P66" s="50"/>
      <c r="Q66" s="49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</row>
    <row r="67" spans="2:88" x14ac:dyDescent="0.35">
      <c r="Q67" s="83"/>
    </row>
    <row r="68" spans="2:88" x14ac:dyDescent="0.35">
      <c r="Q68" s="83"/>
    </row>
    <row r="69" spans="2:88" x14ac:dyDescent="0.35">
      <c r="Q69" s="83"/>
    </row>
    <row r="70" spans="2:88" x14ac:dyDescent="0.35">
      <c r="Q70" s="83"/>
    </row>
    <row r="71" spans="2:88" x14ac:dyDescent="0.35">
      <c r="Q71" s="83"/>
    </row>
    <row r="72" spans="2:88" x14ac:dyDescent="0.35">
      <c r="Q72" s="83"/>
    </row>
    <row r="73" spans="2:88" x14ac:dyDescent="0.35">
      <c r="Q73" s="83"/>
    </row>
    <row r="74" spans="2:88" x14ac:dyDescent="0.35">
      <c r="Q74" s="83"/>
    </row>
    <row r="75" spans="2:88" x14ac:dyDescent="0.35">
      <c r="Q75" s="83"/>
    </row>
    <row r="76" spans="2:88" x14ac:dyDescent="0.35">
      <c r="Q76" s="83"/>
    </row>
    <row r="77" spans="2:88" x14ac:dyDescent="0.35">
      <c r="Q77" s="83"/>
    </row>
    <row r="78" spans="2:88" x14ac:dyDescent="0.35">
      <c r="Q78" s="83"/>
    </row>
    <row r="79" spans="2:88" x14ac:dyDescent="0.35">
      <c r="Q79" s="83"/>
    </row>
    <row r="80" spans="2:88" x14ac:dyDescent="0.35">
      <c r="Q80" s="83"/>
    </row>
    <row r="81" spans="17:17" x14ac:dyDescent="0.35">
      <c r="Q81" s="83"/>
    </row>
    <row r="82" spans="17:17" x14ac:dyDescent="0.35">
      <c r="Q82" s="83"/>
    </row>
    <row r="83" spans="17:17" x14ac:dyDescent="0.35">
      <c r="Q83" s="83"/>
    </row>
    <row r="84" spans="17:17" x14ac:dyDescent="0.35">
      <c r="Q84" s="83"/>
    </row>
    <row r="85" spans="17:17" x14ac:dyDescent="0.35">
      <c r="Q85" s="83"/>
    </row>
    <row r="86" spans="17:17" x14ac:dyDescent="0.35">
      <c r="Q86" s="83"/>
    </row>
    <row r="87" spans="17:17" x14ac:dyDescent="0.35">
      <c r="Q87" s="83"/>
    </row>
    <row r="88" spans="17:17" x14ac:dyDescent="0.35">
      <c r="Q88" s="83"/>
    </row>
    <row r="89" spans="17:17" x14ac:dyDescent="0.35">
      <c r="Q89" s="83"/>
    </row>
    <row r="90" spans="17:17" x14ac:dyDescent="0.35">
      <c r="Q90" s="83"/>
    </row>
    <row r="91" spans="17:17" x14ac:dyDescent="0.35">
      <c r="Q91" s="83"/>
    </row>
    <row r="92" spans="17:17" x14ac:dyDescent="0.35">
      <c r="Q92" s="83"/>
    </row>
    <row r="93" spans="17:17" x14ac:dyDescent="0.35">
      <c r="Q93" s="83"/>
    </row>
    <row r="94" spans="17:17" x14ac:dyDescent="0.35">
      <c r="Q94" s="83"/>
    </row>
    <row r="95" spans="17:17" x14ac:dyDescent="0.35">
      <c r="Q95" s="83"/>
    </row>
    <row r="96" spans="17:17" x14ac:dyDescent="0.35">
      <c r="Q96" s="83"/>
    </row>
    <row r="97" spans="17:17" x14ac:dyDescent="0.35">
      <c r="Q97" s="83"/>
    </row>
    <row r="98" spans="17:17" x14ac:dyDescent="0.35">
      <c r="Q98" s="83"/>
    </row>
    <row r="99" spans="17:17" x14ac:dyDescent="0.35">
      <c r="Q99" s="83"/>
    </row>
    <row r="100" spans="17:17" x14ac:dyDescent="0.35">
      <c r="Q100" s="83"/>
    </row>
    <row r="101" spans="17:17" x14ac:dyDescent="0.35">
      <c r="Q101" s="83"/>
    </row>
    <row r="102" spans="17:17" x14ac:dyDescent="0.35">
      <c r="Q102" s="83"/>
    </row>
    <row r="103" spans="17:17" x14ac:dyDescent="0.35">
      <c r="Q103" s="83"/>
    </row>
    <row r="104" spans="17:17" x14ac:dyDescent="0.35">
      <c r="Q104" s="83"/>
    </row>
    <row r="105" spans="17:17" x14ac:dyDescent="0.35">
      <c r="Q105" s="83"/>
    </row>
    <row r="106" spans="17:17" x14ac:dyDescent="0.35">
      <c r="Q106" s="83"/>
    </row>
    <row r="107" spans="17:17" x14ac:dyDescent="0.35">
      <c r="Q107" s="83"/>
    </row>
    <row r="108" spans="17:17" x14ac:dyDescent="0.35">
      <c r="Q108" s="83"/>
    </row>
    <row r="109" spans="17:17" x14ac:dyDescent="0.35">
      <c r="Q109" s="83"/>
    </row>
    <row r="110" spans="17:17" x14ac:dyDescent="0.35">
      <c r="Q110" s="83"/>
    </row>
    <row r="111" spans="17:17" x14ac:dyDescent="0.35">
      <c r="Q111" s="83"/>
    </row>
    <row r="112" spans="17:17" x14ac:dyDescent="0.35">
      <c r="Q112" s="83"/>
    </row>
    <row r="113" spans="17:17" x14ac:dyDescent="0.35">
      <c r="Q113" s="83"/>
    </row>
    <row r="114" spans="17:17" x14ac:dyDescent="0.35">
      <c r="Q114" s="83"/>
    </row>
    <row r="115" spans="17:17" x14ac:dyDescent="0.35">
      <c r="Q115" s="83"/>
    </row>
    <row r="116" spans="17:17" x14ac:dyDescent="0.35">
      <c r="Q116" s="83"/>
    </row>
    <row r="117" spans="17:17" x14ac:dyDescent="0.35">
      <c r="Q117" s="83"/>
    </row>
    <row r="118" spans="17:17" x14ac:dyDescent="0.35">
      <c r="Q118" s="83"/>
    </row>
    <row r="119" spans="17:17" x14ac:dyDescent="0.35">
      <c r="Q119" s="83"/>
    </row>
    <row r="120" spans="17:17" x14ac:dyDescent="0.35">
      <c r="Q120" s="83"/>
    </row>
    <row r="121" spans="17:17" x14ac:dyDescent="0.35">
      <c r="Q121" s="83"/>
    </row>
    <row r="122" spans="17:17" x14ac:dyDescent="0.35">
      <c r="Q122" s="83"/>
    </row>
    <row r="123" spans="17:17" x14ac:dyDescent="0.35">
      <c r="Q123" s="83"/>
    </row>
    <row r="124" spans="17:17" x14ac:dyDescent="0.35">
      <c r="Q124" s="83"/>
    </row>
    <row r="125" spans="17:17" x14ac:dyDescent="0.35">
      <c r="Q125" s="83"/>
    </row>
    <row r="126" spans="17:17" x14ac:dyDescent="0.35">
      <c r="Q126" s="83"/>
    </row>
    <row r="127" spans="17:17" x14ac:dyDescent="0.35">
      <c r="Q127" s="83"/>
    </row>
    <row r="128" spans="17:17" x14ac:dyDescent="0.35">
      <c r="Q128" s="83"/>
    </row>
    <row r="129" spans="17:17" x14ac:dyDescent="0.35">
      <c r="Q129" s="83"/>
    </row>
    <row r="130" spans="17:17" x14ac:dyDescent="0.35">
      <c r="Q130" s="83"/>
    </row>
    <row r="131" spans="17:17" x14ac:dyDescent="0.35">
      <c r="Q131" s="83"/>
    </row>
    <row r="132" spans="17:17" x14ac:dyDescent="0.35">
      <c r="Q132" s="83"/>
    </row>
    <row r="133" spans="17:17" x14ac:dyDescent="0.35">
      <c r="Q133" s="83"/>
    </row>
    <row r="134" spans="17:17" x14ac:dyDescent="0.35">
      <c r="Q134" s="83"/>
    </row>
    <row r="135" spans="17:17" x14ac:dyDescent="0.35">
      <c r="Q135" s="83"/>
    </row>
    <row r="136" spans="17:17" x14ac:dyDescent="0.35">
      <c r="Q136" s="83"/>
    </row>
    <row r="137" spans="17:17" x14ac:dyDescent="0.35">
      <c r="Q137" s="83"/>
    </row>
    <row r="138" spans="17:17" x14ac:dyDescent="0.35">
      <c r="Q138" s="83"/>
    </row>
    <row r="139" spans="17:17" x14ac:dyDescent="0.35">
      <c r="Q139" s="83"/>
    </row>
    <row r="140" spans="17:17" x14ac:dyDescent="0.35">
      <c r="Q140" s="83"/>
    </row>
    <row r="141" spans="17:17" x14ac:dyDescent="0.35">
      <c r="Q141" s="83"/>
    </row>
    <row r="142" spans="17:17" x14ac:dyDescent="0.35">
      <c r="Q142" s="83"/>
    </row>
    <row r="143" spans="17:17" x14ac:dyDescent="0.35">
      <c r="Q143" s="83"/>
    </row>
    <row r="144" spans="17:17" x14ac:dyDescent="0.35">
      <c r="Q144" s="83"/>
    </row>
    <row r="145" spans="17:17" x14ac:dyDescent="0.35">
      <c r="Q145" s="83"/>
    </row>
    <row r="146" spans="17:17" x14ac:dyDescent="0.35">
      <c r="Q146" s="83"/>
    </row>
    <row r="147" spans="17:17" x14ac:dyDescent="0.35">
      <c r="Q147" s="83"/>
    </row>
    <row r="148" spans="17:17" x14ac:dyDescent="0.35">
      <c r="Q148" s="83"/>
    </row>
    <row r="149" spans="17:17" x14ac:dyDescent="0.35">
      <c r="Q149" s="83"/>
    </row>
    <row r="150" spans="17:17" x14ac:dyDescent="0.35">
      <c r="Q150" s="83"/>
    </row>
    <row r="151" spans="17:17" x14ac:dyDescent="0.35">
      <c r="Q151" s="83"/>
    </row>
    <row r="152" spans="17:17" x14ac:dyDescent="0.35">
      <c r="Q152" s="83"/>
    </row>
    <row r="153" spans="17:17" x14ac:dyDescent="0.35">
      <c r="Q153" s="83"/>
    </row>
    <row r="154" spans="17:17" x14ac:dyDescent="0.35">
      <c r="Q154" s="83"/>
    </row>
    <row r="155" spans="17:17" x14ac:dyDescent="0.35">
      <c r="Q155" s="83"/>
    </row>
    <row r="156" spans="17:17" x14ac:dyDescent="0.35">
      <c r="Q156" s="83"/>
    </row>
    <row r="157" spans="17:17" x14ac:dyDescent="0.35">
      <c r="Q157" s="83"/>
    </row>
    <row r="158" spans="17:17" x14ac:dyDescent="0.35">
      <c r="Q158" s="83"/>
    </row>
    <row r="159" spans="17:17" x14ac:dyDescent="0.35">
      <c r="Q159" s="83"/>
    </row>
    <row r="160" spans="17:17" x14ac:dyDescent="0.35">
      <c r="Q160" s="83"/>
    </row>
    <row r="161" spans="17:17" x14ac:dyDescent="0.35">
      <c r="Q161" s="83"/>
    </row>
    <row r="162" spans="17:17" x14ac:dyDescent="0.35">
      <c r="Q162" s="83"/>
    </row>
    <row r="163" spans="17:17" x14ac:dyDescent="0.35">
      <c r="Q163" s="83"/>
    </row>
    <row r="164" spans="17:17" x14ac:dyDescent="0.35">
      <c r="Q164" s="83"/>
    </row>
    <row r="165" spans="17:17" x14ac:dyDescent="0.35">
      <c r="Q165" s="83"/>
    </row>
    <row r="166" spans="17:17" x14ac:dyDescent="0.35">
      <c r="Q166" s="83"/>
    </row>
    <row r="167" spans="17:17" x14ac:dyDescent="0.35">
      <c r="Q167" s="83"/>
    </row>
    <row r="168" spans="17:17" x14ac:dyDescent="0.35">
      <c r="Q168" s="83"/>
    </row>
    <row r="169" spans="17:17" x14ac:dyDescent="0.35">
      <c r="Q169" s="83"/>
    </row>
    <row r="170" spans="17:17" x14ac:dyDescent="0.35">
      <c r="Q170" s="83"/>
    </row>
    <row r="171" spans="17:17" x14ac:dyDescent="0.35">
      <c r="Q171" s="83"/>
    </row>
    <row r="172" spans="17:17" x14ac:dyDescent="0.35">
      <c r="Q172" s="83"/>
    </row>
    <row r="173" spans="17:17" x14ac:dyDescent="0.35">
      <c r="Q173" s="83"/>
    </row>
    <row r="174" spans="17:17" x14ac:dyDescent="0.35">
      <c r="Q174" s="83"/>
    </row>
    <row r="175" spans="17:17" x14ac:dyDescent="0.35">
      <c r="Q175" s="83"/>
    </row>
    <row r="176" spans="17:17" x14ac:dyDescent="0.35">
      <c r="Q176" s="83"/>
    </row>
    <row r="177" spans="17:17" x14ac:dyDescent="0.35">
      <c r="Q177" s="83"/>
    </row>
    <row r="178" spans="17:17" x14ac:dyDescent="0.35">
      <c r="Q178" s="83"/>
    </row>
    <row r="179" spans="17:17" x14ac:dyDescent="0.35">
      <c r="Q179" s="83"/>
    </row>
    <row r="180" spans="17:17" x14ac:dyDescent="0.35">
      <c r="Q180" s="83"/>
    </row>
    <row r="181" spans="17:17" x14ac:dyDescent="0.35">
      <c r="Q181" s="83"/>
    </row>
    <row r="182" spans="17:17" x14ac:dyDescent="0.35">
      <c r="Q182" s="83"/>
    </row>
    <row r="183" spans="17:17" x14ac:dyDescent="0.35">
      <c r="Q183" s="83"/>
    </row>
    <row r="184" spans="17:17" x14ac:dyDescent="0.35">
      <c r="Q184" s="83"/>
    </row>
    <row r="185" spans="17:17" x14ac:dyDescent="0.35">
      <c r="Q185" s="83"/>
    </row>
    <row r="186" spans="17:17" x14ac:dyDescent="0.35">
      <c r="Q186" s="83"/>
    </row>
    <row r="187" spans="17:17" x14ac:dyDescent="0.35">
      <c r="Q187" s="83"/>
    </row>
    <row r="188" spans="17:17" x14ac:dyDescent="0.35">
      <c r="Q188" s="83"/>
    </row>
    <row r="189" spans="17:17" x14ac:dyDescent="0.35">
      <c r="Q189" s="83"/>
    </row>
    <row r="190" spans="17:17" x14ac:dyDescent="0.35">
      <c r="Q190" s="83"/>
    </row>
    <row r="191" spans="17:17" x14ac:dyDescent="0.35">
      <c r="Q191" s="83"/>
    </row>
    <row r="192" spans="17:17" x14ac:dyDescent="0.35">
      <c r="Q192" s="83"/>
    </row>
    <row r="193" spans="17:17" x14ac:dyDescent="0.35">
      <c r="Q193" s="83"/>
    </row>
    <row r="194" spans="17:17" x14ac:dyDescent="0.35">
      <c r="Q194" s="83"/>
    </row>
    <row r="195" spans="17:17" x14ac:dyDescent="0.35">
      <c r="Q195" s="83"/>
    </row>
    <row r="196" spans="17:17" x14ac:dyDescent="0.35">
      <c r="Q196" s="83"/>
    </row>
    <row r="197" spans="17:17" x14ac:dyDescent="0.35">
      <c r="Q197" s="83"/>
    </row>
    <row r="198" spans="17:17" x14ac:dyDescent="0.35">
      <c r="Q198" s="83"/>
    </row>
    <row r="199" spans="17:17" x14ac:dyDescent="0.35">
      <c r="Q199" s="83"/>
    </row>
    <row r="200" spans="17:17" x14ac:dyDescent="0.35">
      <c r="Q200" s="83"/>
    </row>
    <row r="201" spans="17:17" x14ac:dyDescent="0.35">
      <c r="Q201" s="83"/>
    </row>
    <row r="202" spans="17:17" x14ac:dyDescent="0.35">
      <c r="Q202" s="83"/>
    </row>
    <row r="203" spans="17:17" x14ac:dyDescent="0.35">
      <c r="Q203" s="83"/>
    </row>
    <row r="204" spans="17:17" x14ac:dyDescent="0.35">
      <c r="Q204" s="83"/>
    </row>
    <row r="205" spans="17:17" x14ac:dyDescent="0.35">
      <c r="Q205" s="83"/>
    </row>
    <row r="206" spans="17:17" x14ac:dyDescent="0.35">
      <c r="Q206" s="83"/>
    </row>
    <row r="207" spans="17:17" x14ac:dyDescent="0.35">
      <c r="Q207" s="83"/>
    </row>
    <row r="208" spans="17:17" x14ac:dyDescent="0.35">
      <c r="Q208" s="83"/>
    </row>
    <row r="209" spans="17:17" x14ac:dyDescent="0.35">
      <c r="Q209" s="83"/>
    </row>
    <row r="210" spans="17:17" x14ac:dyDescent="0.35">
      <c r="Q210" s="83"/>
    </row>
    <row r="211" spans="17:17" x14ac:dyDescent="0.35">
      <c r="Q211" s="83"/>
    </row>
    <row r="212" spans="17:17" x14ac:dyDescent="0.35">
      <c r="Q212" s="83"/>
    </row>
    <row r="213" spans="17:17" x14ac:dyDescent="0.35">
      <c r="Q213" s="83"/>
    </row>
    <row r="214" spans="17:17" x14ac:dyDescent="0.35">
      <c r="Q214" s="83"/>
    </row>
    <row r="215" spans="17:17" x14ac:dyDescent="0.35">
      <c r="Q215" s="83"/>
    </row>
    <row r="216" spans="17:17" x14ac:dyDescent="0.35">
      <c r="Q216" s="83"/>
    </row>
    <row r="217" spans="17:17" x14ac:dyDescent="0.35">
      <c r="Q217" s="83"/>
    </row>
    <row r="218" spans="17:17" x14ac:dyDescent="0.35">
      <c r="Q218" s="83"/>
    </row>
    <row r="219" spans="17:17" x14ac:dyDescent="0.35">
      <c r="Q219" s="83"/>
    </row>
    <row r="220" spans="17:17" x14ac:dyDescent="0.35">
      <c r="Q220" s="83"/>
    </row>
    <row r="221" spans="17:17" x14ac:dyDescent="0.35">
      <c r="Q221" s="83"/>
    </row>
    <row r="222" spans="17:17" x14ac:dyDescent="0.35">
      <c r="Q222" s="83"/>
    </row>
    <row r="223" spans="17:17" x14ac:dyDescent="0.35">
      <c r="Q223" s="83"/>
    </row>
    <row r="224" spans="17:17" x14ac:dyDescent="0.35">
      <c r="Q224" s="83"/>
    </row>
    <row r="225" spans="17:17" x14ac:dyDescent="0.35">
      <c r="Q225" s="83"/>
    </row>
    <row r="226" spans="17:17" x14ac:dyDescent="0.35">
      <c r="Q226" s="83"/>
    </row>
    <row r="227" spans="17:17" x14ac:dyDescent="0.35">
      <c r="Q227" s="83"/>
    </row>
    <row r="228" spans="17:17" x14ac:dyDescent="0.35">
      <c r="Q228" s="83"/>
    </row>
    <row r="229" spans="17:17" x14ac:dyDescent="0.35">
      <c r="Q229" s="83"/>
    </row>
    <row r="230" spans="17:17" x14ac:dyDescent="0.35">
      <c r="Q230" s="83"/>
    </row>
    <row r="231" spans="17:17" x14ac:dyDescent="0.35">
      <c r="Q231" s="83"/>
    </row>
    <row r="232" spans="17:17" x14ac:dyDescent="0.35">
      <c r="Q232" s="83"/>
    </row>
    <row r="233" spans="17:17" x14ac:dyDescent="0.35">
      <c r="Q233" s="83"/>
    </row>
    <row r="234" spans="17:17" x14ac:dyDescent="0.35">
      <c r="Q234" s="83"/>
    </row>
    <row r="235" spans="17:17" x14ac:dyDescent="0.35">
      <c r="Q235" s="83"/>
    </row>
    <row r="236" spans="17:17" x14ac:dyDescent="0.35">
      <c r="Q236" s="83"/>
    </row>
    <row r="237" spans="17:17" x14ac:dyDescent="0.35">
      <c r="Q237" s="83"/>
    </row>
    <row r="238" spans="17:17" x14ac:dyDescent="0.35">
      <c r="Q238" s="83"/>
    </row>
    <row r="239" spans="17:17" x14ac:dyDescent="0.35">
      <c r="Q239" s="83"/>
    </row>
    <row r="240" spans="17:17" x14ac:dyDescent="0.35">
      <c r="Q240" s="83"/>
    </row>
    <row r="241" spans="17:17" x14ac:dyDescent="0.35">
      <c r="Q241" s="83"/>
    </row>
    <row r="242" spans="17:17" x14ac:dyDescent="0.35">
      <c r="Q242" s="83"/>
    </row>
    <row r="243" spans="17:17" x14ac:dyDescent="0.35">
      <c r="Q243" s="83"/>
    </row>
    <row r="244" spans="17:17" x14ac:dyDescent="0.35">
      <c r="Q244" s="83"/>
    </row>
    <row r="245" spans="17:17" x14ac:dyDescent="0.35">
      <c r="Q245" s="83"/>
    </row>
    <row r="246" spans="17:17" x14ac:dyDescent="0.35">
      <c r="Q246" s="83"/>
    </row>
    <row r="247" spans="17:17" x14ac:dyDescent="0.35">
      <c r="Q247" s="83"/>
    </row>
    <row r="248" spans="17:17" x14ac:dyDescent="0.35">
      <c r="Q248" s="83"/>
    </row>
    <row r="249" spans="17:17" x14ac:dyDescent="0.35">
      <c r="Q249" s="83"/>
    </row>
    <row r="250" spans="17:17" x14ac:dyDescent="0.35">
      <c r="Q250" s="83"/>
    </row>
    <row r="251" spans="17:17" x14ac:dyDescent="0.35">
      <c r="Q251" s="83"/>
    </row>
    <row r="252" spans="17:17" x14ac:dyDescent="0.35">
      <c r="Q252" s="83"/>
    </row>
    <row r="253" spans="17:17" x14ac:dyDescent="0.35">
      <c r="Q253" s="83"/>
    </row>
    <row r="254" spans="17:17" x14ac:dyDescent="0.35">
      <c r="Q254" s="83"/>
    </row>
    <row r="255" spans="17:17" x14ac:dyDescent="0.35">
      <c r="Q255" s="83"/>
    </row>
    <row r="256" spans="17:17" x14ac:dyDescent="0.35">
      <c r="Q256" s="83"/>
    </row>
    <row r="257" spans="17:17" x14ac:dyDescent="0.35">
      <c r="Q257" s="83"/>
    </row>
    <row r="258" spans="17:17" x14ac:dyDescent="0.35">
      <c r="Q258" s="83"/>
    </row>
    <row r="259" spans="17:17" x14ac:dyDescent="0.35">
      <c r="Q259" s="83"/>
    </row>
    <row r="260" spans="17:17" x14ac:dyDescent="0.35">
      <c r="Q260" s="83"/>
    </row>
    <row r="261" spans="17:17" x14ac:dyDescent="0.35">
      <c r="Q261" s="83"/>
    </row>
    <row r="262" spans="17:17" x14ac:dyDescent="0.35">
      <c r="Q262" s="83"/>
    </row>
    <row r="263" spans="17:17" x14ac:dyDescent="0.35">
      <c r="Q263" s="83"/>
    </row>
    <row r="264" spans="17:17" x14ac:dyDescent="0.35">
      <c r="Q264" s="83"/>
    </row>
    <row r="265" spans="17:17" x14ac:dyDescent="0.35">
      <c r="Q265" s="83"/>
    </row>
    <row r="266" spans="17:17" x14ac:dyDescent="0.35">
      <c r="Q266" s="83"/>
    </row>
    <row r="267" spans="17:17" x14ac:dyDescent="0.35">
      <c r="Q267" s="83"/>
    </row>
    <row r="268" spans="17:17" x14ac:dyDescent="0.35">
      <c r="Q268" s="83"/>
    </row>
    <row r="269" spans="17:17" x14ac:dyDescent="0.35">
      <c r="Q269" s="83"/>
    </row>
    <row r="270" spans="17:17" x14ac:dyDescent="0.35">
      <c r="Q270" s="83"/>
    </row>
    <row r="271" spans="17:17" x14ac:dyDescent="0.35">
      <c r="Q271" s="83"/>
    </row>
    <row r="272" spans="17:17" x14ac:dyDescent="0.35">
      <c r="Q272" s="83"/>
    </row>
    <row r="273" spans="17:17" x14ac:dyDescent="0.35">
      <c r="Q273" s="83"/>
    </row>
    <row r="274" spans="17:17" x14ac:dyDescent="0.35">
      <c r="Q274" s="83"/>
    </row>
    <row r="275" spans="17:17" x14ac:dyDescent="0.35">
      <c r="Q275" s="83"/>
    </row>
    <row r="276" spans="17:17" x14ac:dyDescent="0.35">
      <c r="Q276" s="83"/>
    </row>
    <row r="277" spans="17:17" x14ac:dyDescent="0.35">
      <c r="Q277" s="83"/>
    </row>
    <row r="278" spans="17:17" x14ac:dyDescent="0.35">
      <c r="Q278" s="83"/>
    </row>
    <row r="279" spans="17:17" x14ac:dyDescent="0.35">
      <c r="Q279" s="83"/>
    </row>
    <row r="280" spans="17:17" x14ac:dyDescent="0.35">
      <c r="Q280" s="83"/>
    </row>
    <row r="281" spans="17:17" x14ac:dyDescent="0.35">
      <c r="Q281" s="83"/>
    </row>
    <row r="282" spans="17:17" x14ac:dyDescent="0.35">
      <c r="Q282" s="83"/>
    </row>
    <row r="283" spans="17:17" x14ac:dyDescent="0.35">
      <c r="Q283" s="83"/>
    </row>
    <row r="284" spans="17:17" x14ac:dyDescent="0.35">
      <c r="Q284" s="83"/>
    </row>
    <row r="285" spans="17:17" x14ac:dyDescent="0.35">
      <c r="Q285" s="83"/>
    </row>
    <row r="286" spans="17:17" x14ac:dyDescent="0.35">
      <c r="Q286" s="83"/>
    </row>
    <row r="287" spans="17:17" x14ac:dyDescent="0.35">
      <c r="Q287" s="83"/>
    </row>
    <row r="288" spans="17:17" x14ac:dyDescent="0.35">
      <c r="Q288" s="83"/>
    </row>
    <row r="289" spans="17:17" x14ac:dyDescent="0.35">
      <c r="Q289" s="83"/>
    </row>
    <row r="290" spans="17:17" x14ac:dyDescent="0.35">
      <c r="Q290" s="83"/>
    </row>
    <row r="291" spans="17:17" x14ac:dyDescent="0.35">
      <c r="Q291" s="83"/>
    </row>
    <row r="292" spans="17:17" x14ac:dyDescent="0.35">
      <c r="Q292" s="83"/>
    </row>
    <row r="293" spans="17:17" x14ac:dyDescent="0.35">
      <c r="Q293" s="83"/>
    </row>
    <row r="294" spans="17:17" x14ac:dyDescent="0.35">
      <c r="Q294" s="83"/>
    </row>
    <row r="295" spans="17:17" x14ac:dyDescent="0.35">
      <c r="Q295" s="83"/>
    </row>
    <row r="296" spans="17:17" x14ac:dyDescent="0.35">
      <c r="Q296" s="83"/>
    </row>
    <row r="297" spans="17:17" x14ac:dyDescent="0.35">
      <c r="Q297" s="83"/>
    </row>
    <row r="298" spans="17:17" x14ac:dyDescent="0.35">
      <c r="Q298" s="83"/>
    </row>
    <row r="299" spans="17:17" x14ac:dyDescent="0.35">
      <c r="Q299" s="83"/>
    </row>
    <row r="300" spans="17:17" x14ac:dyDescent="0.35">
      <c r="Q300" s="83"/>
    </row>
    <row r="301" spans="17:17" x14ac:dyDescent="0.35">
      <c r="Q301" s="83"/>
    </row>
    <row r="302" spans="17:17" x14ac:dyDescent="0.35">
      <c r="Q302" s="83"/>
    </row>
    <row r="303" spans="17:17" x14ac:dyDescent="0.35">
      <c r="Q303" s="83"/>
    </row>
    <row r="304" spans="17:17" x14ac:dyDescent="0.35">
      <c r="Q304" s="83"/>
    </row>
    <row r="305" spans="17:17" x14ac:dyDescent="0.35">
      <c r="Q305" s="83"/>
    </row>
    <row r="306" spans="17:17" x14ac:dyDescent="0.35">
      <c r="Q306" s="83"/>
    </row>
    <row r="307" spans="17:17" x14ac:dyDescent="0.35">
      <c r="Q307" s="83"/>
    </row>
    <row r="308" spans="17:17" x14ac:dyDescent="0.35">
      <c r="Q308" s="83"/>
    </row>
    <row r="309" spans="17:17" x14ac:dyDescent="0.35">
      <c r="Q309" s="83"/>
    </row>
    <row r="310" spans="17:17" x14ac:dyDescent="0.35">
      <c r="Q310" s="83"/>
    </row>
    <row r="311" spans="17:17" x14ac:dyDescent="0.35">
      <c r="Q311" s="83"/>
    </row>
    <row r="312" spans="17:17" x14ac:dyDescent="0.35">
      <c r="Q312" s="83"/>
    </row>
    <row r="313" spans="17:17" x14ac:dyDescent="0.35">
      <c r="Q313" s="83"/>
    </row>
    <row r="314" spans="17:17" x14ac:dyDescent="0.35">
      <c r="Q314" s="83"/>
    </row>
    <row r="315" spans="17:17" x14ac:dyDescent="0.35">
      <c r="Q315" s="83"/>
    </row>
    <row r="316" spans="17:17" x14ac:dyDescent="0.35">
      <c r="Q316" s="83"/>
    </row>
    <row r="317" spans="17:17" x14ac:dyDescent="0.35">
      <c r="Q317" s="83"/>
    </row>
    <row r="318" spans="17:17" x14ac:dyDescent="0.35">
      <c r="Q318" s="83"/>
    </row>
    <row r="319" spans="17:17" x14ac:dyDescent="0.35">
      <c r="Q319" s="83"/>
    </row>
    <row r="320" spans="17:17" x14ac:dyDescent="0.35">
      <c r="Q320" s="83"/>
    </row>
    <row r="321" spans="17:17" x14ac:dyDescent="0.35">
      <c r="Q321" s="83"/>
    </row>
    <row r="322" spans="17:17" x14ac:dyDescent="0.35">
      <c r="Q322" s="83"/>
    </row>
    <row r="323" spans="17:17" x14ac:dyDescent="0.35">
      <c r="Q323" s="83"/>
    </row>
    <row r="324" spans="17:17" x14ac:dyDescent="0.35">
      <c r="Q324" s="83"/>
    </row>
    <row r="325" spans="17:17" x14ac:dyDescent="0.35">
      <c r="Q325" s="83"/>
    </row>
    <row r="326" spans="17:17" x14ac:dyDescent="0.35">
      <c r="Q326" s="83"/>
    </row>
    <row r="327" spans="17:17" x14ac:dyDescent="0.35">
      <c r="Q327" s="83"/>
    </row>
    <row r="328" spans="17:17" x14ac:dyDescent="0.35">
      <c r="Q328" s="83"/>
    </row>
    <row r="329" spans="17:17" x14ac:dyDescent="0.35">
      <c r="Q329" s="83"/>
    </row>
    <row r="330" spans="17:17" x14ac:dyDescent="0.35">
      <c r="Q330" s="83"/>
    </row>
    <row r="331" spans="17:17" x14ac:dyDescent="0.35">
      <c r="Q331" s="83"/>
    </row>
    <row r="332" spans="17:17" x14ac:dyDescent="0.35">
      <c r="Q332" s="83"/>
    </row>
    <row r="333" spans="17:17" x14ac:dyDescent="0.35">
      <c r="Q333" s="83"/>
    </row>
    <row r="334" spans="17:17" x14ac:dyDescent="0.35">
      <c r="Q334" s="83"/>
    </row>
    <row r="335" spans="17:17" x14ac:dyDescent="0.35">
      <c r="Q335" s="83"/>
    </row>
    <row r="336" spans="17:17" x14ac:dyDescent="0.35">
      <c r="Q336" s="83"/>
    </row>
    <row r="337" spans="17:17" x14ac:dyDescent="0.35">
      <c r="Q337" s="83"/>
    </row>
    <row r="338" spans="17:17" x14ac:dyDescent="0.35">
      <c r="Q338" s="83"/>
    </row>
    <row r="339" spans="17:17" x14ac:dyDescent="0.35">
      <c r="Q339" s="83"/>
    </row>
    <row r="340" spans="17:17" x14ac:dyDescent="0.35">
      <c r="Q340" s="83"/>
    </row>
    <row r="341" spans="17:17" x14ac:dyDescent="0.35">
      <c r="Q341" s="83"/>
    </row>
    <row r="342" spans="17:17" x14ac:dyDescent="0.35">
      <c r="Q342" s="83"/>
    </row>
    <row r="343" spans="17:17" x14ac:dyDescent="0.35">
      <c r="Q343" s="83"/>
    </row>
    <row r="344" spans="17:17" x14ac:dyDescent="0.35">
      <c r="Q344" s="83"/>
    </row>
    <row r="345" spans="17:17" x14ac:dyDescent="0.35">
      <c r="Q345" s="83"/>
    </row>
    <row r="346" spans="17:17" x14ac:dyDescent="0.35">
      <c r="Q346" s="83"/>
    </row>
    <row r="347" spans="17:17" x14ac:dyDescent="0.35">
      <c r="Q347" s="83"/>
    </row>
    <row r="348" spans="17:17" x14ac:dyDescent="0.35">
      <c r="Q348" s="83"/>
    </row>
    <row r="349" spans="17:17" x14ac:dyDescent="0.35">
      <c r="Q349" s="83"/>
    </row>
    <row r="350" spans="17:17" x14ac:dyDescent="0.35">
      <c r="Q350" s="83"/>
    </row>
    <row r="351" spans="17:17" x14ac:dyDescent="0.35">
      <c r="Q351" s="83"/>
    </row>
    <row r="352" spans="17:17" x14ac:dyDescent="0.35">
      <c r="Q352" s="83"/>
    </row>
    <row r="353" spans="17:17" x14ac:dyDescent="0.35">
      <c r="Q353" s="83"/>
    </row>
    <row r="354" spans="17:17" x14ac:dyDescent="0.35">
      <c r="Q354" s="83"/>
    </row>
    <row r="355" spans="17:17" x14ac:dyDescent="0.35">
      <c r="Q355" s="83"/>
    </row>
    <row r="356" spans="17:17" x14ac:dyDescent="0.35">
      <c r="Q356" s="83"/>
    </row>
    <row r="357" spans="17:17" x14ac:dyDescent="0.35">
      <c r="Q357" s="83"/>
    </row>
    <row r="358" spans="17:17" x14ac:dyDescent="0.35">
      <c r="Q358" s="83"/>
    </row>
    <row r="359" spans="17:17" x14ac:dyDescent="0.35">
      <c r="Q359" s="83"/>
    </row>
    <row r="360" spans="17:17" x14ac:dyDescent="0.35">
      <c r="Q360" s="83"/>
    </row>
    <row r="361" spans="17:17" x14ac:dyDescent="0.35">
      <c r="Q361" s="83"/>
    </row>
    <row r="362" spans="17:17" x14ac:dyDescent="0.35">
      <c r="Q362" s="83"/>
    </row>
    <row r="363" spans="17:17" x14ac:dyDescent="0.35">
      <c r="Q363" s="83"/>
    </row>
    <row r="364" spans="17:17" x14ac:dyDescent="0.35">
      <c r="Q364" s="83"/>
    </row>
    <row r="365" spans="17:17" x14ac:dyDescent="0.35">
      <c r="Q365" s="83"/>
    </row>
    <row r="366" spans="17:17" x14ac:dyDescent="0.35">
      <c r="Q366" s="83"/>
    </row>
    <row r="367" spans="17:17" x14ac:dyDescent="0.35">
      <c r="Q367" s="83"/>
    </row>
    <row r="368" spans="17:17" x14ac:dyDescent="0.35">
      <c r="Q368" s="83"/>
    </row>
    <row r="369" spans="17:17" x14ac:dyDescent="0.35">
      <c r="Q369" s="83"/>
    </row>
    <row r="370" spans="17:17" x14ac:dyDescent="0.35">
      <c r="Q370" s="83"/>
    </row>
    <row r="371" spans="17:17" x14ac:dyDescent="0.35">
      <c r="Q371" s="83"/>
    </row>
    <row r="372" spans="17:17" x14ac:dyDescent="0.35">
      <c r="Q372" s="83"/>
    </row>
    <row r="373" spans="17:17" x14ac:dyDescent="0.35">
      <c r="Q373" s="83"/>
    </row>
    <row r="374" spans="17:17" x14ac:dyDescent="0.35">
      <c r="Q374" s="83"/>
    </row>
    <row r="375" spans="17:17" x14ac:dyDescent="0.35">
      <c r="Q375" s="83"/>
    </row>
    <row r="376" spans="17:17" x14ac:dyDescent="0.35">
      <c r="Q376" s="83"/>
    </row>
    <row r="377" spans="17:17" x14ac:dyDescent="0.35">
      <c r="Q377" s="83"/>
    </row>
    <row r="378" spans="17:17" x14ac:dyDescent="0.35">
      <c r="Q378" s="83"/>
    </row>
    <row r="379" spans="17:17" x14ac:dyDescent="0.35">
      <c r="Q379" s="83"/>
    </row>
    <row r="380" spans="17:17" x14ac:dyDescent="0.35">
      <c r="Q380" s="83"/>
    </row>
    <row r="381" spans="17:17" x14ac:dyDescent="0.35">
      <c r="Q381" s="83"/>
    </row>
    <row r="382" spans="17:17" x14ac:dyDescent="0.35">
      <c r="Q382" s="83"/>
    </row>
    <row r="383" spans="17:17" x14ac:dyDescent="0.35">
      <c r="Q383" s="83"/>
    </row>
    <row r="384" spans="17:17" x14ac:dyDescent="0.35">
      <c r="Q384" s="83"/>
    </row>
    <row r="385" spans="17:17" x14ac:dyDescent="0.35">
      <c r="Q385" s="83"/>
    </row>
    <row r="386" spans="17:17" x14ac:dyDescent="0.35">
      <c r="Q386" s="83"/>
    </row>
    <row r="387" spans="17:17" x14ac:dyDescent="0.35">
      <c r="Q387" s="83"/>
    </row>
    <row r="388" spans="17:17" x14ac:dyDescent="0.35">
      <c r="Q388" s="83"/>
    </row>
    <row r="389" spans="17:17" x14ac:dyDescent="0.35">
      <c r="Q389" s="83"/>
    </row>
    <row r="390" spans="17:17" x14ac:dyDescent="0.35">
      <c r="Q390" s="83"/>
    </row>
    <row r="391" spans="17:17" x14ac:dyDescent="0.35">
      <c r="Q391" s="83"/>
    </row>
    <row r="392" spans="17:17" x14ac:dyDescent="0.35">
      <c r="Q392" s="83"/>
    </row>
    <row r="393" spans="17:17" x14ac:dyDescent="0.35">
      <c r="Q393" s="83"/>
    </row>
    <row r="394" spans="17:17" x14ac:dyDescent="0.35">
      <c r="Q394" s="83"/>
    </row>
    <row r="395" spans="17:17" x14ac:dyDescent="0.35">
      <c r="Q395" s="83"/>
    </row>
    <row r="396" spans="17:17" x14ac:dyDescent="0.35">
      <c r="Q396" s="83"/>
    </row>
    <row r="397" spans="17:17" x14ac:dyDescent="0.35">
      <c r="Q397" s="83"/>
    </row>
    <row r="398" spans="17:17" x14ac:dyDescent="0.35">
      <c r="Q398" s="83"/>
    </row>
    <row r="399" spans="17:17" x14ac:dyDescent="0.35">
      <c r="Q399" s="83"/>
    </row>
    <row r="400" spans="17:17" x14ac:dyDescent="0.35">
      <c r="Q400" s="83"/>
    </row>
    <row r="401" spans="17:17" x14ac:dyDescent="0.35">
      <c r="Q401" s="83"/>
    </row>
    <row r="402" spans="17:17" x14ac:dyDescent="0.35">
      <c r="Q402" s="83"/>
    </row>
    <row r="403" spans="17:17" x14ac:dyDescent="0.35">
      <c r="Q403" s="83"/>
    </row>
    <row r="404" spans="17:17" x14ac:dyDescent="0.35">
      <c r="Q404" s="83"/>
    </row>
    <row r="405" spans="17:17" x14ac:dyDescent="0.35">
      <c r="Q405" s="83"/>
    </row>
    <row r="406" spans="17:17" x14ac:dyDescent="0.35">
      <c r="Q406" s="83"/>
    </row>
    <row r="407" spans="17:17" x14ac:dyDescent="0.35">
      <c r="Q407" s="83"/>
    </row>
    <row r="408" spans="17:17" x14ac:dyDescent="0.35">
      <c r="Q408" s="83"/>
    </row>
    <row r="409" spans="17:17" x14ac:dyDescent="0.35">
      <c r="Q409" s="83"/>
    </row>
    <row r="410" spans="17:17" x14ac:dyDescent="0.35">
      <c r="Q410" s="83"/>
    </row>
    <row r="411" spans="17:17" x14ac:dyDescent="0.35">
      <c r="Q411" s="83"/>
    </row>
    <row r="412" spans="17:17" x14ac:dyDescent="0.35">
      <c r="Q412" s="83"/>
    </row>
    <row r="413" spans="17:17" x14ac:dyDescent="0.35">
      <c r="Q413" s="83"/>
    </row>
    <row r="414" spans="17:17" x14ac:dyDescent="0.35">
      <c r="Q414" s="83"/>
    </row>
    <row r="415" spans="17:17" x14ac:dyDescent="0.35">
      <c r="Q415" s="83"/>
    </row>
    <row r="416" spans="17:17" x14ac:dyDescent="0.35">
      <c r="Q416" s="83"/>
    </row>
    <row r="417" spans="17:17" x14ac:dyDescent="0.35">
      <c r="Q417" s="83"/>
    </row>
    <row r="418" spans="17:17" x14ac:dyDescent="0.35">
      <c r="Q418" s="83"/>
    </row>
    <row r="419" spans="17:17" x14ac:dyDescent="0.35">
      <c r="Q419" s="83"/>
    </row>
    <row r="420" spans="17:17" x14ac:dyDescent="0.35">
      <c r="Q420" s="83"/>
    </row>
    <row r="421" spans="17:17" x14ac:dyDescent="0.35">
      <c r="Q421" s="83"/>
    </row>
    <row r="422" spans="17:17" x14ac:dyDescent="0.35">
      <c r="Q422" s="83"/>
    </row>
    <row r="423" spans="17:17" x14ac:dyDescent="0.35">
      <c r="Q423" s="83"/>
    </row>
    <row r="424" spans="17:17" x14ac:dyDescent="0.35">
      <c r="Q424" s="83"/>
    </row>
    <row r="425" spans="17:17" x14ac:dyDescent="0.35">
      <c r="Q425" s="83"/>
    </row>
    <row r="426" spans="17:17" x14ac:dyDescent="0.35">
      <c r="Q426" s="83"/>
    </row>
    <row r="427" spans="17:17" x14ac:dyDescent="0.35">
      <c r="Q427" s="83"/>
    </row>
    <row r="428" spans="17:17" x14ac:dyDescent="0.35">
      <c r="Q428" s="83"/>
    </row>
    <row r="429" spans="17:17" x14ac:dyDescent="0.35">
      <c r="Q429" s="83"/>
    </row>
    <row r="430" spans="17:17" x14ac:dyDescent="0.35">
      <c r="Q430" s="83"/>
    </row>
    <row r="431" spans="17:17" x14ac:dyDescent="0.35">
      <c r="Q431" s="83"/>
    </row>
    <row r="432" spans="17:17" x14ac:dyDescent="0.35">
      <c r="Q432" s="83"/>
    </row>
    <row r="433" spans="17:17" x14ac:dyDescent="0.35">
      <c r="Q433" s="83"/>
    </row>
    <row r="434" spans="17:17" x14ac:dyDescent="0.35">
      <c r="Q434" s="83"/>
    </row>
    <row r="435" spans="17:17" x14ac:dyDescent="0.35">
      <c r="Q435" s="83"/>
    </row>
    <row r="436" spans="17:17" x14ac:dyDescent="0.35">
      <c r="Q436" s="83"/>
    </row>
    <row r="437" spans="17:17" x14ac:dyDescent="0.35">
      <c r="Q437" s="83"/>
    </row>
    <row r="438" spans="17:17" x14ac:dyDescent="0.35">
      <c r="Q438" s="83"/>
    </row>
    <row r="439" spans="17:17" x14ac:dyDescent="0.35">
      <c r="Q439" s="83"/>
    </row>
    <row r="440" spans="17:17" x14ac:dyDescent="0.35">
      <c r="Q440" s="83"/>
    </row>
    <row r="441" spans="17:17" x14ac:dyDescent="0.35">
      <c r="Q441" s="83"/>
    </row>
    <row r="442" spans="17:17" x14ac:dyDescent="0.35">
      <c r="Q442" s="83"/>
    </row>
    <row r="443" spans="17:17" x14ac:dyDescent="0.35">
      <c r="Q443" s="83"/>
    </row>
    <row r="444" spans="17:17" x14ac:dyDescent="0.35">
      <c r="Q444" s="83"/>
    </row>
    <row r="445" spans="17:17" x14ac:dyDescent="0.35">
      <c r="Q445" s="83"/>
    </row>
    <row r="446" spans="17:17" x14ac:dyDescent="0.35">
      <c r="Q446" s="83"/>
    </row>
    <row r="447" spans="17:17" x14ac:dyDescent="0.35">
      <c r="Q447" s="83"/>
    </row>
    <row r="448" spans="17:17" x14ac:dyDescent="0.35">
      <c r="Q448" s="83"/>
    </row>
    <row r="449" spans="17:17" x14ac:dyDescent="0.35">
      <c r="Q449" s="83"/>
    </row>
    <row r="450" spans="17:17" x14ac:dyDescent="0.35">
      <c r="Q450" s="83"/>
    </row>
    <row r="451" spans="17:17" x14ac:dyDescent="0.35">
      <c r="Q451" s="83"/>
    </row>
    <row r="452" spans="17:17" x14ac:dyDescent="0.35">
      <c r="Q452" s="83"/>
    </row>
    <row r="453" spans="17:17" x14ac:dyDescent="0.35">
      <c r="Q453" s="83"/>
    </row>
    <row r="454" spans="17:17" x14ac:dyDescent="0.35">
      <c r="Q454" s="83"/>
    </row>
    <row r="455" spans="17:17" x14ac:dyDescent="0.35">
      <c r="Q455" s="83"/>
    </row>
    <row r="456" spans="17:17" x14ac:dyDescent="0.35">
      <c r="Q456" s="83"/>
    </row>
    <row r="457" spans="17:17" x14ac:dyDescent="0.35">
      <c r="Q457" s="83"/>
    </row>
    <row r="458" spans="17:17" x14ac:dyDescent="0.35">
      <c r="Q458" s="83"/>
    </row>
    <row r="459" spans="17:17" x14ac:dyDescent="0.35">
      <c r="Q459" s="83"/>
    </row>
    <row r="460" spans="17:17" x14ac:dyDescent="0.35">
      <c r="Q460" s="83"/>
    </row>
    <row r="461" spans="17:17" x14ac:dyDescent="0.35">
      <c r="Q461" s="83"/>
    </row>
    <row r="462" spans="17:17" x14ac:dyDescent="0.35">
      <c r="Q462" s="83"/>
    </row>
    <row r="463" spans="17:17" x14ac:dyDescent="0.35">
      <c r="Q463" s="83"/>
    </row>
    <row r="464" spans="17:17" x14ac:dyDescent="0.35">
      <c r="Q464" s="83"/>
    </row>
    <row r="465" spans="17:17" x14ac:dyDescent="0.35">
      <c r="Q465" s="83"/>
    </row>
    <row r="466" spans="17:17" x14ac:dyDescent="0.35">
      <c r="Q466" s="83"/>
    </row>
    <row r="467" spans="17:17" x14ac:dyDescent="0.35">
      <c r="Q467" s="83"/>
    </row>
    <row r="468" spans="17:17" x14ac:dyDescent="0.35">
      <c r="Q468" s="83"/>
    </row>
    <row r="469" spans="17:17" x14ac:dyDescent="0.35">
      <c r="Q469" s="83"/>
    </row>
    <row r="470" spans="17:17" x14ac:dyDescent="0.35">
      <c r="Q470" s="83"/>
    </row>
    <row r="471" spans="17:17" x14ac:dyDescent="0.35">
      <c r="Q471" s="83"/>
    </row>
    <row r="472" spans="17:17" x14ac:dyDescent="0.35">
      <c r="Q472" s="83"/>
    </row>
    <row r="473" spans="17:17" x14ac:dyDescent="0.35">
      <c r="Q473" s="83"/>
    </row>
    <row r="474" spans="17:17" x14ac:dyDescent="0.35">
      <c r="Q474" s="83"/>
    </row>
    <row r="475" spans="17:17" x14ac:dyDescent="0.35">
      <c r="Q475" s="83"/>
    </row>
    <row r="476" spans="17:17" x14ac:dyDescent="0.35">
      <c r="Q476" s="83"/>
    </row>
    <row r="477" spans="17:17" x14ac:dyDescent="0.35">
      <c r="Q477" s="83"/>
    </row>
    <row r="478" spans="17:17" x14ac:dyDescent="0.35">
      <c r="Q478" s="83"/>
    </row>
    <row r="479" spans="17:17" x14ac:dyDescent="0.35">
      <c r="Q479" s="83"/>
    </row>
    <row r="480" spans="17:17" x14ac:dyDescent="0.35">
      <c r="Q480" s="83"/>
    </row>
    <row r="481" spans="17:17" x14ac:dyDescent="0.35">
      <c r="Q481" s="83"/>
    </row>
    <row r="482" spans="17:17" x14ac:dyDescent="0.35">
      <c r="Q482" s="83"/>
    </row>
    <row r="483" spans="17:17" x14ac:dyDescent="0.35">
      <c r="Q483" s="83"/>
    </row>
    <row r="484" spans="17:17" x14ac:dyDescent="0.35">
      <c r="Q484" s="83"/>
    </row>
    <row r="485" spans="17:17" x14ac:dyDescent="0.35">
      <c r="Q485" s="83"/>
    </row>
    <row r="486" spans="17:17" x14ac:dyDescent="0.35">
      <c r="Q486" s="83"/>
    </row>
    <row r="487" spans="17:17" x14ac:dyDescent="0.35">
      <c r="Q487" s="83"/>
    </row>
    <row r="488" spans="17:17" x14ac:dyDescent="0.35">
      <c r="Q488" s="83"/>
    </row>
    <row r="489" spans="17:17" x14ac:dyDescent="0.35">
      <c r="Q489" s="83"/>
    </row>
    <row r="490" spans="17:17" x14ac:dyDescent="0.35">
      <c r="Q490" s="83"/>
    </row>
    <row r="491" spans="17:17" x14ac:dyDescent="0.35">
      <c r="Q491" s="83"/>
    </row>
    <row r="492" spans="17:17" x14ac:dyDescent="0.35">
      <c r="Q492" s="83"/>
    </row>
    <row r="493" spans="17:17" x14ac:dyDescent="0.35">
      <c r="Q493" s="83"/>
    </row>
    <row r="494" spans="17:17" x14ac:dyDescent="0.35">
      <c r="Q494" s="83"/>
    </row>
    <row r="495" spans="17:17" x14ac:dyDescent="0.35">
      <c r="Q495" s="83"/>
    </row>
    <row r="496" spans="17:17" x14ac:dyDescent="0.35">
      <c r="Q496" s="83"/>
    </row>
    <row r="497" spans="17:17" x14ac:dyDescent="0.35">
      <c r="Q497" s="83"/>
    </row>
    <row r="498" spans="17:17" x14ac:dyDescent="0.35">
      <c r="Q498" s="83"/>
    </row>
    <row r="499" spans="17:17" x14ac:dyDescent="0.35">
      <c r="Q499" s="83"/>
    </row>
    <row r="500" spans="17:17" x14ac:dyDescent="0.35">
      <c r="Q500" s="83"/>
    </row>
    <row r="501" spans="17:17" x14ac:dyDescent="0.35">
      <c r="Q501" s="83"/>
    </row>
    <row r="502" spans="17:17" x14ac:dyDescent="0.35">
      <c r="Q502" s="83"/>
    </row>
    <row r="503" spans="17:17" x14ac:dyDescent="0.35">
      <c r="Q503" s="83"/>
    </row>
    <row r="504" spans="17:17" x14ac:dyDescent="0.35">
      <c r="Q504" s="83"/>
    </row>
    <row r="505" spans="17:17" x14ac:dyDescent="0.35">
      <c r="Q505" s="83"/>
    </row>
    <row r="506" spans="17:17" x14ac:dyDescent="0.35">
      <c r="Q506" s="83"/>
    </row>
    <row r="507" spans="17:17" x14ac:dyDescent="0.35">
      <c r="Q507" s="83"/>
    </row>
    <row r="508" spans="17:17" x14ac:dyDescent="0.35">
      <c r="Q508" s="83"/>
    </row>
    <row r="509" spans="17:17" x14ac:dyDescent="0.35">
      <c r="Q509" s="83"/>
    </row>
    <row r="510" spans="17:17" x14ac:dyDescent="0.35">
      <c r="Q510" s="83"/>
    </row>
    <row r="511" spans="17:17" x14ac:dyDescent="0.35">
      <c r="Q511" s="83"/>
    </row>
    <row r="512" spans="17:17" x14ac:dyDescent="0.35">
      <c r="Q512" s="83"/>
    </row>
    <row r="513" spans="17:17" x14ac:dyDescent="0.35">
      <c r="Q513" s="83"/>
    </row>
    <row r="514" spans="17:17" x14ac:dyDescent="0.35">
      <c r="Q514" s="83"/>
    </row>
    <row r="515" spans="17:17" x14ac:dyDescent="0.35">
      <c r="Q515" s="83"/>
    </row>
    <row r="516" spans="17:17" x14ac:dyDescent="0.35">
      <c r="Q516" s="83"/>
    </row>
    <row r="517" spans="17:17" x14ac:dyDescent="0.35">
      <c r="Q517" s="83"/>
    </row>
    <row r="518" spans="17:17" x14ac:dyDescent="0.35">
      <c r="Q518" s="83"/>
    </row>
    <row r="519" spans="17:17" x14ac:dyDescent="0.35">
      <c r="Q519" s="83"/>
    </row>
    <row r="520" spans="17:17" x14ac:dyDescent="0.35">
      <c r="Q520" s="83"/>
    </row>
    <row r="521" spans="17:17" x14ac:dyDescent="0.35">
      <c r="Q521" s="83"/>
    </row>
    <row r="522" spans="17:17" x14ac:dyDescent="0.35">
      <c r="Q522" s="83"/>
    </row>
    <row r="523" spans="17:17" x14ac:dyDescent="0.35">
      <c r="Q523" s="83"/>
    </row>
    <row r="524" spans="17:17" x14ac:dyDescent="0.35">
      <c r="Q524" s="83"/>
    </row>
    <row r="525" spans="17:17" x14ac:dyDescent="0.35">
      <c r="Q525" s="83"/>
    </row>
    <row r="526" spans="17:17" x14ac:dyDescent="0.35">
      <c r="Q526" s="83"/>
    </row>
    <row r="527" spans="17:17" x14ac:dyDescent="0.35">
      <c r="Q527" s="83"/>
    </row>
    <row r="528" spans="17:17" x14ac:dyDescent="0.35">
      <c r="Q528" s="83"/>
    </row>
    <row r="529" spans="17:17" x14ac:dyDescent="0.35">
      <c r="Q529" s="83"/>
    </row>
    <row r="530" spans="17:17" x14ac:dyDescent="0.35">
      <c r="Q530" s="83"/>
    </row>
    <row r="531" spans="17:17" x14ac:dyDescent="0.35">
      <c r="Q531" s="83"/>
    </row>
    <row r="532" spans="17:17" x14ac:dyDescent="0.35">
      <c r="Q532" s="83"/>
    </row>
    <row r="533" spans="17:17" x14ac:dyDescent="0.35">
      <c r="Q533" s="83"/>
    </row>
    <row r="534" spans="17:17" x14ac:dyDescent="0.35">
      <c r="Q534" s="83"/>
    </row>
    <row r="535" spans="17:17" x14ac:dyDescent="0.35">
      <c r="Q535" s="83"/>
    </row>
    <row r="536" spans="17:17" x14ac:dyDescent="0.35">
      <c r="Q536" s="83"/>
    </row>
    <row r="537" spans="17:17" x14ac:dyDescent="0.35">
      <c r="Q537" s="83"/>
    </row>
    <row r="538" spans="17:17" x14ac:dyDescent="0.35">
      <c r="Q538" s="83"/>
    </row>
    <row r="539" spans="17:17" x14ac:dyDescent="0.35">
      <c r="Q539" s="83"/>
    </row>
    <row r="540" spans="17:17" x14ac:dyDescent="0.35">
      <c r="Q540" s="83"/>
    </row>
    <row r="541" spans="17:17" x14ac:dyDescent="0.35">
      <c r="Q541" s="83"/>
    </row>
    <row r="542" spans="17:17" x14ac:dyDescent="0.35">
      <c r="Q542" s="83"/>
    </row>
    <row r="543" spans="17:17" x14ac:dyDescent="0.35">
      <c r="Q543" s="83"/>
    </row>
    <row r="544" spans="17:17" x14ac:dyDescent="0.35">
      <c r="Q544" s="83"/>
    </row>
    <row r="545" spans="17:17" x14ac:dyDescent="0.35">
      <c r="Q545" s="83"/>
    </row>
    <row r="546" spans="17:17" x14ac:dyDescent="0.35">
      <c r="Q546" s="83"/>
    </row>
    <row r="547" spans="17:17" x14ac:dyDescent="0.35">
      <c r="Q547" s="83"/>
    </row>
    <row r="548" spans="17:17" x14ac:dyDescent="0.35">
      <c r="Q548" s="83"/>
    </row>
    <row r="549" spans="17:17" x14ac:dyDescent="0.35">
      <c r="Q549" s="83"/>
    </row>
    <row r="550" spans="17:17" x14ac:dyDescent="0.35">
      <c r="Q550" s="83"/>
    </row>
    <row r="551" spans="17:17" x14ac:dyDescent="0.35">
      <c r="Q551" s="83"/>
    </row>
    <row r="552" spans="17:17" x14ac:dyDescent="0.35">
      <c r="Q552" s="83"/>
    </row>
    <row r="553" spans="17:17" x14ac:dyDescent="0.35">
      <c r="Q553" s="83"/>
    </row>
    <row r="554" spans="17:17" x14ac:dyDescent="0.35">
      <c r="Q554" s="83"/>
    </row>
    <row r="555" spans="17:17" x14ac:dyDescent="0.35">
      <c r="Q555" s="83"/>
    </row>
    <row r="556" spans="17:17" x14ac:dyDescent="0.35">
      <c r="Q556" s="83"/>
    </row>
    <row r="557" spans="17:17" x14ac:dyDescent="0.35">
      <c r="Q557" s="83"/>
    </row>
    <row r="558" spans="17:17" x14ac:dyDescent="0.35">
      <c r="Q558" s="83"/>
    </row>
    <row r="559" spans="17:17" x14ac:dyDescent="0.35">
      <c r="Q559" s="83"/>
    </row>
    <row r="560" spans="17:17" x14ac:dyDescent="0.35">
      <c r="Q560" s="83"/>
    </row>
    <row r="561" spans="17:17" x14ac:dyDescent="0.35">
      <c r="Q561" s="83"/>
    </row>
    <row r="562" spans="17:17" x14ac:dyDescent="0.35">
      <c r="Q562" s="83"/>
    </row>
    <row r="563" spans="17:17" x14ac:dyDescent="0.35">
      <c r="Q563" s="83"/>
    </row>
    <row r="564" spans="17:17" x14ac:dyDescent="0.35">
      <c r="Q564" s="83"/>
    </row>
    <row r="565" spans="17:17" x14ac:dyDescent="0.35">
      <c r="Q565" s="83"/>
    </row>
    <row r="566" spans="17:17" x14ac:dyDescent="0.35">
      <c r="Q566" s="83"/>
    </row>
    <row r="567" spans="17:17" x14ac:dyDescent="0.35">
      <c r="Q567" s="83"/>
    </row>
    <row r="568" spans="17:17" x14ac:dyDescent="0.35">
      <c r="Q568" s="83"/>
    </row>
    <row r="569" spans="17:17" x14ac:dyDescent="0.35">
      <c r="Q569" s="83"/>
    </row>
    <row r="570" spans="17:17" x14ac:dyDescent="0.35">
      <c r="Q570" s="83"/>
    </row>
    <row r="571" spans="17:17" x14ac:dyDescent="0.35">
      <c r="Q571" s="83"/>
    </row>
    <row r="572" spans="17:17" x14ac:dyDescent="0.35">
      <c r="Q572" s="83"/>
    </row>
    <row r="573" spans="17:17" x14ac:dyDescent="0.35">
      <c r="Q573" s="83"/>
    </row>
    <row r="574" spans="17:17" x14ac:dyDescent="0.35">
      <c r="Q574" s="83"/>
    </row>
    <row r="575" spans="17:17" x14ac:dyDescent="0.35">
      <c r="Q575" s="83"/>
    </row>
    <row r="576" spans="17:17" x14ac:dyDescent="0.35">
      <c r="Q576" s="83"/>
    </row>
    <row r="577" spans="17:17" x14ac:dyDescent="0.35">
      <c r="Q577" s="83"/>
    </row>
    <row r="578" spans="17:17" x14ac:dyDescent="0.35">
      <c r="Q578" s="83"/>
    </row>
    <row r="579" spans="17:17" x14ac:dyDescent="0.35">
      <c r="Q579" s="83"/>
    </row>
    <row r="580" spans="17:17" x14ac:dyDescent="0.35">
      <c r="Q580" s="83"/>
    </row>
    <row r="581" spans="17:17" x14ac:dyDescent="0.35">
      <c r="Q581" s="83"/>
    </row>
    <row r="582" spans="17:17" x14ac:dyDescent="0.35">
      <c r="Q582" s="83"/>
    </row>
    <row r="583" spans="17:17" x14ac:dyDescent="0.35">
      <c r="Q583" s="83"/>
    </row>
    <row r="584" spans="17:17" x14ac:dyDescent="0.35">
      <c r="Q584" s="83"/>
    </row>
    <row r="585" spans="17:17" x14ac:dyDescent="0.35">
      <c r="Q585" s="83"/>
    </row>
    <row r="586" spans="17:17" x14ac:dyDescent="0.35">
      <c r="Q586" s="83"/>
    </row>
    <row r="587" spans="17:17" x14ac:dyDescent="0.35">
      <c r="Q587" s="83"/>
    </row>
    <row r="588" spans="17:17" x14ac:dyDescent="0.35">
      <c r="Q588" s="83"/>
    </row>
    <row r="589" spans="17:17" x14ac:dyDescent="0.35">
      <c r="Q589" s="83"/>
    </row>
    <row r="590" spans="17:17" x14ac:dyDescent="0.35">
      <c r="Q590" s="83"/>
    </row>
    <row r="591" spans="17:17" x14ac:dyDescent="0.35">
      <c r="Q591" s="83"/>
    </row>
    <row r="592" spans="17:17" x14ac:dyDescent="0.35">
      <c r="Q592" s="83"/>
    </row>
    <row r="593" spans="17:17" x14ac:dyDescent="0.35">
      <c r="Q593" s="83"/>
    </row>
    <row r="594" spans="17:17" x14ac:dyDescent="0.35">
      <c r="Q594" s="83"/>
    </row>
    <row r="595" spans="17:17" x14ac:dyDescent="0.35">
      <c r="Q595" s="83"/>
    </row>
    <row r="596" spans="17:17" x14ac:dyDescent="0.35">
      <c r="Q596" s="83"/>
    </row>
    <row r="597" spans="17:17" x14ac:dyDescent="0.35">
      <c r="Q597" s="83"/>
    </row>
    <row r="598" spans="17:17" x14ac:dyDescent="0.35">
      <c r="Q598" s="83"/>
    </row>
    <row r="599" spans="17:17" x14ac:dyDescent="0.35">
      <c r="Q599" s="83"/>
    </row>
    <row r="600" spans="17:17" x14ac:dyDescent="0.35">
      <c r="Q600" s="83"/>
    </row>
    <row r="601" spans="17:17" x14ac:dyDescent="0.35">
      <c r="Q601" s="83"/>
    </row>
    <row r="602" spans="17:17" x14ac:dyDescent="0.35">
      <c r="Q602" s="83"/>
    </row>
    <row r="603" spans="17:17" x14ac:dyDescent="0.35">
      <c r="Q603" s="83"/>
    </row>
    <row r="604" spans="17:17" x14ac:dyDescent="0.35">
      <c r="Q604" s="83"/>
    </row>
    <row r="605" spans="17:17" x14ac:dyDescent="0.35">
      <c r="Q605" s="83"/>
    </row>
    <row r="606" spans="17:17" x14ac:dyDescent="0.35">
      <c r="Q606" s="83"/>
    </row>
    <row r="607" spans="17:17" x14ac:dyDescent="0.35">
      <c r="Q607" s="83"/>
    </row>
    <row r="608" spans="17:17" x14ac:dyDescent="0.35">
      <c r="Q608" s="83"/>
    </row>
    <row r="609" spans="17:17" x14ac:dyDescent="0.35">
      <c r="Q609" s="83"/>
    </row>
    <row r="610" spans="17:17" x14ac:dyDescent="0.35">
      <c r="Q610" s="83"/>
    </row>
    <row r="611" spans="17:17" x14ac:dyDescent="0.35">
      <c r="Q611" s="83"/>
    </row>
    <row r="612" spans="17:17" x14ac:dyDescent="0.35">
      <c r="Q612" s="83"/>
    </row>
    <row r="613" spans="17:17" x14ac:dyDescent="0.35">
      <c r="Q613" s="83"/>
    </row>
    <row r="614" spans="17:17" x14ac:dyDescent="0.35">
      <c r="Q614" s="83"/>
    </row>
    <row r="615" spans="17:17" x14ac:dyDescent="0.35">
      <c r="Q615" s="83"/>
    </row>
    <row r="616" spans="17:17" x14ac:dyDescent="0.35">
      <c r="Q616" s="83"/>
    </row>
    <row r="617" spans="17:17" x14ac:dyDescent="0.35">
      <c r="Q617" s="83"/>
    </row>
    <row r="618" spans="17:17" x14ac:dyDescent="0.35">
      <c r="Q618" s="83"/>
    </row>
    <row r="619" spans="17:17" x14ac:dyDescent="0.35">
      <c r="Q619" s="83"/>
    </row>
    <row r="620" spans="17:17" x14ac:dyDescent="0.35">
      <c r="Q620" s="83"/>
    </row>
    <row r="621" spans="17:17" x14ac:dyDescent="0.35">
      <c r="Q621" s="83"/>
    </row>
    <row r="622" spans="17:17" x14ac:dyDescent="0.35">
      <c r="Q622" s="83"/>
    </row>
    <row r="623" spans="17:17" x14ac:dyDescent="0.35">
      <c r="Q623" s="83"/>
    </row>
    <row r="624" spans="17:17" x14ac:dyDescent="0.35">
      <c r="Q624" s="83"/>
    </row>
    <row r="625" spans="17:17" x14ac:dyDescent="0.35">
      <c r="Q625" s="83"/>
    </row>
    <row r="626" spans="17:17" x14ac:dyDescent="0.35">
      <c r="Q626" s="83"/>
    </row>
    <row r="627" spans="17:17" x14ac:dyDescent="0.35">
      <c r="Q627" s="83"/>
    </row>
    <row r="628" spans="17:17" x14ac:dyDescent="0.35">
      <c r="Q628" s="83"/>
    </row>
    <row r="629" spans="17:17" x14ac:dyDescent="0.35">
      <c r="Q629" s="83"/>
    </row>
    <row r="630" spans="17:17" x14ac:dyDescent="0.35">
      <c r="Q630" s="83"/>
    </row>
    <row r="631" spans="17:17" x14ac:dyDescent="0.35">
      <c r="Q631" s="83"/>
    </row>
    <row r="632" spans="17:17" x14ac:dyDescent="0.35">
      <c r="Q632" s="83"/>
    </row>
    <row r="633" spans="17:17" x14ac:dyDescent="0.35">
      <c r="Q633" s="83"/>
    </row>
    <row r="634" spans="17:17" x14ac:dyDescent="0.35">
      <c r="Q634" s="83"/>
    </row>
    <row r="635" spans="17:17" x14ac:dyDescent="0.35">
      <c r="Q635" s="83"/>
    </row>
    <row r="636" spans="17:17" x14ac:dyDescent="0.35">
      <c r="Q636" s="83"/>
    </row>
    <row r="637" spans="17:17" x14ac:dyDescent="0.35">
      <c r="Q637" s="83"/>
    </row>
    <row r="638" spans="17:17" x14ac:dyDescent="0.35">
      <c r="Q638" s="83"/>
    </row>
    <row r="639" spans="17:17" x14ac:dyDescent="0.35">
      <c r="Q639" s="83"/>
    </row>
    <row r="640" spans="17:17" x14ac:dyDescent="0.35">
      <c r="Q640" s="83"/>
    </row>
    <row r="641" spans="17:17" x14ac:dyDescent="0.35">
      <c r="Q641" s="83"/>
    </row>
    <row r="642" spans="17:17" x14ac:dyDescent="0.35">
      <c r="Q642" s="83"/>
    </row>
    <row r="643" spans="17:17" x14ac:dyDescent="0.35">
      <c r="Q643" s="83"/>
    </row>
    <row r="644" spans="17:17" x14ac:dyDescent="0.35">
      <c r="Q644" s="83"/>
    </row>
    <row r="645" spans="17:17" x14ac:dyDescent="0.35">
      <c r="Q645" s="83"/>
    </row>
    <row r="646" spans="17:17" x14ac:dyDescent="0.35">
      <c r="Q646" s="83"/>
    </row>
    <row r="647" spans="17:17" x14ac:dyDescent="0.35">
      <c r="Q647" s="83"/>
    </row>
    <row r="648" spans="17:17" x14ac:dyDescent="0.35">
      <c r="Q648" s="83"/>
    </row>
    <row r="649" spans="17:17" x14ac:dyDescent="0.35">
      <c r="Q649" s="83"/>
    </row>
    <row r="650" spans="17:17" x14ac:dyDescent="0.35">
      <c r="Q650" s="83"/>
    </row>
    <row r="651" spans="17:17" x14ac:dyDescent="0.35">
      <c r="Q651" s="83"/>
    </row>
    <row r="652" spans="17:17" x14ac:dyDescent="0.35">
      <c r="Q652" s="83"/>
    </row>
    <row r="653" spans="17:17" x14ac:dyDescent="0.35">
      <c r="Q653" s="83"/>
    </row>
    <row r="654" spans="17:17" x14ac:dyDescent="0.35">
      <c r="Q654" s="83"/>
    </row>
    <row r="655" spans="17:17" x14ac:dyDescent="0.35">
      <c r="Q655" s="83"/>
    </row>
    <row r="656" spans="17:17" x14ac:dyDescent="0.35">
      <c r="Q656" s="83"/>
    </row>
    <row r="657" spans="17:17" x14ac:dyDescent="0.35">
      <c r="Q657" s="83"/>
    </row>
    <row r="658" spans="17:17" x14ac:dyDescent="0.35">
      <c r="Q658" s="83"/>
    </row>
    <row r="659" spans="17:17" x14ac:dyDescent="0.35">
      <c r="Q659" s="83"/>
    </row>
    <row r="660" spans="17:17" x14ac:dyDescent="0.35">
      <c r="Q660" s="83"/>
    </row>
    <row r="661" spans="17:17" x14ac:dyDescent="0.35">
      <c r="Q661" s="83"/>
    </row>
    <row r="662" spans="17:17" x14ac:dyDescent="0.35">
      <c r="Q662" s="83"/>
    </row>
    <row r="663" spans="17:17" x14ac:dyDescent="0.35">
      <c r="Q663" s="83"/>
    </row>
    <row r="664" spans="17:17" x14ac:dyDescent="0.35">
      <c r="Q664" s="83"/>
    </row>
    <row r="665" spans="17:17" x14ac:dyDescent="0.35">
      <c r="Q665" s="83"/>
    </row>
    <row r="666" spans="17:17" x14ac:dyDescent="0.35">
      <c r="Q666" s="83"/>
    </row>
    <row r="667" spans="17:17" x14ac:dyDescent="0.35">
      <c r="Q667" s="83"/>
    </row>
    <row r="668" spans="17:17" x14ac:dyDescent="0.35">
      <c r="Q668" s="83"/>
    </row>
    <row r="669" spans="17:17" x14ac:dyDescent="0.35">
      <c r="Q669" s="83"/>
    </row>
    <row r="670" spans="17:17" x14ac:dyDescent="0.35">
      <c r="Q670" s="83"/>
    </row>
    <row r="671" spans="17:17" x14ac:dyDescent="0.35">
      <c r="Q671" s="83"/>
    </row>
    <row r="672" spans="17:17" x14ac:dyDescent="0.35">
      <c r="Q672" s="83"/>
    </row>
    <row r="673" spans="17:17" x14ac:dyDescent="0.35">
      <c r="Q673" s="83"/>
    </row>
    <row r="674" spans="17:17" x14ac:dyDescent="0.35">
      <c r="Q674" s="83"/>
    </row>
    <row r="675" spans="17:17" x14ac:dyDescent="0.35">
      <c r="Q675" s="83"/>
    </row>
    <row r="676" spans="17:17" x14ac:dyDescent="0.35">
      <c r="Q676" s="83"/>
    </row>
    <row r="677" spans="17:17" x14ac:dyDescent="0.35">
      <c r="Q677" s="83"/>
    </row>
    <row r="678" spans="17:17" x14ac:dyDescent="0.35">
      <c r="Q678" s="83"/>
    </row>
    <row r="679" spans="17:17" x14ac:dyDescent="0.35">
      <c r="Q679" s="83"/>
    </row>
    <row r="680" spans="17:17" x14ac:dyDescent="0.35">
      <c r="Q680" s="83"/>
    </row>
    <row r="681" spans="17:17" x14ac:dyDescent="0.35">
      <c r="Q681" s="83"/>
    </row>
    <row r="682" spans="17:17" x14ac:dyDescent="0.35">
      <c r="Q682" s="83"/>
    </row>
    <row r="683" spans="17:17" x14ac:dyDescent="0.35">
      <c r="Q683" s="83"/>
    </row>
    <row r="684" spans="17:17" x14ac:dyDescent="0.35">
      <c r="Q684" s="83"/>
    </row>
    <row r="685" spans="17:17" x14ac:dyDescent="0.35">
      <c r="Q685" s="83"/>
    </row>
    <row r="686" spans="17:17" x14ac:dyDescent="0.35">
      <c r="Q686" s="83"/>
    </row>
    <row r="687" spans="17:17" x14ac:dyDescent="0.35">
      <c r="Q687" s="83"/>
    </row>
    <row r="688" spans="17:17" x14ac:dyDescent="0.35">
      <c r="Q688" s="83"/>
    </row>
    <row r="689" spans="17:17" x14ac:dyDescent="0.35">
      <c r="Q689" s="83"/>
    </row>
    <row r="690" spans="17:17" x14ac:dyDescent="0.35">
      <c r="Q690" s="83"/>
    </row>
    <row r="691" spans="17:17" x14ac:dyDescent="0.35">
      <c r="Q691" s="83"/>
    </row>
    <row r="692" spans="17:17" x14ac:dyDescent="0.35">
      <c r="Q692" s="83"/>
    </row>
    <row r="693" spans="17:17" x14ac:dyDescent="0.35">
      <c r="Q693" s="83"/>
    </row>
    <row r="694" spans="17:17" x14ac:dyDescent="0.35">
      <c r="Q694" s="83"/>
    </row>
    <row r="695" spans="17:17" x14ac:dyDescent="0.35">
      <c r="Q695" s="83"/>
    </row>
    <row r="696" spans="17:17" x14ac:dyDescent="0.35">
      <c r="Q696" s="83"/>
    </row>
    <row r="697" spans="17:17" x14ac:dyDescent="0.35">
      <c r="Q697" s="83"/>
    </row>
    <row r="698" spans="17:17" x14ac:dyDescent="0.35">
      <c r="Q698" s="83"/>
    </row>
    <row r="699" spans="17:17" x14ac:dyDescent="0.35">
      <c r="Q699" s="83"/>
    </row>
    <row r="700" spans="17:17" x14ac:dyDescent="0.35">
      <c r="Q700" s="83"/>
    </row>
    <row r="701" spans="17:17" x14ac:dyDescent="0.35">
      <c r="Q701" s="83"/>
    </row>
    <row r="702" spans="17:17" x14ac:dyDescent="0.35">
      <c r="Q702" s="83"/>
    </row>
    <row r="703" spans="17:17" x14ac:dyDescent="0.35">
      <c r="Q703" s="83"/>
    </row>
    <row r="704" spans="17:17" x14ac:dyDescent="0.35">
      <c r="Q704" s="83"/>
    </row>
    <row r="705" spans="17:17" x14ac:dyDescent="0.35">
      <c r="Q705" s="83"/>
    </row>
    <row r="706" spans="17:17" x14ac:dyDescent="0.35">
      <c r="Q706" s="83"/>
    </row>
    <row r="707" spans="17:17" x14ac:dyDescent="0.35">
      <c r="Q707" s="83"/>
    </row>
    <row r="708" spans="17:17" x14ac:dyDescent="0.35">
      <c r="Q708" s="83"/>
    </row>
    <row r="709" spans="17:17" x14ac:dyDescent="0.35">
      <c r="Q709" s="83"/>
    </row>
    <row r="710" spans="17:17" x14ac:dyDescent="0.35">
      <c r="Q710" s="83"/>
    </row>
    <row r="711" spans="17:17" x14ac:dyDescent="0.35">
      <c r="Q711" s="83"/>
    </row>
    <row r="712" spans="17:17" x14ac:dyDescent="0.35">
      <c r="Q712" s="83"/>
    </row>
    <row r="713" spans="17:17" x14ac:dyDescent="0.35">
      <c r="Q713" s="83"/>
    </row>
    <row r="714" spans="17:17" x14ac:dyDescent="0.35">
      <c r="Q714" s="83"/>
    </row>
    <row r="715" spans="17:17" x14ac:dyDescent="0.35">
      <c r="Q715" s="83"/>
    </row>
    <row r="716" spans="17:17" x14ac:dyDescent="0.35">
      <c r="Q716" s="83"/>
    </row>
    <row r="717" spans="17:17" x14ac:dyDescent="0.35">
      <c r="Q717" s="83"/>
    </row>
    <row r="718" spans="17:17" x14ac:dyDescent="0.35">
      <c r="Q718" s="83"/>
    </row>
    <row r="719" spans="17:17" x14ac:dyDescent="0.35">
      <c r="Q719" s="83"/>
    </row>
    <row r="720" spans="17:17" x14ac:dyDescent="0.35">
      <c r="Q720" s="83"/>
    </row>
    <row r="721" spans="17:17" x14ac:dyDescent="0.35">
      <c r="Q721" s="83"/>
    </row>
    <row r="722" spans="17:17" x14ac:dyDescent="0.35">
      <c r="Q722" s="83"/>
    </row>
    <row r="723" spans="17:17" x14ac:dyDescent="0.35">
      <c r="Q723" s="83"/>
    </row>
    <row r="724" spans="17:17" x14ac:dyDescent="0.35">
      <c r="Q724" s="83"/>
    </row>
    <row r="725" spans="17:17" x14ac:dyDescent="0.35">
      <c r="Q725" s="83"/>
    </row>
    <row r="726" spans="17:17" x14ac:dyDescent="0.35">
      <c r="Q726" s="83"/>
    </row>
    <row r="727" spans="17:17" x14ac:dyDescent="0.35">
      <c r="Q727" s="83"/>
    </row>
    <row r="728" spans="17:17" x14ac:dyDescent="0.35">
      <c r="Q728" s="83"/>
    </row>
    <row r="729" spans="17:17" x14ac:dyDescent="0.35">
      <c r="Q729" s="83"/>
    </row>
    <row r="730" spans="17:17" x14ac:dyDescent="0.35">
      <c r="Q730" s="83"/>
    </row>
    <row r="731" spans="17:17" x14ac:dyDescent="0.35">
      <c r="Q731" s="83"/>
    </row>
    <row r="732" spans="17:17" x14ac:dyDescent="0.35">
      <c r="Q732" s="83"/>
    </row>
    <row r="733" spans="17:17" x14ac:dyDescent="0.35">
      <c r="Q733" s="83"/>
    </row>
    <row r="734" spans="17:17" x14ac:dyDescent="0.35">
      <c r="Q734" s="83"/>
    </row>
    <row r="735" spans="17:17" x14ac:dyDescent="0.35">
      <c r="Q735" s="83"/>
    </row>
    <row r="736" spans="17:17" x14ac:dyDescent="0.35">
      <c r="Q736" s="83"/>
    </row>
    <row r="737" spans="17:17" x14ac:dyDescent="0.35">
      <c r="Q737" s="83"/>
    </row>
    <row r="738" spans="17:17" x14ac:dyDescent="0.35">
      <c r="Q738" s="83"/>
    </row>
    <row r="739" spans="17:17" x14ac:dyDescent="0.35">
      <c r="Q739" s="83"/>
    </row>
    <row r="740" spans="17:17" x14ac:dyDescent="0.35">
      <c r="Q740" s="83"/>
    </row>
    <row r="741" spans="17:17" x14ac:dyDescent="0.35">
      <c r="Q741" s="83"/>
    </row>
    <row r="742" spans="17:17" x14ac:dyDescent="0.35">
      <c r="Q742" s="83"/>
    </row>
    <row r="743" spans="17:17" x14ac:dyDescent="0.35">
      <c r="Q743" s="83"/>
    </row>
    <row r="744" spans="17:17" x14ac:dyDescent="0.35">
      <c r="Q744" s="83"/>
    </row>
    <row r="745" spans="17:17" x14ac:dyDescent="0.35">
      <c r="Q745" s="83"/>
    </row>
    <row r="746" spans="17:17" x14ac:dyDescent="0.35">
      <c r="Q746" s="83"/>
    </row>
    <row r="747" spans="17:17" x14ac:dyDescent="0.35">
      <c r="Q747" s="83"/>
    </row>
    <row r="748" spans="17:17" x14ac:dyDescent="0.35">
      <c r="Q748" s="83"/>
    </row>
    <row r="749" spans="17:17" x14ac:dyDescent="0.35">
      <c r="Q749" s="83"/>
    </row>
    <row r="750" spans="17:17" x14ac:dyDescent="0.35">
      <c r="Q750" s="83"/>
    </row>
    <row r="751" spans="17:17" x14ac:dyDescent="0.35">
      <c r="Q751" s="83"/>
    </row>
    <row r="752" spans="17:17" x14ac:dyDescent="0.35">
      <c r="Q752" s="83"/>
    </row>
    <row r="753" spans="17:17" x14ac:dyDescent="0.35">
      <c r="Q753" s="83"/>
    </row>
    <row r="754" spans="17:17" x14ac:dyDescent="0.35">
      <c r="Q754" s="83"/>
    </row>
    <row r="755" spans="17:17" x14ac:dyDescent="0.35">
      <c r="Q755" s="83"/>
    </row>
    <row r="756" spans="17:17" x14ac:dyDescent="0.35">
      <c r="Q756" s="83"/>
    </row>
    <row r="757" spans="17:17" x14ac:dyDescent="0.35">
      <c r="Q757" s="83"/>
    </row>
    <row r="758" spans="17:17" x14ac:dyDescent="0.35">
      <c r="Q758" s="83"/>
    </row>
    <row r="759" spans="17:17" x14ac:dyDescent="0.35">
      <c r="Q759" s="83"/>
    </row>
    <row r="760" spans="17:17" x14ac:dyDescent="0.35">
      <c r="Q760" s="83"/>
    </row>
    <row r="761" spans="17:17" x14ac:dyDescent="0.35">
      <c r="Q761" s="83"/>
    </row>
    <row r="762" spans="17:17" x14ac:dyDescent="0.35">
      <c r="Q762" s="83"/>
    </row>
    <row r="763" spans="17:17" x14ac:dyDescent="0.35">
      <c r="Q763" s="83"/>
    </row>
    <row r="764" spans="17:17" x14ac:dyDescent="0.35">
      <c r="Q764" s="83"/>
    </row>
    <row r="765" spans="17:17" x14ac:dyDescent="0.35">
      <c r="Q765" s="83"/>
    </row>
    <row r="766" spans="17:17" x14ac:dyDescent="0.35">
      <c r="Q766" s="83"/>
    </row>
    <row r="767" spans="17:17" x14ac:dyDescent="0.35">
      <c r="Q767" s="83"/>
    </row>
    <row r="768" spans="17:17" x14ac:dyDescent="0.35">
      <c r="Q768" s="83"/>
    </row>
    <row r="769" spans="17:17" x14ac:dyDescent="0.35">
      <c r="Q769" s="83"/>
    </row>
    <row r="770" spans="17:17" x14ac:dyDescent="0.35">
      <c r="Q770" s="83"/>
    </row>
    <row r="771" spans="17:17" x14ac:dyDescent="0.35">
      <c r="Q771" s="83"/>
    </row>
    <row r="772" spans="17:17" x14ac:dyDescent="0.35">
      <c r="Q772" s="83"/>
    </row>
    <row r="773" spans="17:17" x14ac:dyDescent="0.35">
      <c r="Q773" s="83"/>
    </row>
    <row r="774" spans="17:17" x14ac:dyDescent="0.35">
      <c r="Q774" s="83"/>
    </row>
    <row r="775" spans="17:17" x14ac:dyDescent="0.35">
      <c r="Q775" s="83"/>
    </row>
    <row r="776" spans="17:17" x14ac:dyDescent="0.35">
      <c r="Q776" s="83"/>
    </row>
    <row r="777" spans="17:17" x14ac:dyDescent="0.35">
      <c r="Q777" s="83"/>
    </row>
    <row r="778" spans="17:17" x14ac:dyDescent="0.35">
      <c r="Q778" s="83"/>
    </row>
    <row r="779" spans="17:17" x14ac:dyDescent="0.35">
      <c r="Q779" s="83"/>
    </row>
    <row r="780" spans="17:17" x14ac:dyDescent="0.35">
      <c r="Q780" s="83"/>
    </row>
    <row r="781" spans="17:17" x14ac:dyDescent="0.35">
      <c r="Q781" s="83"/>
    </row>
    <row r="782" spans="17:17" x14ac:dyDescent="0.35">
      <c r="Q782" s="83"/>
    </row>
    <row r="783" spans="17:17" x14ac:dyDescent="0.35">
      <c r="Q783" s="83"/>
    </row>
    <row r="784" spans="17:17" x14ac:dyDescent="0.35">
      <c r="Q784" s="83"/>
    </row>
    <row r="785" spans="17:17" x14ac:dyDescent="0.35">
      <c r="Q785" s="83"/>
    </row>
    <row r="786" spans="17:17" x14ac:dyDescent="0.35">
      <c r="Q786" s="83"/>
    </row>
    <row r="787" spans="17:17" x14ac:dyDescent="0.35">
      <c r="Q787" s="83"/>
    </row>
    <row r="788" spans="17:17" x14ac:dyDescent="0.35">
      <c r="Q788" s="83"/>
    </row>
    <row r="789" spans="17:17" x14ac:dyDescent="0.35">
      <c r="Q789" s="83"/>
    </row>
    <row r="790" spans="17:17" x14ac:dyDescent="0.35">
      <c r="Q790" s="83"/>
    </row>
    <row r="791" spans="17:17" x14ac:dyDescent="0.35">
      <c r="Q791" s="83"/>
    </row>
    <row r="792" spans="17:17" x14ac:dyDescent="0.35">
      <c r="Q792" s="83"/>
    </row>
    <row r="793" spans="17:17" x14ac:dyDescent="0.35">
      <c r="Q793" s="83"/>
    </row>
    <row r="794" spans="17:17" x14ac:dyDescent="0.35">
      <c r="Q794" s="83"/>
    </row>
    <row r="795" spans="17:17" x14ac:dyDescent="0.35">
      <c r="Q795" s="83"/>
    </row>
    <row r="796" spans="17:17" x14ac:dyDescent="0.35">
      <c r="Q796" s="83"/>
    </row>
    <row r="797" spans="17:17" x14ac:dyDescent="0.35">
      <c r="Q797" s="83"/>
    </row>
    <row r="798" spans="17:17" x14ac:dyDescent="0.35">
      <c r="Q798" s="83"/>
    </row>
    <row r="799" spans="17:17" x14ac:dyDescent="0.35">
      <c r="Q799" s="83"/>
    </row>
    <row r="800" spans="17:17" x14ac:dyDescent="0.35">
      <c r="Q800" s="83"/>
    </row>
    <row r="801" spans="17:17" x14ac:dyDescent="0.35">
      <c r="Q801" s="83"/>
    </row>
    <row r="802" spans="17:17" x14ac:dyDescent="0.35">
      <c r="Q802" s="83"/>
    </row>
    <row r="803" spans="17:17" x14ac:dyDescent="0.35">
      <c r="Q803" s="83"/>
    </row>
    <row r="804" spans="17:17" x14ac:dyDescent="0.35">
      <c r="Q804" s="83"/>
    </row>
    <row r="805" spans="17:17" x14ac:dyDescent="0.35">
      <c r="Q805" s="83"/>
    </row>
    <row r="806" spans="17:17" x14ac:dyDescent="0.35">
      <c r="Q806" s="83"/>
    </row>
    <row r="807" spans="17:17" x14ac:dyDescent="0.35">
      <c r="Q807" s="83"/>
    </row>
    <row r="808" spans="17:17" x14ac:dyDescent="0.35">
      <c r="Q808" s="83"/>
    </row>
    <row r="809" spans="17:17" x14ac:dyDescent="0.35">
      <c r="Q809" s="83"/>
    </row>
    <row r="810" spans="17:17" x14ac:dyDescent="0.35">
      <c r="Q810" s="83"/>
    </row>
    <row r="811" spans="17:17" x14ac:dyDescent="0.35">
      <c r="Q811" s="83"/>
    </row>
    <row r="812" spans="17:17" x14ac:dyDescent="0.35">
      <c r="Q812" s="83"/>
    </row>
    <row r="813" spans="17:17" x14ac:dyDescent="0.35">
      <c r="Q813" s="83"/>
    </row>
    <row r="814" spans="17:17" x14ac:dyDescent="0.35">
      <c r="Q814" s="83"/>
    </row>
    <row r="815" spans="17:17" x14ac:dyDescent="0.35">
      <c r="Q815" s="83"/>
    </row>
    <row r="816" spans="17:17" x14ac:dyDescent="0.35">
      <c r="Q816" s="83"/>
    </row>
    <row r="817" spans="17:17" x14ac:dyDescent="0.35">
      <c r="Q817" s="83"/>
    </row>
    <row r="818" spans="17:17" x14ac:dyDescent="0.35">
      <c r="Q818" s="83"/>
    </row>
    <row r="819" spans="17:17" x14ac:dyDescent="0.35">
      <c r="Q819" s="83"/>
    </row>
    <row r="820" spans="17:17" x14ac:dyDescent="0.35">
      <c r="Q820" s="83"/>
    </row>
    <row r="821" spans="17:17" x14ac:dyDescent="0.35">
      <c r="Q821" s="83"/>
    </row>
    <row r="822" spans="17:17" x14ac:dyDescent="0.35">
      <c r="Q822" s="83"/>
    </row>
    <row r="823" spans="17:17" x14ac:dyDescent="0.35">
      <c r="Q823" s="83"/>
    </row>
    <row r="824" spans="17:17" x14ac:dyDescent="0.35">
      <c r="Q824" s="83"/>
    </row>
    <row r="825" spans="17:17" x14ac:dyDescent="0.35">
      <c r="Q825" s="83"/>
    </row>
    <row r="826" spans="17:17" x14ac:dyDescent="0.35">
      <c r="Q826" s="83"/>
    </row>
    <row r="827" spans="17:17" x14ac:dyDescent="0.35">
      <c r="Q827" s="83"/>
    </row>
    <row r="828" spans="17:17" x14ac:dyDescent="0.35">
      <c r="Q828" s="83"/>
    </row>
    <row r="829" spans="17:17" x14ac:dyDescent="0.35">
      <c r="Q829" s="83"/>
    </row>
    <row r="830" spans="17:17" x14ac:dyDescent="0.35">
      <c r="Q830" s="83"/>
    </row>
    <row r="831" spans="17:17" x14ac:dyDescent="0.35">
      <c r="Q831" s="83"/>
    </row>
    <row r="832" spans="17:17" x14ac:dyDescent="0.35">
      <c r="Q832" s="83"/>
    </row>
    <row r="833" spans="17:17" x14ac:dyDescent="0.35">
      <c r="Q833" s="83"/>
    </row>
    <row r="834" spans="17:17" x14ac:dyDescent="0.35">
      <c r="Q834" s="83"/>
    </row>
    <row r="835" spans="17:17" x14ac:dyDescent="0.35">
      <c r="Q835" s="83"/>
    </row>
    <row r="836" spans="17:17" x14ac:dyDescent="0.35">
      <c r="Q836" s="83"/>
    </row>
    <row r="837" spans="17:17" x14ac:dyDescent="0.35">
      <c r="Q837" s="83"/>
    </row>
    <row r="838" spans="17:17" x14ac:dyDescent="0.35">
      <c r="Q838" s="83"/>
    </row>
    <row r="839" spans="17:17" x14ac:dyDescent="0.35">
      <c r="Q839" s="83"/>
    </row>
    <row r="840" spans="17:17" x14ac:dyDescent="0.35">
      <c r="Q840" s="83"/>
    </row>
    <row r="841" spans="17:17" x14ac:dyDescent="0.35">
      <c r="Q841" s="83"/>
    </row>
    <row r="842" spans="17:17" x14ac:dyDescent="0.35">
      <c r="Q842" s="83"/>
    </row>
    <row r="843" spans="17:17" x14ac:dyDescent="0.35">
      <c r="Q843" s="83"/>
    </row>
    <row r="844" spans="17:17" x14ac:dyDescent="0.35">
      <c r="Q844" s="83"/>
    </row>
    <row r="845" spans="17:17" x14ac:dyDescent="0.35">
      <c r="Q845" s="83"/>
    </row>
    <row r="846" spans="17:17" x14ac:dyDescent="0.35">
      <c r="Q846" s="83"/>
    </row>
    <row r="847" spans="17:17" x14ac:dyDescent="0.35">
      <c r="Q847" s="83"/>
    </row>
    <row r="848" spans="17:17" x14ac:dyDescent="0.35">
      <c r="Q848" s="83"/>
    </row>
    <row r="849" spans="17:17" x14ac:dyDescent="0.35">
      <c r="Q849" s="83"/>
    </row>
    <row r="850" spans="17:17" x14ac:dyDescent="0.35">
      <c r="Q850" s="83"/>
    </row>
    <row r="851" spans="17:17" x14ac:dyDescent="0.35">
      <c r="Q851" s="83"/>
    </row>
    <row r="852" spans="17:17" x14ac:dyDescent="0.35">
      <c r="Q852" s="83"/>
    </row>
    <row r="853" spans="17:17" x14ac:dyDescent="0.35">
      <c r="Q853" s="83"/>
    </row>
    <row r="854" spans="17:17" x14ac:dyDescent="0.35">
      <c r="Q854" s="83"/>
    </row>
    <row r="855" spans="17:17" x14ac:dyDescent="0.35">
      <c r="Q855" s="83"/>
    </row>
    <row r="856" spans="17:17" x14ac:dyDescent="0.35">
      <c r="Q856" s="83"/>
    </row>
    <row r="857" spans="17:17" x14ac:dyDescent="0.35">
      <c r="Q857" s="83"/>
    </row>
    <row r="858" spans="17:17" x14ac:dyDescent="0.35">
      <c r="Q858" s="83"/>
    </row>
    <row r="859" spans="17:17" x14ac:dyDescent="0.35">
      <c r="Q859" s="83"/>
    </row>
    <row r="860" spans="17:17" x14ac:dyDescent="0.35">
      <c r="Q860" s="83"/>
    </row>
    <row r="861" spans="17:17" x14ac:dyDescent="0.35">
      <c r="Q861" s="83"/>
    </row>
    <row r="862" spans="17:17" x14ac:dyDescent="0.35">
      <c r="Q862" s="83"/>
    </row>
    <row r="863" spans="17:17" x14ac:dyDescent="0.35">
      <c r="Q863" s="83"/>
    </row>
    <row r="864" spans="17:17" x14ac:dyDescent="0.35">
      <c r="Q864" s="83"/>
    </row>
    <row r="865" spans="17:17" x14ac:dyDescent="0.35">
      <c r="Q865" s="83"/>
    </row>
    <row r="866" spans="17:17" x14ac:dyDescent="0.35">
      <c r="Q866" s="83"/>
    </row>
    <row r="867" spans="17:17" x14ac:dyDescent="0.35">
      <c r="Q867" s="83"/>
    </row>
    <row r="868" spans="17:17" x14ac:dyDescent="0.35">
      <c r="Q868" s="83"/>
    </row>
    <row r="869" spans="17:17" x14ac:dyDescent="0.35">
      <c r="Q869" s="83"/>
    </row>
    <row r="870" spans="17:17" x14ac:dyDescent="0.35">
      <c r="Q870" s="83"/>
    </row>
    <row r="871" spans="17:17" x14ac:dyDescent="0.35">
      <c r="Q871" s="83"/>
    </row>
    <row r="872" spans="17:17" x14ac:dyDescent="0.35">
      <c r="Q872" s="83"/>
    </row>
    <row r="873" spans="17:17" x14ac:dyDescent="0.35">
      <c r="Q873" s="83"/>
    </row>
    <row r="874" spans="17:17" x14ac:dyDescent="0.35">
      <c r="Q874" s="83"/>
    </row>
    <row r="875" spans="17:17" x14ac:dyDescent="0.35">
      <c r="Q875" s="83"/>
    </row>
    <row r="876" spans="17:17" x14ac:dyDescent="0.35">
      <c r="Q876" s="83"/>
    </row>
    <row r="877" spans="17:17" x14ac:dyDescent="0.35">
      <c r="Q877" s="83"/>
    </row>
    <row r="878" spans="17:17" x14ac:dyDescent="0.35">
      <c r="Q878" s="83"/>
    </row>
    <row r="879" spans="17:17" x14ac:dyDescent="0.35">
      <c r="Q879" s="83"/>
    </row>
    <row r="880" spans="17:17" x14ac:dyDescent="0.35">
      <c r="Q880" s="83"/>
    </row>
    <row r="881" spans="17:17" x14ac:dyDescent="0.35">
      <c r="Q881" s="83"/>
    </row>
    <row r="882" spans="17:17" x14ac:dyDescent="0.35">
      <c r="Q882" s="83"/>
    </row>
    <row r="883" spans="17:17" x14ac:dyDescent="0.35">
      <c r="Q883" s="83"/>
    </row>
    <row r="884" spans="17:17" x14ac:dyDescent="0.35">
      <c r="Q884" s="83"/>
    </row>
    <row r="885" spans="17:17" x14ac:dyDescent="0.35">
      <c r="Q885" s="83"/>
    </row>
    <row r="886" spans="17:17" x14ac:dyDescent="0.35">
      <c r="Q886" s="83"/>
    </row>
    <row r="887" spans="17:17" x14ac:dyDescent="0.35">
      <c r="Q887" s="83"/>
    </row>
    <row r="888" spans="17:17" x14ac:dyDescent="0.35">
      <c r="Q888" s="83"/>
    </row>
    <row r="889" spans="17:17" x14ac:dyDescent="0.35">
      <c r="Q889" s="83"/>
    </row>
    <row r="890" spans="17:17" x14ac:dyDescent="0.35">
      <c r="Q890" s="83"/>
    </row>
    <row r="891" spans="17:17" x14ac:dyDescent="0.35">
      <c r="Q891" s="83"/>
    </row>
    <row r="892" spans="17:17" x14ac:dyDescent="0.35">
      <c r="Q892" s="83"/>
    </row>
    <row r="893" spans="17:17" x14ac:dyDescent="0.35">
      <c r="Q893" s="83"/>
    </row>
    <row r="894" spans="17:17" x14ac:dyDescent="0.35">
      <c r="Q894" s="83"/>
    </row>
    <row r="895" spans="17:17" x14ac:dyDescent="0.35">
      <c r="Q895" s="83"/>
    </row>
    <row r="896" spans="17:17" x14ac:dyDescent="0.35">
      <c r="Q896" s="83"/>
    </row>
    <row r="897" spans="17:17" x14ac:dyDescent="0.35">
      <c r="Q897" s="83"/>
    </row>
    <row r="898" spans="17:17" x14ac:dyDescent="0.35">
      <c r="Q898" s="83"/>
    </row>
    <row r="899" spans="17:17" x14ac:dyDescent="0.35">
      <c r="Q899" s="83"/>
    </row>
    <row r="900" spans="17:17" x14ac:dyDescent="0.35">
      <c r="Q900" s="83"/>
    </row>
    <row r="901" spans="17:17" x14ac:dyDescent="0.35">
      <c r="Q901" s="83"/>
    </row>
    <row r="902" spans="17:17" x14ac:dyDescent="0.35">
      <c r="Q902" s="83"/>
    </row>
    <row r="903" spans="17:17" x14ac:dyDescent="0.35">
      <c r="Q903" s="83"/>
    </row>
    <row r="904" spans="17:17" x14ac:dyDescent="0.35">
      <c r="Q904" s="83"/>
    </row>
    <row r="905" spans="17:17" x14ac:dyDescent="0.35">
      <c r="Q905" s="83"/>
    </row>
    <row r="906" spans="17:17" x14ac:dyDescent="0.35">
      <c r="Q906" s="83"/>
    </row>
    <row r="907" spans="17:17" x14ac:dyDescent="0.35">
      <c r="Q907" s="83"/>
    </row>
    <row r="908" spans="17:17" x14ac:dyDescent="0.35">
      <c r="Q908" s="83"/>
    </row>
    <row r="909" spans="17:17" x14ac:dyDescent="0.35">
      <c r="Q909" s="83"/>
    </row>
    <row r="910" spans="17:17" x14ac:dyDescent="0.35">
      <c r="Q910" s="83"/>
    </row>
    <row r="911" spans="17:17" x14ac:dyDescent="0.35">
      <c r="Q911" s="83"/>
    </row>
    <row r="912" spans="17:17" x14ac:dyDescent="0.35">
      <c r="Q912" s="83"/>
    </row>
    <row r="913" spans="17:17" x14ac:dyDescent="0.35">
      <c r="Q913" s="83"/>
    </row>
    <row r="914" spans="17:17" x14ac:dyDescent="0.35">
      <c r="Q914" s="83"/>
    </row>
    <row r="915" spans="17:17" x14ac:dyDescent="0.35">
      <c r="Q915" s="83"/>
    </row>
    <row r="916" spans="17:17" x14ac:dyDescent="0.35">
      <c r="Q916" s="83"/>
    </row>
    <row r="917" spans="17:17" x14ac:dyDescent="0.35">
      <c r="Q917" s="83"/>
    </row>
    <row r="918" spans="17:17" x14ac:dyDescent="0.35">
      <c r="Q918" s="83"/>
    </row>
    <row r="919" spans="17:17" x14ac:dyDescent="0.35">
      <c r="Q919" s="83"/>
    </row>
    <row r="920" spans="17:17" x14ac:dyDescent="0.35">
      <c r="Q920" s="83"/>
    </row>
    <row r="921" spans="17:17" x14ac:dyDescent="0.35">
      <c r="Q921" s="83"/>
    </row>
    <row r="922" spans="17:17" x14ac:dyDescent="0.35">
      <c r="Q922" s="83"/>
    </row>
    <row r="923" spans="17:17" x14ac:dyDescent="0.35">
      <c r="Q923" s="83"/>
    </row>
    <row r="924" spans="17:17" x14ac:dyDescent="0.35">
      <c r="Q924" s="83"/>
    </row>
    <row r="925" spans="17:17" x14ac:dyDescent="0.35">
      <c r="Q925" s="83"/>
    </row>
    <row r="926" spans="17:17" x14ac:dyDescent="0.35">
      <c r="Q926" s="83"/>
    </row>
    <row r="927" spans="17:17" x14ac:dyDescent="0.35">
      <c r="Q927" s="83"/>
    </row>
    <row r="928" spans="17:17" x14ac:dyDescent="0.35">
      <c r="Q928" s="83"/>
    </row>
    <row r="929" spans="17:17" x14ac:dyDescent="0.35">
      <c r="Q929" s="83"/>
    </row>
    <row r="930" spans="17:17" x14ac:dyDescent="0.35">
      <c r="Q930" s="83"/>
    </row>
    <row r="931" spans="17:17" x14ac:dyDescent="0.35">
      <c r="Q931" s="83"/>
    </row>
    <row r="932" spans="17:17" x14ac:dyDescent="0.35">
      <c r="Q932" s="83"/>
    </row>
    <row r="933" spans="17:17" x14ac:dyDescent="0.35">
      <c r="Q933" s="83"/>
    </row>
    <row r="934" spans="17:17" x14ac:dyDescent="0.35">
      <c r="Q934" s="83"/>
    </row>
    <row r="935" spans="17:17" x14ac:dyDescent="0.35">
      <c r="Q935" s="83"/>
    </row>
    <row r="936" spans="17:17" x14ac:dyDescent="0.35">
      <c r="Q936" s="83"/>
    </row>
    <row r="937" spans="17:17" x14ac:dyDescent="0.35">
      <c r="Q937" s="83"/>
    </row>
    <row r="938" spans="17:17" x14ac:dyDescent="0.35">
      <c r="Q938" s="83"/>
    </row>
    <row r="939" spans="17:17" x14ac:dyDescent="0.35">
      <c r="Q939" s="83"/>
    </row>
    <row r="940" spans="17:17" x14ac:dyDescent="0.35">
      <c r="Q940" s="83"/>
    </row>
    <row r="941" spans="17:17" x14ac:dyDescent="0.35">
      <c r="Q941" s="83"/>
    </row>
    <row r="942" spans="17:17" x14ac:dyDescent="0.35">
      <c r="Q942" s="83"/>
    </row>
    <row r="943" spans="17:17" x14ac:dyDescent="0.35">
      <c r="Q943" s="83"/>
    </row>
    <row r="944" spans="17:17" x14ac:dyDescent="0.35">
      <c r="Q944" s="83"/>
    </row>
    <row r="945" spans="17:17" x14ac:dyDescent="0.35">
      <c r="Q945" s="83"/>
    </row>
    <row r="946" spans="17:17" x14ac:dyDescent="0.35">
      <c r="Q946" s="83"/>
    </row>
    <row r="947" spans="17:17" x14ac:dyDescent="0.35">
      <c r="Q947" s="83"/>
    </row>
    <row r="948" spans="17:17" x14ac:dyDescent="0.35">
      <c r="Q948" s="83"/>
    </row>
    <row r="949" spans="17:17" x14ac:dyDescent="0.35">
      <c r="Q949" s="83"/>
    </row>
    <row r="950" spans="17:17" x14ac:dyDescent="0.35">
      <c r="Q950" s="83"/>
    </row>
    <row r="951" spans="17:17" x14ac:dyDescent="0.35">
      <c r="Q951" s="83"/>
    </row>
    <row r="952" spans="17:17" x14ac:dyDescent="0.35">
      <c r="Q952" s="83"/>
    </row>
    <row r="953" spans="17:17" x14ac:dyDescent="0.35">
      <c r="Q953" s="83"/>
    </row>
    <row r="954" spans="17:17" x14ac:dyDescent="0.35">
      <c r="Q954" s="83"/>
    </row>
    <row r="955" spans="17:17" x14ac:dyDescent="0.35">
      <c r="Q955" s="83"/>
    </row>
    <row r="956" spans="17:17" x14ac:dyDescent="0.35">
      <c r="Q956" s="83"/>
    </row>
    <row r="957" spans="17:17" x14ac:dyDescent="0.35">
      <c r="Q957" s="83"/>
    </row>
    <row r="958" spans="17:17" x14ac:dyDescent="0.35">
      <c r="Q958" s="83"/>
    </row>
    <row r="959" spans="17:17" x14ac:dyDescent="0.35">
      <c r="Q959" s="83"/>
    </row>
    <row r="960" spans="17:17" x14ac:dyDescent="0.35">
      <c r="Q960" s="83"/>
    </row>
    <row r="961" spans="17:17" x14ac:dyDescent="0.35">
      <c r="Q961" s="83"/>
    </row>
    <row r="962" spans="17:17" x14ac:dyDescent="0.35">
      <c r="Q962" s="83"/>
    </row>
    <row r="963" spans="17:17" x14ac:dyDescent="0.35">
      <c r="Q963" s="83"/>
    </row>
    <row r="964" spans="17:17" x14ac:dyDescent="0.35">
      <c r="Q964" s="83"/>
    </row>
    <row r="965" spans="17:17" x14ac:dyDescent="0.35">
      <c r="Q965" s="83"/>
    </row>
    <row r="966" spans="17:17" x14ac:dyDescent="0.35">
      <c r="Q966" s="83"/>
    </row>
    <row r="967" spans="17:17" x14ac:dyDescent="0.35">
      <c r="Q967" s="83"/>
    </row>
    <row r="968" spans="17:17" x14ac:dyDescent="0.35">
      <c r="Q968" s="83"/>
    </row>
    <row r="969" spans="17:17" x14ac:dyDescent="0.35">
      <c r="Q969" s="83"/>
    </row>
    <row r="970" spans="17:17" x14ac:dyDescent="0.35">
      <c r="Q970" s="83"/>
    </row>
    <row r="971" spans="17:17" x14ac:dyDescent="0.35">
      <c r="Q971" s="83"/>
    </row>
    <row r="972" spans="17:17" x14ac:dyDescent="0.35">
      <c r="Q972" s="83"/>
    </row>
    <row r="973" spans="17:17" x14ac:dyDescent="0.35">
      <c r="Q973" s="83"/>
    </row>
    <row r="974" spans="17:17" x14ac:dyDescent="0.35">
      <c r="Q974" s="83"/>
    </row>
    <row r="975" spans="17:17" x14ac:dyDescent="0.35">
      <c r="Q975" s="83"/>
    </row>
    <row r="976" spans="17:17" x14ac:dyDescent="0.35">
      <c r="Q976" s="83"/>
    </row>
    <row r="977" spans="17:17" x14ac:dyDescent="0.35">
      <c r="Q977" s="83"/>
    </row>
    <row r="978" spans="17:17" x14ac:dyDescent="0.35">
      <c r="Q978" s="83"/>
    </row>
    <row r="979" spans="17:17" x14ac:dyDescent="0.35">
      <c r="Q979" s="83"/>
    </row>
    <row r="980" spans="17:17" x14ac:dyDescent="0.35">
      <c r="Q980" s="83"/>
    </row>
    <row r="981" spans="17:17" x14ac:dyDescent="0.35">
      <c r="Q981" s="83"/>
    </row>
    <row r="982" spans="17:17" x14ac:dyDescent="0.35">
      <c r="Q982" s="83"/>
    </row>
    <row r="983" spans="17:17" x14ac:dyDescent="0.35">
      <c r="Q983" s="83"/>
    </row>
    <row r="984" spans="17:17" x14ac:dyDescent="0.35">
      <c r="Q984" s="83"/>
    </row>
    <row r="985" spans="17:17" x14ac:dyDescent="0.35">
      <c r="Q985" s="83"/>
    </row>
    <row r="986" spans="17:17" x14ac:dyDescent="0.35">
      <c r="Q986" s="83"/>
    </row>
    <row r="987" spans="17:17" x14ac:dyDescent="0.35">
      <c r="Q987" s="83"/>
    </row>
    <row r="988" spans="17:17" x14ac:dyDescent="0.35">
      <c r="Q988" s="83"/>
    </row>
    <row r="989" spans="17:17" x14ac:dyDescent="0.35">
      <c r="Q989" s="83"/>
    </row>
    <row r="990" spans="17:17" x14ac:dyDescent="0.35">
      <c r="Q990" s="83"/>
    </row>
    <row r="991" spans="17:17" x14ac:dyDescent="0.35">
      <c r="Q991" s="83"/>
    </row>
    <row r="992" spans="17:17" x14ac:dyDescent="0.35">
      <c r="Q992" s="83"/>
    </row>
    <row r="993" spans="17:17" x14ac:dyDescent="0.35">
      <c r="Q993" s="83"/>
    </row>
    <row r="994" spans="17:17" x14ac:dyDescent="0.35">
      <c r="Q994" s="83"/>
    </row>
    <row r="995" spans="17:17" x14ac:dyDescent="0.35">
      <c r="Q995" s="83"/>
    </row>
    <row r="996" spans="17:17" x14ac:dyDescent="0.35">
      <c r="Q996" s="83"/>
    </row>
    <row r="997" spans="17:17" x14ac:dyDescent="0.35">
      <c r="Q997" s="83"/>
    </row>
    <row r="998" spans="17:17" x14ac:dyDescent="0.35">
      <c r="Q998" s="83"/>
    </row>
    <row r="999" spans="17:17" x14ac:dyDescent="0.35">
      <c r="Q999" s="83"/>
    </row>
    <row r="1000" spans="17:17" x14ac:dyDescent="0.35">
      <c r="Q1000" s="83"/>
    </row>
    <row r="1001" spans="17:17" x14ac:dyDescent="0.35">
      <c r="Q1001" s="83"/>
    </row>
    <row r="1002" spans="17:17" x14ac:dyDescent="0.35">
      <c r="Q1002" s="83"/>
    </row>
    <row r="1003" spans="17:17" x14ac:dyDescent="0.35">
      <c r="Q1003" s="83"/>
    </row>
    <row r="1004" spans="17:17" x14ac:dyDescent="0.35">
      <c r="Q1004" s="83"/>
    </row>
    <row r="1005" spans="17:17" x14ac:dyDescent="0.35">
      <c r="Q1005" s="83"/>
    </row>
    <row r="1006" spans="17:17" x14ac:dyDescent="0.35">
      <c r="Q1006" s="83"/>
    </row>
    <row r="1007" spans="17:17" x14ac:dyDescent="0.35">
      <c r="Q1007" s="83"/>
    </row>
    <row r="1008" spans="17:17" x14ac:dyDescent="0.35">
      <c r="Q1008" s="83"/>
    </row>
    <row r="1009" spans="17:17" x14ac:dyDescent="0.35">
      <c r="Q1009" s="83"/>
    </row>
    <row r="1010" spans="17:17" x14ac:dyDescent="0.35">
      <c r="Q1010" s="83"/>
    </row>
    <row r="1011" spans="17:17" x14ac:dyDescent="0.35">
      <c r="Q1011" s="83"/>
    </row>
    <row r="1012" spans="17:17" x14ac:dyDescent="0.35">
      <c r="Q1012" s="83"/>
    </row>
    <row r="1013" spans="17:17" x14ac:dyDescent="0.35">
      <c r="Q1013" s="83"/>
    </row>
    <row r="1014" spans="17:17" x14ac:dyDescent="0.35">
      <c r="Q1014" s="83"/>
    </row>
    <row r="1015" spans="17:17" x14ac:dyDescent="0.35">
      <c r="Q1015" s="83"/>
    </row>
    <row r="1016" spans="17:17" x14ac:dyDescent="0.35">
      <c r="Q1016" s="83"/>
    </row>
    <row r="1017" spans="17:17" x14ac:dyDescent="0.35">
      <c r="Q1017" s="83"/>
    </row>
    <row r="1018" spans="17:17" x14ac:dyDescent="0.35">
      <c r="Q1018" s="83"/>
    </row>
    <row r="1019" spans="17:17" x14ac:dyDescent="0.35">
      <c r="Q1019" s="83"/>
    </row>
    <row r="1020" spans="17:17" x14ac:dyDescent="0.35">
      <c r="Q1020" s="83"/>
    </row>
    <row r="1021" spans="17:17" x14ac:dyDescent="0.35">
      <c r="Q1021" s="83"/>
    </row>
    <row r="1022" spans="17:17" x14ac:dyDescent="0.35">
      <c r="Q1022" s="83"/>
    </row>
    <row r="1023" spans="17:17" x14ac:dyDescent="0.35">
      <c r="Q1023" s="83"/>
    </row>
    <row r="1024" spans="17:17" x14ac:dyDescent="0.35">
      <c r="Q1024" s="83"/>
    </row>
    <row r="1025" spans="17:17" x14ac:dyDescent="0.35">
      <c r="Q1025" s="83"/>
    </row>
    <row r="1026" spans="17:17" x14ac:dyDescent="0.35">
      <c r="Q1026" s="83"/>
    </row>
    <row r="1027" spans="17:17" x14ac:dyDescent="0.35">
      <c r="Q1027" s="83"/>
    </row>
    <row r="1028" spans="17:17" x14ac:dyDescent="0.35">
      <c r="Q1028" s="83"/>
    </row>
    <row r="1029" spans="17:17" x14ac:dyDescent="0.35">
      <c r="Q1029" s="83"/>
    </row>
    <row r="1030" spans="17:17" x14ac:dyDescent="0.35">
      <c r="Q1030" s="83"/>
    </row>
    <row r="1031" spans="17:17" x14ac:dyDescent="0.35">
      <c r="Q1031" s="83"/>
    </row>
    <row r="1032" spans="17:17" x14ac:dyDescent="0.35">
      <c r="Q1032" s="83"/>
    </row>
    <row r="1033" spans="17:17" x14ac:dyDescent="0.35">
      <c r="Q1033" s="83"/>
    </row>
    <row r="1034" spans="17:17" x14ac:dyDescent="0.35">
      <c r="Q1034" s="83"/>
    </row>
    <row r="1035" spans="17:17" x14ac:dyDescent="0.35">
      <c r="Q1035" s="83"/>
    </row>
    <row r="1036" spans="17:17" x14ac:dyDescent="0.35">
      <c r="Q1036" s="83"/>
    </row>
    <row r="1037" spans="17:17" x14ac:dyDescent="0.35">
      <c r="Q1037" s="83"/>
    </row>
    <row r="1038" spans="17:17" x14ac:dyDescent="0.35">
      <c r="Q1038" s="83"/>
    </row>
    <row r="1039" spans="17:17" x14ac:dyDescent="0.35">
      <c r="Q1039" s="83"/>
    </row>
    <row r="1040" spans="17:17" x14ac:dyDescent="0.35">
      <c r="Q1040" s="83"/>
    </row>
    <row r="1041" spans="17:17" x14ac:dyDescent="0.35">
      <c r="Q1041" s="83"/>
    </row>
    <row r="1042" spans="17:17" x14ac:dyDescent="0.35">
      <c r="Q1042" s="83"/>
    </row>
    <row r="1043" spans="17:17" x14ac:dyDescent="0.35">
      <c r="Q1043" s="83"/>
    </row>
    <row r="1044" spans="17:17" x14ac:dyDescent="0.35">
      <c r="Q1044" s="83"/>
    </row>
    <row r="1045" spans="17:17" x14ac:dyDescent="0.35">
      <c r="Q1045" s="83"/>
    </row>
    <row r="1046" spans="17:17" x14ac:dyDescent="0.35">
      <c r="Q1046" s="83"/>
    </row>
    <row r="1047" spans="17:17" x14ac:dyDescent="0.35">
      <c r="Q1047" s="83"/>
    </row>
    <row r="1048" spans="17:17" x14ac:dyDescent="0.35">
      <c r="Q1048" s="83"/>
    </row>
    <row r="1049" spans="17:17" x14ac:dyDescent="0.35">
      <c r="Q1049" s="83"/>
    </row>
    <row r="1050" spans="17:17" x14ac:dyDescent="0.35">
      <c r="Q1050" s="83"/>
    </row>
    <row r="1051" spans="17:17" x14ac:dyDescent="0.35">
      <c r="Q1051" s="83"/>
    </row>
    <row r="1052" spans="17:17" x14ac:dyDescent="0.35">
      <c r="Q1052" s="83"/>
    </row>
    <row r="1053" spans="17:17" x14ac:dyDescent="0.35">
      <c r="Q1053" s="83"/>
    </row>
    <row r="1054" spans="17:17" x14ac:dyDescent="0.35">
      <c r="Q1054" s="83"/>
    </row>
    <row r="1055" spans="17:17" x14ac:dyDescent="0.35">
      <c r="Q1055" s="83"/>
    </row>
    <row r="1056" spans="17:17" x14ac:dyDescent="0.35">
      <c r="Q1056" s="83"/>
    </row>
    <row r="1057" spans="17:17" x14ac:dyDescent="0.35">
      <c r="Q1057" s="83"/>
    </row>
    <row r="1058" spans="17:17" x14ac:dyDescent="0.35">
      <c r="Q1058" s="83"/>
    </row>
    <row r="1059" spans="17:17" x14ac:dyDescent="0.35">
      <c r="Q1059" s="83"/>
    </row>
    <row r="1060" spans="17:17" x14ac:dyDescent="0.35">
      <c r="Q1060" s="83"/>
    </row>
    <row r="1061" spans="17:17" x14ac:dyDescent="0.35">
      <c r="Q1061" s="83"/>
    </row>
    <row r="1062" spans="17:17" x14ac:dyDescent="0.35">
      <c r="Q1062" s="83"/>
    </row>
    <row r="1063" spans="17:17" x14ac:dyDescent="0.35">
      <c r="Q1063" s="83"/>
    </row>
    <row r="1064" spans="17:17" x14ac:dyDescent="0.35">
      <c r="Q1064" s="83"/>
    </row>
    <row r="1065" spans="17:17" x14ac:dyDescent="0.35">
      <c r="Q1065" s="83"/>
    </row>
    <row r="1066" spans="17:17" x14ac:dyDescent="0.35">
      <c r="Q1066" s="83"/>
    </row>
    <row r="1067" spans="17:17" x14ac:dyDescent="0.35">
      <c r="Q1067" s="83"/>
    </row>
    <row r="1068" spans="17:17" x14ac:dyDescent="0.35">
      <c r="Q1068" s="83"/>
    </row>
    <row r="1069" spans="17:17" x14ac:dyDescent="0.35">
      <c r="Q1069" s="83"/>
    </row>
    <row r="1070" spans="17:17" x14ac:dyDescent="0.35">
      <c r="Q1070" s="83"/>
    </row>
    <row r="1071" spans="17:17" x14ac:dyDescent="0.35">
      <c r="Q1071" s="83"/>
    </row>
    <row r="1072" spans="17:17" x14ac:dyDescent="0.35">
      <c r="Q1072" s="83"/>
    </row>
    <row r="1073" spans="17:17" x14ac:dyDescent="0.35">
      <c r="Q1073" s="83"/>
    </row>
    <row r="1074" spans="17:17" x14ac:dyDescent="0.35">
      <c r="Q1074" s="83"/>
    </row>
    <row r="1075" spans="17:17" x14ac:dyDescent="0.35">
      <c r="Q1075" s="83"/>
    </row>
    <row r="1076" spans="17:17" x14ac:dyDescent="0.35">
      <c r="Q1076" s="83"/>
    </row>
    <row r="1077" spans="17:17" x14ac:dyDescent="0.35">
      <c r="Q1077" s="83"/>
    </row>
    <row r="1078" spans="17:17" x14ac:dyDescent="0.35">
      <c r="Q1078" s="83"/>
    </row>
    <row r="1079" spans="17:17" x14ac:dyDescent="0.35">
      <c r="Q1079" s="83"/>
    </row>
    <row r="1080" spans="17:17" x14ac:dyDescent="0.35">
      <c r="Q1080" s="83"/>
    </row>
    <row r="1081" spans="17:17" x14ac:dyDescent="0.35">
      <c r="Q1081" s="83"/>
    </row>
    <row r="1082" spans="17:17" x14ac:dyDescent="0.35">
      <c r="Q1082" s="83"/>
    </row>
    <row r="1083" spans="17:17" x14ac:dyDescent="0.35">
      <c r="Q1083" s="83"/>
    </row>
    <row r="1084" spans="17:17" x14ac:dyDescent="0.35">
      <c r="Q1084" s="83"/>
    </row>
    <row r="1085" spans="17:17" x14ac:dyDescent="0.35">
      <c r="Q1085" s="83"/>
    </row>
    <row r="1086" spans="17:17" x14ac:dyDescent="0.35">
      <c r="Q1086" s="83"/>
    </row>
    <row r="1087" spans="17:17" x14ac:dyDescent="0.35">
      <c r="Q1087" s="83"/>
    </row>
    <row r="1088" spans="17:17" x14ac:dyDescent="0.35">
      <c r="Q1088" s="83"/>
    </row>
    <row r="1089" spans="17:17" x14ac:dyDescent="0.35">
      <c r="Q1089" s="83"/>
    </row>
    <row r="1090" spans="17:17" x14ac:dyDescent="0.35">
      <c r="Q1090" s="83"/>
    </row>
    <row r="1091" spans="17:17" x14ac:dyDescent="0.35">
      <c r="Q1091" s="83"/>
    </row>
    <row r="1092" spans="17:17" x14ac:dyDescent="0.35">
      <c r="Q1092" s="83"/>
    </row>
    <row r="1093" spans="17:17" x14ac:dyDescent="0.35">
      <c r="Q1093" s="83"/>
    </row>
    <row r="1094" spans="17:17" x14ac:dyDescent="0.35">
      <c r="Q1094" s="83"/>
    </row>
    <row r="1095" spans="17:17" x14ac:dyDescent="0.35">
      <c r="Q1095" s="83"/>
    </row>
    <row r="1096" spans="17:17" x14ac:dyDescent="0.35">
      <c r="Q1096" s="83"/>
    </row>
    <row r="1097" spans="17:17" x14ac:dyDescent="0.35">
      <c r="Q1097" s="83"/>
    </row>
    <row r="1098" spans="17:17" x14ac:dyDescent="0.35">
      <c r="Q1098" s="83"/>
    </row>
    <row r="1099" spans="17:17" x14ac:dyDescent="0.35">
      <c r="Q1099" s="83"/>
    </row>
    <row r="1100" spans="17:17" x14ac:dyDescent="0.35">
      <c r="Q1100" s="83"/>
    </row>
    <row r="1101" spans="17:17" x14ac:dyDescent="0.35">
      <c r="Q1101" s="83"/>
    </row>
    <row r="1102" spans="17:17" x14ac:dyDescent="0.35">
      <c r="Q1102" s="83"/>
    </row>
    <row r="1103" spans="17:17" x14ac:dyDescent="0.35">
      <c r="Q1103" s="83"/>
    </row>
    <row r="1104" spans="17:17" x14ac:dyDescent="0.35">
      <c r="Q1104" s="83"/>
    </row>
    <row r="1105" spans="17:17" x14ac:dyDescent="0.35">
      <c r="Q1105" s="83"/>
    </row>
    <row r="1106" spans="17:17" x14ac:dyDescent="0.35">
      <c r="Q1106" s="83"/>
    </row>
    <row r="1107" spans="17:17" x14ac:dyDescent="0.35">
      <c r="Q1107" s="83"/>
    </row>
    <row r="1108" spans="17:17" x14ac:dyDescent="0.35">
      <c r="Q1108" s="83"/>
    </row>
    <row r="1109" spans="17:17" x14ac:dyDescent="0.35">
      <c r="Q1109" s="83"/>
    </row>
    <row r="1110" spans="17:17" x14ac:dyDescent="0.35">
      <c r="Q1110" s="83"/>
    </row>
    <row r="1111" spans="17:17" x14ac:dyDescent="0.35">
      <c r="Q1111" s="83"/>
    </row>
    <row r="1112" spans="17:17" x14ac:dyDescent="0.35">
      <c r="Q1112" s="83"/>
    </row>
    <row r="1113" spans="17:17" x14ac:dyDescent="0.35">
      <c r="Q1113" s="83"/>
    </row>
    <row r="1114" spans="17:17" x14ac:dyDescent="0.35">
      <c r="Q1114" s="83"/>
    </row>
    <row r="1115" spans="17:17" x14ac:dyDescent="0.35">
      <c r="Q1115" s="83"/>
    </row>
    <row r="1116" spans="17:17" x14ac:dyDescent="0.35">
      <c r="Q1116" s="83"/>
    </row>
    <row r="1117" spans="17:17" x14ac:dyDescent="0.35">
      <c r="Q1117" s="83"/>
    </row>
    <row r="1118" spans="17:17" x14ac:dyDescent="0.35">
      <c r="Q1118" s="83"/>
    </row>
    <row r="1119" spans="17:17" x14ac:dyDescent="0.35">
      <c r="Q1119" s="83"/>
    </row>
    <row r="1120" spans="17:17" x14ac:dyDescent="0.35">
      <c r="Q1120" s="83"/>
    </row>
    <row r="1121" spans="17:17" x14ac:dyDescent="0.35">
      <c r="Q1121" s="83"/>
    </row>
    <row r="1122" spans="17:17" x14ac:dyDescent="0.35">
      <c r="Q1122" s="83"/>
    </row>
    <row r="1123" spans="17:17" x14ac:dyDescent="0.35">
      <c r="Q1123" s="83"/>
    </row>
    <row r="1124" spans="17:17" x14ac:dyDescent="0.35">
      <c r="Q1124" s="83"/>
    </row>
    <row r="1125" spans="17:17" x14ac:dyDescent="0.35">
      <c r="Q1125" s="83"/>
    </row>
    <row r="1126" spans="17:17" x14ac:dyDescent="0.35">
      <c r="Q1126" s="83"/>
    </row>
    <row r="1127" spans="17:17" x14ac:dyDescent="0.35">
      <c r="Q1127" s="83"/>
    </row>
    <row r="1128" spans="17:17" x14ac:dyDescent="0.35">
      <c r="Q1128" s="83"/>
    </row>
    <row r="1129" spans="17:17" x14ac:dyDescent="0.35">
      <c r="Q1129" s="83"/>
    </row>
    <row r="1130" spans="17:17" x14ac:dyDescent="0.35">
      <c r="Q1130" s="83"/>
    </row>
    <row r="1131" spans="17:17" x14ac:dyDescent="0.35">
      <c r="Q1131" s="83"/>
    </row>
    <row r="1132" spans="17:17" x14ac:dyDescent="0.35">
      <c r="Q1132" s="83"/>
    </row>
    <row r="1133" spans="17:17" x14ac:dyDescent="0.35">
      <c r="Q1133" s="83"/>
    </row>
    <row r="1134" spans="17:17" x14ac:dyDescent="0.35">
      <c r="Q1134" s="83"/>
    </row>
    <row r="1135" spans="17:17" x14ac:dyDescent="0.35">
      <c r="Q1135" s="83"/>
    </row>
    <row r="1136" spans="17:17" x14ac:dyDescent="0.35">
      <c r="Q1136" s="83"/>
    </row>
    <row r="1137" spans="17:17" x14ac:dyDescent="0.35">
      <c r="Q1137" s="83"/>
    </row>
    <row r="1138" spans="17:17" x14ac:dyDescent="0.35">
      <c r="Q1138" s="83"/>
    </row>
    <row r="1139" spans="17:17" x14ac:dyDescent="0.35">
      <c r="Q1139" s="83"/>
    </row>
    <row r="1140" spans="17:17" x14ac:dyDescent="0.35">
      <c r="Q1140" s="83"/>
    </row>
    <row r="1141" spans="17:17" x14ac:dyDescent="0.35">
      <c r="Q1141" s="83"/>
    </row>
    <row r="1142" spans="17:17" x14ac:dyDescent="0.35">
      <c r="Q1142" s="83"/>
    </row>
    <row r="1143" spans="17:17" x14ac:dyDescent="0.35">
      <c r="Q1143" s="83"/>
    </row>
    <row r="1144" spans="17:17" x14ac:dyDescent="0.35">
      <c r="Q1144" s="83"/>
    </row>
    <row r="1145" spans="17:17" x14ac:dyDescent="0.35">
      <c r="Q1145" s="83"/>
    </row>
    <row r="1146" spans="17:17" x14ac:dyDescent="0.35">
      <c r="Q1146" s="83"/>
    </row>
    <row r="1147" spans="17:17" x14ac:dyDescent="0.35">
      <c r="Q1147" s="83"/>
    </row>
    <row r="1148" spans="17:17" x14ac:dyDescent="0.35">
      <c r="Q1148" s="83"/>
    </row>
    <row r="1149" spans="17:17" x14ac:dyDescent="0.35">
      <c r="Q1149" s="83"/>
    </row>
    <row r="1150" spans="17:17" x14ac:dyDescent="0.35">
      <c r="Q1150" s="83"/>
    </row>
    <row r="1151" spans="17:17" x14ac:dyDescent="0.35">
      <c r="Q1151" s="83"/>
    </row>
    <row r="1152" spans="17:17" x14ac:dyDescent="0.35">
      <c r="Q1152" s="83"/>
    </row>
    <row r="1153" spans="17:17" x14ac:dyDescent="0.35">
      <c r="Q1153" s="83"/>
    </row>
    <row r="1154" spans="17:17" x14ac:dyDescent="0.35">
      <c r="Q1154" s="83"/>
    </row>
    <row r="1155" spans="17:17" x14ac:dyDescent="0.35">
      <c r="Q1155" s="83"/>
    </row>
    <row r="1156" spans="17:17" x14ac:dyDescent="0.35">
      <c r="Q1156" s="83"/>
    </row>
    <row r="1157" spans="17:17" x14ac:dyDescent="0.35">
      <c r="Q1157" s="83"/>
    </row>
    <row r="1158" spans="17:17" x14ac:dyDescent="0.35">
      <c r="Q1158" s="83"/>
    </row>
    <row r="1159" spans="17:17" x14ac:dyDescent="0.35">
      <c r="Q1159" s="83"/>
    </row>
    <row r="1160" spans="17:17" x14ac:dyDescent="0.35">
      <c r="Q1160" s="83"/>
    </row>
    <row r="1161" spans="17:17" x14ac:dyDescent="0.35">
      <c r="Q1161" s="83"/>
    </row>
    <row r="1162" spans="17:17" x14ac:dyDescent="0.35">
      <c r="Q1162" s="83"/>
    </row>
    <row r="1163" spans="17:17" x14ac:dyDescent="0.35">
      <c r="Q1163" s="83"/>
    </row>
    <row r="1164" spans="17:17" x14ac:dyDescent="0.35">
      <c r="Q1164" s="83"/>
    </row>
    <row r="1165" spans="17:17" x14ac:dyDescent="0.35">
      <c r="Q1165" s="83"/>
    </row>
    <row r="1166" spans="17:17" x14ac:dyDescent="0.35">
      <c r="Q1166" s="83"/>
    </row>
    <row r="1167" spans="17:17" x14ac:dyDescent="0.35">
      <c r="Q1167" s="83"/>
    </row>
    <row r="1168" spans="17:17" x14ac:dyDescent="0.35">
      <c r="Q1168" s="83"/>
    </row>
    <row r="1169" spans="17:17" x14ac:dyDescent="0.35">
      <c r="Q1169" s="83"/>
    </row>
    <row r="1170" spans="17:17" x14ac:dyDescent="0.35">
      <c r="Q1170" s="83"/>
    </row>
    <row r="1171" spans="17:17" x14ac:dyDescent="0.35">
      <c r="Q1171" s="83"/>
    </row>
    <row r="1172" spans="17:17" x14ac:dyDescent="0.35">
      <c r="Q1172" s="83"/>
    </row>
    <row r="1173" spans="17:17" x14ac:dyDescent="0.35">
      <c r="Q1173" s="83"/>
    </row>
    <row r="1174" spans="17:17" x14ac:dyDescent="0.35">
      <c r="Q1174" s="83"/>
    </row>
    <row r="1175" spans="17:17" x14ac:dyDescent="0.35">
      <c r="Q1175" s="83"/>
    </row>
    <row r="1176" spans="17:17" x14ac:dyDescent="0.35">
      <c r="Q1176" s="83"/>
    </row>
    <row r="1177" spans="17:17" x14ac:dyDescent="0.35">
      <c r="Q1177" s="83"/>
    </row>
    <row r="1178" spans="17:17" x14ac:dyDescent="0.35">
      <c r="Q1178" s="83"/>
    </row>
    <row r="1179" spans="17:17" x14ac:dyDescent="0.35">
      <c r="Q1179" s="83"/>
    </row>
    <row r="1180" spans="17:17" x14ac:dyDescent="0.35">
      <c r="Q1180" s="83"/>
    </row>
    <row r="1181" spans="17:17" x14ac:dyDescent="0.35">
      <c r="Q1181" s="83"/>
    </row>
    <row r="1182" spans="17:17" x14ac:dyDescent="0.35">
      <c r="Q1182" s="83"/>
    </row>
    <row r="1183" spans="17:17" x14ac:dyDescent="0.35">
      <c r="Q1183" s="83"/>
    </row>
    <row r="1184" spans="17:17" x14ac:dyDescent="0.35">
      <c r="Q1184" s="83"/>
    </row>
    <row r="1185" spans="17:17" x14ac:dyDescent="0.35">
      <c r="Q1185" s="83"/>
    </row>
    <row r="1186" spans="17:17" x14ac:dyDescent="0.35">
      <c r="Q1186" s="83"/>
    </row>
    <row r="1187" spans="17:17" x14ac:dyDescent="0.35">
      <c r="Q1187" s="83"/>
    </row>
    <row r="1188" spans="17:17" x14ac:dyDescent="0.35">
      <c r="Q1188" s="83"/>
    </row>
    <row r="1189" spans="17:17" x14ac:dyDescent="0.35">
      <c r="Q1189" s="83"/>
    </row>
    <row r="1190" spans="17:17" x14ac:dyDescent="0.35">
      <c r="Q1190" s="83"/>
    </row>
    <row r="1191" spans="17:17" x14ac:dyDescent="0.35">
      <c r="Q1191" s="83"/>
    </row>
    <row r="1192" spans="17:17" x14ac:dyDescent="0.35">
      <c r="Q1192" s="83"/>
    </row>
    <row r="1193" spans="17:17" x14ac:dyDescent="0.35">
      <c r="Q1193" s="83"/>
    </row>
    <row r="1194" spans="17:17" x14ac:dyDescent="0.35">
      <c r="Q1194" s="83"/>
    </row>
    <row r="1195" spans="17:17" x14ac:dyDescent="0.35">
      <c r="Q1195" s="83"/>
    </row>
    <row r="1196" spans="17:17" x14ac:dyDescent="0.35">
      <c r="Q1196" s="83"/>
    </row>
    <row r="1197" spans="17:17" x14ac:dyDescent="0.35">
      <c r="Q1197" s="83"/>
    </row>
    <row r="1198" spans="17:17" x14ac:dyDescent="0.35">
      <c r="Q1198" s="83"/>
    </row>
    <row r="1199" spans="17:17" x14ac:dyDescent="0.35">
      <c r="Q1199" s="83"/>
    </row>
    <row r="1200" spans="17:17" x14ac:dyDescent="0.35">
      <c r="Q1200" s="83"/>
    </row>
    <row r="1201" spans="17:17" x14ac:dyDescent="0.35">
      <c r="Q1201" s="83"/>
    </row>
    <row r="1202" spans="17:17" x14ac:dyDescent="0.35">
      <c r="Q1202" s="83"/>
    </row>
    <row r="1203" spans="17:17" x14ac:dyDescent="0.35">
      <c r="Q1203" s="83"/>
    </row>
    <row r="1204" spans="17:17" x14ac:dyDescent="0.35">
      <c r="Q1204" s="83"/>
    </row>
    <row r="1205" spans="17:17" x14ac:dyDescent="0.35">
      <c r="Q1205" s="83"/>
    </row>
    <row r="1206" spans="17:17" x14ac:dyDescent="0.35">
      <c r="Q1206" s="83"/>
    </row>
    <row r="1207" spans="17:17" x14ac:dyDescent="0.35">
      <c r="Q1207" s="83"/>
    </row>
    <row r="1208" spans="17:17" x14ac:dyDescent="0.35">
      <c r="Q1208" s="83"/>
    </row>
    <row r="1209" spans="17:17" x14ac:dyDescent="0.35">
      <c r="Q1209" s="83"/>
    </row>
    <row r="1210" spans="17:17" x14ac:dyDescent="0.35">
      <c r="Q1210" s="83"/>
    </row>
    <row r="1211" spans="17:17" x14ac:dyDescent="0.35">
      <c r="Q1211" s="83"/>
    </row>
    <row r="1212" spans="17:17" x14ac:dyDescent="0.35">
      <c r="Q1212" s="83"/>
    </row>
    <row r="1213" spans="17:17" x14ac:dyDescent="0.35">
      <c r="Q1213" s="83"/>
    </row>
    <row r="1214" spans="17:17" x14ac:dyDescent="0.35">
      <c r="Q1214" s="83"/>
    </row>
    <row r="1215" spans="17:17" x14ac:dyDescent="0.35">
      <c r="Q1215" s="83"/>
    </row>
    <row r="1216" spans="17:17" x14ac:dyDescent="0.35">
      <c r="Q1216" s="83"/>
    </row>
    <row r="1217" spans="17:17" x14ac:dyDescent="0.35">
      <c r="Q1217" s="83"/>
    </row>
    <row r="1218" spans="17:17" x14ac:dyDescent="0.35">
      <c r="Q1218" s="83"/>
    </row>
    <row r="1219" spans="17:17" x14ac:dyDescent="0.35">
      <c r="Q1219" s="83"/>
    </row>
    <row r="1220" spans="17:17" x14ac:dyDescent="0.35">
      <c r="Q1220" s="83"/>
    </row>
    <row r="1221" spans="17:17" x14ac:dyDescent="0.35">
      <c r="Q1221" s="83"/>
    </row>
    <row r="1222" spans="17:17" x14ac:dyDescent="0.35">
      <c r="Q1222" s="83"/>
    </row>
    <row r="1223" spans="17:17" x14ac:dyDescent="0.35">
      <c r="Q1223" s="83"/>
    </row>
    <row r="1224" spans="17:17" x14ac:dyDescent="0.35">
      <c r="Q1224" s="83"/>
    </row>
    <row r="1225" spans="17:17" x14ac:dyDescent="0.35">
      <c r="Q1225" s="83"/>
    </row>
    <row r="1226" spans="17:17" x14ac:dyDescent="0.35">
      <c r="Q1226" s="83"/>
    </row>
    <row r="1227" spans="17:17" x14ac:dyDescent="0.35">
      <c r="Q1227" s="83"/>
    </row>
    <row r="1228" spans="17:17" x14ac:dyDescent="0.35">
      <c r="Q1228" s="83"/>
    </row>
    <row r="1229" spans="17:17" x14ac:dyDescent="0.35">
      <c r="Q1229" s="83"/>
    </row>
    <row r="1230" spans="17:17" x14ac:dyDescent="0.35">
      <c r="Q1230" s="83"/>
    </row>
    <row r="1231" spans="17:17" x14ac:dyDescent="0.35">
      <c r="Q1231" s="83"/>
    </row>
    <row r="1232" spans="17:17" x14ac:dyDescent="0.35">
      <c r="Q1232" s="83"/>
    </row>
    <row r="1233" spans="17:17" x14ac:dyDescent="0.35">
      <c r="Q1233" s="83"/>
    </row>
    <row r="1234" spans="17:17" x14ac:dyDescent="0.35">
      <c r="Q1234" s="83"/>
    </row>
    <row r="1235" spans="17:17" x14ac:dyDescent="0.35">
      <c r="Q1235" s="83"/>
    </row>
    <row r="1236" spans="17:17" x14ac:dyDescent="0.35">
      <c r="Q1236" s="83"/>
    </row>
    <row r="1237" spans="17:17" x14ac:dyDescent="0.35">
      <c r="Q1237" s="83"/>
    </row>
    <row r="1238" spans="17:17" x14ac:dyDescent="0.35">
      <c r="Q1238" s="83"/>
    </row>
    <row r="1239" spans="17:17" x14ac:dyDescent="0.35">
      <c r="Q1239" s="83"/>
    </row>
    <row r="1240" spans="17:17" x14ac:dyDescent="0.35">
      <c r="Q1240" s="83"/>
    </row>
    <row r="1241" spans="17:17" x14ac:dyDescent="0.35">
      <c r="Q1241" s="83"/>
    </row>
    <row r="1242" spans="17:17" x14ac:dyDescent="0.35">
      <c r="Q1242" s="83"/>
    </row>
    <row r="1243" spans="17:17" x14ac:dyDescent="0.35">
      <c r="Q1243" s="83"/>
    </row>
    <row r="1244" spans="17:17" x14ac:dyDescent="0.35">
      <c r="Q1244" s="83"/>
    </row>
    <row r="1245" spans="17:17" x14ac:dyDescent="0.35">
      <c r="Q1245" s="83"/>
    </row>
    <row r="1246" spans="17:17" x14ac:dyDescent="0.35">
      <c r="Q1246" s="83"/>
    </row>
    <row r="1247" spans="17:17" x14ac:dyDescent="0.35">
      <c r="Q1247" s="83"/>
    </row>
    <row r="1248" spans="17:17" x14ac:dyDescent="0.35">
      <c r="Q1248" s="83"/>
    </row>
    <row r="1249" spans="17:17" x14ac:dyDescent="0.35">
      <c r="Q1249" s="83"/>
    </row>
    <row r="1250" spans="17:17" x14ac:dyDescent="0.35">
      <c r="Q1250" s="83"/>
    </row>
    <row r="1251" spans="17:17" x14ac:dyDescent="0.35">
      <c r="Q1251" s="83"/>
    </row>
    <row r="1252" spans="17:17" x14ac:dyDescent="0.35">
      <c r="Q1252" s="83"/>
    </row>
    <row r="1253" spans="17:17" x14ac:dyDescent="0.35">
      <c r="Q1253" s="83"/>
    </row>
    <row r="1254" spans="17:17" x14ac:dyDescent="0.35">
      <c r="Q1254" s="83"/>
    </row>
    <row r="1255" spans="17:17" x14ac:dyDescent="0.35">
      <c r="Q1255" s="83"/>
    </row>
    <row r="1256" spans="17:17" x14ac:dyDescent="0.35">
      <c r="Q1256" s="83"/>
    </row>
    <row r="1257" spans="17:17" x14ac:dyDescent="0.35">
      <c r="Q1257" s="83"/>
    </row>
    <row r="1258" spans="17:17" x14ac:dyDescent="0.35">
      <c r="Q1258" s="83"/>
    </row>
    <row r="1259" spans="17:17" x14ac:dyDescent="0.35">
      <c r="Q1259" s="83"/>
    </row>
    <row r="1260" spans="17:17" x14ac:dyDescent="0.35">
      <c r="Q1260" s="83"/>
    </row>
    <row r="1261" spans="17:17" x14ac:dyDescent="0.35">
      <c r="Q1261" s="83"/>
    </row>
    <row r="1262" spans="17:17" x14ac:dyDescent="0.35">
      <c r="Q1262" s="83"/>
    </row>
    <row r="1263" spans="17:17" x14ac:dyDescent="0.35">
      <c r="Q1263" s="83"/>
    </row>
    <row r="1264" spans="17:17" x14ac:dyDescent="0.35">
      <c r="Q1264" s="83"/>
    </row>
    <row r="1265" spans="17:17" x14ac:dyDescent="0.35">
      <c r="Q1265" s="83"/>
    </row>
    <row r="1266" spans="17:17" x14ac:dyDescent="0.35">
      <c r="Q1266" s="83"/>
    </row>
    <row r="1267" spans="17:17" x14ac:dyDescent="0.35">
      <c r="Q1267" s="83"/>
    </row>
    <row r="1268" spans="17:17" x14ac:dyDescent="0.35">
      <c r="Q1268" s="83"/>
    </row>
    <row r="1269" spans="17:17" x14ac:dyDescent="0.35">
      <c r="Q1269" s="83"/>
    </row>
    <row r="1270" spans="17:17" x14ac:dyDescent="0.35">
      <c r="Q1270" s="83"/>
    </row>
    <row r="1271" spans="17:17" x14ac:dyDescent="0.35">
      <c r="Q1271" s="83"/>
    </row>
    <row r="1272" spans="17:17" x14ac:dyDescent="0.35">
      <c r="Q1272" s="83"/>
    </row>
    <row r="1273" spans="17:17" x14ac:dyDescent="0.35">
      <c r="Q1273" s="83"/>
    </row>
    <row r="1274" spans="17:17" x14ac:dyDescent="0.35">
      <c r="Q1274" s="83"/>
    </row>
    <row r="1275" spans="17:17" x14ac:dyDescent="0.35">
      <c r="Q1275" s="83"/>
    </row>
    <row r="1276" spans="17:17" x14ac:dyDescent="0.35">
      <c r="Q1276" s="83"/>
    </row>
    <row r="1277" spans="17:17" x14ac:dyDescent="0.35">
      <c r="Q1277" s="83"/>
    </row>
    <row r="1278" spans="17:17" x14ac:dyDescent="0.35">
      <c r="Q1278" s="83"/>
    </row>
    <row r="1279" spans="17:17" x14ac:dyDescent="0.35">
      <c r="Q1279" s="83"/>
    </row>
    <row r="1280" spans="17:17" x14ac:dyDescent="0.35">
      <c r="Q1280" s="83"/>
    </row>
    <row r="1281" spans="17:17" x14ac:dyDescent="0.35">
      <c r="Q1281" s="83"/>
    </row>
    <row r="1282" spans="17:17" x14ac:dyDescent="0.35">
      <c r="Q1282" s="83"/>
    </row>
    <row r="1283" spans="17:17" x14ac:dyDescent="0.35">
      <c r="Q1283" s="83"/>
    </row>
    <row r="1284" spans="17:17" x14ac:dyDescent="0.35">
      <c r="Q1284" s="83"/>
    </row>
    <row r="1285" spans="17:17" x14ac:dyDescent="0.35">
      <c r="Q1285" s="83"/>
    </row>
    <row r="1286" spans="17:17" x14ac:dyDescent="0.35">
      <c r="Q1286" s="83"/>
    </row>
    <row r="1287" spans="17:17" x14ac:dyDescent="0.35">
      <c r="Q1287" s="83"/>
    </row>
    <row r="1288" spans="17:17" x14ac:dyDescent="0.35">
      <c r="Q1288" s="83"/>
    </row>
    <row r="1289" spans="17:17" x14ac:dyDescent="0.35">
      <c r="Q1289" s="83"/>
    </row>
    <row r="1290" spans="17:17" x14ac:dyDescent="0.35">
      <c r="Q1290" s="83"/>
    </row>
    <row r="1291" spans="17:17" x14ac:dyDescent="0.35">
      <c r="Q1291" s="83"/>
    </row>
    <row r="1292" spans="17:17" x14ac:dyDescent="0.35">
      <c r="Q1292" s="83"/>
    </row>
    <row r="1293" spans="17:17" x14ac:dyDescent="0.35">
      <c r="Q1293" s="83"/>
    </row>
    <row r="1294" spans="17:17" x14ac:dyDescent="0.35">
      <c r="Q1294" s="83"/>
    </row>
    <row r="1295" spans="17:17" x14ac:dyDescent="0.35">
      <c r="Q1295" s="83"/>
    </row>
    <row r="1296" spans="17:17" x14ac:dyDescent="0.35">
      <c r="Q1296" s="83"/>
    </row>
    <row r="1297" spans="17:17" x14ac:dyDescent="0.35">
      <c r="Q1297" s="83"/>
    </row>
    <row r="1298" spans="17:17" x14ac:dyDescent="0.35">
      <c r="Q1298" s="83"/>
    </row>
    <row r="1299" spans="17:17" x14ac:dyDescent="0.35">
      <c r="Q1299" s="83"/>
    </row>
    <row r="1300" spans="17:17" x14ac:dyDescent="0.35">
      <c r="Q1300" s="83"/>
    </row>
    <row r="1301" spans="17:17" x14ac:dyDescent="0.35">
      <c r="Q1301" s="83"/>
    </row>
    <row r="1302" spans="17:17" x14ac:dyDescent="0.35">
      <c r="Q1302" s="83"/>
    </row>
    <row r="1303" spans="17:17" x14ac:dyDescent="0.35">
      <c r="Q1303" s="83"/>
    </row>
    <row r="1304" spans="17:17" x14ac:dyDescent="0.35">
      <c r="Q1304" s="83"/>
    </row>
    <row r="1305" spans="17:17" x14ac:dyDescent="0.35">
      <c r="Q1305" s="83"/>
    </row>
    <row r="1306" spans="17:17" x14ac:dyDescent="0.35">
      <c r="Q1306" s="83"/>
    </row>
    <row r="1307" spans="17:17" x14ac:dyDescent="0.35">
      <c r="Q1307" s="83"/>
    </row>
    <row r="1308" spans="17:17" x14ac:dyDescent="0.35">
      <c r="Q1308" s="83"/>
    </row>
    <row r="1309" spans="17:17" x14ac:dyDescent="0.35">
      <c r="Q1309" s="83"/>
    </row>
    <row r="1310" spans="17:17" x14ac:dyDescent="0.35">
      <c r="Q1310" s="83"/>
    </row>
    <row r="1311" spans="17:17" x14ac:dyDescent="0.35">
      <c r="Q1311" s="83"/>
    </row>
    <row r="1312" spans="17:17" x14ac:dyDescent="0.35">
      <c r="Q1312" s="83"/>
    </row>
    <row r="1313" spans="17:17" x14ac:dyDescent="0.35">
      <c r="Q1313" s="83"/>
    </row>
    <row r="1314" spans="17:17" x14ac:dyDescent="0.35">
      <c r="Q1314" s="83"/>
    </row>
    <row r="1315" spans="17:17" x14ac:dyDescent="0.35">
      <c r="Q1315" s="83"/>
    </row>
    <row r="1316" spans="17:17" x14ac:dyDescent="0.35">
      <c r="Q1316" s="83"/>
    </row>
    <row r="1317" spans="17:17" x14ac:dyDescent="0.35">
      <c r="Q1317" s="83"/>
    </row>
    <row r="1318" spans="17:17" x14ac:dyDescent="0.35">
      <c r="Q1318" s="83"/>
    </row>
    <row r="1319" spans="17:17" x14ac:dyDescent="0.35">
      <c r="Q1319" s="83"/>
    </row>
    <row r="1320" spans="17:17" x14ac:dyDescent="0.35">
      <c r="Q1320" s="83"/>
    </row>
    <row r="1321" spans="17:17" x14ac:dyDescent="0.35">
      <c r="Q1321" s="83"/>
    </row>
    <row r="1322" spans="17:17" x14ac:dyDescent="0.35">
      <c r="Q1322" s="83"/>
    </row>
    <row r="1323" spans="17:17" x14ac:dyDescent="0.35">
      <c r="Q1323" s="83"/>
    </row>
    <row r="1324" spans="17:17" x14ac:dyDescent="0.35">
      <c r="Q1324" s="83"/>
    </row>
    <row r="1325" spans="17:17" x14ac:dyDescent="0.35">
      <c r="Q1325" s="83"/>
    </row>
    <row r="1326" spans="17:17" x14ac:dyDescent="0.35">
      <c r="Q1326" s="83"/>
    </row>
    <row r="1327" spans="17:17" x14ac:dyDescent="0.35">
      <c r="Q1327" s="83"/>
    </row>
    <row r="1328" spans="17:17" x14ac:dyDescent="0.35">
      <c r="Q1328" s="83"/>
    </row>
    <row r="1329" spans="17:17" x14ac:dyDescent="0.35">
      <c r="Q1329" s="83"/>
    </row>
    <row r="1330" spans="17:17" x14ac:dyDescent="0.35">
      <c r="Q1330" s="83"/>
    </row>
    <row r="1331" spans="17:17" x14ac:dyDescent="0.35">
      <c r="Q1331" s="83"/>
    </row>
    <row r="1332" spans="17:17" x14ac:dyDescent="0.35">
      <c r="Q1332" s="83"/>
    </row>
    <row r="1333" spans="17:17" x14ac:dyDescent="0.35">
      <c r="Q1333" s="83"/>
    </row>
    <row r="1334" spans="17:17" x14ac:dyDescent="0.35">
      <c r="Q1334" s="83"/>
    </row>
    <row r="1335" spans="17:17" x14ac:dyDescent="0.35">
      <c r="Q1335" s="83"/>
    </row>
    <row r="1336" spans="17:17" x14ac:dyDescent="0.35">
      <c r="Q1336" s="83"/>
    </row>
    <row r="1337" spans="17:17" x14ac:dyDescent="0.35">
      <c r="Q1337" s="83"/>
    </row>
    <row r="1338" spans="17:17" x14ac:dyDescent="0.35">
      <c r="Q1338" s="83"/>
    </row>
    <row r="1339" spans="17:17" x14ac:dyDescent="0.35">
      <c r="Q1339" s="83"/>
    </row>
    <row r="1340" spans="17:17" x14ac:dyDescent="0.35">
      <c r="Q1340" s="83"/>
    </row>
    <row r="1341" spans="17:17" x14ac:dyDescent="0.35">
      <c r="Q1341" s="83"/>
    </row>
    <row r="1342" spans="17:17" x14ac:dyDescent="0.35">
      <c r="Q1342" s="83"/>
    </row>
    <row r="1343" spans="17:17" x14ac:dyDescent="0.35">
      <c r="Q1343" s="83"/>
    </row>
    <row r="1344" spans="17:17" x14ac:dyDescent="0.35">
      <c r="Q1344" s="83"/>
    </row>
    <row r="1345" spans="17:17" x14ac:dyDescent="0.35">
      <c r="Q1345" s="83"/>
    </row>
    <row r="1346" spans="17:17" x14ac:dyDescent="0.35">
      <c r="Q1346" s="83"/>
    </row>
    <row r="1347" spans="17:17" x14ac:dyDescent="0.35">
      <c r="Q1347" s="83"/>
    </row>
    <row r="1348" spans="17:17" x14ac:dyDescent="0.35">
      <c r="Q1348" s="83"/>
    </row>
    <row r="1349" spans="17:17" x14ac:dyDescent="0.35">
      <c r="Q1349" s="83"/>
    </row>
    <row r="1350" spans="17:17" x14ac:dyDescent="0.35">
      <c r="Q1350" s="83"/>
    </row>
    <row r="1351" spans="17:17" x14ac:dyDescent="0.35">
      <c r="Q1351" s="83"/>
    </row>
    <row r="1352" spans="17:17" x14ac:dyDescent="0.35">
      <c r="Q1352" s="83"/>
    </row>
    <row r="1353" spans="17:17" x14ac:dyDescent="0.35">
      <c r="Q1353" s="83"/>
    </row>
    <row r="1354" spans="17:17" x14ac:dyDescent="0.35">
      <c r="Q1354" s="83"/>
    </row>
    <row r="1355" spans="17:17" x14ac:dyDescent="0.35">
      <c r="Q1355" s="83"/>
    </row>
    <row r="1356" spans="17:17" x14ac:dyDescent="0.35">
      <c r="Q1356" s="83"/>
    </row>
    <row r="1357" spans="17:17" x14ac:dyDescent="0.35">
      <c r="Q1357" s="83"/>
    </row>
    <row r="1358" spans="17:17" x14ac:dyDescent="0.35">
      <c r="Q1358" s="83"/>
    </row>
    <row r="1359" spans="17:17" x14ac:dyDescent="0.35">
      <c r="Q1359" s="83"/>
    </row>
    <row r="1360" spans="17:17" x14ac:dyDescent="0.35">
      <c r="Q1360" s="83"/>
    </row>
    <row r="1361" spans="17:17" x14ac:dyDescent="0.35">
      <c r="Q1361" s="83"/>
    </row>
    <row r="1362" spans="17:17" x14ac:dyDescent="0.35">
      <c r="Q1362" s="83"/>
    </row>
    <row r="1363" spans="17:17" x14ac:dyDescent="0.35">
      <c r="Q1363" s="83"/>
    </row>
    <row r="1364" spans="17:17" x14ac:dyDescent="0.35">
      <c r="Q1364" s="83"/>
    </row>
    <row r="1365" spans="17:17" x14ac:dyDescent="0.35">
      <c r="Q1365" s="83"/>
    </row>
    <row r="1366" spans="17:17" x14ac:dyDescent="0.35">
      <c r="Q1366" s="83"/>
    </row>
    <row r="1367" spans="17:17" x14ac:dyDescent="0.35">
      <c r="Q1367" s="83"/>
    </row>
    <row r="1368" spans="17:17" x14ac:dyDescent="0.35">
      <c r="Q1368" s="83"/>
    </row>
    <row r="1369" spans="17:17" x14ac:dyDescent="0.35">
      <c r="Q1369" s="83"/>
    </row>
    <row r="1370" spans="17:17" x14ac:dyDescent="0.35">
      <c r="Q1370" s="83"/>
    </row>
    <row r="1371" spans="17:17" x14ac:dyDescent="0.35">
      <c r="Q1371" s="83"/>
    </row>
    <row r="1372" spans="17:17" x14ac:dyDescent="0.35">
      <c r="Q1372" s="83"/>
    </row>
    <row r="1373" spans="17:17" x14ac:dyDescent="0.35">
      <c r="Q1373" s="83"/>
    </row>
    <row r="1374" spans="17:17" x14ac:dyDescent="0.35">
      <c r="Q1374" s="83"/>
    </row>
    <row r="1375" spans="17:17" x14ac:dyDescent="0.35">
      <c r="Q1375" s="83"/>
    </row>
    <row r="1376" spans="17:17" x14ac:dyDescent="0.35">
      <c r="Q1376" s="83"/>
    </row>
    <row r="1377" spans="17:17" x14ac:dyDescent="0.35">
      <c r="Q1377" s="83"/>
    </row>
    <row r="1378" spans="17:17" x14ac:dyDescent="0.35">
      <c r="Q1378" s="83"/>
    </row>
    <row r="1379" spans="17:17" x14ac:dyDescent="0.35">
      <c r="Q1379" s="83"/>
    </row>
    <row r="1380" spans="17:17" x14ac:dyDescent="0.35">
      <c r="Q1380" s="83"/>
    </row>
    <row r="1381" spans="17:17" x14ac:dyDescent="0.35">
      <c r="Q1381" s="83"/>
    </row>
    <row r="1382" spans="17:17" x14ac:dyDescent="0.35">
      <c r="Q1382" s="83"/>
    </row>
    <row r="1383" spans="17:17" x14ac:dyDescent="0.35">
      <c r="Q1383" s="83"/>
    </row>
    <row r="1384" spans="17:17" x14ac:dyDescent="0.35">
      <c r="Q1384" s="83"/>
    </row>
    <row r="1385" spans="17:17" x14ac:dyDescent="0.35">
      <c r="Q1385" s="83"/>
    </row>
    <row r="1386" spans="17:17" x14ac:dyDescent="0.35">
      <c r="Q1386" s="83"/>
    </row>
    <row r="1387" spans="17:17" x14ac:dyDescent="0.35">
      <c r="Q1387" s="83"/>
    </row>
    <row r="1388" spans="17:17" x14ac:dyDescent="0.35">
      <c r="Q1388" s="83"/>
    </row>
    <row r="1389" spans="17:17" x14ac:dyDescent="0.35">
      <c r="Q1389" s="83"/>
    </row>
    <row r="1390" spans="17:17" x14ac:dyDescent="0.35">
      <c r="Q1390" s="83"/>
    </row>
    <row r="1391" spans="17:17" x14ac:dyDescent="0.35">
      <c r="Q1391" s="83"/>
    </row>
    <row r="1392" spans="17:17" x14ac:dyDescent="0.35">
      <c r="Q1392" s="83"/>
    </row>
    <row r="1393" spans="17:17" x14ac:dyDescent="0.35">
      <c r="Q1393" s="83"/>
    </row>
    <row r="1394" spans="17:17" x14ac:dyDescent="0.35">
      <c r="Q1394" s="83"/>
    </row>
    <row r="1395" spans="17:17" x14ac:dyDescent="0.35">
      <c r="Q1395" s="83"/>
    </row>
    <row r="1396" spans="17:17" x14ac:dyDescent="0.35">
      <c r="Q1396" s="83"/>
    </row>
    <row r="1397" spans="17:17" x14ac:dyDescent="0.35">
      <c r="Q1397" s="83"/>
    </row>
    <row r="1398" spans="17:17" x14ac:dyDescent="0.35">
      <c r="Q1398" s="83"/>
    </row>
    <row r="1399" spans="17:17" x14ac:dyDescent="0.35">
      <c r="Q1399" s="83"/>
    </row>
    <row r="1400" spans="17:17" x14ac:dyDescent="0.35">
      <c r="Q1400" s="83"/>
    </row>
    <row r="1401" spans="17:17" x14ac:dyDescent="0.35">
      <c r="Q1401" s="83"/>
    </row>
    <row r="1402" spans="17:17" x14ac:dyDescent="0.35">
      <c r="Q1402" s="83"/>
    </row>
    <row r="1403" spans="17:17" x14ac:dyDescent="0.35">
      <c r="Q1403" s="83"/>
    </row>
    <row r="1404" spans="17:17" x14ac:dyDescent="0.35">
      <c r="Q1404" s="83"/>
    </row>
    <row r="1405" spans="17:17" x14ac:dyDescent="0.35">
      <c r="Q1405" s="83"/>
    </row>
    <row r="1406" spans="17:17" x14ac:dyDescent="0.35">
      <c r="Q1406" s="83"/>
    </row>
    <row r="1407" spans="17:17" x14ac:dyDescent="0.35">
      <c r="Q1407" s="83"/>
    </row>
    <row r="1408" spans="17:17" x14ac:dyDescent="0.35">
      <c r="Q1408" s="83"/>
    </row>
    <row r="1409" spans="17:17" x14ac:dyDescent="0.35">
      <c r="Q1409" s="83"/>
    </row>
    <row r="1410" spans="17:17" x14ac:dyDescent="0.35">
      <c r="Q1410" s="83"/>
    </row>
    <row r="1411" spans="17:17" x14ac:dyDescent="0.35">
      <c r="Q1411" s="83"/>
    </row>
    <row r="1412" spans="17:17" x14ac:dyDescent="0.35">
      <c r="Q1412" s="83"/>
    </row>
    <row r="1413" spans="17:17" x14ac:dyDescent="0.35">
      <c r="Q1413" s="83"/>
    </row>
    <row r="1414" spans="17:17" x14ac:dyDescent="0.35">
      <c r="Q1414" s="83"/>
    </row>
    <row r="1415" spans="17:17" x14ac:dyDescent="0.35">
      <c r="Q1415" s="83"/>
    </row>
    <row r="1416" spans="17:17" x14ac:dyDescent="0.35">
      <c r="Q1416" s="83"/>
    </row>
    <row r="1417" spans="17:17" x14ac:dyDescent="0.35">
      <c r="Q1417" s="83"/>
    </row>
    <row r="1418" spans="17:17" x14ac:dyDescent="0.35">
      <c r="Q1418" s="83"/>
    </row>
    <row r="1419" spans="17:17" x14ac:dyDescent="0.35">
      <c r="Q1419" s="83"/>
    </row>
    <row r="1420" spans="17:17" x14ac:dyDescent="0.35">
      <c r="Q1420" s="83"/>
    </row>
    <row r="1421" spans="17:17" x14ac:dyDescent="0.35">
      <c r="Q1421" s="83"/>
    </row>
    <row r="1422" spans="17:17" x14ac:dyDescent="0.35">
      <c r="Q1422" s="83"/>
    </row>
    <row r="1423" spans="17:17" x14ac:dyDescent="0.35">
      <c r="Q1423" s="83"/>
    </row>
    <row r="1424" spans="17:17" x14ac:dyDescent="0.35">
      <c r="Q1424" s="83"/>
    </row>
    <row r="1425" spans="17:17" x14ac:dyDescent="0.35">
      <c r="Q1425" s="83"/>
    </row>
    <row r="1426" spans="17:17" x14ac:dyDescent="0.35">
      <c r="Q1426" s="83"/>
    </row>
    <row r="1427" spans="17:17" x14ac:dyDescent="0.35">
      <c r="Q1427" s="83"/>
    </row>
    <row r="1428" spans="17:17" x14ac:dyDescent="0.35">
      <c r="Q1428" s="83"/>
    </row>
    <row r="1429" spans="17:17" x14ac:dyDescent="0.35">
      <c r="Q1429" s="83"/>
    </row>
    <row r="1430" spans="17:17" x14ac:dyDescent="0.35">
      <c r="Q1430" s="83"/>
    </row>
    <row r="1431" spans="17:17" x14ac:dyDescent="0.35">
      <c r="Q1431" s="83"/>
    </row>
    <row r="1432" spans="17:17" x14ac:dyDescent="0.35">
      <c r="Q1432" s="83"/>
    </row>
    <row r="1433" spans="17:17" x14ac:dyDescent="0.35">
      <c r="Q1433" s="83"/>
    </row>
    <row r="1434" spans="17:17" x14ac:dyDescent="0.35">
      <c r="Q1434" s="83"/>
    </row>
    <row r="1435" spans="17:17" x14ac:dyDescent="0.35">
      <c r="Q1435" s="83"/>
    </row>
    <row r="1436" spans="17:17" x14ac:dyDescent="0.35">
      <c r="Q1436" s="83"/>
    </row>
    <row r="1437" spans="17:17" x14ac:dyDescent="0.35">
      <c r="Q1437" s="83"/>
    </row>
    <row r="1438" spans="17:17" x14ac:dyDescent="0.35">
      <c r="Q1438" s="83"/>
    </row>
    <row r="1439" spans="17:17" x14ac:dyDescent="0.35">
      <c r="Q1439" s="83"/>
    </row>
    <row r="1440" spans="17:17" x14ac:dyDescent="0.35">
      <c r="Q1440" s="83"/>
    </row>
    <row r="1441" spans="17:17" x14ac:dyDescent="0.35">
      <c r="Q1441" s="83"/>
    </row>
    <row r="1442" spans="17:17" x14ac:dyDescent="0.35">
      <c r="Q1442" s="83"/>
    </row>
    <row r="1443" spans="17:17" x14ac:dyDescent="0.35">
      <c r="Q1443" s="83"/>
    </row>
    <row r="1444" spans="17:17" x14ac:dyDescent="0.35">
      <c r="Q1444" s="83"/>
    </row>
    <row r="1445" spans="17:17" x14ac:dyDescent="0.35">
      <c r="Q1445" s="83"/>
    </row>
    <row r="1446" spans="17:17" x14ac:dyDescent="0.35">
      <c r="Q1446" s="83"/>
    </row>
    <row r="1447" spans="17:17" x14ac:dyDescent="0.35">
      <c r="Q1447" s="83"/>
    </row>
    <row r="1448" spans="17:17" x14ac:dyDescent="0.35">
      <c r="Q1448" s="83"/>
    </row>
    <row r="1449" spans="17:17" x14ac:dyDescent="0.35">
      <c r="Q1449" s="83"/>
    </row>
    <row r="1450" spans="17:17" x14ac:dyDescent="0.35">
      <c r="Q1450" s="83"/>
    </row>
    <row r="1451" spans="17:17" x14ac:dyDescent="0.35">
      <c r="Q1451" s="83"/>
    </row>
    <row r="1452" spans="17:17" x14ac:dyDescent="0.35">
      <c r="Q1452" s="83"/>
    </row>
    <row r="1453" spans="17:17" x14ac:dyDescent="0.35">
      <c r="Q1453" s="83"/>
    </row>
    <row r="1454" spans="17:17" x14ac:dyDescent="0.35">
      <c r="Q1454" s="83"/>
    </row>
    <row r="1455" spans="17:17" x14ac:dyDescent="0.35">
      <c r="Q1455" s="83"/>
    </row>
    <row r="1456" spans="17:17" x14ac:dyDescent="0.35">
      <c r="Q1456" s="83"/>
    </row>
    <row r="1457" spans="17:17" x14ac:dyDescent="0.35">
      <c r="Q1457" s="83"/>
    </row>
    <row r="1458" spans="17:17" x14ac:dyDescent="0.35">
      <c r="Q1458" s="83"/>
    </row>
    <row r="1459" spans="17:17" x14ac:dyDescent="0.35">
      <c r="Q1459" s="83"/>
    </row>
    <row r="1460" spans="17:17" x14ac:dyDescent="0.35">
      <c r="Q1460" s="83"/>
    </row>
    <row r="1461" spans="17:17" x14ac:dyDescent="0.35">
      <c r="Q1461" s="83"/>
    </row>
    <row r="1462" spans="17:17" x14ac:dyDescent="0.35">
      <c r="Q1462" s="83"/>
    </row>
    <row r="1463" spans="17:17" x14ac:dyDescent="0.35">
      <c r="Q1463" s="83"/>
    </row>
    <row r="1464" spans="17:17" x14ac:dyDescent="0.35">
      <c r="Q1464" s="83"/>
    </row>
    <row r="1465" spans="17:17" x14ac:dyDescent="0.35">
      <c r="Q1465" s="83"/>
    </row>
    <row r="1466" spans="17:17" x14ac:dyDescent="0.35">
      <c r="Q1466" s="83"/>
    </row>
    <row r="1467" spans="17:17" x14ac:dyDescent="0.35">
      <c r="Q1467" s="83"/>
    </row>
    <row r="1468" spans="17:17" x14ac:dyDescent="0.35">
      <c r="Q1468" s="83"/>
    </row>
    <row r="1469" spans="17:17" x14ac:dyDescent="0.35">
      <c r="Q1469" s="83"/>
    </row>
    <row r="1470" spans="17:17" x14ac:dyDescent="0.35">
      <c r="Q1470" s="83"/>
    </row>
    <row r="1471" spans="17:17" x14ac:dyDescent="0.35">
      <c r="Q1471" s="83"/>
    </row>
    <row r="1472" spans="17:17" x14ac:dyDescent="0.35">
      <c r="Q1472" s="83"/>
    </row>
    <row r="1473" spans="17:17" x14ac:dyDescent="0.35">
      <c r="Q1473" s="83"/>
    </row>
    <row r="1474" spans="17:17" x14ac:dyDescent="0.35">
      <c r="Q1474" s="83"/>
    </row>
    <row r="1475" spans="17:17" x14ac:dyDescent="0.35">
      <c r="Q1475" s="83"/>
    </row>
    <row r="1476" spans="17:17" x14ac:dyDescent="0.35">
      <c r="Q1476" s="83"/>
    </row>
    <row r="1477" spans="17:17" x14ac:dyDescent="0.35">
      <c r="Q1477" s="83"/>
    </row>
    <row r="1478" spans="17:17" x14ac:dyDescent="0.35">
      <c r="Q1478" s="83"/>
    </row>
    <row r="1479" spans="17:17" x14ac:dyDescent="0.35">
      <c r="Q1479" s="83"/>
    </row>
    <row r="1480" spans="17:17" x14ac:dyDescent="0.35">
      <c r="Q1480" s="83"/>
    </row>
    <row r="1481" spans="17:17" x14ac:dyDescent="0.35">
      <c r="Q1481" s="83"/>
    </row>
    <row r="1482" spans="17:17" x14ac:dyDescent="0.35">
      <c r="Q1482" s="83"/>
    </row>
    <row r="1483" spans="17:17" x14ac:dyDescent="0.35">
      <c r="Q1483" s="83"/>
    </row>
    <row r="1484" spans="17:17" x14ac:dyDescent="0.35">
      <c r="Q1484" s="83"/>
    </row>
    <row r="1485" spans="17:17" x14ac:dyDescent="0.35">
      <c r="Q1485" s="83"/>
    </row>
    <row r="1486" spans="17:17" x14ac:dyDescent="0.35">
      <c r="Q1486" s="83"/>
    </row>
    <row r="1487" spans="17:17" x14ac:dyDescent="0.35">
      <c r="Q1487" s="83"/>
    </row>
    <row r="1488" spans="17:17" x14ac:dyDescent="0.35">
      <c r="Q1488" s="83"/>
    </row>
    <row r="1489" spans="17:17" x14ac:dyDescent="0.35">
      <c r="Q1489" s="83"/>
    </row>
    <row r="1490" spans="17:17" x14ac:dyDescent="0.35">
      <c r="Q1490" s="83"/>
    </row>
    <row r="1491" spans="17:17" x14ac:dyDescent="0.35">
      <c r="Q1491" s="83"/>
    </row>
    <row r="1492" spans="17:17" x14ac:dyDescent="0.35">
      <c r="Q1492" s="83"/>
    </row>
    <row r="1493" spans="17:17" x14ac:dyDescent="0.35">
      <c r="Q1493" s="83"/>
    </row>
    <row r="1494" spans="17:17" x14ac:dyDescent="0.35">
      <c r="Q1494" s="83"/>
    </row>
    <row r="1495" spans="17:17" x14ac:dyDescent="0.35">
      <c r="Q1495" s="83"/>
    </row>
    <row r="1496" spans="17:17" x14ac:dyDescent="0.35">
      <c r="Q1496" s="83"/>
    </row>
    <row r="1497" spans="17:17" x14ac:dyDescent="0.35">
      <c r="Q1497" s="83"/>
    </row>
    <row r="1498" spans="17:17" x14ac:dyDescent="0.35">
      <c r="Q1498" s="83"/>
    </row>
    <row r="1499" spans="17:17" x14ac:dyDescent="0.35">
      <c r="Q1499" s="83"/>
    </row>
    <row r="1500" spans="17:17" x14ac:dyDescent="0.35">
      <c r="Q1500" s="83"/>
    </row>
    <row r="1501" spans="17:17" x14ac:dyDescent="0.35">
      <c r="Q1501" s="83"/>
    </row>
    <row r="1502" spans="17:17" x14ac:dyDescent="0.35">
      <c r="Q1502" s="83"/>
    </row>
    <row r="1503" spans="17:17" x14ac:dyDescent="0.35">
      <c r="Q1503" s="83"/>
    </row>
    <row r="1504" spans="17:17" x14ac:dyDescent="0.35">
      <c r="Q1504" s="83"/>
    </row>
    <row r="1505" spans="17:17" x14ac:dyDescent="0.35">
      <c r="Q1505" s="83"/>
    </row>
    <row r="1506" spans="17:17" x14ac:dyDescent="0.35">
      <c r="Q1506" s="83"/>
    </row>
    <row r="1507" spans="17:17" x14ac:dyDescent="0.35">
      <c r="Q1507" s="83"/>
    </row>
    <row r="1508" spans="17:17" x14ac:dyDescent="0.35">
      <c r="Q1508" s="83"/>
    </row>
    <row r="1509" spans="17:17" x14ac:dyDescent="0.35">
      <c r="Q1509" s="83"/>
    </row>
    <row r="1510" spans="17:17" x14ac:dyDescent="0.35">
      <c r="Q1510" s="83"/>
    </row>
    <row r="1511" spans="17:17" x14ac:dyDescent="0.35">
      <c r="Q1511" s="83"/>
    </row>
    <row r="1512" spans="17:17" x14ac:dyDescent="0.35">
      <c r="Q1512" s="83"/>
    </row>
    <row r="1513" spans="17:17" x14ac:dyDescent="0.35">
      <c r="Q1513" s="83"/>
    </row>
    <row r="1514" spans="17:17" x14ac:dyDescent="0.35">
      <c r="Q1514" s="83"/>
    </row>
    <row r="1515" spans="17:17" x14ac:dyDescent="0.35">
      <c r="Q1515" s="83"/>
    </row>
    <row r="1516" spans="17:17" x14ac:dyDescent="0.35">
      <c r="Q1516" s="83"/>
    </row>
    <row r="1517" spans="17:17" x14ac:dyDescent="0.35">
      <c r="Q1517" s="83"/>
    </row>
    <row r="1518" spans="17:17" x14ac:dyDescent="0.35">
      <c r="Q1518" s="83"/>
    </row>
    <row r="1519" spans="17:17" x14ac:dyDescent="0.35">
      <c r="Q1519" s="83"/>
    </row>
    <row r="1520" spans="17:17" x14ac:dyDescent="0.35">
      <c r="Q1520" s="83"/>
    </row>
    <row r="1521" spans="17:17" x14ac:dyDescent="0.35">
      <c r="Q1521" s="83"/>
    </row>
    <row r="1522" spans="17:17" x14ac:dyDescent="0.35">
      <c r="Q1522" s="83"/>
    </row>
    <row r="1523" spans="17:17" x14ac:dyDescent="0.35">
      <c r="Q1523" s="83"/>
    </row>
    <row r="1524" spans="17:17" x14ac:dyDescent="0.35">
      <c r="Q1524" s="83"/>
    </row>
    <row r="1525" spans="17:17" x14ac:dyDescent="0.35">
      <c r="Q1525" s="83"/>
    </row>
    <row r="1526" spans="17:17" x14ac:dyDescent="0.35">
      <c r="Q1526" s="83"/>
    </row>
    <row r="1527" spans="17:17" x14ac:dyDescent="0.35">
      <c r="Q1527" s="83"/>
    </row>
    <row r="1528" spans="17:17" x14ac:dyDescent="0.35">
      <c r="Q1528" s="83"/>
    </row>
    <row r="1529" spans="17:17" x14ac:dyDescent="0.35">
      <c r="Q1529" s="83"/>
    </row>
    <row r="1530" spans="17:17" x14ac:dyDescent="0.35">
      <c r="Q1530" s="83"/>
    </row>
    <row r="1531" spans="17:17" x14ac:dyDescent="0.35">
      <c r="Q1531" s="83"/>
    </row>
    <row r="1532" spans="17:17" x14ac:dyDescent="0.35">
      <c r="Q1532" s="83"/>
    </row>
    <row r="1533" spans="17:17" x14ac:dyDescent="0.35">
      <c r="Q1533" s="83"/>
    </row>
    <row r="1534" spans="17:17" x14ac:dyDescent="0.35">
      <c r="Q1534" s="83"/>
    </row>
    <row r="1535" spans="17:17" x14ac:dyDescent="0.35">
      <c r="Q1535" s="83"/>
    </row>
    <row r="1536" spans="17:17" x14ac:dyDescent="0.35">
      <c r="Q1536" s="83"/>
    </row>
    <row r="1537" spans="17:17" x14ac:dyDescent="0.35">
      <c r="Q1537" s="83"/>
    </row>
    <row r="1538" spans="17:17" x14ac:dyDescent="0.35">
      <c r="Q1538" s="83"/>
    </row>
    <row r="1539" spans="17:17" x14ac:dyDescent="0.35">
      <c r="Q1539" s="83"/>
    </row>
    <row r="1540" spans="17:17" x14ac:dyDescent="0.35">
      <c r="Q1540" s="83"/>
    </row>
    <row r="1541" spans="17:17" x14ac:dyDescent="0.35">
      <c r="Q1541" s="83"/>
    </row>
    <row r="1542" spans="17:17" x14ac:dyDescent="0.35">
      <c r="Q1542" s="83"/>
    </row>
    <row r="1543" spans="17:17" x14ac:dyDescent="0.35">
      <c r="Q1543" s="83"/>
    </row>
    <row r="1544" spans="17:17" x14ac:dyDescent="0.35">
      <c r="Q1544" s="83"/>
    </row>
    <row r="1545" spans="17:17" x14ac:dyDescent="0.35">
      <c r="Q1545" s="83"/>
    </row>
    <row r="1546" spans="17:17" x14ac:dyDescent="0.35">
      <c r="Q1546" s="83"/>
    </row>
    <row r="1547" spans="17:17" x14ac:dyDescent="0.35">
      <c r="Q1547" s="83"/>
    </row>
    <row r="1548" spans="17:17" x14ac:dyDescent="0.35">
      <c r="Q1548" s="83"/>
    </row>
    <row r="1549" spans="17:17" x14ac:dyDescent="0.35">
      <c r="Q1549" s="83"/>
    </row>
    <row r="1550" spans="17:17" x14ac:dyDescent="0.35">
      <c r="Q1550" s="83"/>
    </row>
    <row r="1551" spans="17:17" x14ac:dyDescent="0.35">
      <c r="Q1551" s="83"/>
    </row>
    <row r="1552" spans="17:17" x14ac:dyDescent="0.35">
      <c r="Q1552" s="83"/>
    </row>
    <row r="1553" spans="17:17" x14ac:dyDescent="0.35">
      <c r="Q1553" s="83"/>
    </row>
    <row r="1554" spans="17:17" x14ac:dyDescent="0.35">
      <c r="Q1554" s="83"/>
    </row>
    <row r="1555" spans="17:17" x14ac:dyDescent="0.35">
      <c r="Q1555" s="83"/>
    </row>
    <row r="1556" spans="17:17" x14ac:dyDescent="0.35">
      <c r="Q1556" s="83"/>
    </row>
    <row r="1557" spans="17:17" x14ac:dyDescent="0.35">
      <c r="Q1557" s="83"/>
    </row>
    <row r="1558" spans="17:17" x14ac:dyDescent="0.35">
      <c r="Q1558" s="83"/>
    </row>
    <row r="1559" spans="17:17" x14ac:dyDescent="0.35">
      <c r="Q1559" s="83"/>
    </row>
    <row r="1560" spans="17:17" x14ac:dyDescent="0.35">
      <c r="Q1560" s="83"/>
    </row>
    <row r="1561" spans="17:17" x14ac:dyDescent="0.35">
      <c r="Q1561" s="83"/>
    </row>
    <row r="1562" spans="17:17" x14ac:dyDescent="0.35">
      <c r="Q1562" s="83"/>
    </row>
    <row r="1563" spans="17:17" x14ac:dyDescent="0.35">
      <c r="Q1563" s="83"/>
    </row>
    <row r="1564" spans="17:17" x14ac:dyDescent="0.35">
      <c r="Q1564" s="83"/>
    </row>
    <row r="1565" spans="17:17" x14ac:dyDescent="0.35">
      <c r="Q1565" s="83"/>
    </row>
    <row r="1566" spans="17:17" x14ac:dyDescent="0.35">
      <c r="Q1566" s="83"/>
    </row>
    <row r="1567" spans="17:17" x14ac:dyDescent="0.35">
      <c r="Q1567" s="83"/>
    </row>
    <row r="1568" spans="17:17" x14ac:dyDescent="0.35">
      <c r="Q1568" s="83"/>
    </row>
    <row r="1569" spans="17:17" x14ac:dyDescent="0.35">
      <c r="Q1569" s="83"/>
    </row>
    <row r="1570" spans="17:17" x14ac:dyDescent="0.35">
      <c r="Q1570" s="83"/>
    </row>
    <row r="1571" spans="17:17" x14ac:dyDescent="0.35">
      <c r="Q1571" s="83"/>
    </row>
    <row r="1572" spans="17:17" x14ac:dyDescent="0.35">
      <c r="Q1572" s="83"/>
    </row>
    <row r="1573" spans="17:17" x14ac:dyDescent="0.35">
      <c r="Q1573" s="83"/>
    </row>
    <row r="1574" spans="17:17" x14ac:dyDescent="0.35">
      <c r="Q1574" s="83"/>
    </row>
    <row r="1575" spans="17:17" x14ac:dyDescent="0.35">
      <c r="Q1575" s="83"/>
    </row>
    <row r="1576" spans="17:17" x14ac:dyDescent="0.35">
      <c r="Q1576" s="83"/>
    </row>
    <row r="1577" spans="17:17" x14ac:dyDescent="0.35">
      <c r="Q1577" s="83"/>
    </row>
    <row r="1578" spans="17:17" x14ac:dyDescent="0.35">
      <c r="Q1578" s="83"/>
    </row>
    <row r="1579" spans="17:17" x14ac:dyDescent="0.35">
      <c r="Q1579" s="83"/>
    </row>
    <row r="1580" spans="17:17" x14ac:dyDescent="0.35">
      <c r="Q1580" s="83"/>
    </row>
    <row r="1581" spans="17:17" x14ac:dyDescent="0.35">
      <c r="Q1581" s="83"/>
    </row>
    <row r="1582" spans="17:17" x14ac:dyDescent="0.35">
      <c r="Q1582" s="83"/>
    </row>
    <row r="1583" spans="17:17" x14ac:dyDescent="0.35">
      <c r="Q1583" s="83"/>
    </row>
    <row r="1584" spans="17:17" x14ac:dyDescent="0.35">
      <c r="Q1584" s="83"/>
    </row>
    <row r="1585" spans="17:17" x14ac:dyDescent="0.35">
      <c r="Q1585" s="83"/>
    </row>
    <row r="1586" spans="17:17" x14ac:dyDescent="0.35">
      <c r="Q1586" s="83"/>
    </row>
    <row r="1587" spans="17:17" x14ac:dyDescent="0.35">
      <c r="Q1587" s="83"/>
    </row>
    <row r="1588" spans="17:17" x14ac:dyDescent="0.35">
      <c r="Q1588" s="83"/>
    </row>
    <row r="1589" spans="17:17" x14ac:dyDescent="0.35">
      <c r="Q1589" s="83"/>
    </row>
    <row r="1590" spans="17:17" x14ac:dyDescent="0.35">
      <c r="Q1590" s="83"/>
    </row>
    <row r="1591" spans="17:17" x14ac:dyDescent="0.35">
      <c r="Q1591" s="83"/>
    </row>
    <row r="1592" spans="17:17" x14ac:dyDescent="0.35">
      <c r="Q1592" s="83"/>
    </row>
    <row r="1593" spans="17:17" x14ac:dyDescent="0.35">
      <c r="Q1593" s="83"/>
    </row>
    <row r="1594" spans="17:17" x14ac:dyDescent="0.35">
      <c r="Q1594" s="83"/>
    </row>
    <row r="1595" spans="17:17" x14ac:dyDescent="0.35">
      <c r="Q1595" s="83"/>
    </row>
    <row r="1596" spans="17:17" x14ac:dyDescent="0.35">
      <c r="Q1596" s="83"/>
    </row>
    <row r="1597" spans="17:17" x14ac:dyDescent="0.35">
      <c r="Q1597" s="83"/>
    </row>
    <row r="1598" spans="17:17" x14ac:dyDescent="0.35">
      <c r="Q1598" s="83"/>
    </row>
    <row r="1599" spans="17:17" x14ac:dyDescent="0.35">
      <c r="Q1599" s="83"/>
    </row>
    <row r="1600" spans="17:17" x14ac:dyDescent="0.35">
      <c r="Q1600" s="83"/>
    </row>
    <row r="1601" spans="17:17" x14ac:dyDescent="0.35">
      <c r="Q1601" s="83"/>
    </row>
    <row r="1602" spans="17:17" x14ac:dyDescent="0.35">
      <c r="Q1602" s="83"/>
    </row>
    <row r="1603" spans="17:17" x14ac:dyDescent="0.35">
      <c r="Q1603" s="83"/>
    </row>
    <row r="1604" spans="17:17" x14ac:dyDescent="0.35">
      <c r="Q1604" s="83"/>
    </row>
    <row r="1605" spans="17:17" x14ac:dyDescent="0.35">
      <c r="Q1605" s="83"/>
    </row>
    <row r="1606" spans="17:17" x14ac:dyDescent="0.35">
      <c r="Q1606" s="83"/>
    </row>
    <row r="1607" spans="17:17" x14ac:dyDescent="0.35">
      <c r="Q1607" s="83"/>
    </row>
    <row r="1608" spans="17:17" x14ac:dyDescent="0.35">
      <c r="Q1608" s="83"/>
    </row>
    <row r="1609" spans="17:17" x14ac:dyDescent="0.35">
      <c r="Q1609" s="83"/>
    </row>
    <row r="1610" spans="17:17" x14ac:dyDescent="0.35">
      <c r="Q1610" s="83"/>
    </row>
    <row r="1611" spans="17:17" x14ac:dyDescent="0.35">
      <c r="Q1611" s="83"/>
    </row>
    <row r="1612" spans="17:17" x14ac:dyDescent="0.35">
      <c r="Q1612" s="83"/>
    </row>
    <row r="1613" spans="17:17" x14ac:dyDescent="0.35">
      <c r="Q1613" s="83"/>
    </row>
    <row r="1614" spans="17:17" x14ac:dyDescent="0.35">
      <c r="Q1614" s="83"/>
    </row>
    <row r="1615" spans="17:17" x14ac:dyDescent="0.35">
      <c r="Q1615" s="83"/>
    </row>
    <row r="1616" spans="17:17" x14ac:dyDescent="0.35">
      <c r="Q1616" s="83"/>
    </row>
    <row r="1617" spans="17:17" x14ac:dyDescent="0.35">
      <c r="Q1617" s="83"/>
    </row>
    <row r="1618" spans="17:17" x14ac:dyDescent="0.35">
      <c r="Q1618" s="83"/>
    </row>
    <row r="1619" spans="17:17" x14ac:dyDescent="0.35">
      <c r="Q1619" s="83"/>
    </row>
    <row r="1620" spans="17:17" x14ac:dyDescent="0.35">
      <c r="Q1620" s="83"/>
    </row>
    <row r="1621" spans="17:17" x14ac:dyDescent="0.35">
      <c r="Q1621" s="83"/>
    </row>
    <row r="1622" spans="17:17" x14ac:dyDescent="0.35">
      <c r="Q1622" s="83"/>
    </row>
    <row r="1623" spans="17:17" x14ac:dyDescent="0.35">
      <c r="Q1623" s="83"/>
    </row>
    <row r="1624" spans="17:17" x14ac:dyDescent="0.35">
      <c r="Q1624" s="83"/>
    </row>
    <row r="1625" spans="17:17" x14ac:dyDescent="0.35">
      <c r="Q1625" s="83"/>
    </row>
    <row r="1626" spans="17:17" x14ac:dyDescent="0.35">
      <c r="Q1626" s="83"/>
    </row>
    <row r="1627" spans="17:17" x14ac:dyDescent="0.35">
      <c r="Q1627" s="83"/>
    </row>
    <row r="1628" spans="17:17" x14ac:dyDescent="0.35">
      <c r="Q1628" s="83"/>
    </row>
    <row r="1629" spans="17:17" x14ac:dyDescent="0.35">
      <c r="Q1629" s="83"/>
    </row>
    <row r="1630" spans="17:17" x14ac:dyDescent="0.35">
      <c r="Q1630" s="83"/>
    </row>
    <row r="1631" spans="17:17" x14ac:dyDescent="0.35">
      <c r="Q1631" s="83"/>
    </row>
    <row r="1632" spans="17:17" x14ac:dyDescent="0.35">
      <c r="Q1632" s="83"/>
    </row>
    <row r="1633" spans="17:17" x14ac:dyDescent="0.35">
      <c r="Q1633" s="83"/>
    </row>
    <row r="1634" spans="17:17" x14ac:dyDescent="0.35">
      <c r="Q1634" s="83"/>
    </row>
    <row r="1635" spans="17:17" x14ac:dyDescent="0.35">
      <c r="Q1635" s="83"/>
    </row>
    <row r="1636" spans="17:17" x14ac:dyDescent="0.35">
      <c r="Q1636" s="83"/>
    </row>
    <row r="1637" spans="17:17" x14ac:dyDescent="0.35">
      <c r="Q1637" s="83"/>
    </row>
    <row r="1638" spans="17:17" x14ac:dyDescent="0.35">
      <c r="Q1638" s="83"/>
    </row>
    <row r="1639" spans="17:17" x14ac:dyDescent="0.35">
      <c r="Q1639" s="83"/>
    </row>
    <row r="1640" spans="17:17" x14ac:dyDescent="0.35">
      <c r="Q1640" s="83"/>
    </row>
    <row r="1641" spans="17:17" x14ac:dyDescent="0.35">
      <c r="Q1641" s="83"/>
    </row>
    <row r="1642" spans="17:17" x14ac:dyDescent="0.35">
      <c r="Q1642" s="83"/>
    </row>
    <row r="1643" spans="17:17" x14ac:dyDescent="0.35">
      <c r="Q1643" s="83"/>
    </row>
    <row r="1644" spans="17:17" x14ac:dyDescent="0.35">
      <c r="Q1644" s="83"/>
    </row>
    <row r="1645" spans="17:17" x14ac:dyDescent="0.35">
      <c r="Q1645" s="83"/>
    </row>
    <row r="1646" spans="17:17" x14ac:dyDescent="0.35">
      <c r="Q1646" s="83"/>
    </row>
    <row r="1647" spans="17:17" x14ac:dyDescent="0.35">
      <c r="Q1647" s="83"/>
    </row>
    <row r="1648" spans="17:17" x14ac:dyDescent="0.35">
      <c r="Q1648" s="83"/>
    </row>
    <row r="1649" spans="17:17" x14ac:dyDescent="0.35">
      <c r="Q1649" s="83"/>
    </row>
    <row r="1650" spans="17:17" x14ac:dyDescent="0.35">
      <c r="Q1650" s="83"/>
    </row>
    <row r="1651" spans="17:17" x14ac:dyDescent="0.35">
      <c r="Q1651" s="83"/>
    </row>
    <row r="1652" spans="17:17" x14ac:dyDescent="0.35">
      <c r="Q1652" s="83"/>
    </row>
    <row r="1653" spans="17:17" x14ac:dyDescent="0.35">
      <c r="Q1653" s="83"/>
    </row>
    <row r="1654" spans="17:17" x14ac:dyDescent="0.35">
      <c r="Q1654" s="83"/>
    </row>
    <row r="1655" spans="17:17" x14ac:dyDescent="0.35">
      <c r="Q1655" s="83"/>
    </row>
    <row r="1656" spans="17:17" x14ac:dyDescent="0.35">
      <c r="Q1656" s="83"/>
    </row>
    <row r="1657" spans="17:17" x14ac:dyDescent="0.35">
      <c r="Q1657" s="83"/>
    </row>
    <row r="1658" spans="17:17" x14ac:dyDescent="0.35">
      <c r="Q1658" s="83"/>
    </row>
    <row r="1659" spans="17:17" x14ac:dyDescent="0.35">
      <c r="Q1659" s="83"/>
    </row>
    <row r="1660" spans="17:17" x14ac:dyDescent="0.35">
      <c r="Q1660" s="83"/>
    </row>
    <row r="1661" spans="17:17" x14ac:dyDescent="0.35">
      <c r="Q1661" s="83"/>
    </row>
    <row r="1662" spans="17:17" x14ac:dyDescent="0.35">
      <c r="Q1662" s="83"/>
    </row>
    <row r="1663" spans="17:17" x14ac:dyDescent="0.35">
      <c r="Q1663" s="83"/>
    </row>
    <row r="1664" spans="17:17" x14ac:dyDescent="0.35">
      <c r="Q1664" s="83"/>
    </row>
    <row r="1665" spans="17:17" x14ac:dyDescent="0.35">
      <c r="Q1665" s="83"/>
    </row>
    <row r="1666" spans="17:17" x14ac:dyDescent="0.35">
      <c r="Q1666" s="83"/>
    </row>
    <row r="1667" spans="17:17" x14ac:dyDescent="0.35">
      <c r="Q1667" s="83"/>
    </row>
    <row r="1668" spans="17:17" x14ac:dyDescent="0.35">
      <c r="Q1668" s="83"/>
    </row>
    <row r="1669" spans="17:17" x14ac:dyDescent="0.35">
      <c r="Q1669" s="83"/>
    </row>
    <row r="1670" spans="17:17" x14ac:dyDescent="0.35">
      <c r="Q1670" s="83"/>
    </row>
    <row r="1671" spans="17:17" x14ac:dyDescent="0.35">
      <c r="Q1671" s="83"/>
    </row>
    <row r="1672" spans="17:17" x14ac:dyDescent="0.35">
      <c r="Q1672" s="83"/>
    </row>
    <row r="1673" spans="17:17" x14ac:dyDescent="0.35">
      <c r="Q1673" s="83"/>
    </row>
    <row r="1674" spans="17:17" x14ac:dyDescent="0.35">
      <c r="Q1674" s="83"/>
    </row>
    <row r="1675" spans="17:17" x14ac:dyDescent="0.35">
      <c r="Q1675" s="83"/>
    </row>
    <row r="1676" spans="17:17" x14ac:dyDescent="0.35">
      <c r="Q1676" s="83"/>
    </row>
    <row r="1677" spans="17:17" x14ac:dyDescent="0.35">
      <c r="Q1677" s="83"/>
    </row>
    <row r="1678" spans="17:17" x14ac:dyDescent="0.35">
      <c r="Q1678" s="83"/>
    </row>
    <row r="1679" spans="17:17" x14ac:dyDescent="0.35">
      <c r="Q1679" s="83"/>
    </row>
    <row r="1680" spans="17:17" x14ac:dyDescent="0.35">
      <c r="Q1680" s="83"/>
    </row>
    <row r="1681" spans="17:17" x14ac:dyDescent="0.35">
      <c r="Q1681" s="83"/>
    </row>
    <row r="1682" spans="17:17" x14ac:dyDescent="0.35">
      <c r="Q1682" s="83"/>
    </row>
    <row r="1683" spans="17:17" x14ac:dyDescent="0.35">
      <c r="Q1683" s="83"/>
    </row>
    <row r="1684" spans="17:17" x14ac:dyDescent="0.35">
      <c r="Q1684" s="83"/>
    </row>
    <row r="1685" spans="17:17" x14ac:dyDescent="0.35">
      <c r="Q1685" s="83"/>
    </row>
    <row r="1686" spans="17:17" x14ac:dyDescent="0.35">
      <c r="Q1686" s="83"/>
    </row>
    <row r="1687" spans="17:17" x14ac:dyDescent="0.35">
      <c r="Q1687" s="83"/>
    </row>
    <row r="1688" spans="17:17" x14ac:dyDescent="0.35">
      <c r="Q1688" s="83"/>
    </row>
    <row r="1689" spans="17:17" x14ac:dyDescent="0.35">
      <c r="Q1689" s="83"/>
    </row>
    <row r="1690" spans="17:17" x14ac:dyDescent="0.35">
      <c r="Q1690" s="83"/>
    </row>
    <row r="1691" spans="17:17" x14ac:dyDescent="0.35">
      <c r="Q1691" s="83"/>
    </row>
    <row r="1692" spans="17:17" x14ac:dyDescent="0.35">
      <c r="Q1692" s="83"/>
    </row>
    <row r="1693" spans="17:17" x14ac:dyDescent="0.35">
      <c r="Q1693" s="83"/>
    </row>
    <row r="1694" spans="17:17" x14ac:dyDescent="0.35">
      <c r="Q1694" s="83"/>
    </row>
    <row r="1695" spans="17:17" x14ac:dyDescent="0.35">
      <c r="Q1695" s="83"/>
    </row>
    <row r="1696" spans="17:17" x14ac:dyDescent="0.35">
      <c r="Q1696" s="83"/>
    </row>
    <row r="1697" spans="17:17" x14ac:dyDescent="0.35">
      <c r="Q1697" s="83"/>
    </row>
    <row r="1698" spans="17:17" x14ac:dyDescent="0.35">
      <c r="Q1698" s="83"/>
    </row>
    <row r="1699" spans="17:17" x14ac:dyDescent="0.35">
      <c r="Q1699" s="83"/>
    </row>
    <row r="1700" spans="17:17" x14ac:dyDescent="0.35">
      <c r="Q1700" s="83"/>
    </row>
    <row r="1701" spans="17:17" x14ac:dyDescent="0.35">
      <c r="Q1701" s="83"/>
    </row>
    <row r="1702" spans="17:17" x14ac:dyDescent="0.35">
      <c r="Q1702" s="83"/>
    </row>
    <row r="1703" spans="17:17" x14ac:dyDescent="0.35">
      <c r="Q1703" s="83"/>
    </row>
    <row r="1704" spans="17:17" x14ac:dyDescent="0.35">
      <c r="Q1704" s="83"/>
    </row>
    <row r="1705" spans="17:17" x14ac:dyDescent="0.35">
      <c r="Q1705" s="83"/>
    </row>
    <row r="1706" spans="17:17" x14ac:dyDescent="0.35">
      <c r="Q1706" s="83"/>
    </row>
    <row r="1707" spans="17:17" x14ac:dyDescent="0.35">
      <c r="Q1707" s="83"/>
    </row>
    <row r="1708" spans="17:17" x14ac:dyDescent="0.35">
      <c r="Q1708" s="83"/>
    </row>
    <row r="1709" spans="17:17" x14ac:dyDescent="0.35">
      <c r="Q1709" s="83"/>
    </row>
    <row r="1710" spans="17:17" x14ac:dyDescent="0.35">
      <c r="Q1710" s="83"/>
    </row>
    <row r="1711" spans="17:17" x14ac:dyDescent="0.35">
      <c r="Q1711" s="83"/>
    </row>
    <row r="1712" spans="17:17" x14ac:dyDescent="0.35">
      <c r="Q1712" s="83"/>
    </row>
    <row r="1713" spans="17:17" x14ac:dyDescent="0.35">
      <c r="Q1713" s="83"/>
    </row>
    <row r="1714" spans="17:17" x14ac:dyDescent="0.35">
      <c r="Q1714" s="83"/>
    </row>
    <row r="1715" spans="17:17" x14ac:dyDescent="0.35">
      <c r="Q1715" s="83"/>
    </row>
    <row r="1716" spans="17:17" x14ac:dyDescent="0.35">
      <c r="Q1716" s="83"/>
    </row>
    <row r="1717" spans="17:17" x14ac:dyDescent="0.35">
      <c r="Q1717" s="83"/>
    </row>
    <row r="1718" spans="17:17" x14ac:dyDescent="0.35">
      <c r="Q1718" s="83"/>
    </row>
    <row r="1719" spans="17:17" x14ac:dyDescent="0.35">
      <c r="Q1719" s="83"/>
    </row>
    <row r="1720" spans="17:17" x14ac:dyDescent="0.35">
      <c r="Q1720" s="83"/>
    </row>
    <row r="1721" spans="17:17" x14ac:dyDescent="0.35">
      <c r="Q1721" s="83"/>
    </row>
    <row r="1722" spans="17:17" x14ac:dyDescent="0.35">
      <c r="Q1722" s="83"/>
    </row>
    <row r="1723" spans="17:17" x14ac:dyDescent="0.35">
      <c r="Q1723" s="83"/>
    </row>
    <row r="1724" spans="17:17" x14ac:dyDescent="0.35">
      <c r="Q1724" s="83"/>
    </row>
    <row r="1725" spans="17:17" x14ac:dyDescent="0.35">
      <c r="Q1725" s="83"/>
    </row>
    <row r="1726" spans="17:17" x14ac:dyDescent="0.35">
      <c r="Q1726" s="83"/>
    </row>
    <row r="1727" spans="17:17" x14ac:dyDescent="0.35">
      <c r="Q1727" s="83"/>
    </row>
    <row r="1728" spans="17:17" x14ac:dyDescent="0.35">
      <c r="Q1728" s="83"/>
    </row>
    <row r="1729" spans="17:17" x14ac:dyDescent="0.35">
      <c r="Q1729" s="83"/>
    </row>
    <row r="1730" spans="17:17" x14ac:dyDescent="0.35">
      <c r="Q1730" s="83"/>
    </row>
    <row r="1731" spans="17:17" x14ac:dyDescent="0.35">
      <c r="Q1731" s="83"/>
    </row>
    <row r="1732" spans="17:17" x14ac:dyDescent="0.35">
      <c r="Q1732" s="83"/>
    </row>
    <row r="1733" spans="17:17" x14ac:dyDescent="0.35">
      <c r="Q1733" s="83"/>
    </row>
    <row r="1734" spans="17:17" x14ac:dyDescent="0.35">
      <c r="Q1734" s="83"/>
    </row>
    <row r="1735" spans="17:17" x14ac:dyDescent="0.35">
      <c r="Q1735" s="83"/>
    </row>
    <row r="1736" spans="17:17" x14ac:dyDescent="0.35">
      <c r="Q1736" s="83"/>
    </row>
    <row r="1737" spans="17:17" x14ac:dyDescent="0.35">
      <c r="Q1737" s="83"/>
    </row>
    <row r="1738" spans="17:17" x14ac:dyDescent="0.35">
      <c r="Q1738" s="83"/>
    </row>
    <row r="1739" spans="17:17" x14ac:dyDescent="0.35">
      <c r="Q1739" s="83"/>
    </row>
    <row r="1740" spans="17:17" x14ac:dyDescent="0.35">
      <c r="Q1740" s="83"/>
    </row>
    <row r="1741" spans="17:17" x14ac:dyDescent="0.35">
      <c r="Q1741" s="83"/>
    </row>
    <row r="1742" spans="17:17" x14ac:dyDescent="0.35">
      <c r="Q1742" s="83"/>
    </row>
    <row r="1743" spans="17:17" x14ac:dyDescent="0.35">
      <c r="Q1743" s="83"/>
    </row>
    <row r="1744" spans="17:17" x14ac:dyDescent="0.35">
      <c r="Q1744" s="83"/>
    </row>
    <row r="1745" spans="17:17" x14ac:dyDescent="0.35">
      <c r="Q1745" s="83"/>
    </row>
    <row r="1746" spans="17:17" x14ac:dyDescent="0.35">
      <c r="Q1746" s="83"/>
    </row>
    <row r="1747" spans="17:17" x14ac:dyDescent="0.35">
      <c r="Q1747" s="83"/>
    </row>
    <row r="1748" spans="17:17" x14ac:dyDescent="0.35">
      <c r="Q1748" s="83"/>
    </row>
    <row r="1749" spans="17:17" x14ac:dyDescent="0.35">
      <c r="Q1749" s="83"/>
    </row>
    <row r="1750" spans="17:17" x14ac:dyDescent="0.35">
      <c r="Q1750" s="83"/>
    </row>
    <row r="1751" spans="17:17" x14ac:dyDescent="0.35">
      <c r="Q1751" s="83"/>
    </row>
    <row r="1752" spans="17:17" x14ac:dyDescent="0.35">
      <c r="Q1752" s="83"/>
    </row>
    <row r="1753" spans="17:17" x14ac:dyDescent="0.35">
      <c r="Q1753" s="83"/>
    </row>
    <row r="1754" spans="17:17" x14ac:dyDescent="0.35">
      <c r="Q1754" s="83"/>
    </row>
    <row r="1755" spans="17:17" x14ac:dyDescent="0.35">
      <c r="Q1755" s="83"/>
    </row>
    <row r="1756" spans="17:17" x14ac:dyDescent="0.35">
      <c r="Q1756" s="83"/>
    </row>
    <row r="1757" spans="17:17" x14ac:dyDescent="0.35">
      <c r="Q1757" s="83"/>
    </row>
    <row r="1758" spans="17:17" x14ac:dyDescent="0.35">
      <c r="Q1758" s="83"/>
    </row>
    <row r="1759" spans="17:17" x14ac:dyDescent="0.35">
      <c r="Q1759" s="83"/>
    </row>
    <row r="1760" spans="17:17" x14ac:dyDescent="0.35">
      <c r="Q1760" s="83"/>
    </row>
    <row r="1761" spans="17:17" x14ac:dyDescent="0.35">
      <c r="Q1761" s="83"/>
    </row>
    <row r="1762" spans="17:17" x14ac:dyDescent="0.35">
      <c r="Q1762" s="83"/>
    </row>
    <row r="1763" spans="17:17" x14ac:dyDescent="0.35">
      <c r="Q1763" s="83"/>
    </row>
    <row r="1764" spans="17:17" x14ac:dyDescent="0.35">
      <c r="Q1764" s="83"/>
    </row>
    <row r="1765" spans="17:17" x14ac:dyDescent="0.35">
      <c r="Q1765" s="83"/>
    </row>
    <row r="1766" spans="17:17" x14ac:dyDescent="0.35">
      <c r="Q1766" s="83"/>
    </row>
    <row r="1767" spans="17:17" x14ac:dyDescent="0.35">
      <c r="Q1767" s="83"/>
    </row>
    <row r="1768" spans="17:17" x14ac:dyDescent="0.35">
      <c r="Q1768" s="83"/>
    </row>
    <row r="1769" spans="17:17" x14ac:dyDescent="0.35">
      <c r="Q1769" s="83"/>
    </row>
    <row r="1770" spans="17:17" x14ac:dyDescent="0.35">
      <c r="Q1770" s="83"/>
    </row>
    <row r="1771" spans="17:17" x14ac:dyDescent="0.35">
      <c r="Q1771" s="83"/>
    </row>
    <row r="1772" spans="17:17" x14ac:dyDescent="0.35">
      <c r="Q1772" s="83"/>
    </row>
    <row r="1773" spans="17:17" x14ac:dyDescent="0.35">
      <c r="Q1773" s="83"/>
    </row>
    <row r="1774" spans="17:17" x14ac:dyDescent="0.35">
      <c r="Q1774" s="83"/>
    </row>
    <row r="1775" spans="17:17" x14ac:dyDescent="0.35">
      <c r="Q1775" s="83"/>
    </row>
    <row r="1776" spans="17:17" x14ac:dyDescent="0.35">
      <c r="Q1776" s="83"/>
    </row>
    <row r="1777" spans="17:17" x14ac:dyDescent="0.35">
      <c r="Q1777" s="83"/>
    </row>
    <row r="1778" spans="17:17" x14ac:dyDescent="0.35">
      <c r="Q1778" s="83"/>
    </row>
    <row r="1779" spans="17:17" x14ac:dyDescent="0.35">
      <c r="Q1779" s="83"/>
    </row>
    <row r="1780" spans="17:17" x14ac:dyDescent="0.35">
      <c r="Q1780" s="83"/>
    </row>
    <row r="1781" spans="17:17" x14ac:dyDescent="0.35">
      <c r="Q1781" s="83"/>
    </row>
    <row r="1782" spans="17:17" x14ac:dyDescent="0.35">
      <c r="Q1782" s="83"/>
    </row>
    <row r="1783" spans="17:17" x14ac:dyDescent="0.35">
      <c r="Q1783" s="83"/>
    </row>
    <row r="1784" spans="17:17" x14ac:dyDescent="0.35">
      <c r="Q1784" s="83"/>
    </row>
    <row r="1785" spans="17:17" x14ac:dyDescent="0.35">
      <c r="Q1785" s="83"/>
    </row>
    <row r="1786" spans="17:17" x14ac:dyDescent="0.35">
      <c r="Q1786" s="83"/>
    </row>
    <row r="1787" spans="17:17" x14ac:dyDescent="0.35">
      <c r="Q1787" s="83"/>
    </row>
    <row r="1788" spans="17:17" x14ac:dyDescent="0.35">
      <c r="Q1788" s="83"/>
    </row>
    <row r="1789" spans="17:17" x14ac:dyDescent="0.35">
      <c r="Q1789" s="83"/>
    </row>
    <row r="1790" spans="17:17" x14ac:dyDescent="0.35">
      <c r="Q1790" s="83"/>
    </row>
    <row r="1791" spans="17:17" x14ac:dyDescent="0.35">
      <c r="Q1791" s="83"/>
    </row>
    <row r="1792" spans="17:17" x14ac:dyDescent="0.35">
      <c r="Q1792" s="83"/>
    </row>
    <row r="1793" spans="17:17" x14ac:dyDescent="0.35">
      <c r="Q1793" s="83"/>
    </row>
    <row r="1794" spans="17:17" x14ac:dyDescent="0.35">
      <c r="Q1794" s="83"/>
    </row>
    <row r="1795" spans="17:17" x14ac:dyDescent="0.35">
      <c r="Q1795" s="83"/>
    </row>
    <row r="1796" spans="17:17" x14ac:dyDescent="0.35">
      <c r="Q1796" s="83"/>
    </row>
    <row r="1797" spans="17:17" x14ac:dyDescent="0.35">
      <c r="Q1797" s="83"/>
    </row>
    <row r="1798" spans="17:17" x14ac:dyDescent="0.35">
      <c r="Q1798" s="83"/>
    </row>
    <row r="1799" spans="17:17" x14ac:dyDescent="0.35">
      <c r="Q1799" s="83"/>
    </row>
    <row r="1800" spans="17:17" x14ac:dyDescent="0.35">
      <c r="Q1800" s="83"/>
    </row>
    <row r="1801" spans="17:17" x14ac:dyDescent="0.35">
      <c r="Q1801" s="83"/>
    </row>
    <row r="1802" spans="17:17" x14ac:dyDescent="0.35">
      <c r="Q1802" s="83"/>
    </row>
    <row r="1803" spans="17:17" x14ac:dyDescent="0.35">
      <c r="Q1803" s="83"/>
    </row>
    <row r="1804" spans="17:17" x14ac:dyDescent="0.35">
      <c r="Q1804" s="83"/>
    </row>
    <row r="1805" spans="17:17" x14ac:dyDescent="0.35">
      <c r="Q1805" s="83"/>
    </row>
    <row r="1806" spans="17:17" x14ac:dyDescent="0.35">
      <c r="Q1806" s="83"/>
    </row>
    <row r="1807" spans="17:17" x14ac:dyDescent="0.35">
      <c r="Q1807" s="83"/>
    </row>
    <row r="1808" spans="17:17" x14ac:dyDescent="0.35">
      <c r="Q1808" s="83"/>
    </row>
    <row r="1809" spans="17:17" x14ac:dyDescent="0.35">
      <c r="Q1809" s="83"/>
    </row>
    <row r="1810" spans="17:17" x14ac:dyDescent="0.35">
      <c r="Q1810" s="83"/>
    </row>
    <row r="1811" spans="17:17" x14ac:dyDescent="0.35">
      <c r="Q1811" s="83"/>
    </row>
    <row r="1812" spans="17:17" x14ac:dyDescent="0.35">
      <c r="Q1812" s="83"/>
    </row>
    <row r="1813" spans="17:17" x14ac:dyDescent="0.35">
      <c r="Q1813" s="83"/>
    </row>
    <row r="1814" spans="17:17" x14ac:dyDescent="0.35">
      <c r="Q1814" s="83"/>
    </row>
    <row r="1815" spans="17:17" x14ac:dyDescent="0.35">
      <c r="Q1815" s="83"/>
    </row>
    <row r="1816" spans="17:17" x14ac:dyDescent="0.35">
      <c r="Q1816" s="83"/>
    </row>
    <row r="1817" spans="17:17" x14ac:dyDescent="0.35">
      <c r="Q1817" s="83"/>
    </row>
    <row r="1818" spans="17:17" x14ac:dyDescent="0.35">
      <c r="Q1818" s="83"/>
    </row>
    <row r="1819" spans="17:17" x14ac:dyDescent="0.35">
      <c r="Q1819" s="83"/>
    </row>
    <row r="1820" spans="17:17" x14ac:dyDescent="0.35">
      <c r="Q1820" s="83"/>
    </row>
    <row r="1821" spans="17:17" x14ac:dyDescent="0.35">
      <c r="Q1821" s="83"/>
    </row>
    <row r="1822" spans="17:17" x14ac:dyDescent="0.35">
      <c r="Q1822" s="83"/>
    </row>
    <row r="1823" spans="17:17" x14ac:dyDescent="0.35">
      <c r="Q1823" s="83"/>
    </row>
    <row r="1824" spans="17:17" x14ac:dyDescent="0.35">
      <c r="Q1824" s="83"/>
    </row>
    <row r="1825" spans="17:17" x14ac:dyDescent="0.35">
      <c r="Q1825" s="83"/>
    </row>
    <row r="1826" spans="17:17" x14ac:dyDescent="0.35">
      <c r="Q1826" s="83"/>
    </row>
    <row r="1827" spans="17:17" x14ac:dyDescent="0.35">
      <c r="Q1827" s="83"/>
    </row>
    <row r="1828" spans="17:17" x14ac:dyDescent="0.35">
      <c r="Q1828" s="83"/>
    </row>
    <row r="1829" spans="17:17" x14ac:dyDescent="0.35">
      <c r="Q1829" s="83"/>
    </row>
    <row r="1830" spans="17:17" x14ac:dyDescent="0.35">
      <c r="Q1830" s="83"/>
    </row>
    <row r="1831" spans="17:17" x14ac:dyDescent="0.35">
      <c r="Q1831" s="83"/>
    </row>
    <row r="1832" spans="17:17" x14ac:dyDescent="0.35">
      <c r="Q1832" s="83"/>
    </row>
    <row r="1833" spans="17:17" x14ac:dyDescent="0.35">
      <c r="Q1833" s="83"/>
    </row>
    <row r="1834" spans="17:17" x14ac:dyDescent="0.35">
      <c r="Q1834" s="83"/>
    </row>
    <row r="1835" spans="17:17" x14ac:dyDescent="0.35">
      <c r="Q1835" s="83"/>
    </row>
    <row r="1836" spans="17:17" x14ac:dyDescent="0.35">
      <c r="Q1836" s="83"/>
    </row>
    <row r="1837" spans="17:17" x14ac:dyDescent="0.35">
      <c r="Q1837" s="83"/>
    </row>
    <row r="1838" spans="17:17" x14ac:dyDescent="0.35">
      <c r="Q1838" s="83"/>
    </row>
    <row r="1839" spans="17:17" x14ac:dyDescent="0.35">
      <c r="Q1839" s="83"/>
    </row>
    <row r="1840" spans="17:17" x14ac:dyDescent="0.35">
      <c r="Q1840" s="83"/>
    </row>
    <row r="1841" spans="17:17" x14ac:dyDescent="0.35">
      <c r="Q1841" s="83"/>
    </row>
    <row r="1842" spans="17:17" x14ac:dyDescent="0.35">
      <c r="Q1842" s="83"/>
    </row>
    <row r="1843" spans="17:17" x14ac:dyDescent="0.35">
      <c r="Q1843" s="83"/>
    </row>
    <row r="1844" spans="17:17" x14ac:dyDescent="0.35">
      <c r="Q1844" s="83"/>
    </row>
    <row r="1845" spans="17:17" x14ac:dyDescent="0.35">
      <c r="Q1845" s="83"/>
    </row>
    <row r="1846" spans="17:17" x14ac:dyDescent="0.35">
      <c r="Q1846" s="83"/>
    </row>
    <row r="1847" spans="17:17" x14ac:dyDescent="0.35">
      <c r="Q1847" s="83"/>
    </row>
    <row r="1848" spans="17:17" x14ac:dyDescent="0.35">
      <c r="Q1848" s="83"/>
    </row>
    <row r="1849" spans="17:17" x14ac:dyDescent="0.35">
      <c r="Q1849" s="83"/>
    </row>
    <row r="1850" spans="17:17" x14ac:dyDescent="0.35">
      <c r="Q1850" s="83"/>
    </row>
    <row r="1851" spans="17:17" x14ac:dyDescent="0.35">
      <c r="Q1851" s="83"/>
    </row>
    <row r="1852" spans="17:17" x14ac:dyDescent="0.35">
      <c r="Q1852" s="83"/>
    </row>
    <row r="1853" spans="17:17" x14ac:dyDescent="0.35">
      <c r="Q1853" s="83"/>
    </row>
    <row r="1854" spans="17:17" x14ac:dyDescent="0.35">
      <c r="Q1854" s="83"/>
    </row>
    <row r="1855" spans="17:17" x14ac:dyDescent="0.35">
      <c r="Q1855" s="83"/>
    </row>
    <row r="1856" spans="17:17" x14ac:dyDescent="0.35">
      <c r="Q1856" s="83"/>
    </row>
    <row r="1857" spans="17:17" x14ac:dyDescent="0.35">
      <c r="Q1857" s="83"/>
    </row>
    <row r="1858" spans="17:17" x14ac:dyDescent="0.35">
      <c r="Q1858" s="83"/>
    </row>
    <row r="1859" spans="17:17" x14ac:dyDescent="0.35">
      <c r="Q1859" s="83"/>
    </row>
    <row r="1860" spans="17:17" x14ac:dyDescent="0.35">
      <c r="Q1860" s="83"/>
    </row>
    <row r="1861" spans="17:17" x14ac:dyDescent="0.35">
      <c r="Q1861" s="83"/>
    </row>
    <row r="1862" spans="17:17" x14ac:dyDescent="0.35">
      <c r="Q1862" s="83"/>
    </row>
    <row r="1863" spans="17:17" x14ac:dyDescent="0.35">
      <c r="Q1863" s="83"/>
    </row>
    <row r="1864" spans="17:17" x14ac:dyDescent="0.35">
      <c r="Q1864" s="83"/>
    </row>
    <row r="1865" spans="17:17" x14ac:dyDescent="0.35">
      <c r="Q1865" s="83"/>
    </row>
    <row r="1866" spans="17:17" x14ac:dyDescent="0.35">
      <c r="Q1866" s="83"/>
    </row>
    <row r="1867" spans="17:17" x14ac:dyDescent="0.35">
      <c r="Q1867" s="83"/>
    </row>
    <row r="1868" spans="17:17" x14ac:dyDescent="0.35">
      <c r="Q1868" s="83"/>
    </row>
    <row r="1869" spans="17:17" x14ac:dyDescent="0.35">
      <c r="Q1869" s="83"/>
    </row>
    <row r="1870" spans="17:17" x14ac:dyDescent="0.35">
      <c r="Q1870" s="83"/>
    </row>
    <row r="1871" spans="17:17" x14ac:dyDescent="0.35">
      <c r="Q1871" s="83"/>
    </row>
    <row r="1872" spans="17:17" x14ac:dyDescent="0.35">
      <c r="Q1872" s="83"/>
    </row>
    <row r="1873" spans="17:17" x14ac:dyDescent="0.35">
      <c r="Q1873" s="83"/>
    </row>
    <row r="1874" spans="17:17" x14ac:dyDescent="0.35">
      <c r="Q1874" s="83"/>
    </row>
    <row r="1875" spans="17:17" x14ac:dyDescent="0.35">
      <c r="Q1875" s="83"/>
    </row>
    <row r="1876" spans="17:17" x14ac:dyDescent="0.35">
      <c r="Q1876" s="83"/>
    </row>
    <row r="1877" spans="17:17" x14ac:dyDescent="0.35">
      <c r="Q1877" s="83"/>
    </row>
    <row r="1878" spans="17:17" x14ac:dyDescent="0.35">
      <c r="Q1878" s="83"/>
    </row>
    <row r="1879" spans="17:17" x14ac:dyDescent="0.35">
      <c r="Q1879" s="83"/>
    </row>
    <row r="1880" spans="17:17" x14ac:dyDescent="0.35">
      <c r="Q1880" s="83"/>
    </row>
    <row r="1881" spans="17:17" x14ac:dyDescent="0.35">
      <c r="Q1881" s="83"/>
    </row>
    <row r="1882" spans="17:17" x14ac:dyDescent="0.35">
      <c r="Q1882" s="83"/>
    </row>
    <row r="1883" spans="17:17" x14ac:dyDescent="0.35">
      <c r="Q1883" s="83"/>
    </row>
    <row r="1884" spans="17:17" x14ac:dyDescent="0.35">
      <c r="Q1884" s="83"/>
    </row>
    <row r="1885" spans="17:17" x14ac:dyDescent="0.35">
      <c r="Q1885" s="83"/>
    </row>
    <row r="1886" spans="17:17" x14ac:dyDescent="0.35">
      <c r="Q1886" s="83"/>
    </row>
    <row r="1887" spans="17:17" x14ac:dyDescent="0.35">
      <c r="Q1887" s="83"/>
    </row>
    <row r="1888" spans="17:17" x14ac:dyDescent="0.35">
      <c r="Q1888" s="83"/>
    </row>
    <row r="1889" spans="17:17" x14ac:dyDescent="0.35">
      <c r="Q1889" s="83"/>
    </row>
    <row r="1890" spans="17:17" x14ac:dyDescent="0.35">
      <c r="Q1890" s="83"/>
    </row>
    <row r="1891" spans="17:17" x14ac:dyDescent="0.35">
      <c r="Q1891" s="83"/>
    </row>
    <row r="1892" spans="17:17" x14ac:dyDescent="0.35">
      <c r="Q1892" s="83"/>
    </row>
    <row r="1893" spans="17:17" x14ac:dyDescent="0.35">
      <c r="Q1893" s="83"/>
    </row>
    <row r="1894" spans="17:17" x14ac:dyDescent="0.35">
      <c r="Q1894" s="83"/>
    </row>
    <row r="1895" spans="17:17" x14ac:dyDescent="0.35">
      <c r="Q1895" s="83"/>
    </row>
    <row r="1896" spans="17:17" x14ac:dyDescent="0.35">
      <c r="Q1896" s="83"/>
    </row>
    <row r="1897" spans="17:17" x14ac:dyDescent="0.35">
      <c r="Q1897" s="83"/>
    </row>
    <row r="1898" spans="17:17" x14ac:dyDescent="0.35">
      <c r="Q1898" s="83"/>
    </row>
    <row r="1899" spans="17:17" x14ac:dyDescent="0.35">
      <c r="Q1899" s="83"/>
    </row>
    <row r="1900" spans="17:17" x14ac:dyDescent="0.35">
      <c r="Q1900" s="83"/>
    </row>
    <row r="1901" spans="17:17" x14ac:dyDescent="0.35">
      <c r="Q1901" s="83"/>
    </row>
    <row r="1902" spans="17:17" x14ac:dyDescent="0.35">
      <c r="Q1902" s="83"/>
    </row>
    <row r="1903" spans="17:17" x14ac:dyDescent="0.35">
      <c r="Q1903" s="83"/>
    </row>
    <row r="1904" spans="17:17" x14ac:dyDescent="0.35">
      <c r="Q1904" s="83"/>
    </row>
    <row r="1905" spans="17:17" x14ac:dyDescent="0.35">
      <c r="Q1905" s="83"/>
    </row>
    <row r="1906" spans="17:17" x14ac:dyDescent="0.35">
      <c r="Q1906" s="83"/>
    </row>
    <row r="1907" spans="17:17" x14ac:dyDescent="0.35">
      <c r="Q1907" s="83"/>
    </row>
    <row r="1908" spans="17:17" x14ac:dyDescent="0.35">
      <c r="Q1908" s="83"/>
    </row>
    <row r="1909" spans="17:17" x14ac:dyDescent="0.35">
      <c r="Q1909" s="83"/>
    </row>
    <row r="1910" spans="17:17" x14ac:dyDescent="0.35">
      <c r="Q1910" s="83"/>
    </row>
    <row r="1911" spans="17:17" x14ac:dyDescent="0.35">
      <c r="Q1911" s="83"/>
    </row>
    <row r="1912" spans="17:17" x14ac:dyDescent="0.35">
      <c r="Q1912" s="83"/>
    </row>
    <row r="1913" spans="17:17" x14ac:dyDescent="0.35">
      <c r="Q1913" s="83"/>
    </row>
    <row r="1914" spans="17:17" x14ac:dyDescent="0.35">
      <c r="Q1914" s="83"/>
    </row>
    <row r="1915" spans="17:17" x14ac:dyDescent="0.35">
      <c r="Q1915" s="83"/>
    </row>
    <row r="1916" spans="17:17" x14ac:dyDescent="0.35">
      <c r="Q1916" s="83"/>
    </row>
    <row r="1917" spans="17:17" x14ac:dyDescent="0.35">
      <c r="Q1917" s="83"/>
    </row>
    <row r="1918" spans="17:17" x14ac:dyDescent="0.35">
      <c r="Q1918" s="83"/>
    </row>
    <row r="1919" spans="17:17" x14ac:dyDescent="0.35">
      <c r="Q1919" s="83"/>
    </row>
    <row r="1920" spans="17:17" x14ac:dyDescent="0.35">
      <c r="Q1920" s="83"/>
    </row>
    <row r="1921" spans="17:17" x14ac:dyDescent="0.35">
      <c r="Q1921" s="83"/>
    </row>
    <row r="1922" spans="17:17" x14ac:dyDescent="0.35">
      <c r="Q1922" s="83"/>
    </row>
    <row r="1923" spans="17:17" x14ac:dyDescent="0.35">
      <c r="Q1923" s="83"/>
    </row>
    <row r="1924" spans="17:17" x14ac:dyDescent="0.35">
      <c r="Q1924" s="83"/>
    </row>
    <row r="1925" spans="17:17" x14ac:dyDescent="0.35">
      <c r="Q1925" s="83"/>
    </row>
    <row r="1926" spans="17:17" x14ac:dyDescent="0.35">
      <c r="Q1926" s="83"/>
    </row>
    <row r="1927" spans="17:17" x14ac:dyDescent="0.35">
      <c r="Q1927" s="83"/>
    </row>
    <row r="1928" spans="17:17" x14ac:dyDescent="0.35">
      <c r="Q1928" s="83"/>
    </row>
    <row r="1929" spans="17:17" x14ac:dyDescent="0.35">
      <c r="Q1929" s="83"/>
    </row>
    <row r="1930" spans="17:17" x14ac:dyDescent="0.35">
      <c r="Q1930" s="83"/>
    </row>
    <row r="1931" spans="17:17" x14ac:dyDescent="0.35">
      <c r="Q1931" s="83"/>
    </row>
    <row r="1932" spans="17:17" x14ac:dyDescent="0.35">
      <c r="Q1932" s="83"/>
    </row>
    <row r="1933" spans="17:17" x14ac:dyDescent="0.35">
      <c r="Q1933" s="83"/>
    </row>
    <row r="1934" spans="17:17" x14ac:dyDescent="0.35">
      <c r="Q1934" s="83"/>
    </row>
    <row r="1935" spans="17:17" x14ac:dyDescent="0.35">
      <c r="Q1935" s="83"/>
    </row>
    <row r="1936" spans="17:17" x14ac:dyDescent="0.35">
      <c r="Q1936" s="83"/>
    </row>
    <row r="1937" spans="17:17" x14ac:dyDescent="0.35">
      <c r="Q1937" s="83"/>
    </row>
    <row r="1938" spans="17:17" x14ac:dyDescent="0.35">
      <c r="Q1938" s="83"/>
    </row>
    <row r="1939" spans="17:17" x14ac:dyDescent="0.35">
      <c r="Q1939" s="83"/>
    </row>
    <row r="1940" spans="17:17" x14ac:dyDescent="0.35">
      <c r="Q1940" s="83"/>
    </row>
    <row r="1941" spans="17:17" x14ac:dyDescent="0.35">
      <c r="Q1941" s="83"/>
    </row>
    <row r="1942" spans="17:17" x14ac:dyDescent="0.35">
      <c r="Q1942" s="83"/>
    </row>
    <row r="1943" spans="17:17" x14ac:dyDescent="0.35">
      <c r="Q1943" s="83"/>
    </row>
    <row r="1944" spans="17:17" x14ac:dyDescent="0.35">
      <c r="Q1944" s="83"/>
    </row>
    <row r="1945" spans="17:17" x14ac:dyDescent="0.35">
      <c r="Q1945" s="83"/>
    </row>
    <row r="1946" spans="17:17" x14ac:dyDescent="0.35">
      <c r="Q1946" s="83"/>
    </row>
    <row r="1947" spans="17:17" x14ac:dyDescent="0.35">
      <c r="Q1947" s="83"/>
    </row>
    <row r="1948" spans="17:17" x14ac:dyDescent="0.35">
      <c r="Q1948" s="83"/>
    </row>
    <row r="1949" spans="17:17" x14ac:dyDescent="0.35">
      <c r="Q1949" s="83"/>
    </row>
    <row r="1950" spans="17:17" x14ac:dyDescent="0.35">
      <c r="Q1950" s="83"/>
    </row>
    <row r="1951" spans="17:17" x14ac:dyDescent="0.35">
      <c r="Q1951" s="83"/>
    </row>
    <row r="1952" spans="17:17" x14ac:dyDescent="0.35">
      <c r="Q1952" s="83"/>
    </row>
    <row r="1953" spans="17:17" x14ac:dyDescent="0.35">
      <c r="Q1953" s="83"/>
    </row>
    <row r="1954" spans="17:17" x14ac:dyDescent="0.35">
      <c r="Q1954" s="83"/>
    </row>
    <row r="1955" spans="17:17" x14ac:dyDescent="0.35">
      <c r="Q1955" s="83"/>
    </row>
    <row r="1956" spans="17:17" x14ac:dyDescent="0.35">
      <c r="Q1956" s="83"/>
    </row>
    <row r="1957" spans="17:17" x14ac:dyDescent="0.35">
      <c r="Q1957" s="83"/>
    </row>
    <row r="1958" spans="17:17" x14ac:dyDescent="0.35">
      <c r="Q1958" s="83"/>
    </row>
    <row r="1959" spans="17:17" x14ac:dyDescent="0.35">
      <c r="Q1959" s="83"/>
    </row>
    <row r="1960" spans="17:17" x14ac:dyDescent="0.35">
      <c r="Q1960" s="83"/>
    </row>
    <row r="1961" spans="17:17" x14ac:dyDescent="0.35">
      <c r="Q1961" s="83"/>
    </row>
    <row r="1962" spans="17:17" x14ac:dyDescent="0.35">
      <c r="Q1962" s="83"/>
    </row>
    <row r="1963" spans="17:17" x14ac:dyDescent="0.35">
      <c r="Q1963" s="83"/>
    </row>
    <row r="1964" spans="17:17" x14ac:dyDescent="0.35">
      <c r="Q1964" s="83"/>
    </row>
    <row r="1965" spans="17:17" x14ac:dyDescent="0.35">
      <c r="Q1965" s="83"/>
    </row>
    <row r="1966" spans="17:17" x14ac:dyDescent="0.35">
      <c r="Q1966" s="83"/>
    </row>
    <row r="1967" spans="17:17" x14ac:dyDescent="0.35">
      <c r="Q1967" s="83"/>
    </row>
    <row r="1968" spans="17:17" x14ac:dyDescent="0.35">
      <c r="Q1968" s="83"/>
    </row>
    <row r="1969" spans="17:17" x14ac:dyDescent="0.35">
      <c r="Q1969" s="83"/>
    </row>
    <row r="1970" spans="17:17" x14ac:dyDescent="0.35">
      <c r="Q1970" s="83"/>
    </row>
    <row r="1971" spans="17:17" x14ac:dyDescent="0.35">
      <c r="Q1971" s="83"/>
    </row>
    <row r="1972" spans="17:17" x14ac:dyDescent="0.35">
      <c r="Q1972" s="83"/>
    </row>
    <row r="1973" spans="17:17" x14ac:dyDescent="0.35">
      <c r="Q1973" s="83"/>
    </row>
    <row r="1974" spans="17:17" x14ac:dyDescent="0.35">
      <c r="Q1974" s="83"/>
    </row>
    <row r="1975" spans="17:17" x14ac:dyDescent="0.35">
      <c r="Q1975" s="83"/>
    </row>
    <row r="1976" spans="17:17" x14ac:dyDescent="0.35">
      <c r="Q1976" s="83"/>
    </row>
    <row r="1977" spans="17:17" x14ac:dyDescent="0.35">
      <c r="Q1977" s="83"/>
    </row>
    <row r="1978" spans="17:17" x14ac:dyDescent="0.35">
      <c r="Q1978" s="83"/>
    </row>
    <row r="1979" spans="17:17" x14ac:dyDescent="0.35">
      <c r="Q1979" s="83"/>
    </row>
    <row r="1980" spans="17:17" x14ac:dyDescent="0.35">
      <c r="Q1980" s="83"/>
    </row>
    <row r="1981" spans="17:17" x14ac:dyDescent="0.35">
      <c r="Q1981" s="83"/>
    </row>
    <row r="1982" spans="17:17" x14ac:dyDescent="0.35">
      <c r="Q1982" s="83"/>
    </row>
    <row r="1983" spans="17:17" x14ac:dyDescent="0.35">
      <c r="Q1983" s="83"/>
    </row>
    <row r="1984" spans="17:17" x14ac:dyDescent="0.35">
      <c r="Q1984" s="83"/>
    </row>
    <row r="1985" spans="17:17" x14ac:dyDescent="0.35">
      <c r="Q1985" s="83"/>
    </row>
    <row r="1986" spans="17:17" x14ac:dyDescent="0.35">
      <c r="Q1986" s="83"/>
    </row>
    <row r="1987" spans="17:17" x14ac:dyDescent="0.35">
      <c r="Q1987" s="83"/>
    </row>
    <row r="1988" spans="17:17" x14ac:dyDescent="0.35">
      <c r="Q1988" s="83"/>
    </row>
    <row r="1989" spans="17:17" x14ac:dyDescent="0.35">
      <c r="Q1989" s="83"/>
    </row>
    <row r="1990" spans="17:17" x14ac:dyDescent="0.35">
      <c r="Q1990" s="83"/>
    </row>
    <row r="1991" spans="17:17" x14ac:dyDescent="0.35">
      <c r="Q1991" s="83"/>
    </row>
    <row r="1992" spans="17:17" x14ac:dyDescent="0.35">
      <c r="Q1992" s="83"/>
    </row>
    <row r="1993" spans="17:17" x14ac:dyDescent="0.35">
      <c r="Q1993" s="83"/>
    </row>
    <row r="1994" spans="17:17" x14ac:dyDescent="0.35">
      <c r="Q1994" s="83"/>
    </row>
    <row r="1995" spans="17:17" x14ac:dyDescent="0.35">
      <c r="Q1995" s="83"/>
    </row>
    <row r="1996" spans="17:17" x14ac:dyDescent="0.35">
      <c r="Q1996" s="83"/>
    </row>
    <row r="1997" spans="17:17" x14ac:dyDescent="0.35">
      <c r="Q1997" s="83"/>
    </row>
    <row r="1998" spans="17:17" x14ac:dyDescent="0.35">
      <c r="Q1998" s="83"/>
    </row>
    <row r="1999" spans="17:17" x14ac:dyDescent="0.35">
      <c r="Q1999" s="83"/>
    </row>
    <row r="2000" spans="17:17" x14ac:dyDescent="0.35">
      <c r="Q2000" s="83"/>
    </row>
    <row r="2001" spans="17:17" x14ac:dyDescent="0.35">
      <c r="Q2001" s="83"/>
    </row>
    <row r="2002" spans="17:17" x14ac:dyDescent="0.35">
      <c r="Q2002" s="83"/>
    </row>
    <row r="2003" spans="17:17" x14ac:dyDescent="0.35">
      <c r="Q2003" s="83"/>
    </row>
    <row r="2004" spans="17:17" x14ac:dyDescent="0.35">
      <c r="Q2004" s="83"/>
    </row>
    <row r="2005" spans="17:17" x14ac:dyDescent="0.35">
      <c r="Q2005" s="83"/>
    </row>
    <row r="2006" spans="17:17" x14ac:dyDescent="0.35">
      <c r="Q2006" s="83"/>
    </row>
    <row r="2007" spans="17:17" x14ac:dyDescent="0.35">
      <c r="Q2007" s="83"/>
    </row>
    <row r="2008" spans="17:17" x14ac:dyDescent="0.35">
      <c r="Q2008" s="83"/>
    </row>
    <row r="2009" spans="17:17" x14ac:dyDescent="0.35">
      <c r="Q2009" s="83"/>
    </row>
    <row r="2010" spans="17:17" x14ac:dyDescent="0.35">
      <c r="Q2010" s="83"/>
    </row>
    <row r="2011" spans="17:17" x14ac:dyDescent="0.35">
      <c r="Q2011" s="83"/>
    </row>
    <row r="2012" spans="17:17" x14ac:dyDescent="0.35">
      <c r="Q2012" s="83"/>
    </row>
    <row r="2013" spans="17:17" x14ac:dyDescent="0.35">
      <c r="Q2013" s="83"/>
    </row>
    <row r="2014" spans="17:17" x14ac:dyDescent="0.35">
      <c r="Q2014" s="83"/>
    </row>
    <row r="2015" spans="17:17" x14ac:dyDescent="0.35">
      <c r="Q2015" s="83"/>
    </row>
    <row r="2016" spans="17:17" x14ac:dyDescent="0.35">
      <c r="Q2016" s="83"/>
    </row>
    <row r="2017" spans="17:17" x14ac:dyDescent="0.35">
      <c r="Q2017" s="83"/>
    </row>
    <row r="2018" spans="17:17" x14ac:dyDescent="0.35">
      <c r="Q2018" s="83"/>
    </row>
    <row r="2019" spans="17:17" x14ac:dyDescent="0.35">
      <c r="Q2019" s="83"/>
    </row>
    <row r="2020" spans="17:17" x14ac:dyDescent="0.35">
      <c r="Q2020" s="83"/>
    </row>
    <row r="2021" spans="17:17" x14ac:dyDescent="0.35">
      <c r="Q2021" s="83"/>
    </row>
    <row r="2022" spans="17:17" x14ac:dyDescent="0.35">
      <c r="Q2022" s="83"/>
    </row>
    <row r="2023" spans="17:17" x14ac:dyDescent="0.35">
      <c r="Q2023" s="83"/>
    </row>
    <row r="2024" spans="17:17" x14ac:dyDescent="0.35">
      <c r="Q2024" s="83"/>
    </row>
    <row r="2025" spans="17:17" x14ac:dyDescent="0.35">
      <c r="Q2025" s="83"/>
    </row>
    <row r="2026" spans="17:17" x14ac:dyDescent="0.35">
      <c r="Q2026" s="83"/>
    </row>
    <row r="2027" spans="17:17" x14ac:dyDescent="0.35">
      <c r="Q2027" s="83"/>
    </row>
    <row r="2028" spans="17:17" x14ac:dyDescent="0.35">
      <c r="Q2028" s="83"/>
    </row>
    <row r="2029" spans="17:17" x14ac:dyDescent="0.35">
      <c r="Q2029" s="83"/>
    </row>
    <row r="2030" spans="17:17" x14ac:dyDescent="0.35">
      <c r="Q2030" s="83"/>
    </row>
    <row r="2031" spans="17:17" x14ac:dyDescent="0.35">
      <c r="Q2031" s="83"/>
    </row>
    <row r="2032" spans="17:17" x14ac:dyDescent="0.35">
      <c r="Q2032" s="83"/>
    </row>
    <row r="2033" spans="17:17" x14ac:dyDescent="0.35">
      <c r="Q2033" s="83"/>
    </row>
    <row r="2034" spans="17:17" x14ac:dyDescent="0.35">
      <c r="Q2034" s="83"/>
    </row>
    <row r="2035" spans="17:17" x14ac:dyDescent="0.35">
      <c r="Q2035" s="83"/>
    </row>
    <row r="2036" spans="17:17" x14ac:dyDescent="0.35">
      <c r="Q2036" s="83"/>
    </row>
    <row r="2037" spans="17:17" x14ac:dyDescent="0.35">
      <c r="Q2037" s="83"/>
    </row>
    <row r="2038" spans="17:17" x14ac:dyDescent="0.35">
      <c r="Q2038" s="83"/>
    </row>
    <row r="2039" spans="17:17" x14ac:dyDescent="0.35">
      <c r="Q2039" s="83"/>
    </row>
    <row r="2040" spans="17:17" x14ac:dyDescent="0.35">
      <c r="Q2040" s="83"/>
    </row>
    <row r="2041" spans="17:17" x14ac:dyDescent="0.35">
      <c r="Q2041" s="83"/>
    </row>
    <row r="2042" spans="17:17" x14ac:dyDescent="0.35">
      <c r="Q2042" s="83"/>
    </row>
    <row r="2043" spans="17:17" x14ac:dyDescent="0.35">
      <c r="Q2043" s="83"/>
    </row>
    <row r="2044" spans="17:17" x14ac:dyDescent="0.35">
      <c r="Q2044" s="83"/>
    </row>
    <row r="2045" spans="17:17" x14ac:dyDescent="0.35">
      <c r="Q2045" s="83"/>
    </row>
    <row r="2046" spans="17:17" x14ac:dyDescent="0.35">
      <c r="Q2046" s="83"/>
    </row>
    <row r="2047" spans="17:17" x14ac:dyDescent="0.35">
      <c r="Q2047" s="83"/>
    </row>
    <row r="2048" spans="17:17" x14ac:dyDescent="0.35">
      <c r="Q2048" s="83"/>
    </row>
    <row r="2049" spans="17:17" x14ac:dyDescent="0.35">
      <c r="Q2049" s="83"/>
    </row>
    <row r="2050" spans="17:17" x14ac:dyDescent="0.35">
      <c r="Q2050" s="83"/>
    </row>
    <row r="2051" spans="17:17" x14ac:dyDescent="0.35">
      <c r="Q2051" s="83"/>
    </row>
    <row r="2052" spans="17:17" x14ac:dyDescent="0.35">
      <c r="Q2052" s="83"/>
    </row>
    <row r="2053" spans="17:17" x14ac:dyDescent="0.35">
      <c r="Q2053" s="83"/>
    </row>
    <row r="2054" spans="17:17" x14ac:dyDescent="0.35">
      <c r="Q2054" s="83"/>
    </row>
    <row r="2055" spans="17:17" x14ac:dyDescent="0.35">
      <c r="Q2055" s="83"/>
    </row>
    <row r="2056" spans="17:17" x14ac:dyDescent="0.35">
      <c r="Q2056" s="83"/>
    </row>
    <row r="2057" spans="17:17" x14ac:dyDescent="0.35">
      <c r="Q2057" s="83"/>
    </row>
    <row r="2058" spans="17:17" x14ac:dyDescent="0.35">
      <c r="Q2058" s="83"/>
    </row>
    <row r="2059" spans="17:17" x14ac:dyDescent="0.35">
      <c r="Q2059" s="83"/>
    </row>
    <row r="2060" spans="17:17" x14ac:dyDescent="0.35">
      <c r="Q2060" s="83"/>
    </row>
    <row r="2061" spans="17:17" x14ac:dyDescent="0.35">
      <c r="Q2061" s="83"/>
    </row>
    <row r="2062" spans="17:17" x14ac:dyDescent="0.35">
      <c r="Q2062" s="83"/>
    </row>
    <row r="2063" spans="17:17" x14ac:dyDescent="0.35">
      <c r="Q2063" s="83"/>
    </row>
    <row r="2064" spans="17:17" x14ac:dyDescent="0.35">
      <c r="Q2064" s="83"/>
    </row>
    <row r="2065" spans="17:17" x14ac:dyDescent="0.35">
      <c r="Q2065" s="83"/>
    </row>
    <row r="2066" spans="17:17" x14ac:dyDescent="0.35">
      <c r="Q2066" s="83"/>
    </row>
    <row r="2067" spans="17:17" x14ac:dyDescent="0.35">
      <c r="Q2067" s="83"/>
    </row>
    <row r="2068" spans="17:17" x14ac:dyDescent="0.35">
      <c r="Q2068" s="83"/>
    </row>
    <row r="2069" spans="17:17" x14ac:dyDescent="0.35">
      <c r="Q2069" s="83"/>
    </row>
    <row r="2070" spans="17:17" x14ac:dyDescent="0.35">
      <c r="Q2070" s="83"/>
    </row>
    <row r="2071" spans="17:17" x14ac:dyDescent="0.35">
      <c r="Q2071" s="83"/>
    </row>
    <row r="2072" spans="17:17" x14ac:dyDescent="0.35">
      <c r="Q2072" s="83"/>
    </row>
    <row r="2073" spans="17:17" x14ac:dyDescent="0.35">
      <c r="Q2073" s="83"/>
    </row>
    <row r="2074" spans="17:17" x14ac:dyDescent="0.35">
      <c r="Q2074" s="83"/>
    </row>
    <row r="2075" spans="17:17" x14ac:dyDescent="0.35">
      <c r="Q2075" s="83"/>
    </row>
    <row r="2076" spans="17:17" x14ac:dyDescent="0.35">
      <c r="Q2076" s="83"/>
    </row>
    <row r="2077" spans="17:17" x14ac:dyDescent="0.35">
      <c r="Q2077" s="83"/>
    </row>
    <row r="2078" spans="17:17" x14ac:dyDescent="0.35">
      <c r="Q2078" s="83"/>
    </row>
    <row r="2079" spans="17:17" x14ac:dyDescent="0.35">
      <c r="Q2079" s="83"/>
    </row>
    <row r="2080" spans="17:17" x14ac:dyDescent="0.35">
      <c r="Q2080" s="83"/>
    </row>
    <row r="2081" spans="17:17" x14ac:dyDescent="0.35">
      <c r="Q2081" s="83"/>
    </row>
    <row r="2082" spans="17:17" x14ac:dyDescent="0.35">
      <c r="Q2082" s="83"/>
    </row>
    <row r="2083" spans="17:17" x14ac:dyDescent="0.35">
      <c r="Q2083" s="83"/>
    </row>
    <row r="2084" spans="17:17" x14ac:dyDescent="0.35">
      <c r="Q2084" s="83"/>
    </row>
    <row r="2085" spans="17:17" x14ac:dyDescent="0.35">
      <c r="Q2085" s="83"/>
    </row>
    <row r="2086" spans="17:17" x14ac:dyDescent="0.35">
      <c r="Q2086" s="83"/>
    </row>
    <row r="2087" spans="17:17" x14ac:dyDescent="0.35">
      <c r="Q2087" s="83"/>
    </row>
    <row r="2088" spans="17:17" x14ac:dyDescent="0.35">
      <c r="Q2088" s="83"/>
    </row>
    <row r="2089" spans="17:17" x14ac:dyDescent="0.35">
      <c r="Q2089" s="83"/>
    </row>
    <row r="2090" spans="17:17" x14ac:dyDescent="0.35">
      <c r="Q2090" s="83"/>
    </row>
    <row r="2091" spans="17:17" x14ac:dyDescent="0.35">
      <c r="Q2091" s="83"/>
    </row>
    <row r="2092" spans="17:17" x14ac:dyDescent="0.35">
      <c r="Q2092" s="83"/>
    </row>
    <row r="2093" spans="17:17" x14ac:dyDescent="0.35">
      <c r="Q2093" s="83"/>
    </row>
    <row r="2094" spans="17:17" x14ac:dyDescent="0.35">
      <c r="Q2094" s="83"/>
    </row>
    <row r="2095" spans="17:17" x14ac:dyDescent="0.35">
      <c r="Q2095" s="83"/>
    </row>
    <row r="2096" spans="17:17" x14ac:dyDescent="0.35">
      <c r="Q2096" s="83"/>
    </row>
    <row r="2097" spans="17:17" x14ac:dyDescent="0.35">
      <c r="Q2097" s="83"/>
    </row>
    <row r="2098" spans="17:17" x14ac:dyDescent="0.35">
      <c r="Q2098" s="83"/>
    </row>
    <row r="2099" spans="17:17" x14ac:dyDescent="0.35">
      <c r="Q2099" s="83"/>
    </row>
    <row r="2100" spans="17:17" x14ac:dyDescent="0.35">
      <c r="Q2100" s="83"/>
    </row>
    <row r="2101" spans="17:17" x14ac:dyDescent="0.35">
      <c r="Q2101" s="83"/>
    </row>
    <row r="2102" spans="17:17" x14ac:dyDescent="0.35">
      <c r="Q2102" s="83"/>
    </row>
    <row r="2103" spans="17:17" x14ac:dyDescent="0.35">
      <c r="Q2103" s="83"/>
    </row>
    <row r="2104" spans="17:17" x14ac:dyDescent="0.35">
      <c r="Q2104" s="83"/>
    </row>
    <row r="2105" spans="17:17" x14ac:dyDescent="0.35">
      <c r="Q2105" s="83"/>
    </row>
    <row r="2106" spans="17:17" x14ac:dyDescent="0.35">
      <c r="Q2106" s="83"/>
    </row>
    <row r="2107" spans="17:17" x14ac:dyDescent="0.35">
      <c r="Q2107" s="83"/>
    </row>
    <row r="2108" spans="17:17" x14ac:dyDescent="0.35">
      <c r="Q2108" s="83"/>
    </row>
    <row r="2109" spans="17:17" x14ac:dyDescent="0.35">
      <c r="Q2109" s="83"/>
    </row>
    <row r="2110" spans="17:17" x14ac:dyDescent="0.35">
      <c r="Q2110" s="83"/>
    </row>
    <row r="2111" spans="17:17" x14ac:dyDescent="0.35">
      <c r="Q2111" s="83"/>
    </row>
    <row r="2112" spans="17:17" x14ac:dyDescent="0.35">
      <c r="Q2112" s="83"/>
    </row>
    <row r="2113" spans="17:17" x14ac:dyDescent="0.35">
      <c r="Q2113" s="83"/>
    </row>
    <row r="2114" spans="17:17" x14ac:dyDescent="0.35">
      <c r="Q2114" s="83"/>
    </row>
    <row r="2115" spans="17:17" x14ac:dyDescent="0.35">
      <c r="Q2115" s="83"/>
    </row>
    <row r="2116" spans="17:17" x14ac:dyDescent="0.35">
      <c r="Q2116" s="83"/>
    </row>
    <row r="2117" spans="17:17" x14ac:dyDescent="0.35">
      <c r="Q2117" s="83"/>
    </row>
    <row r="2118" spans="17:17" x14ac:dyDescent="0.35">
      <c r="Q2118" s="83"/>
    </row>
    <row r="2119" spans="17:17" x14ac:dyDescent="0.35">
      <c r="Q2119" s="83"/>
    </row>
    <row r="2120" spans="17:17" x14ac:dyDescent="0.35">
      <c r="Q2120" s="83"/>
    </row>
    <row r="2121" spans="17:17" x14ac:dyDescent="0.35">
      <c r="Q2121" s="83"/>
    </row>
    <row r="2122" spans="17:17" x14ac:dyDescent="0.35">
      <c r="Q2122" s="83"/>
    </row>
    <row r="2123" spans="17:17" x14ac:dyDescent="0.35">
      <c r="Q2123" s="83"/>
    </row>
    <row r="2124" spans="17:17" x14ac:dyDescent="0.35">
      <c r="Q2124" s="83"/>
    </row>
    <row r="2125" spans="17:17" x14ac:dyDescent="0.35">
      <c r="Q2125" s="83"/>
    </row>
    <row r="2126" spans="17:17" x14ac:dyDescent="0.35">
      <c r="Q2126" s="83"/>
    </row>
    <row r="2127" spans="17:17" x14ac:dyDescent="0.35">
      <c r="Q2127" s="83"/>
    </row>
    <row r="2128" spans="17:17" x14ac:dyDescent="0.35">
      <c r="Q2128" s="83"/>
    </row>
    <row r="2129" spans="17:17" x14ac:dyDescent="0.35">
      <c r="Q2129" s="83"/>
    </row>
    <row r="2130" spans="17:17" x14ac:dyDescent="0.35">
      <c r="Q2130" s="83"/>
    </row>
    <row r="2131" spans="17:17" x14ac:dyDescent="0.35">
      <c r="Q2131" s="83"/>
    </row>
    <row r="2132" spans="17:17" x14ac:dyDescent="0.35">
      <c r="Q2132" s="83"/>
    </row>
    <row r="2133" spans="17:17" x14ac:dyDescent="0.35">
      <c r="Q2133" s="83"/>
    </row>
    <row r="2134" spans="17:17" x14ac:dyDescent="0.35">
      <c r="Q2134" s="83"/>
    </row>
    <row r="2135" spans="17:17" x14ac:dyDescent="0.35">
      <c r="Q2135" s="83"/>
    </row>
    <row r="2136" spans="17:17" x14ac:dyDescent="0.35">
      <c r="Q2136" s="83"/>
    </row>
    <row r="2137" spans="17:17" x14ac:dyDescent="0.35">
      <c r="Q2137" s="83"/>
    </row>
    <row r="2138" spans="17:17" x14ac:dyDescent="0.35">
      <c r="Q2138" s="83"/>
    </row>
    <row r="2139" spans="17:17" x14ac:dyDescent="0.35">
      <c r="Q2139" s="83"/>
    </row>
    <row r="2140" spans="17:17" x14ac:dyDescent="0.35">
      <c r="Q2140" s="83"/>
    </row>
    <row r="2141" spans="17:17" x14ac:dyDescent="0.35">
      <c r="Q2141" s="83"/>
    </row>
    <row r="2142" spans="17:17" x14ac:dyDescent="0.35">
      <c r="Q2142" s="83"/>
    </row>
    <row r="2143" spans="17:17" x14ac:dyDescent="0.35">
      <c r="Q2143" s="83"/>
    </row>
    <row r="2144" spans="17:17" x14ac:dyDescent="0.35">
      <c r="Q2144" s="83"/>
    </row>
    <row r="2145" spans="17:17" x14ac:dyDescent="0.35">
      <c r="Q2145" s="83"/>
    </row>
    <row r="2146" spans="17:17" x14ac:dyDescent="0.35">
      <c r="Q2146" s="83"/>
    </row>
    <row r="2147" spans="17:17" x14ac:dyDescent="0.35">
      <c r="Q2147" s="83"/>
    </row>
    <row r="2148" spans="17:17" x14ac:dyDescent="0.35">
      <c r="Q2148" s="83"/>
    </row>
    <row r="2149" spans="17:17" x14ac:dyDescent="0.35">
      <c r="Q2149" s="83"/>
    </row>
    <row r="2150" spans="17:17" x14ac:dyDescent="0.35">
      <c r="Q2150" s="83"/>
    </row>
    <row r="2151" spans="17:17" x14ac:dyDescent="0.35">
      <c r="Q2151" s="83"/>
    </row>
    <row r="2152" spans="17:17" x14ac:dyDescent="0.35">
      <c r="Q2152" s="83"/>
    </row>
    <row r="2153" spans="17:17" x14ac:dyDescent="0.35">
      <c r="Q2153" s="83"/>
    </row>
    <row r="2154" spans="17:17" x14ac:dyDescent="0.35">
      <c r="Q2154" s="83"/>
    </row>
    <row r="2155" spans="17:17" x14ac:dyDescent="0.35">
      <c r="Q2155" s="83"/>
    </row>
    <row r="2156" spans="17:17" x14ac:dyDescent="0.35">
      <c r="Q2156" s="83"/>
    </row>
    <row r="2157" spans="17:17" x14ac:dyDescent="0.35">
      <c r="Q2157" s="83"/>
    </row>
    <row r="2158" spans="17:17" x14ac:dyDescent="0.35">
      <c r="Q2158" s="83"/>
    </row>
    <row r="2159" spans="17:17" x14ac:dyDescent="0.35">
      <c r="Q2159" s="83"/>
    </row>
    <row r="2160" spans="17:17" x14ac:dyDescent="0.35">
      <c r="Q2160" s="83"/>
    </row>
    <row r="2161" spans="17:17" x14ac:dyDescent="0.35">
      <c r="Q2161" s="83"/>
    </row>
    <row r="2162" spans="17:17" x14ac:dyDescent="0.35">
      <c r="Q2162" s="83"/>
    </row>
    <row r="2163" spans="17:17" x14ac:dyDescent="0.35">
      <c r="Q2163" s="83"/>
    </row>
    <row r="2164" spans="17:17" x14ac:dyDescent="0.35">
      <c r="Q2164" s="83"/>
    </row>
    <row r="2165" spans="17:17" x14ac:dyDescent="0.35">
      <c r="Q2165" s="83"/>
    </row>
    <row r="2166" spans="17:17" x14ac:dyDescent="0.35">
      <c r="Q2166" s="83"/>
    </row>
    <row r="2167" spans="17:17" x14ac:dyDescent="0.35">
      <c r="Q2167" s="83"/>
    </row>
    <row r="2168" spans="17:17" x14ac:dyDescent="0.35">
      <c r="Q2168" s="83"/>
    </row>
    <row r="2169" spans="17:17" x14ac:dyDescent="0.35">
      <c r="Q2169" s="83"/>
    </row>
    <row r="2170" spans="17:17" x14ac:dyDescent="0.35">
      <c r="Q2170" s="83"/>
    </row>
    <row r="2171" spans="17:17" x14ac:dyDescent="0.35">
      <c r="Q2171" s="83"/>
    </row>
    <row r="2172" spans="17:17" x14ac:dyDescent="0.35">
      <c r="Q2172" s="83"/>
    </row>
    <row r="2173" spans="17:17" x14ac:dyDescent="0.35">
      <c r="Q2173" s="83"/>
    </row>
    <row r="2174" spans="17:17" x14ac:dyDescent="0.35">
      <c r="Q2174" s="83"/>
    </row>
    <row r="2175" spans="17:17" x14ac:dyDescent="0.35">
      <c r="Q2175" s="83"/>
    </row>
    <row r="2176" spans="17:17" x14ac:dyDescent="0.35">
      <c r="Q2176" s="83"/>
    </row>
    <row r="2177" spans="17:17" x14ac:dyDescent="0.35">
      <c r="Q2177" s="83"/>
    </row>
    <row r="2178" spans="17:17" x14ac:dyDescent="0.35">
      <c r="Q2178" s="83"/>
    </row>
    <row r="2179" spans="17:17" x14ac:dyDescent="0.35">
      <c r="Q2179" s="83"/>
    </row>
    <row r="2180" spans="17:17" x14ac:dyDescent="0.35">
      <c r="Q2180" s="83"/>
    </row>
    <row r="2181" spans="17:17" x14ac:dyDescent="0.35">
      <c r="Q2181" s="83"/>
    </row>
    <row r="2182" spans="17:17" x14ac:dyDescent="0.35">
      <c r="Q2182" s="83"/>
    </row>
    <row r="2183" spans="17:17" x14ac:dyDescent="0.35">
      <c r="Q2183" s="83"/>
    </row>
    <row r="2184" spans="17:17" x14ac:dyDescent="0.35">
      <c r="Q2184" s="83"/>
    </row>
    <row r="2185" spans="17:17" x14ac:dyDescent="0.35">
      <c r="Q2185" s="83"/>
    </row>
    <row r="2186" spans="17:17" x14ac:dyDescent="0.35">
      <c r="Q2186" s="83"/>
    </row>
    <row r="2187" spans="17:17" x14ac:dyDescent="0.35">
      <c r="Q2187" s="83"/>
    </row>
    <row r="2188" spans="17:17" x14ac:dyDescent="0.35">
      <c r="Q2188" s="83"/>
    </row>
    <row r="2189" spans="17:17" x14ac:dyDescent="0.35">
      <c r="Q2189" s="83"/>
    </row>
    <row r="2190" spans="17:17" x14ac:dyDescent="0.35">
      <c r="Q2190" s="83"/>
    </row>
    <row r="2191" spans="17:17" x14ac:dyDescent="0.35">
      <c r="Q2191" s="83"/>
    </row>
    <row r="2192" spans="17:17" x14ac:dyDescent="0.35">
      <c r="Q2192" s="83"/>
    </row>
    <row r="2193" spans="17:17" x14ac:dyDescent="0.35">
      <c r="Q2193" s="83"/>
    </row>
    <row r="2194" spans="17:17" x14ac:dyDescent="0.35">
      <c r="Q2194" s="83"/>
    </row>
    <row r="2195" spans="17:17" x14ac:dyDescent="0.35">
      <c r="Q2195" s="83"/>
    </row>
    <row r="2196" spans="17:17" x14ac:dyDescent="0.35">
      <c r="Q2196" s="83"/>
    </row>
    <row r="2197" spans="17:17" x14ac:dyDescent="0.35">
      <c r="Q2197" s="83"/>
    </row>
    <row r="2198" spans="17:17" x14ac:dyDescent="0.35">
      <c r="Q2198" s="83"/>
    </row>
    <row r="2199" spans="17:17" x14ac:dyDescent="0.35">
      <c r="Q2199" s="83"/>
    </row>
    <row r="2200" spans="17:17" x14ac:dyDescent="0.35">
      <c r="Q2200" s="83"/>
    </row>
    <row r="2201" spans="17:17" x14ac:dyDescent="0.35">
      <c r="Q2201" s="83"/>
    </row>
    <row r="2202" spans="17:17" x14ac:dyDescent="0.35">
      <c r="Q2202" s="83"/>
    </row>
    <row r="2203" spans="17:17" x14ac:dyDescent="0.35">
      <c r="Q2203" s="83"/>
    </row>
    <row r="2204" spans="17:17" x14ac:dyDescent="0.35">
      <c r="Q2204" s="83"/>
    </row>
    <row r="2205" spans="17:17" x14ac:dyDescent="0.35">
      <c r="Q2205" s="83"/>
    </row>
    <row r="2206" spans="17:17" x14ac:dyDescent="0.35">
      <c r="Q2206" s="83"/>
    </row>
    <row r="2207" spans="17:17" x14ac:dyDescent="0.35">
      <c r="Q2207" s="83"/>
    </row>
    <row r="2208" spans="17:17" x14ac:dyDescent="0.35">
      <c r="Q2208" s="83"/>
    </row>
    <row r="2209" spans="17:17" x14ac:dyDescent="0.35">
      <c r="Q2209" s="83"/>
    </row>
    <row r="2210" spans="17:17" x14ac:dyDescent="0.35">
      <c r="Q2210" s="83"/>
    </row>
    <row r="2211" spans="17:17" x14ac:dyDescent="0.35">
      <c r="Q2211" s="83"/>
    </row>
    <row r="2212" spans="17:17" x14ac:dyDescent="0.35">
      <c r="Q2212" s="83"/>
    </row>
    <row r="2213" spans="17:17" x14ac:dyDescent="0.35">
      <c r="Q2213" s="83"/>
    </row>
    <row r="2214" spans="17:17" x14ac:dyDescent="0.35">
      <c r="Q2214" s="83"/>
    </row>
    <row r="2215" spans="17:17" x14ac:dyDescent="0.35">
      <c r="Q2215" s="83"/>
    </row>
    <row r="2216" spans="17:17" x14ac:dyDescent="0.35">
      <c r="Q2216" s="83"/>
    </row>
    <row r="2217" spans="17:17" x14ac:dyDescent="0.35">
      <c r="Q2217" s="83"/>
    </row>
    <row r="2218" spans="17:17" x14ac:dyDescent="0.35">
      <c r="Q2218" s="83"/>
    </row>
    <row r="2219" spans="17:17" x14ac:dyDescent="0.35">
      <c r="Q2219" s="83"/>
    </row>
    <row r="2220" spans="17:17" x14ac:dyDescent="0.35">
      <c r="Q2220" s="83"/>
    </row>
    <row r="2221" spans="17:17" x14ac:dyDescent="0.35">
      <c r="Q2221" s="83"/>
    </row>
    <row r="2222" spans="17:17" x14ac:dyDescent="0.35">
      <c r="Q2222" s="83"/>
    </row>
    <row r="2223" spans="17:17" x14ac:dyDescent="0.35">
      <c r="Q2223" s="83"/>
    </row>
    <row r="2224" spans="17:17" x14ac:dyDescent="0.35">
      <c r="Q2224" s="83"/>
    </row>
    <row r="2225" spans="17:17" x14ac:dyDescent="0.35">
      <c r="Q2225" s="83"/>
    </row>
    <row r="2226" spans="17:17" x14ac:dyDescent="0.35">
      <c r="Q2226" s="83"/>
    </row>
    <row r="2227" spans="17:17" x14ac:dyDescent="0.35">
      <c r="Q2227" s="83"/>
    </row>
    <row r="2228" spans="17:17" x14ac:dyDescent="0.35">
      <c r="Q2228" s="83"/>
    </row>
    <row r="2229" spans="17:17" x14ac:dyDescent="0.35">
      <c r="Q2229" s="83"/>
    </row>
    <row r="2230" spans="17:17" x14ac:dyDescent="0.35">
      <c r="Q2230" s="83"/>
    </row>
    <row r="2231" spans="17:17" x14ac:dyDescent="0.35">
      <c r="Q2231" s="83"/>
    </row>
    <row r="2232" spans="17:17" x14ac:dyDescent="0.35">
      <c r="Q2232" s="83"/>
    </row>
    <row r="2233" spans="17:17" x14ac:dyDescent="0.35">
      <c r="Q2233" s="83"/>
    </row>
    <row r="2234" spans="17:17" x14ac:dyDescent="0.35">
      <c r="Q2234" s="83"/>
    </row>
    <row r="2235" spans="17:17" x14ac:dyDescent="0.35">
      <c r="Q2235" s="83"/>
    </row>
    <row r="2236" spans="17:17" x14ac:dyDescent="0.35">
      <c r="Q2236" s="83"/>
    </row>
    <row r="2237" spans="17:17" x14ac:dyDescent="0.35">
      <c r="Q2237" s="83"/>
    </row>
    <row r="2238" spans="17:17" x14ac:dyDescent="0.35">
      <c r="Q2238" s="83"/>
    </row>
    <row r="2239" spans="17:17" x14ac:dyDescent="0.35">
      <c r="Q2239" s="83"/>
    </row>
    <row r="2240" spans="17:17" x14ac:dyDescent="0.35">
      <c r="Q2240" s="83"/>
    </row>
    <row r="2241" spans="17:17" x14ac:dyDescent="0.35">
      <c r="Q2241" s="83"/>
    </row>
    <row r="2242" spans="17:17" x14ac:dyDescent="0.35">
      <c r="Q2242" s="83"/>
    </row>
    <row r="2243" spans="17:17" x14ac:dyDescent="0.35">
      <c r="Q2243" s="83"/>
    </row>
    <row r="2244" spans="17:17" x14ac:dyDescent="0.35">
      <c r="Q2244" s="83"/>
    </row>
    <row r="2245" spans="17:17" x14ac:dyDescent="0.35">
      <c r="Q2245" s="83"/>
    </row>
    <row r="2246" spans="17:17" x14ac:dyDescent="0.35">
      <c r="Q2246" s="83"/>
    </row>
    <row r="2247" spans="17:17" x14ac:dyDescent="0.35">
      <c r="Q2247" s="83"/>
    </row>
    <row r="2248" spans="17:17" x14ac:dyDescent="0.35">
      <c r="Q2248" s="83"/>
    </row>
    <row r="2249" spans="17:17" x14ac:dyDescent="0.35">
      <c r="Q2249" s="83"/>
    </row>
    <row r="2250" spans="17:17" x14ac:dyDescent="0.35">
      <c r="Q2250" s="83"/>
    </row>
    <row r="2251" spans="17:17" x14ac:dyDescent="0.35">
      <c r="Q2251" s="83"/>
    </row>
    <row r="2252" spans="17:17" x14ac:dyDescent="0.35">
      <c r="Q2252" s="83"/>
    </row>
    <row r="2253" spans="17:17" x14ac:dyDescent="0.35">
      <c r="Q2253" s="83"/>
    </row>
    <row r="2254" spans="17:17" x14ac:dyDescent="0.35">
      <c r="Q2254" s="83"/>
    </row>
    <row r="2255" spans="17:17" x14ac:dyDescent="0.35">
      <c r="Q2255" s="83"/>
    </row>
    <row r="2256" spans="17:17" x14ac:dyDescent="0.35">
      <c r="Q2256" s="83"/>
    </row>
    <row r="2257" spans="17:17" x14ac:dyDescent="0.35">
      <c r="Q2257" s="83"/>
    </row>
    <row r="2258" spans="17:17" x14ac:dyDescent="0.35">
      <c r="Q2258" s="83"/>
    </row>
    <row r="2259" spans="17:17" x14ac:dyDescent="0.35">
      <c r="Q2259" s="83"/>
    </row>
    <row r="2260" spans="17:17" x14ac:dyDescent="0.35">
      <c r="Q2260" s="83"/>
    </row>
    <row r="2261" spans="17:17" x14ac:dyDescent="0.35">
      <c r="Q2261" s="83"/>
    </row>
    <row r="2262" spans="17:17" x14ac:dyDescent="0.35">
      <c r="Q2262" s="83"/>
    </row>
    <row r="2263" spans="17:17" x14ac:dyDescent="0.35">
      <c r="Q2263" s="83"/>
    </row>
    <row r="2264" spans="17:17" x14ac:dyDescent="0.35">
      <c r="Q2264" s="83"/>
    </row>
    <row r="2265" spans="17:17" x14ac:dyDescent="0.35">
      <c r="Q2265" s="83"/>
    </row>
    <row r="2266" spans="17:17" x14ac:dyDescent="0.35">
      <c r="Q2266" s="83"/>
    </row>
    <row r="2267" spans="17:17" x14ac:dyDescent="0.35">
      <c r="Q2267" s="83"/>
    </row>
    <row r="2268" spans="17:17" x14ac:dyDescent="0.35">
      <c r="Q2268" s="83"/>
    </row>
    <row r="2269" spans="17:17" x14ac:dyDescent="0.35">
      <c r="Q2269" s="83"/>
    </row>
    <row r="2270" spans="17:17" x14ac:dyDescent="0.35">
      <c r="Q2270" s="83"/>
    </row>
    <row r="2271" spans="17:17" x14ac:dyDescent="0.35">
      <c r="Q2271" s="83"/>
    </row>
    <row r="2272" spans="17:17" x14ac:dyDescent="0.35">
      <c r="Q2272" s="83"/>
    </row>
    <row r="2273" spans="17:17" x14ac:dyDescent="0.35">
      <c r="Q2273" s="83"/>
    </row>
    <row r="2274" spans="17:17" x14ac:dyDescent="0.35">
      <c r="Q2274" s="83"/>
    </row>
    <row r="2275" spans="17:17" x14ac:dyDescent="0.35">
      <c r="Q2275" s="83"/>
    </row>
    <row r="2276" spans="17:17" x14ac:dyDescent="0.35">
      <c r="Q2276" s="83"/>
    </row>
    <row r="2277" spans="17:17" x14ac:dyDescent="0.35">
      <c r="Q2277" s="83"/>
    </row>
    <row r="2278" spans="17:17" x14ac:dyDescent="0.35">
      <c r="Q2278" s="83"/>
    </row>
    <row r="2279" spans="17:17" x14ac:dyDescent="0.35">
      <c r="Q2279" s="83"/>
    </row>
    <row r="2280" spans="17:17" x14ac:dyDescent="0.35">
      <c r="Q2280" s="83"/>
    </row>
    <row r="2281" spans="17:17" x14ac:dyDescent="0.35">
      <c r="Q2281" s="83"/>
    </row>
    <row r="2282" spans="17:17" x14ac:dyDescent="0.35">
      <c r="Q2282" s="83"/>
    </row>
    <row r="2283" spans="17:17" x14ac:dyDescent="0.35">
      <c r="Q2283" s="83"/>
    </row>
    <row r="2284" spans="17:17" x14ac:dyDescent="0.35">
      <c r="Q2284" s="83"/>
    </row>
    <row r="2285" spans="17:17" x14ac:dyDescent="0.35">
      <c r="Q2285" s="83"/>
    </row>
    <row r="2286" spans="17:17" x14ac:dyDescent="0.35">
      <c r="Q2286" s="83"/>
    </row>
    <row r="2287" spans="17:17" x14ac:dyDescent="0.35">
      <c r="Q2287" s="83"/>
    </row>
    <row r="2288" spans="17:17" x14ac:dyDescent="0.35">
      <c r="Q2288" s="83"/>
    </row>
    <row r="2289" spans="17:17" x14ac:dyDescent="0.35">
      <c r="Q2289" s="83"/>
    </row>
    <row r="2290" spans="17:17" x14ac:dyDescent="0.35">
      <c r="Q2290" s="83"/>
    </row>
    <row r="2291" spans="17:17" x14ac:dyDescent="0.35">
      <c r="Q2291" s="83"/>
    </row>
    <row r="2292" spans="17:17" x14ac:dyDescent="0.35">
      <c r="Q2292" s="83"/>
    </row>
    <row r="2293" spans="17:17" x14ac:dyDescent="0.35">
      <c r="Q2293" s="83"/>
    </row>
    <row r="2294" spans="17:17" x14ac:dyDescent="0.35">
      <c r="Q2294" s="83"/>
    </row>
    <row r="2295" spans="17:17" x14ac:dyDescent="0.35">
      <c r="Q2295" s="83"/>
    </row>
    <row r="2296" spans="17:17" x14ac:dyDescent="0.35">
      <c r="Q2296" s="83"/>
    </row>
    <row r="2297" spans="17:17" x14ac:dyDescent="0.35">
      <c r="Q2297" s="83"/>
    </row>
    <row r="2298" spans="17:17" x14ac:dyDescent="0.35">
      <c r="Q2298" s="83"/>
    </row>
    <row r="2299" spans="17:17" x14ac:dyDescent="0.35">
      <c r="Q2299" s="83"/>
    </row>
    <row r="2300" spans="17:17" x14ac:dyDescent="0.35">
      <c r="Q2300" s="83"/>
    </row>
    <row r="2301" spans="17:17" x14ac:dyDescent="0.35">
      <c r="Q2301" s="83"/>
    </row>
    <row r="2302" spans="17:17" x14ac:dyDescent="0.35">
      <c r="Q2302" s="83"/>
    </row>
    <row r="2303" spans="17:17" x14ac:dyDescent="0.35">
      <c r="Q2303" s="83"/>
    </row>
    <row r="2304" spans="17:17" x14ac:dyDescent="0.35">
      <c r="Q2304" s="83"/>
    </row>
    <row r="2305" spans="17:17" x14ac:dyDescent="0.35">
      <c r="Q2305" s="83"/>
    </row>
    <row r="2306" spans="17:17" x14ac:dyDescent="0.35">
      <c r="Q2306" s="83"/>
    </row>
    <row r="2307" spans="17:17" x14ac:dyDescent="0.35">
      <c r="Q2307" s="83"/>
    </row>
    <row r="2308" spans="17:17" x14ac:dyDescent="0.35">
      <c r="Q2308" s="83"/>
    </row>
    <row r="2309" spans="17:17" x14ac:dyDescent="0.35">
      <c r="Q2309" s="83"/>
    </row>
    <row r="2310" spans="17:17" x14ac:dyDescent="0.35">
      <c r="Q2310" s="83"/>
    </row>
    <row r="2311" spans="17:17" x14ac:dyDescent="0.35">
      <c r="Q2311" s="83"/>
    </row>
    <row r="2312" spans="17:17" x14ac:dyDescent="0.35">
      <c r="Q2312" s="83"/>
    </row>
    <row r="2313" spans="17:17" x14ac:dyDescent="0.35">
      <c r="Q2313" s="83"/>
    </row>
    <row r="2314" spans="17:17" x14ac:dyDescent="0.35">
      <c r="Q2314" s="83"/>
    </row>
    <row r="2315" spans="17:17" x14ac:dyDescent="0.35">
      <c r="Q2315" s="83"/>
    </row>
    <row r="2316" spans="17:17" x14ac:dyDescent="0.35">
      <c r="Q2316" s="83"/>
    </row>
    <row r="2317" spans="17:17" x14ac:dyDescent="0.35">
      <c r="Q2317" s="83"/>
    </row>
    <row r="2318" spans="17:17" x14ac:dyDescent="0.35">
      <c r="Q2318" s="83"/>
    </row>
    <row r="2319" spans="17:17" x14ac:dyDescent="0.35">
      <c r="Q2319" s="83"/>
    </row>
    <row r="2320" spans="17:17" x14ac:dyDescent="0.35">
      <c r="Q2320" s="83"/>
    </row>
    <row r="2321" spans="17:17" x14ac:dyDescent="0.35">
      <c r="Q2321" s="83"/>
    </row>
    <row r="2322" spans="17:17" x14ac:dyDescent="0.35">
      <c r="Q2322" s="83"/>
    </row>
    <row r="2323" spans="17:17" x14ac:dyDescent="0.35">
      <c r="Q2323" s="83"/>
    </row>
    <row r="2324" spans="17:17" x14ac:dyDescent="0.35">
      <c r="Q2324" s="83"/>
    </row>
    <row r="2325" spans="17:17" x14ac:dyDescent="0.35">
      <c r="Q2325" s="83"/>
    </row>
    <row r="2326" spans="17:17" x14ac:dyDescent="0.35">
      <c r="Q2326" s="83"/>
    </row>
    <row r="2327" spans="17:17" x14ac:dyDescent="0.35">
      <c r="Q2327" s="83"/>
    </row>
    <row r="2328" spans="17:17" x14ac:dyDescent="0.35">
      <c r="Q2328" s="83"/>
    </row>
    <row r="2329" spans="17:17" x14ac:dyDescent="0.35">
      <c r="Q2329" s="83"/>
    </row>
    <row r="2330" spans="17:17" x14ac:dyDescent="0.35">
      <c r="Q2330" s="83"/>
    </row>
    <row r="2331" spans="17:17" x14ac:dyDescent="0.35">
      <c r="Q2331" s="83"/>
    </row>
    <row r="2332" spans="17:17" x14ac:dyDescent="0.35">
      <c r="Q2332" s="83"/>
    </row>
    <row r="2333" spans="17:17" x14ac:dyDescent="0.35">
      <c r="Q2333" s="83"/>
    </row>
    <row r="2334" spans="17:17" x14ac:dyDescent="0.35">
      <c r="Q2334" s="83"/>
    </row>
    <row r="2335" spans="17:17" x14ac:dyDescent="0.35">
      <c r="Q2335" s="83"/>
    </row>
    <row r="2336" spans="17:17" x14ac:dyDescent="0.35">
      <c r="Q2336" s="83"/>
    </row>
    <row r="2337" spans="17:17" x14ac:dyDescent="0.35">
      <c r="Q2337" s="83"/>
    </row>
    <row r="2338" spans="17:17" x14ac:dyDescent="0.35">
      <c r="Q2338" s="83"/>
    </row>
    <row r="2339" spans="17:17" x14ac:dyDescent="0.35">
      <c r="Q2339" s="83"/>
    </row>
    <row r="2340" spans="17:17" x14ac:dyDescent="0.35">
      <c r="Q2340" s="83"/>
    </row>
    <row r="2341" spans="17:17" x14ac:dyDescent="0.35">
      <c r="Q2341" s="83"/>
    </row>
    <row r="2342" spans="17:17" x14ac:dyDescent="0.35">
      <c r="Q2342" s="83"/>
    </row>
    <row r="2343" spans="17:17" x14ac:dyDescent="0.35">
      <c r="Q2343" s="83"/>
    </row>
    <row r="2344" spans="17:17" x14ac:dyDescent="0.35">
      <c r="Q2344" s="83"/>
    </row>
    <row r="2345" spans="17:17" x14ac:dyDescent="0.35">
      <c r="Q2345" s="83"/>
    </row>
    <row r="2346" spans="17:17" x14ac:dyDescent="0.35">
      <c r="Q2346" s="83"/>
    </row>
    <row r="2347" spans="17:17" x14ac:dyDescent="0.35">
      <c r="Q2347" s="83"/>
    </row>
    <row r="2348" spans="17:17" x14ac:dyDescent="0.35">
      <c r="Q2348" s="83"/>
    </row>
    <row r="2349" spans="17:17" x14ac:dyDescent="0.35">
      <c r="Q2349" s="83"/>
    </row>
    <row r="2350" spans="17:17" x14ac:dyDescent="0.35">
      <c r="Q2350" s="83"/>
    </row>
    <row r="2351" spans="17:17" x14ac:dyDescent="0.35">
      <c r="Q2351" s="83"/>
    </row>
    <row r="2352" spans="17:17" x14ac:dyDescent="0.35">
      <c r="Q2352" s="83"/>
    </row>
    <row r="2353" spans="17:17" x14ac:dyDescent="0.35">
      <c r="Q2353" s="83"/>
    </row>
    <row r="2354" spans="17:17" x14ac:dyDescent="0.35">
      <c r="Q2354" s="83"/>
    </row>
    <row r="2355" spans="17:17" x14ac:dyDescent="0.35">
      <c r="Q2355" s="83"/>
    </row>
    <row r="2356" spans="17:17" x14ac:dyDescent="0.35">
      <c r="Q2356" s="83"/>
    </row>
    <row r="2357" spans="17:17" x14ac:dyDescent="0.35">
      <c r="Q2357" s="83"/>
    </row>
    <row r="2358" spans="17:17" x14ac:dyDescent="0.35">
      <c r="Q2358" s="83"/>
    </row>
    <row r="2359" spans="17:17" x14ac:dyDescent="0.35">
      <c r="Q2359" s="83"/>
    </row>
    <row r="2360" spans="17:17" x14ac:dyDescent="0.35">
      <c r="Q2360" s="83"/>
    </row>
    <row r="2361" spans="17:17" x14ac:dyDescent="0.35">
      <c r="Q2361" s="83"/>
    </row>
    <row r="2362" spans="17:17" x14ac:dyDescent="0.35">
      <c r="Q2362" s="83"/>
    </row>
    <row r="2363" spans="17:17" x14ac:dyDescent="0.35">
      <c r="Q2363" s="83"/>
    </row>
    <row r="2364" spans="17:17" x14ac:dyDescent="0.35">
      <c r="Q2364" s="83"/>
    </row>
    <row r="2365" spans="17:17" x14ac:dyDescent="0.35">
      <c r="Q2365" s="83"/>
    </row>
    <row r="2366" spans="17:17" x14ac:dyDescent="0.35">
      <c r="Q2366" s="83"/>
    </row>
    <row r="2367" spans="17:17" x14ac:dyDescent="0.35">
      <c r="Q2367" s="83"/>
    </row>
    <row r="2368" spans="17:17" x14ac:dyDescent="0.35">
      <c r="Q2368" s="83"/>
    </row>
    <row r="2369" spans="17:17" x14ac:dyDescent="0.35">
      <c r="Q2369" s="83"/>
    </row>
    <row r="2370" spans="17:17" x14ac:dyDescent="0.35">
      <c r="Q2370" s="83"/>
    </row>
    <row r="2371" spans="17:17" x14ac:dyDescent="0.35">
      <c r="Q2371" s="83"/>
    </row>
    <row r="2372" spans="17:17" x14ac:dyDescent="0.35">
      <c r="Q2372" s="83"/>
    </row>
    <row r="2373" spans="17:17" x14ac:dyDescent="0.35">
      <c r="Q2373" s="83"/>
    </row>
    <row r="2374" spans="17:17" x14ac:dyDescent="0.35">
      <c r="Q2374" s="83"/>
    </row>
    <row r="2375" spans="17:17" x14ac:dyDescent="0.35">
      <c r="Q2375" s="83"/>
    </row>
    <row r="2376" spans="17:17" x14ac:dyDescent="0.35">
      <c r="Q2376" s="83"/>
    </row>
    <row r="2377" spans="17:17" x14ac:dyDescent="0.35">
      <c r="Q2377" s="83"/>
    </row>
    <row r="2378" spans="17:17" x14ac:dyDescent="0.35">
      <c r="Q2378" s="83"/>
    </row>
    <row r="2379" spans="17:17" x14ac:dyDescent="0.35">
      <c r="Q2379" s="83"/>
    </row>
    <row r="2380" spans="17:17" x14ac:dyDescent="0.35">
      <c r="Q2380" s="83"/>
    </row>
    <row r="2381" spans="17:17" x14ac:dyDescent="0.35">
      <c r="Q2381" s="83"/>
    </row>
    <row r="2382" spans="17:17" x14ac:dyDescent="0.35">
      <c r="Q2382" s="83"/>
    </row>
    <row r="2383" spans="17:17" x14ac:dyDescent="0.35">
      <c r="Q2383" s="83"/>
    </row>
    <row r="2384" spans="17:17" x14ac:dyDescent="0.35">
      <c r="Q2384" s="83"/>
    </row>
    <row r="2385" spans="17:17" x14ac:dyDescent="0.35">
      <c r="Q2385" s="83"/>
    </row>
    <row r="2386" spans="17:17" x14ac:dyDescent="0.35">
      <c r="Q2386" s="83"/>
    </row>
    <row r="2387" spans="17:17" x14ac:dyDescent="0.35">
      <c r="Q2387" s="83"/>
    </row>
    <row r="2388" spans="17:17" x14ac:dyDescent="0.35">
      <c r="Q2388" s="83"/>
    </row>
    <row r="2389" spans="17:17" x14ac:dyDescent="0.35">
      <c r="Q2389" s="83"/>
    </row>
    <row r="2390" spans="17:17" x14ac:dyDescent="0.35">
      <c r="Q2390" s="83"/>
    </row>
    <row r="2391" spans="17:17" x14ac:dyDescent="0.35">
      <c r="Q2391" s="83"/>
    </row>
    <row r="2392" spans="17:17" x14ac:dyDescent="0.35">
      <c r="Q2392" s="83"/>
    </row>
    <row r="2393" spans="17:17" x14ac:dyDescent="0.35">
      <c r="Q2393" s="83"/>
    </row>
    <row r="2394" spans="17:17" x14ac:dyDescent="0.35">
      <c r="Q2394" s="83"/>
    </row>
    <row r="2395" spans="17:17" x14ac:dyDescent="0.35">
      <c r="Q2395" s="83"/>
    </row>
    <row r="2396" spans="17:17" x14ac:dyDescent="0.35">
      <c r="Q2396" s="83"/>
    </row>
    <row r="2397" spans="17:17" x14ac:dyDescent="0.35">
      <c r="Q2397" s="83"/>
    </row>
    <row r="2398" spans="17:17" x14ac:dyDescent="0.35">
      <c r="Q2398" s="83"/>
    </row>
    <row r="2399" spans="17:17" x14ac:dyDescent="0.35">
      <c r="Q2399" s="83"/>
    </row>
    <row r="2400" spans="17:17" x14ac:dyDescent="0.35">
      <c r="Q2400" s="83"/>
    </row>
    <row r="2401" spans="17:17" x14ac:dyDescent="0.35">
      <c r="Q2401" s="83"/>
    </row>
    <row r="2402" spans="17:17" x14ac:dyDescent="0.35">
      <c r="Q2402" s="83"/>
    </row>
    <row r="2403" spans="17:17" x14ac:dyDescent="0.35">
      <c r="Q2403" s="83"/>
    </row>
    <row r="2404" spans="17:17" x14ac:dyDescent="0.35">
      <c r="Q2404" s="83"/>
    </row>
    <row r="2405" spans="17:17" x14ac:dyDescent="0.35">
      <c r="Q2405" s="83"/>
    </row>
    <row r="2406" spans="17:17" x14ac:dyDescent="0.35">
      <c r="Q2406" s="83"/>
    </row>
    <row r="2407" spans="17:17" x14ac:dyDescent="0.35">
      <c r="Q2407" s="83"/>
    </row>
    <row r="2408" spans="17:17" x14ac:dyDescent="0.35">
      <c r="Q2408" s="83"/>
    </row>
    <row r="2409" spans="17:17" x14ac:dyDescent="0.35">
      <c r="Q2409" s="83"/>
    </row>
    <row r="2410" spans="17:17" x14ac:dyDescent="0.35">
      <c r="Q2410" s="83"/>
    </row>
    <row r="2411" spans="17:17" x14ac:dyDescent="0.35">
      <c r="Q2411" s="83"/>
    </row>
    <row r="2412" spans="17:17" x14ac:dyDescent="0.35">
      <c r="Q2412" s="83"/>
    </row>
    <row r="2413" spans="17:17" x14ac:dyDescent="0.35">
      <c r="Q2413" s="83"/>
    </row>
    <row r="2414" spans="17:17" x14ac:dyDescent="0.35">
      <c r="Q2414" s="83"/>
    </row>
    <row r="2415" spans="17:17" x14ac:dyDescent="0.35">
      <c r="Q2415" s="83"/>
    </row>
    <row r="2416" spans="17:17" x14ac:dyDescent="0.35">
      <c r="Q2416" s="83"/>
    </row>
    <row r="2417" spans="17:17" x14ac:dyDescent="0.35">
      <c r="Q2417" s="83"/>
    </row>
    <row r="2418" spans="17:17" x14ac:dyDescent="0.35">
      <c r="Q2418" s="83"/>
    </row>
    <row r="2419" spans="17:17" x14ac:dyDescent="0.35">
      <c r="Q2419" s="83"/>
    </row>
    <row r="2420" spans="17:17" x14ac:dyDescent="0.35">
      <c r="Q2420" s="83"/>
    </row>
    <row r="2421" spans="17:17" x14ac:dyDescent="0.35">
      <c r="Q2421" s="83"/>
    </row>
    <row r="2422" spans="17:17" x14ac:dyDescent="0.35">
      <c r="Q2422" s="83"/>
    </row>
    <row r="2423" spans="17:17" x14ac:dyDescent="0.35">
      <c r="Q2423" s="83"/>
    </row>
    <row r="2424" spans="17:17" x14ac:dyDescent="0.35">
      <c r="Q2424" s="83"/>
    </row>
    <row r="2425" spans="17:17" x14ac:dyDescent="0.35">
      <c r="Q2425" s="83"/>
    </row>
    <row r="2426" spans="17:17" x14ac:dyDescent="0.35">
      <c r="Q2426" s="83"/>
    </row>
    <row r="2427" spans="17:17" x14ac:dyDescent="0.35">
      <c r="Q2427" s="83"/>
    </row>
    <row r="2428" spans="17:17" x14ac:dyDescent="0.35">
      <c r="Q2428" s="83"/>
    </row>
    <row r="2429" spans="17:17" x14ac:dyDescent="0.35">
      <c r="Q2429" s="83"/>
    </row>
    <row r="2430" spans="17:17" x14ac:dyDescent="0.35">
      <c r="Q2430" s="83"/>
    </row>
    <row r="2431" spans="17:17" x14ac:dyDescent="0.35">
      <c r="Q2431" s="83"/>
    </row>
    <row r="2432" spans="17:17" x14ac:dyDescent="0.35">
      <c r="Q2432" s="83"/>
    </row>
    <row r="2433" spans="17:17" x14ac:dyDescent="0.35">
      <c r="Q2433" s="83"/>
    </row>
    <row r="2434" spans="17:17" x14ac:dyDescent="0.35">
      <c r="Q2434" s="83"/>
    </row>
    <row r="2435" spans="17:17" x14ac:dyDescent="0.35">
      <c r="Q2435" s="83"/>
    </row>
    <row r="2436" spans="17:17" x14ac:dyDescent="0.35">
      <c r="Q2436" s="83"/>
    </row>
    <row r="2437" spans="17:17" x14ac:dyDescent="0.35">
      <c r="Q2437" s="83"/>
    </row>
    <row r="2438" spans="17:17" x14ac:dyDescent="0.35">
      <c r="Q2438" s="83"/>
    </row>
    <row r="2439" spans="17:17" x14ac:dyDescent="0.35">
      <c r="Q2439" s="83"/>
    </row>
    <row r="2440" spans="17:17" x14ac:dyDescent="0.35">
      <c r="Q2440" s="83"/>
    </row>
    <row r="2441" spans="17:17" x14ac:dyDescent="0.35">
      <c r="Q2441" s="83"/>
    </row>
    <row r="2442" spans="17:17" x14ac:dyDescent="0.35">
      <c r="Q2442" s="83"/>
    </row>
    <row r="2443" spans="17:17" x14ac:dyDescent="0.35">
      <c r="Q2443" s="83"/>
    </row>
    <row r="2444" spans="17:17" x14ac:dyDescent="0.35">
      <c r="Q2444" s="83"/>
    </row>
    <row r="2445" spans="17:17" x14ac:dyDescent="0.35">
      <c r="Q2445" s="83"/>
    </row>
    <row r="2446" spans="17:17" x14ac:dyDescent="0.35">
      <c r="Q2446" s="83"/>
    </row>
    <row r="2447" spans="17:17" x14ac:dyDescent="0.35">
      <c r="Q2447" s="83"/>
    </row>
    <row r="2448" spans="17:17" x14ac:dyDescent="0.35">
      <c r="Q2448" s="83"/>
    </row>
    <row r="2449" spans="17:17" x14ac:dyDescent="0.35">
      <c r="Q2449" s="83"/>
    </row>
    <row r="2450" spans="17:17" x14ac:dyDescent="0.35">
      <c r="Q2450" s="83"/>
    </row>
    <row r="2451" spans="17:17" x14ac:dyDescent="0.35">
      <c r="Q2451" s="83"/>
    </row>
    <row r="2452" spans="17:17" x14ac:dyDescent="0.35">
      <c r="Q2452" s="83"/>
    </row>
    <row r="2453" spans="17:17" x14ac:dyDescent="0.35">
      <c r="Q2453" s="83"/>
    </row>
    <row r="2454" spans="17:17" x14ac:dyDescent="0.35">
      <c r="Q2454" s="83"/>
    </row>
    <row r="2455" spans="17:17" x14ac:dyDescent="0.35">
      <c r="Q2455" s="83"/>
    </row>
    <row r="2456" spans="17:17" x14ac:dyDescent="0.35">
      <c r="Q2456" s="83"/>
    </row>
    <row r="2457" spans="17:17" x14ac:dyDescent="0.35">
      <c r="Q2457" s="83"/>
    </row>
    <row r="2458" spans="17:17" x14ac:dyDescent="0.35">
      <c r="Q2458" s="83"/>
    </row>
    <row r="2459" spans="17:17" x14ac:dyDescent="0.35">
      <c r="Q2459" s="83"/>
    </row>
    <row r="2460" spans="17:17" x14ac:dyDescent="0.35">
      <c r="Q2460" s="83"/>
    </row>
    <row r="2461" spans="17:17" x14ac:dyDescent="0.35">
      <c r="Q2461" s="83"/>
    </row>
    <row r="2462" spans="17:17" x14ac:dyDescent="0.35">
      <c r="Q2462" s="83"/>
    </row>
    <row r="2463" spans="17:17" x14ac:dyDescent="0.35">
      <c r="Q2463" s="83"/>
    </row>
    <row r="2464" spans="17:17" x14ac:dyDescent="0.35">
      <c r="Q2464" s="83"/>
    </row>
    <row r="2465" spans="17:17" x14ac:dyDescent="0.35">
      <c r="Q2465" s="83"/>
    </row>
    <row r="2466" spans="17:17" x14ac:dyDescent="0.35">
      <c r="Q2466" s="83"/>
    </row>
    <row r="2467" spans="17:17" x14ac:dyDescent="0.35">
      <c r="Q2467" s="83"/>
    </row>
    <row r="2468" spans="17:17" x14ac:dyDescent="0.35">
      <c r="Q2468" s="83"/>
    </row>
    <row r="2469" spans="17:17" x14ac:dyDescent="0.35">
      <c r="Q2469" s="83"/>
    </row>
    <row r="2470" spans="17:17" x14ac:dyDescent="0.35">
      <c r="Q2470" s="83"/>
    </row>
    <row r="2471" spans="17:17" x14ac:dyDescent="0.35">
      <c r="Q2471" s="83"/>
    </row>
    <row r="2472" spans="17:17" x14ac:dyDescent="0.35">
      <c r="Q2472" s="83"/>
    </row>
    <row r="2473" spans="17:17" x14ac:dyDescent="0.35">
      <c r="Q2473" s="83"/>
    </row>
    <row r="2474" spans="17:17" x14ac:dyDescent="0.35">
      <c r="Q2474" s="83"/>
    </row>
    <row r="2475" spans="17:17" x14ac:dyDescent="0.35">
      <c r="Q2475" s="83"/>
    </row>
    <row r="2476" spans="17:17" x14ac:dyDescent="0.35">
      <c r="Q2476" s="83"/>
    </row>
    <row r="2477" spans="17:17" x14ac:dyDescent="0.35">
      <c r="Q2477" s="83"/>
    </row>
    <row r="2478" spans="17:17" x14ac:dyDescent="0.35">
      <c r="Q2478" s="83"/>
    </row>
    <row r="2479" spans="17:17" x14ac:dyDescent="0.35">
      <c r="Q2479" s="83"/>
    </row>
    <row r="2480" spans="17:17" x14ac:dyDescent="0.35">
      <c r="Q2480" s="83"/>
    </row>
    <row r="2481" spans="17:17" x14ac:dyDescent="0.35">
      <c r="Q2481" s="83"/>
    </row>
    <row r="2482" spans="17:17" x14ac:dyDescent="0.35">
      <c r="Q2482" s="83"/>
    </row>
    <row r="2483" spans="17:17" x14ac:dyDescent="0.35">
      <c r="Q2483" s="83"/>
    </row>
    <row r="2484" spans="17:17" x14ac:dyDescent="0.35">
      <c r="Q2484" s="83"/>
    </row>
    <row r="2485" spans="17:17" x14ac:dyDescent="0.35">
      <c r="Q2485" s="83"/>
    </row>
    <row r="2486" spans="17:17" x14ac:dyDescent="0.35">
      <c r="Q2486" s="83"/>
    </row>
    <row r="2487" spans="17:17" x14ac:dyDescent="0.35">
      <c r="Q2487" s="83"/>
    </row>
    <row r="2488" spans="17:17" x14ac:dyDescent="0.35">
      <c r="Q2488" s="83"/>
    </row>
    <row r="2489" spans="17:17" x14ac:dyDescent="0.35">
      <c r="Q2489" s="83"/>
    </row>
    <row r="2490" spans="17:17" x14ac:dyDescent="0.35">
      <c r="Q2490" s="83"/>
    </row>
    <row r="2491" spans="17:17" x14ac:dyDescent="0.35">
      <c r="Q2491" s="83"/>
    </row>
    <row r="2492" spans="17:17" x14ac:dyDescent="0.35">
      <c r="Q2492" s="83"/>
    </row>
    <row r="2493" spans="17:17" x14ac:dyDescent="0.35">
      <c r="Q2493" s="83"/>
    </row>
    <row r="2494" spans="17:17" x14ac:dyDescent="0.35">
      <c r="Q2494" s="83"/>
    </row>
    <row r="2495" spans="17:17" x14ac:dyDescent="0.35">
      <c r="Q2495" s="83"/>
    </row>
    <row r="2496" spans="17:17" x14ac:dyDescent="0.35">
      <c r="Q2496" s="83"/>
    </row>
    <row r="2497" spans="17:17" x14ac:dyDescent="0.35">
      <c r="Q2497" s="83"/>
    </row>
    <row r="2498" spans="17:17" x14ac:dyDescent="0.35">
      <c r="Q2498" s="83"/>
    </row>
    <row r="2499" spans="17:17" x14ac:dyDescent="0.35">
      <c r="Q2499" s="83"/>
    </row>
    <row r="2500" spans="17:17" x14ac:dyDescent="0.35">
      <c r="Q2500" s="83"/>
    </row>
    <row r="2501" spans="17:17" x14ac:dyDescent="0.35">
      <c r="Q2501" s="83"/>
    </row>
    <row r="2502" spans="17:17" x14ac:dyDescent="0.35">
      <c r="Q2502" s="83"/>
    </row>
    <row r="2503" spans="17:17" x14ac:dyDescent="0.35">
      <c r="Q2503" s="83"/>
    </row>
    <row r="2504" spans="17:17" x14ac:dyDescent="0.35">
      <c r="Q2504" s="83"/>
    </row>
    <row r="2505" spans="17:17" x14ac:dyDescent="0.35">
      <c r="Q2505" s="83"/>
    </row>
    <row r="2506" spans="17:17" x14ac:dyDescent="0.35">
      <c r="Q2506" s="83"/>
    </row>
    <row r="2507" spans="17:17" x14ac:dyDescent="0.35">
      <c r="Q2507" s="83"/>
    </row>
    <row r="2508" spans="17:17" x14ac:dyDescent="0.35">
      <c r="Q2508" s="83"/>
    </row>
    <row r="2509" spans="17:17" x14ac:dyDescent="0.35">
      <c r="Q2509" s="83"/>
    </row>
    <row r="2510" spans="17:17" x14ac:dyDescent="0.35">
      <c r="Q2510" s="83"/>
    </row>
    <row r="2511" spans="17:17" x14ac:dyDescent="0.35">
      <c r="Q2511" s="83"/>
    </row>
    <row r="2512" spans="17:17" x14ac:dyDescent="0.35">
      <c r="Q2512" s="83"/>
    </row>
    <row r="2513" spans="17:17" x14ac:dyDescent="0.35">
      <c r="Q2513" s="83"/>
    </row>
    <row r="2514" spans="17:17" x14ac:dyDescent="0.35">
      <c r="Q2514" s="83"/>
    </row>
    <row r="2515" spans="17:17" x14ac:dyDescent="0.35">
      <c r="Q2515" s="83"/>
    </row>
    <row r="2516" spans="17:17" x14ac:dyDescent="0.35">
      <c r="Q2516" s="83"/>
    </row>
    <row r="2517" spans="17:17" x14ac:dyDescent="0.35">
      <c r="Q2517" s="83"/>
    </row>
    <row r="2518" spans="17:17" x14ac:dyDescent="0.35">
      <c r="Q2518" s="83"/>
    </row>
    <row r="2519" spans="17:17" x14ac:dyDescent="0.35">
      <c r="Q2519" s="83"/>
    </row>
    <row r="2520" spans="17:17" x14ac:dyDescent="0.35">
      <c r="Q2520" s="83"/>
    </row>
    <row r="2521" spans="17:17" x14ac:dyDescent="0.35">
      <c r="Q2521" s="83"/>
    </row>
    <row r="2522" spans="17:17" x14ac:dyDescent="0.35">
      <c r="Q2522" s="83"/>
    </row>
    <row r="2523" spans="17:17" x14ac:dyDescent="0.35">
      <c r="Q2523" s="83"/>
    </row>
    <row r="2524" spans="17:17" x14ac:dyDescent="0.35">
      <c r="Q2524" s="83"/>
    </row>
    <row r="2525" spans="17:17" x14ac:dyDescent="0.35">
      <c r="Q2525" s="83"/>
    </row>
    <row r="2526" spans="17:17" x14ac:dyDescent="0.35">
      <c r="Q2526" s="83"/>
    </row>
    <row r="2527" spans="17:17" x14ac:dyDescent="0.35">
      <c r="Q2527" s="83"/>
    </row>
    <row r="2528" spans="17:17" x14ac:dyDescent="0.35">
      <c r="Q2528" s="83"/>
    </row>
    <row r="2529" spans="17:17" x14ac:dyDescent="0.35">
      <c r="Q2529" s="83"/>
    </row>
    <row r="2530" spans="17:17" x14ac:dyDescent="0.35">
      <c r="Q2530" s="83"/>
    </row>
    <row r="2531" spans="17:17" x14ac:dyDescent="0.35">
      <c r="Q2531" s="83"/>
    </row>
    <row r="2532" spans="17:17" x14ac:dyDescent="0.35">
      <c r="Q2532" s="83"/>
    </row>
    <row r="2533" spans="17:17" x14ac:dyDescent="0.35">
      <c r="Q2533" s="83"/>
    </row>
    <row r="2534" spans="17:17" x14ac:dyDescent="0.35">
      <c r="Q2534" s="83"/>
    </row>
    <row r="2535" spans="17:17" x14ac:dyDescent="0.35">
      <c r="Q2535" s="83"/>
    </row>
    <row r="2536" spans="17:17" x14ac:dyDescent="0.35">
      <c r="Q2536" s="83"/>
    </row>
    <row r="2537" spans="17:17" x14ac:dyDescent="0.35">
      <c r="Q2537" s="83"/>
    </row>
    <row r="2538" spans="17:17" x14ac:dyDescent="0.35">
      <c r="Q2538" s="83"/>
    </row>
    <row r="2539" spans="17:17" x14ac:dyDescent="0.35">
      <c r="Q2539" s="83"/>
    </row>
    <row r="2540" spans="17:17" x14ac:dyDescent="0.35">
      <c r="Q2540" s="83"/>
    </row>
    <row r="2541" spans="17:17" x14ac:dyDescent="0.35">
      <c r="Q2541" s="83"/>
    </row>
    <row r="2542" spans="17:17" x14ac:dyDescent="0.35">
      <c r="Q2542" s="83"/>
    </row>
    <row r="2543" spans="17:17" x14ac:dyDescent="0.35">
      <c r="Q2543" s="83"/>
    </row>
    <row r="2544" spans="17:17" x14ac:dyDescent="0.35">
      <c r="Q2544" s="83"/>
    </row>
    <row r="2545" spans="17:17" x14ac:dyDescent="0.35">
      <c r="Q2545" s="83"/>
    </row>
    <row r="2546" spans="17:17" x14ac:dyDescent="0.35">
      <c r="Q2546" s="83"/>
    </row>
    <row r="2547" spans="17:17" x14ac:dyDescent="0.35">
      <c r="Q2547" s="83"/>
    </row>
    <row r="2548" spans="17:17" x14ac:dyDescent="0.35">
      <c r="Q2548" s="83"/>
    </row>
    <row r="2549" spans="17:17" x14ac:dyDescent="0.35">
      <c r="Q2549" s="83"/>
    </row>
    <row r="2550" spans="17:17" x14ac:dyDescent="0.35">
      <c r="Q2550" s="83"/>
    </row>
    <row r="2551" spans="17:17" x14ac:dyDescent="0.35">
      <c r="Q2551" s="83"/>
    </row>
    <row r="2552" spans="17:17" x14ac:dyDescent="0.35">
      <c r="Q2552" s="83"/>
    </row>
    <row r="2553" spans="17:17" x14ac:dyDescent="0.35">
      <c r="Q2553" s="83"/>
    </row>
    <row r="2554" spans="17:17" x14ac:dyDescent="0.35">
      <c r="Q2554" s="83"/>
    </row>
    <row r="2555" spans="17:17" x14ac:dyDescent="0.35">
      <c r="Q2555" s="83"/>
    </row>
    <row r="2556" spans="17:17" x14ac:dyDescent="0.35">
      <c r="Q2556" s="83"/>
    </row>
    <row r="2557" spans="17:17" x14ac:dyDescent="0.35">
      <c r="Q2557" s="83"/>
    </row>
    <row r="2558" spans="17:17" x14ac:dyDescent="0.35">
      <c r="Q2558" s="83"/>
    </row>
    <row r="2559" spans="17:17" x14ac:dyDescent="0.35">
      <c r="Q2559" s="83"/>
    </row>
    <row r="2560" spans="17:17" x14ac:dyDescent="0.35">
      <c r="Q2560" s="83"/>
    </row>
    <row r="2561" spans="17:17" x14ac:dyDescent="0.35">
      <c r="Q2561" s="83"/>
    </row>
    <row r="2562" spans="17:17" x14ac:dyDescent="0.35">
      <c r="Q2562" s="83"/>
    </row>
    <row r="2563" spans="17:17" x14ac:dyDescent="0.35">
      <c r="Q2563" s="83"/>
    </row>
    <row r="2564" spans="17:17" x14ac:dyDescent="0.35">
      <c r="Q2564" s="83"/>
    </row>
    <row r="2565" spans="17:17" x14ac:dyDescent="0.35">
      <c r="Q2565" s="83"/>
    </row>
    <row r="2566" spans="17:17" x14ac:dyDescent="0.35">
      <c r="Q2566" s="83"/>
    </row>
    <row r="2567" spans="17:17" x14ac:dyDescent="0.35">
      <c r="Q2567" s="83"/>
    </row>
    <row r="2568" spans="17:17" x14ac:dyDescent="0.35">
      <c r="Q2568" s="83"/>
    </row>
    <row r="2569" spans="17:17" x14ac:dyDescent="0.35">
      <c r="Q2569" s="83"/>
    </row>
    <row r="2570" spans="17:17" x14ac:dyDescent="0.35">
      <c r="Q2570" s="83"/>
    </row>
    <row r="2571" spans="17:17" x14ac:dyDescent="0.35">
      <c r="Q2571" s="83"/>
    </row>
    <row r="2572" spans="17:17" x14ac:dyDescent="0.35">
      <c r="Q2572" s="83"/>
    </row>
    <row r="2573" spans="17:17" x14ac:dyDescent="0.35">
      <c r="Q2573" s="83"/>
    </row>
    <row r="2574" spans="17:17" x14ac:dyDescent="0.35">
      <c r="Q2574" s="83"/>
    </row>
    <row r="2575" spans="17:17" x14ac:dyDescent="0.35">
      <c r="Q2575" s="83"/>
    </row>
    <row r="2576" spans="17:17" x14ac:dyDescent="0.35">
      <c r="Q2576" s="83"/>
    </row>
    <row r="2577" spans="17:17" x14ac:dyDescent="0.35">
      <c r="Q2577" s="83"/>
    </row>
    <row r="2578" spans="17:17" x14ac:dyDescent="0.35">
      <c r="Q2578" s="83"/>
    </row>
    <row r="2579" spans="17:17" x14ac:dyDescent="0.35">
      <c r="Q2579" s="83"/>
    </row>
    <row r="2580" spans="17:17" x14ac:dyDescent="0.35">
      <c r="Q2580" s="83"/>
    </row>
    <row r="2581" spans="17:17" x14ac:dyDescent="0.35">
      <c r="Q2581" s="83"/>
    </row>
    <row r="2582" spans="17:17" x14ac:dyDescent="0.35">
      <c r="Q2582" s="83"/>
    </row>
    <row r="2583" spans="17:17" x14ac:dyDescent="0.35">
      <c r="Q2583" s="83"/>
    </row>
    <row r="2584" spans="17:17" x14ac:dyDescent="0.35">
      <c r="Q2584" s="83"/>
    </row>
    <row r="2585" spans="17:17" x14ac:dyDescent="0.35">
      <c r="Q2585" s="83"/>
    </row>
    <row r="2586" spans="17:17" x14ac:dyDescent="0.35">
      <c r="Q2586" s="83"/>
    </row>
    <row r="2587" spans="17:17" x14ac:dyDescent="0.35">
      <c r="Q2587" s="83"/>
    </row>
    <row r="2588" spans="17:17" x14ac:dyDescent="0.35">
      <c r="Q2588" s="83"/>
    </row>
    <row r="2589" spans="17:17" x14ac:dyDescent="0.35">
      <c r="Q2589" s="83"/>
    </row>
    <row r="2590" spans="17:17" x14ac:dyDescent="0.35">
      <c r="Q2590" s="83"/>
    </row>
    <row r="2591" spans="17:17" x14ac:dyDescent="0.35">
      <c r="Q2591" s="83"/>
    </row>
    <row r="2592" spans="17:17" x14ac:dyDescent="0.35">
      <c r="Q2592" s="83"/>
    </row>
    <row r="2593" spans="17:17" x14ac:dyDescent="0.35">
      <c r="Q2593" s="83"/>
    </row>
    <row r="2594" spans="17:17" x14ac:dyDescent="0.35">
      <c r="Q2594" s="83"/>
    </row>
    <row r="2595" spans="17:17" x14ac:dyDescent="0.35">
      <c r="Q2595" s="83"/>
    </row>
    <row r="2596" spans="17:17" x14ac:dyDescent="0.35">
      <c r="Q2596" s="83"/>
    </row>
    <row r="2597" spans="17:17" x14ac:dyDescent="0.35">
      <c r="Q2597" s="83"/>
    </row>
    <row r="2598" spans="17:17" x14ac:dyDescent="0.35">
      <c r="Q2598" s="83"/>
    </row>
    <row r="2599" spans="17:17" x14ac:dyDescent="0.35">
      <c r="Q2599" s="83"/>
    </row>
    <row r="2600" spans="17:17" x14ac:dyDescent="0.35">
      <c r="Q2600" s="83"/>
    </row>
    <row r="2601" spans="17:17" x14ac:dyDescent="0.35">
      <c r="Q2601" s="83"/>
    </row>
    <row r="2602" spans="17:17" x14ac:dyDescent="0.35">
      <c r="Q2602" s="83"/>
    </row>
    <row r="2603" spans="17:17" x14ac:dyDescent="0.35">
      <c r="Q2603" s="83"/>
    </row>
    <row r="2604" spans="17:17" x14ac:dyDescent="0.35">
      <c r="Q2604" s="83"/>
    </row>
    <row r="2605" spans="17:17" x14ac:dyDescent="0.35">
      <c r="Q2605" s="83"/>
    </row>
    <row r="2606" spans="17:17" x14ac:dyDescent="0.35">
      <c r="Q2606" s="83"/>
    </row>
    <row r="2607" spans="17:17" x14ac:dyDescent="0.35">
      <c r="Q2607" s="83"/>
    </row>
    <row r="2608" spans="17:17" x14ac:dyDescent="0.35">
      <c r="Q2608" s="83"/>
    </row>
    <row r="2609" spans="17:17" x14ac:dyDescent="0.35">
      <c r="Q2609" s="83"/>
    </row>
    <row r="2610" spans="17:17" x14ac:dyDescent="0.35">
      <c r="Q2610" s="83"/>
    </row>
    <row r="2611" spans="17:17" x14ac:dyDescent="0.35">
      <c r="Q2611" s="83"/>
    </row>
    <row r="2612" spans="17:17" x14ac:dyDescent="0.35">
      <c r="Q2612" s="83"/>
    </row>
    <row r="2613" spans="17:17" x14ac:dyDescent="0.35">
      <c r="Q2613" s="83"/>
    </row>
    <row r="2614" spans="17:17" x14ac:dyDescent="0.35">
      <c r="Q2614" s="83"/>
    </row>
    <row r="2615" spans="17:17" x14ac:dyDescent="0.35">
      <c r="Q2615" s="83"/>
    </row>
    <row r="2616" spans="17:17" x14ac:dyDescent="0.35">
      <c r="Q2616" s="83"/>
    </row>
    <row r="2617" spans="17:17" x14ac:dyDescent="0.35">
      <c r="Q2617" s="83"/>
    </row>
    <row r="2618" spans="17:17" x14ac:dyDescent="0.35">
      <c r="Q2618" s="83"/>
    </row>
    <row r="2619" spans="17:17" x14ac:dyDescent="0.35">
      <c r="Q2619" s="83"/>
    </row>
    <row r="2620" spans="17:17" x14ac:dyDescent="0.35">
      <c r="Q2620" s="83"/>
    </row>
    <row r="2621" spans="17:17" x14ac:dyDescent="0.35">
      <c r="Q2621" s="83"/>
    </row>
    <row r="2622" spans="17:17" x14ac:dyDescent="0.35">
      <c r="Q2622" s="83"/>
    </row>
    <row r="2623" spans="17:17" x14ac:dyDescent="0.35">
      <c r="Q2623" s="83"/>
    </row>
    <row r="2624" spans="17:17" x14ac:dyDescent="0.35">
      <c r="Q2624" s="83"/>
    </row>
    <row r="2625" spans="17:17" x14ac:dyDescent="0.35">
      <c r="Q2625" s="83"/>
    </row>
    <row r="2626" spans="17:17" x14ac:dyDescent="0.35">
      <c r="Q2626" s="83"/>
    </row>
    <row r="2627" spans="17:17" x14ac:dyDescent="0.35">
      <c r="Q2627" s="83"/>
    </row>
    <row r="2628" spans="17:17" x14ac:dyDescent="0.35">
      <c r="Q2628" s="83"/>
    </row>
    <row r="2629" spans="17:17" x14ac:dyDescent="0.35">
      <c r="Q2629" s="83"/>
    </row>
    <row r="2630" spans="17:17" x14ac:dyDescent="0.35">
      <c r="Q2630" s="83"/>
    </row>
    <row r="2631" spans="17:17" x14ac:dyDescent="0.35">
      <c r="Q2631" s="83"/>
    </row>
    <row r="2632" spans="17:17" x14ac:dyDescent="0.35">
      <c r="Q2632" s="83"/>
    </row>
    <row r="2633" spans="17:17" x14ac:dyDescent="0.35">
      <c r="Q2633" s="83"/>
    </row>
    <row r="2634" spans="17:17" x14ac:dyDescent="0.35">
      <c r="Q2634" s="83"/>
    </row>
    <row r="2635" spans="17:17" x14ac:dyDescent="0.35">
      <c r="Q2635" s="83"/>
    </row>
    <row r="2636" spans="17:17" x14ac:dyDescent="0.35">
      <c r="Q2636" s="83"/>
    </row>
    <row r="2637" spans="17:17" x14ac:dyDescent="0.35">
      <c r="Q2637" s="83"/>
    </row>
    <row r="2638" spans="17:17" x14ac:dyDescent="0.35">
      <c r="Q2638" s="83"/>
    </row>
    <row r="2639" spans="17:17" x14ac:dyDescent="0.35">
      <c r="Q2639" s="83"/>
    </row>
    <row r="2640" spans="17:17" x14ac:dyDescent="0.35">
      <c r="Q2640" s="83"/>
    </row>
    <row r="2641" spans="17:17" x14ac:dyDescent="0.35">
      <c r="Q2641" s="83"/>
    </row>
    <row r="2642" spans="17:17" x14ac:dyDescent="0.35">
      <c r="Q2642" s="83"/>
    </row>
    <row r="2643" spans="17:17" x14ac:dyDescent="0.35">
      <c r="Q2643" s="83"/>
    </row>
    <row r="2644" spans="17:17" x14ac:dyDescent="0.35">
      <c r="Q2644" s="83"/>
    </row>
    <row r="2645" spans="17:17" x14ac:dyDescent="0.35">
      <c r="Q2645" s="83"/>
    </row>
    <row r="2646" spans="17:17" x14ac:dyDescent="0.35">
      <c r="Q2646" s="83"/>
    </row>
    <row r="2647" spans="17:17" x14ac:dyDescent="0.35">
      <c r="Q2647" s="83"/>
    </row>
    <row r="2648" spans="17:17" x14ac:dyDescent="0.35">
      <c r="Q2648" s="83"/>
    </row>
    <row r="2649" spans="17:17" x14ac:dyDescent="0.35">
      <c r="Q2649" s="83"/>
    </row>
    <row r="2650" spans="17:17" x14ac:dyDescent="0.35">
      <c r="Q2650" s="83"/>
    </row>
    <row r="2651" spans="17:17" x14ac:dyDescent="0.35">
      <c r="Q2651" s="83"/>
    </row>
    <row r="2652" spans="17:17" x14ac:dyDescent="0.35">
      <c r="Q2652" s="83"/>
    </row>
    <row r="2653" spans="17:17" x14ac:dyDescent="0.35">
      <c r="Q2653" s="83"/>
    </row>
    <row r="2654" spans="17:17" x14ac:dyDescent="0.35">
      <c r="Q2654" s="83"/>
    </row>
    <row r="2655" spans="17:17" x14ac:dyDescent="0.35">
      <c r="Q2655" s="83"/>
    </row>
    <row r="2656" spans="17:17" x14ac:dyDescent="0.35">
      <c r="Q2656" s="83"/>
    </row>
    <row r="2657" spans="17:17" x14ac:dyDescent="0.35">
      <c r="Q2657" s="83"/>
    </row>
    <row r="2658" spans="17:17" x14ac:dyDescent="0.35">
      <c r="Q2658" s="83"/>
    </row>
    <row r="2659" spans="17:17" x14ac:dyDescent="0.35">
      <c r="Q2659" s="83"/>
    </row>
    <row r="2660" spans="17:17" x14ac:dyDescent="0.35">
      <c r="Q2660" s="83"/>
    </row>
    <row r="2661" spans="17:17" x14ac:dyDescent="0.35">
      <c r="Q2661" s="83"/>
    </row>
    <row r="2662" spans="17:17" x14ac:dyDescent="0.35">
      <c r="Q2662" s="83"/>
    </row>
    <row r="2663" spans="17:17" x14ac:dyDescent="0.35">
      <c r="Q2663" s="83"/>
    </row>
    <row r="2664" spans="17:17" x14ac:dyDescent="0.35">
      <c r="Q2664" s="83"/>
    </row>
    <row r="2665" spans="17:17" x14ac:dyDescent="0.35">
      <c r="Q2665" s="83"/>
    </row>
    <row r="2666" spans="17:17" x14ac:dyDescent="0.35">
      <c r="Q2666" s="83"/>
    </row>
    <row r="2667" spans="17:17" x14ac:dyDescent="0.35">
      <c r="Q2667" s="83"/>
    </row>
    <row r="2668" spans="17:17" x14ac:dyDescent="0.35">
      <c r="Q2668" s="83"/>
    </row>
    <row r="2669" spans="17:17" x14ac:dyDescent="0.35">
      <c r="Q2669" s="83"/>
    </row>
    <row r="2670" spans="17:17" x14ac:dyDescent="0.35">
      <c r="Q2670" s="83"/>
    </row>
    <row r="2671" spans="17:17" x14ac:dyDescent="0.35">
      <c r="Q2671" s="83"/>
    </row>
    <row r="2672" spans="17:17" x14ac:dyDescent="0.35">
      <c r="Q2672" s="83"/>
    </row>
    <row r="2673" spans="17:17" x14ac:dyDescent="0.35">
      <c r="Q2673" s="83"/>
    </row>
    <row r="2674" spans="17:17" x14ac:dyDescent="0.35">
      <c r="Q2674" s="83"/>
    </row>
    <row r="2675" spans="17:17" x14ac:dyDescent="0.35">
      <c r="Q2675" s="83"/>
    </row>
    <row r="2676" spans="17:17" x14ac:dyDescent="0.35">
      <c r="Q2676" s="83"/>
    </row>
    <row r="2677" spans="17:17" x14ac:dyDescent="0.35">
      <c r="Q2677" s="83"/>
    </row>
    <row r="2678" spans="17:17" x14ac:dyDescent="0.35">
      <c r="Q2678" s="83"/>
    </row>
    <row r="2679" spans="17:17" x14ac:dyDescent="0.35">
      <c r="Q2679" s="83"/>
    </row>
    <row r="2680" spans="17:17" x14ac:dyDescent="0.35">
      <c r="Q2680" s="83"/>
    </row>
    <row r="2681" spans="17:17" x14ac:dyDescent="0.35">
      <c r="Q2681" s="83"/>
    </row>
    <row r="2682" spans="17:17" x14ac:dyDescent="0.35">
      <c r="Q2682" s="83"/>
    </row>
    <row r="2683" spans="17:17" x14ac:dyDescent="0.35">
      <c r="Q2683" s="83"/>
    </row>
    <row r="2684" spans="17:17" x14ac:dyDescent="0.35">
      <c r="Q2684" s="83"/>
    </row>
    <row r="2685" spans="17:17" x14ac:dyDescent="0.35">
      <c r="Q2685" s="83"/>
    </row>
    <row r="2686" spans="17:17" x14ac:dyDescent="0.35">
      <c r="Q2686" s="83"/>
    </row>
    <row r="2687" spans="17:17" x14ac:dyDescent="0.35">
      <c r="Q2687" s="83"/>
    </row>
    <row r="2688" spans="17:17" x14ac:dyDescent="0.35">
      <c r="Q2688" s="83"/>
    </row>
    <row r="2689" spans="17:17" x14ac:dyDescent="0.35">
      <c r="Q2689" s="83"/>
    </row>
    <row r="2690" spans="17:17" x14ac:dyDescent="0.35">
      <c r="Q2690" s="83"/>
    </row>
    <row r="2691" spans="17:17" x14ac:dyDescent="0.35">
      <c r="Q2691" s="83"/>
    </row>
    <row r="2692" spans="17:17" x14ac:dyDescent="0.35">
      <c r="Q2692" s="83"/>
    </row>
    <row r="2693" spans="17:17" x14ac:dyDescent="0.35">
      <c r="Q2693" s="83"/>
    </row>
    <row r="2694" spans="17:17" x14ac:dyDescent="0.35">
      <c r="Q2694" s="83"/>
    </row>
    <row r="2695" spans="17:17" x14ac:dyDescent="0.35">
      <c r="Q2695" s="83"/>
    </row>
    <row r="2696" spans="17:17" x14ac:dyDescent="0.35">
      <c r="Q2696" s="83"/>
    </row>
    <row r="2697" spans="17:17" x14ac:dyDescent="0.35">
      <c r="Q2697" s="83"/>
    </row>
    <row r="2698" spans="17:17" x14ac:dyDescent="0.35">
      <c r="Q2698" s="83"/>
    </row>
    <row r="2699" spans="17:17" x14ac:dyDescent="0.35">
      <c r="Q2699" s="83"/>
    </row>
    <row r="2700" spans="17:17" x14ac:dyDescent="0.35">
      <c r="Q2700" s="83"/>
    </row>
    <row r="2701" spans="17:17" x14ac:dyDescent="0.35">
      <c r="Q2701" s="83"/>
    </row>
    <row r="2702" spans="17:17" x14ac:dyDescent="0.35">
      <c r="Q2702" s="83"/>
    </row>
    <row r="2703" spans="17:17" x14ac:dyDescent="0.35">
      <c r="Q2703" s="83"/>
    </row>
    <row r="2704" spans="17:17" x14ac:dyDescent="0.35">
      <c r="Q2704" s="83"/>
    </row>
    <row r="2705" spans="17:17" x14ac:dyDescent="0.35">
      <c r="Q2705" s="83"/>
    </row>
    <row r="2706" spans="17:17" x14ac:dyDescent="0.35">
      <c r="Q2706" s="83"/>
    </row>
    <row r="2707" spans="17:17" x14ac:dyDescent="0.35">
      <c r="Q2707" s="83"/>
    </row>
    <row r="2708" spans="17:17" x14ac:dyDescent="0.35">
      <c r="Q2708" s="83"/>
    </row>
    <row r="2709" spans="17:17" x14ac:dyDescent="0.35">
      <c r="Q2709" s="83"/>
    </row>
    <row r="2710" spans="17:17" x14ac:dyDescent="0.35">
      <c r="Q2710" s="83"/>
    </row>
    <row r="2711" spans="17:17" x14ac:dyDescent="0.35">
      <c r="Q2711" s="83"/>
    </row>
    <row r="2712" spans="17:17" x14ac:dyDescent="0.35">
      <c r="Q2712" s="83"/>
    </row>
    <row r="2713" spans="17:17" x14ac:dyDescent="0.35">
      <c r="Q2713" s="83"/>
    </row>
    <row r="2714" spans="17:17" x14ac:dyDescent="0.35">
      <c r="Q2714" s="83"/>
    </row>
    <row r="2715" spans="17:17" x14ac:dyDescent="0.35">
      <c r="Q2715" s="83"/>
    </row>
    <row r="2716" spans="17:17" x14ac:dyDescent="0.35">
      <c r="Q2716" s="83"/>
    </row>
    <row r="2717" spans="17:17" x14ac:dyDescent="0.35">
      <c r="Q2717" s="83"/>
    </row>
    <row r="2718" spans="17:17" x14ac:dyDescent="0.35">
      <c r="Q2718" s="83"/>
    </row>
    <row r="2719" spans="17:17" x14ac:dyDescent="0.35">
      <c r="Q2719" s="83"/>
    </row>
    <row r="2720" spans="17:17" x14ac:dyDescent="0.35">
      <c r="Q2720" s="83"/>
    </row>
    <row r="2721" spans="17:17" x14ac:dyDescent="0.35">
      <c r="Q2721" s="83"/>
    </row>
    <row r="2722" spans="17:17" x14ac:dyDescent="0.35">
      <c r="Q2722" s="83"/>
    </row>
    <row r="2723" spans="17:17" x14ac:dyDescent="0.35">
      <c r="Q2723" s="83"/>
    </row>
    <row r="2724" spans="17:17" x14ac:dyDescent="0.35">
      <c r="Q2724" s="83"/>
    </row>
    <row r="2725" spans="17:17" x14ac:dyDescent="0.35">
      <c r="Q2725" s="83"/>
    </row>
    <row r="2726" spans="17:17" x14ac:dyDescent="0.35">
      <c r="Q2726" s="83"/>
    </row>
    <row r="2727" spans="17:17" x14ac:dyDescent="0.35">
      <c r="Q2727" s="83"/>
    </row>
    <row r="2728" spans="17:17" x14ac:dyDescent="0.35">
      <c r="Q2728" s="83"/>
    </row>
    <row r="2729" spans="17:17" x14ac:dyDescent="0.35">
      <c r="Q2729" s="83"/>
    </row>
    <row r="2730" spans="17:17" x14ac:dyDescent="0.35">
      <c r="Q2730" s="83"/>
    </row>
    <row r="2731" spans="17:17" x14ac:dyDescent="0.35">
      <c r="Q2731" s="83"/>
    </row>
    <row r="2732" spans="17:17" x14ac:dyDescent="0.35">
      <c r="Q2732" s="83"/>
    </row>
    <row r="2733" spans="17:17" x14ac:dyDescent="0.35">
      <c r="Q2733" s="83"/>
    </row>
    <row r="2734" spans="17:17" x14ac:dyDescent="0.35">
      <c r="Q2734" s="83"/>
    </row>
    <row r="2735" spans="17:17" x14ac:dyDescent="0.35">
      <c r="Q2735" s="83"/>
    </row>
    <row r="2736" spans="17:17" x14ac:dyDescent="0.35">
      <c r="Q2736" s="83"/>
    </row>
    <row r="2737" spans="17:17" x14ac:dyDescent="0.35">
      <c r="Q2737" s="83"/>
    </row>
    <row r="2738" spans="17:17" x14ac:dyDescent="0.35">
      <c r="Q2738" s="83"/>
    </row>
    <row r="2739" spans="17:17" x14ac:dyDescent="0.35">
      <c r="Q2739" s="83"/>
    </row>
    <row r="2740" spans="17:17" x14ac:dyDescent="0.35">
      <c r="Q2740" s="83"/>
    </row>
    <row r="2741" spans="17:17" x14ac:dyDescent="0.35">
      <c r="Q2741" s="83"/>
    </row>
    <row r="2742" spans="17:17" x14ac:dyDescent="0.35">
      <c r="Q2742" s="83"/>
    </row>
    <row r="2743" spans="17:17" x14ac:dyDescent="0.35">
      <c r="Q2743" s="83"/>
    </row>
    <row r="2744" spans="17:17" x14ac:dyDescent="0.35">
      <c r="Q2744" s="83"/>
    </row>
    <row r="2745" spans="17:17" x14ac:dyDescent="0.35">
      <c r="Q2745" s="83"/>
    </row>
    <row r="2746" spans="17:17" x14ac:dyDescent="0.35">
      <c r="Q2746" s="83"/>
    </row>
    <row r="2747" spans="17:17" x14ac:dyDescent="0.35">
      <c r="Q2747" s="83"/>
    </row>
    <row r="2748" spans="17:17" x14ac:dyDescent="0.35">
      <c r="Q2748" s="83"/>
    </row>
    <row r="2749" spans="17:17" x14ac:dyDescent="0.35">
      <c r="Q2749" s="83"/>
    </row>
    <row r="2750" spans="17:17" x14ac:dyDescent="0.35">
      <c r="Q2750" s="83"/>
    </row>
    <row r="2751" spans="17:17" x14ac:dyDescent="0.35">
      <c r="Q2751" s="83"/>
    </row>
    <row r="2752" spans="17:17" x14ac:dyDescent="0.35">
      <c r="Q2752" s="83"/>
    </row>
    <row r="2753" spans="17:17" x14ac:dyDescent="0.35">
      <c r="Q2753" s="83"/>
    </row>
    <row r="2754" spans="17:17" x14ac:dyDescent="0.35">
      <c r="Q2754" s="83"/>
    </row>
    <row r="2755" spans="17:17" x14ac:dyDescent="0.35">
      <c r="Q2755" s="83"/>
    </row>
    <row r="2756" spans="17:17" x14ac:dyDescent="0.35">
      <c r="Q2756" s="83"/>
    </row>
    <row r="2757" spans="17:17" x14ac:dyDescent="0.35">
      <c r="Q2757" s="83"/>
    </row>
    <row r="2758" spans="17:17" x14ac:dyDescent="0.35">
      <c r="Q2758" s="83"/>
    </row>
    <row r="2759" spans="17:17" x14ac:dyDescent="0.35">
      <c r="Q2759" s="83"/>
    </row>
    <row r="2760" spans="17:17" x14ac:dyDescent="0.35">
      <c r="Q2760" s="83"/>
    </row>
    <row r="2761" spans="17:17" x14ac:dyDescent="0.35">
      <c r="Q2761" s="83"/>
    </row>
    <row r="2762" spans="17:17" x14ac:dyDescent="0.35">
      <c r="Q2762" s="83"/>
    </row>
    <row r="2763" spans="17:17" x14ac:dyDescent="0.35">
      <c r="Q2763" s="83"/>
    </row>
    <row r="2764" spans="17:17" x14ac:dyDescent="0.35">
      <c r="Q2764" s="83"/>
    </row>
    <row r="2765" spans="17:17" x14ac:dyDescent="0.35">
      <c r="Q2765" s="83"/>
    </row>
    <row r="2766" spans="17:17" x14ac:dyDescent="0.35">
      <c r="Q2766" s="83"/>
    </row>
    <row r="2767" spans="17:17" x14ac:dyDescent="0.35">
      <c r="Q2767" s="83"/>
    </row>
    <row r="2768" spans="17:17" x14ac:dyDescent="0.35">
      <c r="Q2768" s="83"/>
    </row>
    <row r="2769" spans="17:17" x14ac:dyDescent="0.35">
      <c r="Q2769" s="83"/>
    </row>
    <row r="2770" spans="17:17" x14ac:dyDescent="0.35">
      <c r="Q2770" s="83"/>
    </row>
    <row r="2771" spans="17:17" x14ac:dyDescent="0.35">
      <c r="Q2771" s="83"/>
    </row>
    <row r="2772" spans="17:17" x14ac:dyDescent="0.35">
      <c r="Q2772" s="83"/>
    </row>
    <row r="2773" spans="17:17" x14ac:dyDescent="0.35">
      <c r="Q2773" s="83"/>
    </row>
    <row r="2774" spans="17:17" x14ac:dyDescent="0.35">
      <c r="Q2774" s="83"/>
    </row>
    <row r="2775" spans="17:17" x14ac:dyDescent="0.35">
      <c r="Q2775" s="83"/>
    </row>
    <row r="2776" spans="17:17" x14ac:dyDescent="0.35">
      <c r="Q2776" s="83"/>
    </row>
    <row r="2777" spans="17:17" x14ac:dyDescent="0.35">
      <c r="Q2777" s="83"/>
    </row>
    <row r="2778" spans="17:17" x14ac:dyDescent="0.35">
      <c r="Q2778" s="83"/>
    </row>
    <row r="2779" spans="17:17" x14ac:dyDescent="0.35">
      <c r="Q2779" s="83"/>
    </row>
    <row r="2780" spans="17:17" x14ac:dyDescent="0.35">
      <c r="Q2780" s="83"/>
    </row>
    <row r="2781" spans="17:17" x14ac:dyDescent="0.35">
      <c r="Q2781" s="83"/>
    </row>
    <row r="2782" spans="17:17" x14ac:dyDescent="0.35">
      <c r="Q2782" s="83"/>
    </row>
    <row r="2783" spans="17:17" x14ac:dyDescent="0.35">
      <c r="Q2783" s="83"/>
    </row>
    <row r="2784" spans="17:17" x14ac:dyDescent="0.35">
      <c r="Q2784" s="83"/>
    </row>
    <row r="2785" spans="17:17" x14ac:dyDescent="0.35">
      <c r="Q2785" s="83"/>
    </row>
    <row r="2786" spans="17:17" x14ac:dyDescent="0.35">
      <c r="Q2786" s="83"/>
    </row>
    <row r="2787" spans="17:17" x14ac:dyDescent="0.35">
      <c r="Q2787" s="83"/>
    </row>
    <row r="2788" spans="17:17" x14ac:dyDescent="0.35">
      <c r="Q2788" s="83"/>
    </row>
    <row r="2789" spans="17:17" x14ac:dyDescent="0.35">
      <c r="Q2789" s="83"/>
    </row>
    <row r="2790" spans="17:17" x14ac:dyDescent="0.35">
      <c r="Q2790" s="83"/>
    </row>
    <row r="2791" spans="17:17" x14ac:dyDescent="0.35">
      <c r="Q2791" s="83"/>
    </row>
    <row r="2792" spans="17:17" x14ac:dyDescent="0.35">
      <c r="Q2792" s="83"/>
    </row>
    <row r="2793" spans="17:17" x14ac:dyDescent="0.35">
      <c r="Q2793" s="83"/>
    </row>
    <row r="2794" spans="17:17" x14ac:dyDescent="0.35">
      <c r="Q2794" s="83"/>
    </row>
    <row r="2795" spans="17:17" x14ac:dyDescent="0.35">
      <c r="Q2795" s="83"/>
    </row>
    <row r="2796" spans="17:17" x14ac:dyDescent="0.35">
      <c r="Q2796" s="83"/>
    </row>
    <row r="2797" spans="17:17" x14ac:dyDescent="0.35">
      <c r="Q2797" s="83"/>
    </row>
    <row r="2798" spans="17:17" x14ac:dyDescent="0.35">
      <c r="Q2798" s="83"/>
    </row>
    <row r="2799" spans="17:17" x14ac:dyDescent="0.35">
      <c r="Q2799" s="83"/>
    </row>
    <row r="2800" spans="17:17" x14ac:dyDescent="0.35">
      <c r="Q2800" s="83"/>
    </row>
    <row r="2801" spans="17:17" x14ac:dyDescent="0.35">
      <c r="Q2801" s="83"/>
    </row>
    <row r="2802" spans="17:17" x14ac:dyDescent="0.35">
      <c r="Q2802" s="83"/>
    </row>
    <row r="2803" spans="17:17" x14ac:dyDescent="0.35">
      <c r="Q2803" s="83"/>
    </row>
    <row r="2804" spans="17:17" x14ac:dyDescent="0.35">
      <c r="Q2804" s="83"/>
    </row>
    <row r="2805" spans="17:17" x14ac:dyDescent="0.35">
      <c r="Q2805" s="83"/>
    </row>
    <row r="2806" spans="17:17" x14ac:dyDescent="0.35">
      <c r="Q2806" s="83"/>
    </row>
    <row r="2807" spans="17:17" x14ac:dyDescent="0.35">
      <c r="Q2807" s="83"/>
    </row>
    <row r="2808" spans="17:17" x14ac:dyDescent="0.35">
      <c r="Q2808" s="83"/>
    </row>
    <row r="2809" spans="17:17" x14ac:dyDescent="0.35">
      <c r="Q2809" s="83"/>
    </row>
    <row r="2810" spans="17:17" x14ac:dyDescent="0.35">
      <c r="Q2810" s="83"/>
    </row>
    <row r="2811" spans="17:17" x14ac:dyDescent="0.35">
      <c r="Q2811" s="83"/>
    </row>
    <row r="2812" spans="17:17" x14ac:dyDescent="0.35">
      <c r="Q2812" s="83"/>
    </row>
    <row r="2813" spans="17:17" x14ac:dyDescent="0.35">
      <c r="Q2813" s="83"/>
    </row>
    <row r="2814" spans="17:17" x14ac:dyDescent="0.35">
      <c r="Q2814" s="83"/>
    </row>
    <row r="2815" spans="17:17" x14ac:dyDescent="0.35">
      <c r="Q2815" s="83"/>
    </row>
    <row r="2816" spans="17:17" x14ac:dyDescent="0.35">
      <c r="Q2816" s="83"/>
    </row>
    <row r="2817" spans="17:17" x14ac:dyDescent="0.35">
      <c r="Q2817" s="83"/>
    </row>
    <row r="2818" spans="17:17" x14ac:dyDescent="0.35">
      <c r="Q2818" s="83"/>
    </row>
    <row r="2819" spans="17:17" x14ac:dyDescent="0.35">
      <c r="Q2819" s="83"/>
    </row>
    <row r="2820" spans="17:17" x14ac:dyDescent="0.35">
      <c r="Q2820" s="83"/>
    </row>
    <row r="2821" spans="17:17" x14ac:dyDescent="0.35">
      <c r="Q2821" s="83"/>
    </row>
    <row r="2822" spans="17:17" x14ac:dyDescent="0.35">
      <c r="Q2822" s="83"/>
    </row>
    <row r="2823" spans="17:17" x14ac:dyDescent="0.35">
      <c r="Q2823" s="83"/>
    </row>
    <row r="2824" spans="17:17" x14ac:dyDescent="0.35">
      <c r="Q2824" s="83"/>
    </row>
    <row r="2825" spans="17:17" x14ac:dyDescent="0.35">
      <c r="Q2825" s="83"/>
    </row>
    <row r="2826" spans="17:17" x14ac:dyDescent="0.35">
      <c r="Q2826" s="83"/>
    </row>
    <row r="2827" spans="17:17" x14ac:dyDescent="0.35">
      <c r="Q2827" s="83"/>
    </row>
    <row r="2828" spans="17:17" x14ac:dyDescent="0.35">
      <c r="Q2828" s="83"/>
    </row>
    <row r="2829" spans="17:17" x14ac:dyDescent="0.35">
      <c r="Q2829" s="83"/>
    </row>
    <row r="2830" spans="17:17" x14ac:dyDescent="0.35">
      <c r="Q2830" s="83"/>
    </row>
    <row r="2831" spans="17:17" x14ac:dyDescent="0.35">
      <c r="Q2831" s="83"/>
    </row>
    <row r="2832" spans="17:17" x14ac:dyDescent="0.35">
      <c r="Q2832" s="83"/>
    </row>
    <row r="2833" spans="17:17" x14ac:dyDescent="0.35">
      <c r="Q2833" s="83"/>
    </row>
    <row r="2834" spans="17:17" x14ac:dyDescent="0.35">
      <c r="Q2834" s="83"/>
    </row>
    <row r="2835" spans="17:17" x14ac:dyDescent="0.35">
      <c r="Q2835" s="83"/>
    </row>
    <row r="2836" spans="17:17" x14ac:dyDescent="0.35">
      <c r="Q2836" s="83"/>
    </row>
    <row r="2837" spans="17:17" x14ac:dyDescent="0.35">
      <c r="Q2837" s="83"/>
    </row>
    <row r="2838" spans="17:17" x14ac:dyDescent="0.35">
      <c r="Q2838" s="83"/>
    </row>
    <row r="2839" spans="17:17" x14ac:dyDescent="0.35">
      <c r="Q2839" s="83"/>
    </row>
    <row r="2840" spans="17:17" x14ac:dyDescent="0.35">
      <c r="Q2840" s="83"/>
    </row>
    <row r="2841" spans="17:17" x14ac:dyDescent="0.35">
      <c r="Q2841" s="83"/>
    </row>
    <row r="2842" spans="17:17" x14ac:dyDescent="0.35">
      <c r="Q2842" s="83"/>
    </row>
    <row r="2843" spans="17:17" x14ac:dyDescent="0.35">
      <c r="Q2843" s="83"/>
    </row>
    <row r="2844" spans="17:17" x14ac:dyDescent="0.35">
      <c r="Q2844" s="83"/>
    </row>
    <row r="2845" spans="17:17" x14ac:dyDescent="0.35">
      <c r="Q2845" s="83"/>
    </row>
    <row r="2846" spans="17:17" x14ac:dyDescent="0.35">
      <c r="Q2846" s="83"/>
    </row>
    <row r="2847" spans="17:17" x14ac:dyDescent="0.35">
      <c r="Q2847" s="83"/>
    </row>
    <row r="2848" spans="17:17" x14ac:dyDescent="0.35">
      <c r="Q2848" s="83"/>
    </row>
    <row r="2849" spans="17:17" x14ac:dyDescent="0.35">
      <c r="Q2849" s="83"/>
    </row>
    <row r="2850" spans="17:17" x14ac:dyDescent="0.35">
      <c r="Q2850" s="83"/>
    </row>
    <row r="2851" spans="17:17" x14ac:dyDescent="0.35">
      <c r="Q2851" s="83"/>
    </row>
    <row r="2852" spans="17:17" x14ac:dyDescent="0.35">
      <c r="Q2852" s="83"/>
    </row>
    <row r="2853" spans="17:17" x14ac:dyDescent="0.35">
      <c r="Q2853" s="83"/>
    </row>
    <row r="2854" spans="17:17" x14ac:dyDescent="0.35">
      <c r="Q2854" s="83"/>
    </row>
    <row r="2855" spans="17:17" x14ac:dyDescent="0.35">
      <c r="Q2855" s="83"/>
    </row>
    <row r="2856" spans="17:17" x14ac:dyDescent="0.35">
      <c r="Q2856" s="83"/>
    </row>
    <row r="2857" spans="17:17" x14ac:dyDescent="0.35">
      <c r="Q2857" s="83"/>
    </row>
    <row r="2858" spans="17:17" x14ac:dyDescent="0.35">
      <c r="Q2858" s="83"/>
    </row>
    <row r="2859" spans="17:17" x14ac:dyDescent="0.35">
      <c r="Q2859" s="83"/>
    </row>
    <row r="2860" spans="17:17" x14ac:dyDescent="0.35">
      <c r="Q2860" s="83"/>
    </row>
    <row r="2861" spans="17:17" x14ac:dyDescent="0.35">
      <c r="Q2861" s="83"/>
    </row>
    <row r="2862" spans="17:17" x14ac:dyDescent="0.35">
      <c r="Q2862" s="83"/>
    </row>
    <row r="2863" spans="17:17" x14ac:dyDescent="0.35">
      <c r="Q2863" s="83"/>
    </row>
    <row r="2864" spans="17:17" x14ac:dyDescent="0.35">
      <c r="Q2864" s="83"/>
    </row>
    <row r="2865" spans="17:17" x14ac:dyDescent="0.35">
      <c r="Q2865" s="83"/>
    </row>
    <row r="2866" spans="17:17" x14ac:dyDescent="0.35">
      <c r="Q2866" s="83"/>
    </row>
    <row r="2867" spans="17:17" x14ac:dyDescent="0.35">
      <c r="Q2867" s="83"/>
    </row>
    <row r="2868" spans="17:17" x14ac:dyDescent="0.35">
      <c r="Q2868" s="83"/>
    </row>
    <row r="2869" spans="17:17" x14ac:dyDescent="0.35">
      <c r="Q2869" s="83"/>
    </row>
    <row r="2870" spans="17:17" x14ac:dyDescent="0.35">
      <c r="Q2870" s="83"/>
    </row>
    <row r="2871" spans="17:17" x14ac:dyDescent="0.35">
      <c r="Q2871" s="83"/>
    </row>
    <row r="2872" spans="17:17" x14ac:dyDescent="0.35">
      <c r="Q2872" s="83"/>
    </row>
    <row r="2873" spans="17:17" x14ac:dyDescent="0.35">
      <c r="Q2873" s="83"/>
    </row>
    <row r="2874" spans="17:17" x14ac:dyDescent="0.35">
      <c r="Q2874" s="83"/>
    </row>
    <row r="2875" spans="17:17" x14ac:dyDescent="0.35">
      <c r="Q2875" s="83"/>
    </row>
    <row r="2876" spans="17:17" x14ac:dyDescent="0.35">
      <c r="Q2876" s="83"/>
    </row>
    <row r="2877" spans="17:17" x14ac:dyDescent="0.35">
      <c r="Q2877" s="83"/>
    </row>
    <row r="2878" spans="17:17" x14ac:dyDescent="0.35">
      <c r="Q2878" s="83"/>
    </row>
    <row r="2879" spans="17:17" x14ac:dyDescent="0.35">
      <c r="Q2879" s="83"/>
    </row>
    <row r="2880" spans="17:17" x14ac:dyDescent="0.35">
      <c r="Q2880" s="83"/>
    </row>
    <row r="2881" spans="17:17" x14ac:dyDescent="0.35">
      <c r="Q2881" s="83"/>
    </row>
    <row r="2882" spans="17:17" x14ac:dyDescent="0.35">
      <c r="Q2882" s="83"/>
    </row>
    <row r="2883" spans="17:17" x14ac:dyDescent="0.35">
      <c r="Q2883" s="83"/>
    </row>
    <row r="2884" spans="17:17" x14ac:dyDescent="0.35">
      <c r="Q2884" s="83"/>
    </row>
    <row r="2885" spans="17:17" x14ac:dyDescent="0.35">
      <c r="Q2885" s="83"/>
    </row>
    <row r="2886" spans="17:17" x14ac:dyDescent="0.35">
      <c r="Q2886" s="83"/>
    </row>
    <row r="2887" spans="17:17" x14ac:dyDescent="0.35">
      <c r="Q2887" s="83"/>
    </row>
    <row r="2888" spans="17:17" x14ac:dyDescent="0.35">
      <c r="Q2888" s="83"/>
    </row>
    <row r="2889" spans="17:17" x14ac:dyDescent="0.35">
      <c r="Q2889" s="83"/>
    </row>
    <row r="2890" spans="17:17" x14ac:dyDescent="0.35">
      <c r="Q2890" s="83"/>
    </row>
    <row r="2891" spans="17:17" x14ac:dyDescent="0.35">
      <c r="Q2891" s="83"/>
    </row>
    <row r="2892" spans="17:17" x14ac:dyDescent="0.35">
      <c r="Q2892" s="83"/>
    </row>
    <row r="2893" spans="17:17" x14ac:dyDescent="0.35">
      <c r="Q2893" s="83"/>
    </row>
    <row r="2894" spans="17:17" x14ac:dyDescent="0.35">
      <c r="Q2894" s="83"/>
    </row>
    <row r="2895" spans="17:17" x14ac:dyDescent="0.35">
      <c r="Q2895" s="83"/>
    </row>
    <row r="2896" spans="17:17" x14ac:dyDescent="0.35">
      <c r="Q2896" s="83"/>
    </row>
    <row r="2897" spans="17:17" x14ac:dyDescent="0.35">
      <c r="Q2897" s="83"/>
    </row>
    <row r="2898" spans="17:17" x14ac:dyDescent="0.35">
      <c r="Q2898" s="83"/>
    </row>
    <row r="2899" spans="17:17" x14ac:dyDescent="0.35">
      <c r="Q2899" s="83"/>
    </row>
    <row r="2900" spans="17:17" x14ac:dyDescent="0.35">
      <c r="Q2900" s="83"/>
    </row>
    <row r="2901" spans="17:17" x14ac:dyDescent="0.35">
      <c r="Q2901" s="83"/>
    </row>
    <row r="2902" spans="17:17" x14ac:dyDescent="0.35">
      <c r="Q2902" s="83"/>
    </row>
    <row r="2903" spans="17:17" x14ac:dyDescent="0.35">
      <c r="Q2903" s="83"/>
    </row>
    <row r="2904" spans="17:17" x14ac:dyDescent="0.35">
      <c r="Q2904" s="83"/>
    </row>
    <row r="2905" spans="17:17" x14ac:dyDescent="0.35">
      <c r="Q2905" s="83"/>
    </row>
    <row r="2906" spans="17:17" x14ac:dyDescent="0.35">
      <c r="Q2906" s="83"/>
    </row>
    <row r="2907" spans="17:17" x14ac:dyDescent="0.35">
      <c r="Q2907" s="83"/>
    </row>
    <row r="2908" spans="17:17" x14ac:dyDescent="0.35">
      <c r="Q2908" s="83"/>
    </row>
    <row r="2909" spans="17:17" x14ac:dyDescent="0.35">
      <c r="Q2909" s="83"/>
    </row>
    <row r="2910" spans="17:17" x14ac:dyDescent="0.35">
      <c r="Q2910" s="83"/>
    </row>
    <row r="2911" spans="17:17" x14ac:dyDescent="0.35">
      <c r="Q2911" s="83"/>
    </row>
    <row r="2912" spans="17:17" x14ac:dyDescent="0.35">
      <c r="Q2912" s="83"/>
    </row>
    <row r="2913" spans="17:17" x14ac:dyDescent="0.35">
      <c r="Q2913" s="83"/>
    </row>
    <row r="2914" spans="17:17" x14ac:dyDescent="0.35">
      <c r="Q2914" s="83"/>
    </row>
    <row r="2915" spans="17:17" x14ac:dyDescent="0.35">
      <c r="Q2915" s="83"/>
    </row>
    <row r="2916" spans="17:17" x14ac:dyDescent="0.35">
      <c r="Q2916" s="83"/>
    </row>
    <row r="2917" spans="17:17" x14ac:dyDescent="0.35">
      <c r="Q2917" s="83"/>
    </row>
    <row r="2918" spans="17:17" x14ac:dyDescent="0.35">
      <c r="Q2918" s="83"/>
    </row>
    <row r="2919" spans="17:17" x14ac:dyDescent="0.35">
      <c r="Q2919" s="83"/>
    </row>
    <row r="2920" spans="17:17" x14ac:dyDescent="0.35">
      <c r="Q2920" s="83"/>
    </row>
    <row r="2921" spans="17:17" x14ac:dyDescent="0.35">
      <c r="Q2921" s="83"/>
    </row>
    <row r="2922" spans="17:17" x14ac:dyDescent="0.35">
      <c r="Q2922" s="83"/>
    </row>
    <row r="2923" spans="17:17" x14ac:dyDescent="0.35">
      <c r="Q2923" s="83"/>
    </row>
    <row r="2924" spans="17:17" x14ac:dyDescent="0.35">
      <c r="Q2924" s="83"/>
    </row>
    <row r="2925" spans="17:17" x14ac:dyDescent="0.35">
      <c r="Q2925" s="83"/>
    </row>
    <row r="2926" spans="17:17" x14ac:dyDescent="0.35">
      <c r="Q2926" s="83"/>
    </row>
    <row r="2927" spans="17:17" x14ac:dyDescent="0.35">
      <c r="Q2927" s="83"/>
    </row>
    <row r="2928" spans="17:17" x14ac:dyDescent="0.35">
      <c r="Q2928" s="83"/>
    </row>
    <row r="2929" spans="17:17" x14ac:dyDescent="0.35">
      <c r="Q2929" s="83"/>
    </row>
    <row r="2930" spans="17:17" x14ac:dyDescent="0.35">
      <c r="Q2930" s="83"/>
    </row>
    <row r="2931" spans="17:17" x14ac:dyDescent="0.35">
      <c r="Q2931" s="83"/>
    </row>
    <row r="2932" spans="17:17" x14ac:dyDescent="0.35">
      <c r="Q2932" s="83"/>
    </row>
    <row r="2933" spans="17:17" x14ac:dyDescent="0.35">
      <c r="Q2933" s="83"/>
    </row>
    <row r="2934" spans="17:17" x14ac:dyDescent="0.35">
      <c r="Q2934" s="83"/>
    </row>
    <row r="2935" spans="17:17" x14ac:dyDescent="0.35">
      <c r="Q2935" s="83"/>
    </row>
    <row r="2936" spans="17:17" x14ac:dyDescent="0.35">
      <c r="Q2936" s="83"/>
    </row>
    <row r="2937" spans="17:17" x14ac:dyDescent="0.35">
      <c r="Q2937" s="83"/>
    </row>
    <row r="2938" spans="17:17" x14ac:dyDescent="0.35">
      <c r="Q2938" s="83"/>
    </row>
    <row r="2939" spans="17:17" x14ac:dyDescent="0.35">
      <c r="Q2939" s="83"/>
    </row>
    <row r="2940" spans="17:17" x14ac:dyDescent="0.35">
      <c r="Q2940" s="83"/>
    </row>
    <row r="2941" spans="17:17" x14ac:dyDescent="0.35">
      <c r="Q2941" s="83"/>
    </row>
    <row r="2942" spans="17:17" x14ac:dyDescent="0.35">
      <c r="Q2942" s="83"/>
    </row>
    <row r="2943" spans="17:17" x14ac:dyDescent="0.35">
      <c r="Q2943" s="83"/>
    </row>
    <row r="2944" spans="17:17" x14ac:dyDescent="0.35">
      <c r="Q2944" s="83"/>
    </row>
    <row r="2945" spans="17:17" x14ac:dyDescent="0.35">
      <c r="Q2945" s="83"/>
    </row>
    <row r="2946" spans="17:17" x14ac:dyDescent="0.35">
      <c r="Q2946" s="83"/>
    </row>
    <row r="2947" spans="17:17" x14ac:dyDescent="0.35">
      <c r="Q2947" s="83"/>
    </row>
    <row r="2948" spans="17:17" x14ac:dyDescent="0.35">
      <c r="Q2948" s="83"/>
    </row>
    <row r="2949" spans="17:17" x14ac:dyDescent="0.35">
      <c r="Q2949" s="83"/>
    </row>
    <row r="2950" spans="17:17" x14ac:dyDescent="0.35">
      <c r="Q2950" s="83"/>
    </row>
    <row r="2951" spans="17:17" x14ac:dyDescent="0.35">
      <c r="Q2951" s="83"/>
    </row>
    <row r="2952" spans="17:17" x14ac:dyDescent="0.35">
      <c r="Q2952" s="83"/>
    </row>
    <row r="2953" spans="17:17" x14ac:dyDescent="0.35">
      <c r="Q2953" s="83"/>
    </row>
    <row r="2954" spans="17:17" x14ac:dyDescent="0.35">
      <c r="Q2954" s="83"/>
    </row>
    <row r="2955" spans="17:17" x14ac:dyDescent="0.35">
      <c r="Q2955" s="83"/>
    </row>
    <row r="2956" spans="17:17" x14ac:dyDescent="0.35">
      <c r="Q2956" s="83"/>
    </row>
    <row r="2957" spans="17:17" x14ac:dyDescent="0.35">
      <c r="Q2957" s="83"/>
    </row>
    <row r="2958" spans="17:17" x14ac:dyDescent="0.35">
      <c r="Q2958" s="83"/>
    </row>
    <row r="2959" spans="17:17" x14ac:dyDescent="0.35">
      <c r="Q2959" s="83"/>
    </row>
    <row r="2960" spans="17:17" x14ac:dyDescent="0.35">
      <c r="Q2960" s="83"/>
    </row>
    <row r="2961" spans="17:17" x14ac:dyDescent="0.35">
      <c r="Q2961" s="83"/>
    </row>
    <row r="2962" spans="17:17" x14ac:dyDescent="0.35">
      <c r="Q2962" s="83"/>
    </row>
    <row r="2963" spans="17:17" x14ac:dyDescent="0.35">
      <c r="Q2963" s="83"/>
    </row>
    <row r="2964" spans="17:17" x14ac:dyDescent="0.35">
      <c r="Q2964" s="83"/>
    </row>
    <row r="2965" spans="17:17" x14ac:dyDescent="0.35">
      <c r="Q2965" s="83"/>
    </row>
    <row r="2966" spans="17:17" x14ac:dyDescent="0.35">
      <c r="Q2966" s="83"/>
    </row>
    <row r="2967" spans="17:17" x14ac:dyDescent="0.35">
      <c r="Q2967" s="83"/>
    </row>
    <row r="2968" spans="17:17" x14ac:dyDescent="0.35">
      <c r="Q2968" s="83"/>
    </row>
    <row r="2969" spans="17:17" x14ac:dyDescent="0.35">
      <c r="Q2969" s="83"/>
    </row>
    <row r="2970" spans="17:17" x14ac:dyDescent="0.35">
      <c r="Q2970" s="83"/>
    </row>
    <row r="2971" spans="17:17" x14ac:dyDescent="0.35">
      <c r="Q2971" s="83"/>
    </row>
    <row r="2972" spans="17:17" x14ac:dyDescent="0.35">
      <c r="Q2972" s="83"/>
    </row>
    <row r="2973" spans="17:17" x14ac:dyDescent="0.35">
      <c r="Q2973" s="83"/>
    </row>
    <row r="2974" spans="17:17" x14ac:dyDescent="0.35">
      <c r="Q2974" s="83"/>
    </row>
    <row r="2975" spans="17:17" x14ac:dyDescent="0.35">
      <c r="Q2975" s="83"/>
    </row>
    <row r="2976" spans="17:17" x14ac:dyDescent="0.35">
      <c r="Q2976" s="83"/>
    </row>
    <row r="2977" spans="17:17" x14ac:dyDescent="0.35">
      <c r="Q2977" s="83"/>
    </row>
    <row r="2978" spans="17:17" x14ac:dyDescent="0.35">
      <c r="Q2978" s="83"/>
    </row>
    <row r="2979" spans="17:17" x14ac:dyDescent="0.35">
      <c r="Q2979" s="83"/>
    </row>
    <row r="2980" spans="17:17" x14ac:dyDescent="0.35">
      <c r="Q2980" s="83"/>
    </row>
    <row r="2981" spans="17:17" x14ac:dyDescent="0.35">
      <c r="Q2981" s="83"/>
    </row>
    <row r="2982" spans="17:17" x14ac:dyDescent="0.35">
      <c r="Q2982" s="83"/>
    </row>
    <row r="2983" spans="17:17" x14ac:dyDescent="0.35">
      <c r="Q2983" s="83"/>
    </row>
    <row r="2984" spans="17:17" x14ac:dyDescent="0.35">
      <c r="Q2984" s="83"/>
    </row>
    <row r="2985" spans="17:17" x14ac:dyDescent="0.35">
      <c r="Q2985" s="83"/>
    </row>
    <row r="2986" spans="17:17" x14ac:dyDescent="0.35">
      <c r="Q2986" s="83"/>
    </row>
    <row r="2987" spans="17:17" x14ac:dyDescent="0.35">
      <c r="Q2987" s="83"/>
    </row>
    <row r="2988" spans="17:17" x14ac:dyDescent="0.35">
      <c r="Q2988" s="83"/>
    </row>
    <row r="2989" spans="17:17" x14ac:dyDescent="0.35">
      <c r="Q2989" s="83"/>
    </row>
    <row r="2990" spans="17:17" x14ac:dyDescent="0.35">
      <c r="Q2990" s="83"/>
    </row>
    <row r="2991" spans="17:17" x14ac:dyDescent="0.35">
      <c r="Q2991" s="83"/>
    </row>
    <row r="2992" spans="17:17" x14ac:dyDescent="0.35">
      <c r="Q2992" s="83"/>
    </row>
    <row r="2993" spans="17:17" x14ac:dyDescent="0.35">
      <c r="Q2993" s="83"/>
    </row>
    <row r="2994" spans="17:17" x14ac:dyDescent="0.35">
      <c r="Q2994" s="83"/>
    </row>
    <row r="2995" spans="17:17" x14ac:dyDescent="0.35">
      <c r="Q2995" s="83"/>
    </row>
    <row r="2996" spans="17:17" x14ac:dyDescent="0.35">
      <c r="Q2996" s="83"/>
    </row>
    <row r="2997" spans="17:17" x14ac:dyDescent="0.35">
      <c r="Q2997" s="83"/>
    </row>
    <row r="2998" spans="17:17" x14ac:dyDescent="0.35">
      <c r="Q2998" s="83"/>
    </row>
    <row r="2999" spans="17:17" x14ac:dyDescent="0.35">
      <c r="Q2999" s="83"/>
    </row>
    <row r="3000" spans="17:17" x14ac:dyDescent="0.35">
      <c r="Q3000" s="83"/>
    </row>
    <row r="3001" spans="17:17" x14ac:dyDescent="0.35">
      <c r="Q3001" s="83"/>
    </row>
    <row r="3002" spans="17:17" x14ac:dyDescent="0.35">
      <c r="Q3002" s="83"/>
    </row>
    <row r="3003" spans="17:17" x14ac:dyDescent="0.35">
      <c r="Q3003" s="83"/>
    </row>
    <row r="3004" spans="17:17" x14ac:dyDescent="0.35">
      <c r="Q3004" s="83"/>
    </row>
    <row r="3005" spans="17:17" x14ac:dyDescent="0.35">
      <c r="Q3005" s="83"/>
    </row>
    <row r="3006" spans="17:17" x14ac:dyDescent="0.35">
      <c r="Q3006" s="83"/>
    </row>
    <row r="3007" spans="17:17" x14ac:dyDescent="0.35">
      <c r="Q3007" s="83"/>
    </row>
    <row r="3008" spans="17:17" x14ac:dyDescent="0.35">
      <c r="Q3008" s="83"/>
    </row>
    <row r="3009" spans="17:17" x14ac:dyDescent="0.35">
      <c r="Q3009" s="83"/>
    </row>
    <row r="3010" spans="17:17" x14ac:dyDescent="0.35">
      <c r="Q3010" s="83"/>
    </row>
    <row r="3011" spans="17:17" x14ac:dyDescent="0.35">
      <c r="Q3011" s="83"/>
    </row>
    <row r="3012" spans="17:17" x14ac:dyDescent="0.35">
      <c r="Q3012" s="83"/>
    </row>
    <row r="3013" spans="17:17" x14ac:dyDescent="0.35">
      <c r="Q3013" s="83"/>
    </row>
    <row r="3014" spans="17:17" x14ac:dyDescent="0.35">
      <c r="Q3014" s="83"/>
    </row>
    <row r="3015" spans="17:17" x14ac:dyDescent="0.35">
      <c r="Q3015" s="83"/>
    </row>
    <row r="3016" spans="17:17" x14ac:dyDescent="0.35">
      <c r="Q3016" s="83"/>
    </row>
    <row r="3017" spans="17:17" x14ac:dyDescent="0.35">
      <c r="Q3017" s="83"/>
    </row>
    <row r="3018" spans="17:17" x14ac:dyDescent="0.35">
      <c r="Q3018" s="83"/>
    </row>
    <row r="3019" spans="17:17" x14ac:dyDescent="0.35">
      <c r="Q3019" s="83"/>
    </row>
    <row r="3020" spans="17:17" x14ac:dyDescent="0.35">
      <c r="Q3020" s="83"/>
    </row>
    <row r="3021" spans="17:17" x14ac:dyDescent="0.35">
      <c r="Q3021" s="83"/>
    </row>
    <row r="3022" spans="17:17" x14ac:dyDescent="0.35">
      <c r="Q3022" s="83"/>
    </row>
    <row r="3023" spans="17:17" x14ac:dyDescent="0.35">
      <c r="Q3023" s="83"/>
    </row>
    <row r="3024" spans="17:17" x14ac:dyDescent="0.35">
      <c r="Q3024" s="83"/>
    </row>
    <row r="3025" spans="17:17" x14ac:dyDescent="0.35">
      <c r="Q3025" s="83"/>
    </row>
    <row r="3026" spans="17:17" x14ac:dyDescent="0.35">
      <c r="Q3026" s="83"/>
    </row>
    <row r="3027" spans="17:17" x14ac:dyDescent="0.35">
      <c r="Q3027" s="83"/>
    </row>
    <row r="3028" spans="17:17" x14ac:dyDescent="0.35">
      <c r="Q3028" s="83"/>
    </row>
    <row r="3029" spans="17:17" x14ac:dyDescent="0.35">
      <c r="Q3029" s="83"/>
    </row>
    <row r="3030" spans="17:17" x14ac:dyDescent="0.35">
      <c r="Q3030" s="83"/>
    </row>
    <row r="3031" spans="17:17" x14ac:dyDescent="0.35">
      <c r="Q3031" s="83"/>
    </row>
    <row r="3032" spans="17:17" x14ac:dyDescent="0.35">
      <c r="Q3032" s="83"/>
    </row>
    <row r="3033" spans="17:17" x14ac:dyDescent="0.35">
      <c r="Q3033" s="83"/>
    </row>
    <row r="3034" spans="17:17" x14ac:dyDescent="0.35">
      <c r="Q3034" s="83"/>
    </row>
    <row r="3035" spans="17:17" x14ac:dyDescent="0.35">
      <c r="Q3035" s="83"/>
    </row>
    <row r="3036" spans="17:17" x14ac:dyDescent="0.35">
      <c r="Q3036" s="83"/>
    </row>
    <row r="3037" spans="17:17" x14ac:dyDescent="0.35">
      <c r="Q3037" s="83"/>
    </row>
    <row r="3038" spans="17:17" x14ac:dyDescent="0.35">
      <c r="Q3038" s="83"/>
    </row>
    <row r="3039" spans="17:17" x14ac:dyDescent="0.35">
      <c r="Q3039" s="83"/>
    </row>
    <row r="3040" spans="17:17" x14ac:dyDescent="0.35">
      <c r="Q3040" s="83"/>
    </row>
    <row r="3041" spans="17:17" x14ac:dyDescent="0.35">
      <c r="Q3041" s="83"/>
    </row>
    <row r="3042" spans="17:17" x14ac:dyDescent="0.35">
      <c r="Q3042" s="83"/>
    </row>
    <row r="3043" spans="17:17" x14ac:dyDescent="0.35">
      <c r="Q3043" s="83"/>
    </row>
    <row r="3044" spans="17:17" x14ac:dyDescent="0.35">
      <c r="Q3044" s="83"/>
    </row>
    <row r="3045" spans="17:17" x14ac:dyDescent="0.35">
      <c r="Q3045" s="83"/>
    </row>
    <row r="3046" spans="17:17" x14ac:dyDescent="0.35">
      <c r="Q3046" s="83"/>
    </row>
    <row r="3047" spans="17:17" x14ac:dyDescent="0.35">
      <c r="Q3047" s="83"/>
    </row>
    <row r="3048" spans="17:17" x14ac:dyDescent="0.35">
      <c r="Q3048" s="83"/>
    </row>
    <row r="3049" spans="17:17" x14ac:dyDescent="0.35">
      <c r="Q3049" s="83"/>
    </row>
    <row r="3050" spans="17:17" x14ac:dyDescent="0.35">
      <c r="Q3050" s="83"/>
    </row>
    <row r="3051" spans="17:17" x14ac:dyDescent="0.35">
      <c r="Q3051" s="83"/>
    </row>
    <row r="3052" spans="17:17" x14ac:dyDescent="0.35">
      <c r="Q3052" s="83"/>
    </row>
    <row r="3053" spans="17:17" x14ac:dyDescent="0.35">
      <c r="Q3053" s="83"/>
    </row>
    <row r="3054" spans="17:17" x14ac:dyDescent="0.35">
      <c r="Q3054" s="83"/>
    </row>
    <row r="3055" spans="17:17" x14ac:dyDescent="0.35">
      <c r="Q3055" s="83"/>
    </row>
    <row r="3056" spans="17:17" x14ac:dyDescent="0.35">
      <c r="Q3056" s="83"/>
    </row>
    <row r="3057" spans="17:17" x14ac:dyDescent="0.35">
      <c r="Q3057" s="83"/>
    </row>
    <row r="3058" spans="17:17" x14ac:dyDescent="0.35">
      <c r="Q3058" s="83"/>
    </row>
    <row r="3059" spans="17:17" x14ac:dyDescent="0.35">
      <c r="Q3059" s="83"/>
    </row>
    <row r="3060" spans="17:17" x14ac:dyDescent="0.35">
      <c r="Q3060" s="83"/>
    </row>
    <row r="3061" spans="17:17" x14ac:dyDescent="0.35">
      <c r="Q3061" s="83"/>
    </row>
    <row r="3062" spans="17:17" x14ac:dyDescent="0.35">
      <c r="Q3062" s="83"/>
    </row>
    <row r="3063" spans="17:17" x14ac:dyDescent="0.35">
      <c r="Q3063" s="83"/>
    </row>
    <row r="3064" spans="17:17" x14ac:dyDescent="0.35">
      <c r="Q3064" s="83"/>
    </row>
    <row r="3065" spans="17:17" x14ac:dyDescent="0.35">
      <c r="Q3065" s="83"/>
    </row>
    <row r="3066" spans="17:17" x14ac:dyDescent="0.35">
      <c r="Q3066" s="83"/>
    </row>
    <row r="3067" spans="17:17" x14ac:dyDescent="0.35">
      <c r="Q3067" s="83"/>
    </row>
    <row r="3068" spans="17:17" x14ac:dyDescent="0.35">
      <c r="Q3068" s="83"/>
    </row>
    <row r="3069" spans="17:17" x14ac:dyDescent="0.35">
      <c r="Q3069" s="83"/>
    </row>
    <row r="3070" spans="17:17" x14ac:dyDescent="0.35">
      <c r="Q3070" s="83"/>
    </row>
    <row r="3071" spans="17:17" x14ac:dyDescent="0.35">
      <c r="Q3071" s="83"/>
    </row>
    <row r="3072" spans="17:17" x14ac:dyDescent="0.35">
      <c r="Q3072" s="83"/>
    </row>
    <row r="3073" spans="17:17" x14ac:dyDescent="0.35">
      <c r="Q3073" s="83"/>
    </row>
    <row r="3074" spans="17:17" x14ac:dyDescent="0.35">
      <c r="Q3074" s="83"/>
    </row>
    <row r="3075" spans="17:17" x14ac:dyDescent="0.35">
      <c r="Q3075" s="83"/>
    </row>
    <row r="3076" spans="17:17" x14ac:dyDescent="0.35">
      <c r="Q3076" s="83"/>
    </row>
    <row r="3077" spans="17:17" x14ac:dyDescent="0.35">
      <c r="Q3077" s="83"/>
    </row>
    <row r="3078" spans="17:17" x14ac:dyDescent="0.35">
      <c r="Q3078" s="83"/>
    </row>
    <row r="3079" spans="17:17" x14ac:dyDescent="0.35">
      <c r="Q3079" s="83"/>
    </row>
    <row r="3080" spans="17:17" x14ac:dyDescent="0.35">
      <c r="Q3080" s="83"/>
    </row>
    <row r="3081" spans="17:17" x14ac:dyDescent="0.35">
      <c r="Q3081" s="83"/>
    </row>
    <row r="3082" spans="17:17" x14ac:dyDescent="0.35">
      <c r="Q3082" s="83"/>
    </row>
    <row r="3083" spans="17:17" x14ac:dyDescent="0.35">
      <c r="Q3083" s="83"/>
    </row>
    <row r="3084" spans="17:17" x14ac:dyDescent="0.35">
      <c r="Q3084" s="83"/>
    </row>
    <row r="3085" spans="17:17" x14ac:dyDescent="0.35">
      <c r="Q3085" s="83"/>
    </row>
    <row r="3086" spans="17:17" x14ac:dyDescent="0.35">
      <c r="Q3086" s="83"/>
    </row>
    <row r="3087" spans="17:17" x14ac:dyDescent="0.35">
      <c r="Q3087" s="83"/>
    </row>
    <row r="3088" spans="17:17" x14ac:dyDescent="0.35">
      <c r="Q3088" s="83"/>
    </row>
    <row r="3089" spans="17:17" x14ac:dyDescent="0.35">
      <c r="Q3089" s="83"/>
    </row>
    <row r="3090" spans="17:17" x14ac:dyDescent="0.35">
      <c r="Q3090" s="83"/>
    </row>
    <row r="3091" spans="17:17" x14ac:dyDescent="0.35">
      <c r="Q3091" s="83"/>
    </row>
    <row r="3092" spans="17:17" x14ac:dyDescent="0.35">
      <c r="Q3092" s="83"/>
    </row>
    <row r="3093" spans="17:17" x14ac:dyDescent="0.35">
      <c r="Q3093" s="83"/>
    </row>
    <row r="3094" spans="17:17" x14ac:dyDescent="0.35">
      <c r="Q3094" s="83"/>
    </row>
    <row r="3095" spans="17:17" x14ac:dyDescent="0.35">
      <c r="Q3095" s="83"/>
    </row>
    <row r="3096" spans="17:17" x14ac:dyDescent="0.35">
      <c r="Q3096" s="83"/>
    </row>
    <row r="3097" spans="17:17" x14ac:dyDescent="0.35">
      <c r="Q3097" s="83"/>
    </row>
    <row r="3098" spans="17:17" x14ac:dyDescent="0.35">
      <c r="Q3098" s="83"/>
    </row>
    <row r="3099" spans="17:17" x14ac:dyDescent="0.35">
      <c r="Q3099" s="83"/>
    </row>
    <row r="3100" spans="17:17" x14ac:dyDescent="0.35">
      <c r="Q3100" s="83"/>
    </row>
    <row r="3101" spans="17:17" x14ac:dyDescent="0.35">
      <c r="Q3101" s="83"/>
    </row>
    <row r="3102" spans="17:17" x14ac:dyDescent="0.35">
      <c r="Q3102" s="83"/>
    </row>
    <row r="3103" spans="17:17" x14ac:dyDescent="0.35">
      <c r="Q3103" s="83"/>
    </row>
    <row r="3104" spans="17:17" x14ac:dyDescent="0.35">
      <c r="Q3104" s="83"/>
    </row>
    <row r="3105" spans="17:17" x14ac:dyDescent="0.35">
      <c r="Q3105" s="83"/>
    </row>
    <row r="3106" spans="17:17" x14ac:dyDescent="0.35">
      <c r="Q3106" s="83"/>
    </row>
    <row r="3107" spans="17:17" x14ac:dyDescent="0.35">
      <c r="Q3107" s="83"/>
    </row>
    <row r="3108" spans="17:17" x14ac:dyDescent="0.35">
      <c r="Q3108" s="83"/>
    </row>
    <row r="3109" spans="17:17" x14ac:dyDescent="0.35">
      <c r="Q3109" s="83"/>
    </row>
    <row r="3110" spans="17:17" x14ac:dyDescent="0.35">
      <c r="Q3110" s="83"/>
    </row>
    <row r="3111" spans="17:17" x14ac:dyDescent="0.35">
      <c r="Q3111" s="83"/>
    </row>
    <row r="3112" spans="17:17" x14ac:dyDescent="0.35">
      <c r="Q3112" s="83"/>
    </row>
    <row r="3113" spans="17:17" x14ac:dyDescent="0.35">
      <c r="Q3113" s="83"/>
    </row>
    <row r="3114" spans="17:17" x14ac:dyDescent="0.35">
      <c r="Q3114" s="83"/>
    </row>
    <row r="3115" spans="17:17" x14ac:dyDescent="0.35">
      <c r="Q3115" s="83"/>
    </row>
    <row r="3116" spans="17:17" x14ac:dyDescent="0.35">
      <c r="Q3116" s="83"/>
    </row>
    <row r="3117" spans="17:17" x14ac:dyDescent="0.35">
      <c r="Q3117" s="83"/>
    </row>
    <row r="3118" spans="17:17" x14ac:dyDescent="0.35">
      <c r="Q3118" s="83"/>
    </row>
    <row r="3119" spans="17:17" x14ac:dyDescent="0.35">
      <c r="Q3119" s="83"/>
    </row>
    <row r="3120" spans="17:17" x14ac:dyDescent="0.35">
      <c r="Q3120" s="83"/>
    </row>
    <row r="3121" spans="17:17" x14ac:dyDescent="0.35">
      <c r="Q3121" s="83"/>
    </row>
    <row r="3122" spans="17:17" x14ac:dyDescent="0.35">
      <c r="Q3122" s="83"/>
    </row>
    <row r="3123" spans="17:17" x14ac:dyDescent="0.35">
      <c r="Q3123" s="83"/>
    </row>
    <row r="3124" spans="17:17" x14ac:dyDescent="0.35">
      <c r="Q3124" s="83"/>
    </row>
    <row r="3125" spans="17:17" x14ac:dyDescent="0.35">
      <c r="Q3125" s="83"/>
    </row>
    <row r="3126" spans="17:17" x14ac:dyDescent="0.35">
      <c r="Q3126" s="83"/>
    </row>
    <row r="3127" spans="17:17" x14ac:dyDescent="0.35">
      <c r="Q3127" s="83"/>
    </row>
    <row r="3128" spans="17:17" x14ac:dyDescent="0.35">
      <c r="Q3128" s="83"/>
    </row>
    <row r="3129" spans="17:17" x14ac:dyDescent="0.35">
      <c r="Q3129" s="83"/>
    </row>
    <row r="3130" spans="17:17" x14ac:dyDescent="0.35">
      <c r="Q3130" s="83"/>
    </row>
    <row r="3131" spans="17:17" x14ac:dyDescent="0.35">
      <c r="Q3131" s="83"/>
    </row>
    <row r="3132" spans="17:17" x14ac:dyDescent="0.35">
      <c r="Q3132" s="83"/>
    </row>
    <row r="3133" spans="17:17" x14ac:dyDescent="0.35">
      <c r="Q3133" s="83"/>
    </row>
    <row r="3134" spans="17:17" x14ac:dyDescent="0.35">
      <c r="Q3134" s="83"/>
    </row>
    <row r="3135" spans="17:17" x14ac:dyDescent="0.35">
      <c r="Q3135" s="83"/>
    </row>
    <row r="3136" spans="17:17" x14ac:dyDescent="0.35">
      <c r="Q3136" s="83"/>
    </row>
    <row r="3137" spans="17:17" x14ac:dyDescent="0.35">
      <c r="Q3137" s="83"/>
    </row>
    <row r="3138" spans="17:17" x14ac:dyDescent="0.35">
      <c r="Q3138" s="83"/>
    </row>
    <row r="3139" spans="17:17" x14ac:dyDescent="0.35">
      <c r="Q3139" s="83"/>
    </row>
    <row r="3140" spans="17:17" x14ac:dyDescent="0.35">
      <c r="Q3140" s="83"/>
    </row>
    <row r="3141" spans="17:17" x14ac:dyDescent="0.35">
      <c r="Q3141" s="83"/>
    </row>
    <row r="3142" spans="17:17" x14ac:dyDescent="0.35">
      <c r="Q3142" s="83"/>
    </row>
    <row r="3143" spans="17:17" x14ac:dyDescent="0.35">
      <c r="Q3143" s="83"/>
    </row>
    <row r="3144" spans="17:17" x14ac:dyDescent="0.35">
      <c r="Q3144" s="83"/>
    </row>
    <row r="3145" spans="17:17" x14ac:dyDescent="0.35">
      <c r="Q3145" s="83"/>
    </row>
    <row r="3146" spans="17:17" x14ac:dyDescent="0.35">
      <c r="Q3146" s="83"/>
    </row>
    <row r="3147" spans="17:17" x14ac:dyDescent="0.35">
      <c r="Q3147" s="83"/>
    </row>
    <row r="3148" spans="17:17" x14ac:dyDescent="0.35">
      <c r="Q3148" s="83"/>
    </row>
    <row r="3149" spans="17:17" x14ac:dyDescent="0.35">
      <c r="Q3149" s="83"/>
    </row>
    <row r="3150" spans="17:17" x14ac:dyDescent="0.35">
      <c r="Q3150" s="83"/>
    </row>
    <row r="3151" spans="17:17" x14ac:dyDescent="0.35">
      <c r="Q3151" s="83"/>
    </row>
    <row r="3152" spans="17:17" x14ac:dyDescent="0.35">
      <c r="Q3152" s="83"/>
    </row>
    <row r="3153" spans="17:17" x14ac:dyDescent="0.35">
      <c r="Q3153" s="83"/>
    </row>
    <row r="3154" spans="17:17" x14ac:dyDescent="0.35">
      <c r="Q3154" s="83"/>
    </row>
    <row r="3155" spans="17:17" x14ac:dyDescent="0.35">
      <c r="Q3155" s="83"/>
    </row>
    <row r="3156" spans="17:17" x14ac:dyDescent="0.35">
      <c r="Q3156" s="83"/>
    </row>
    <row r="3157" spans="17:17" x14ac:dyDescent="0.35">
      <c r="Q3157" s="83"/>
    </row>
    <row r="3158" spans="17:17" x14ac:dyDescent="0.35">
      <c r="Q3158" s="83"/>
    </row>
    <row r="3159" spans="17:17" x14ac:dyDescent="0.35">
      <c r="Q3159" s="83"/>
    </row>
    <row r="3160" spans="17:17" x14ac:dyDescent="0.35">
      <c r="Q3160" s="83"/>
    </row>
    <row r="3161" spans="17:17" x14ac:dyDescent="0.35">
      <c r="Q3161" s="83"/>
    </row>
    <row r="3162" spans="17:17" x14ac:dyDescent="0.35">
      <c r="Q3162" s="83"/>
    </row>
    <row r="3163" spans="17:17" x14ac:dyDescent="0.35">
      <c r="Q3163" s="83"/>
    </row>
    <row r="3164" spans="17:17" x14ac:dyDescent="0.35">
      <c r="Q3164" s="83"/>
    </row>
    <row r="3165" spans="17:17" x14ac:dyDescent="0.35">
      <c r="Q3165" s="83"/>
    </row>
    <row r="3166" spans="17:17" x14ac:dyDescent="0.35">
      <c r="Q3166" s="83"/>
    </row>
    <row r="3167" spans="17:17" x14ac:dyDescent="0.35">
      <c r="Q3167" s="83"/>
    </row>
    <row r="3168" spans="17:17" x14ac:dyDescent="0.35">
      <c r="Q3168" s="83"/>
    </row>
    <row r="3169" spans="17:17" x14ac:dyDescent="0.35">
      <c r="Q3169" s="83"/>
    </row>
    <row r="3170" spans="17:17" x14ac:dyDescent="0.35">
      <c r="Q3170" s="83"/>
    </row>
    <row r="3171" spans="17:17" x14ac:dyDescent="0.35">
      <c r="Q3171" s="83"/>
    </row>
    <row r="3172" spans="17:17" x14ac:dyDescent="0.35">
      <c r="Q3172" s="83"/>
    </row>
    <row r="3173" spans="17:17" x14ac:dyDescent="0.35">
      <c r="Q3173" s="83"/>
    </row>
    <row r="3174" spans="17:17" x14ac:dyDescent="0.35">
      <c r="Q3174" s="83"/>
    </row>
    <row r="3175" spans="17:17" x14ac:dyDescent="0.35">
      <c r="Q3175" s="83"/>
    </row>
    <row r="3176" spans="17:17" x14ac:dyDescent="0.35">
      <c r="Q3176" s="83"/>
    </row>
    <row r="3177" spans="17:17" x14ac:dyDescent="0.35">
      <c r="Q3177" s="83"/>
    </row>
    <row r="3178" spans="17:17" x14ac:dyDescent="0.35">
      <c r="Q3178" s="83"/>
    </row>
    <row r="3179" spans="17:17" x14ac:dyDescent="0.35">
      <c r="Q3179" s="83"/>
    </row>
    <row r="3180" spans="17:17" x14ac:dyDescent="0.35">
      <c r="Q3180" s="83"/>
    </row>
    <row r="3181" spans="17:17" x14ac:dyDescent="0.35">
      <c r="Q3181" s="83"/>
    </row>
    <row r="3182" spans="17:17" x14ac:dyDescent="0.35">
      <c r="Q3182" s="83"/>
    </row>
    <row r="3183" spans="17:17" x14ac:dyDescent="0.35">
      <c r="Q3183" s="83"/>
    </row>
    <row r="3184" spans="17:17" x14ac:dyDescent="0.35">
      <c r="Q3184" s="83"/>
    </row>
    <row r="3185" spans="17:17" x14ac:dyDescent="0.35">
      <c r="Q3185" s="83"/>
    </row>
    <row r="3186" spans="17:17" x14ac:dyDescent="0.35">
      <c r="Q3186" s="83"/>
    </row>
    <row r="3187" spans="17:17" x14ac:dyDescent="0.35">
      <c r="Q3187" s="83"/>
    </row>
    <row r="3188" spans="17:17" x14ac:dyDescent="0.35">
      <c r="Q3188" s="83"/>
    </row>
    <row r="3189" spans="17:17" x14ac:dyDescent="0.35">
      <c r="Q3189" s="83"/>
    </row>
    <row r="3190" spans="17:17" x14ac:dyDescent="0.35">
      <c r="Q3190" s="83"/>
    </row>
    <row r="3191" spans="17:17" x14ac:dyDescent="0.35">
      <c r="Q3191" s="83"/>
    </row>
    <row r="3192" spans="17:17" x14ac:dyDescent="0.35">
      <c r="Q3192" s="83"/>
    </row>
    <row r="3193" spans="17:17" x14ac:dyDescent="0.35">
      <c r="Q3193" s="83"/>
    </row>
    <row r="3194" spans="17:17" x14ac:dyDescent="0.35">
      <c r="Q3194" s="83"/>
    </row>
    <row r="3195" spans="17:17" x14ac:dyDescent="0.35">
      <c r="Q3195" s="83"/>
    </row>
    <row r="3196" spans="17:17" x14ac:dyDescent="0.35">
      <c r="Q3196" s="83"/>
    </row>
    <row r="3197" spans="17:17" x14ac:dyDescent="0.35">
      <c r="Q3197" s="83"/>
    </row>
    <row r="3198" spans="17:17" x14ac:dyDescent="0.35">
      <c r="Q3198" s="83"/>
    </row>
    <row r="3199" spans="17:17" x14ac:dyDescent="0.35">
      <c r="Q3199" s="83"/>
    </row>
    <row r="3200" spans="17:17" x14ac:dyDescent="0.35">
      <c r="Q3200" s="83"/>
    </row>
    <row r="3201" spans="17:17" x14ac:dyDescent="0.35">
      <c r="Q3201" s="83"/>
    </row>
    <row r="3202" spans="17:17" x14ac:dyDescent="0.35">
      <c r="Q3202" s="83"/>
    </row>
    <row r="3203" spans="17:17" x14ac:dyDescent="0.35">
      <c r="Q3203" s="83"/>
    </row>
    <row r="3204" spans="17:17" x14ac:dyDescent="0.35">
      <c r="Q3204" s="83"/>
    </row>
    <row r="3205" spans="17:17" x14ac:dyDescent="0.35">
      <c r="Q3205" s="83"/>
    </row>
    <row r="3206" spans="17:17" x14ac:dyDescent="0.35">
      <c r="Q3206" s="83"/>
    </row>
    <row r="3207" spans="17:17" x14ac:dyDescent="0.35">
      <c r="Q3207" s="83"/>
    </row>
    <row r="3208" spans="17:17" x14ac:dyDescent="0.35">
      <c r="Q3208" s="83"/>
    </row>
    <row r="3209" spans="17:17" x14ac:dyDescent="0.35">
      <c r="Q3209" s="83"/>
    </row>
    <row r="3210" spans="17:17" x14ac:dyDescent="0.35">
      <c r="Q3210" s="83"/>
    </row>
    <row r="3211" spans="17:17" x14ac:dyDescent="0.35">
      <c r="Q3211" s="83"/>
    </row>
    <row r="3212" spans="17:17" x14ac:dyDescent="0.35">
      <c r="Q3212" s="83"/>
    </row>
    <row r="3213" spans="17:17" x14ac:dyDescent="0.35">
      <c r="Q3213" s="83"/>
    </row>
    <row r="3214" spans="17:17" x14ac:dyDescent="0.35">
      <c r="Q3214" s="83"/>
    </row>
    <row r="3215" spans="17:17" x14ac:dyDescent="0.35">
      <c r="Q3215" s="83"/>
    </row>
    <row r="3216" spans="17:17" x14ac:dyDescent="0.35">
      <c r="Q3216" s="83"/>
    </row>
    <row r="3217" spans="17:17" x14ac:dyDescent="0.35">
      <c r="Q3217" s="83"/>
    </row>
    <row r="3218" spans="17:17" x14ac:dyDescent="0.35">
      <c r="Q3218" s="83"/>
    </row>
    <row r="3219" spans="17:17" x14ac:dyDescent="0.35">
      <c r="Q3219" s="83"/>
    </row>
    <row r="3220" spans="17:17" x14ac:dyDescent="0.35">
      <c r="Q3220" s="83"/>
    </row>
    <row r="3221" spans="17:17" x14ac:dyDescent="0.35">
      <c r="Q3221" s="83"/>
    </row>
    <row r="3222" spans="17:17" x14ac:dyDescent="0.35">
      <c r="Q3222" s="83"/>
    </row>
    <row r="3223" spans="17:17" x14ac:dyDescent="0.35">
      <c r="Q3223" s="83"/>
    </row>
    <row r="3224" spans="17:17" x14ac:dyDescent="0.35">
      <c r="Q3224" s="83"/>
    </row>
    <row r="3225" spans="17:17" x14ac:dyDescent="0.35">
      <c r="Q3225" s="83"/>
    </row>
    <row r="3226" spans="17:17" x14ac:dyDescent="0.35">
      <c r="Q3226" s="83"/>
    </row>
    <row r="3227" spans="17:17" x14ac:dyDescent="0.35">
      <c r="Q3227" s="83"/>
    </row>
    <row r="3228" spans="17:17" x14ac:dyDescent="0.35">
      <c r="Q3228" s="83"/>
    </row>
    <row r="3229" spans="17:17" x14ac:dyDescent="0.35">
      <c r="Q3229" s="83"/>
    </row>
    <row r="3230" spans="17:17" x14ac:dyDescent="0.35">
      <c r="Q3230" s="83"/>
    </row>
    <row r="3231" spans="17:17" x14ac:dyDescent="0.35">
      <c r="Q3231" s="83"/>
    </row>
    <row r="3232" spans="17:17" x14ac:dyDescent="0.35">
      <c r="Q3232" s="83"/>
    </row>
    <row r="3233" spans="17:17" x14ac:dyDescent="0.35">
      <c r="Q3233" s="83"/>
    </row>
    <row r="3234" spans="17:17" x14ac:dyDescent="0.35">
      <c r="Q3234" s="83"/>
    </row>
    <row r="3235" spans="17:17" x14ac:dyDescent="0.35">
      <c r="Q3235" s="83"/>
    </row>
    <row r="3236" spans="17:17" x14ac:dyDescent="0.35">
      <c r="Q3236" s="83"/>
    </row>
    <row r="3237" spans="17:17" x14ac:dyDescent="0.35">
      <c r="Q3237" s="83"/>
    </row>
    <row r="3238" spans="17:17" x14ac:dyDescent="0.35">
      <c r="Q3238" s="83"/>
    </row>
    <row r="3239" spans="17:17" x14ac:dyDescent="0.35">
      <c r="Q3239" s="83"/>
    </row>
    <row r="3240" spans="17:17" x14ac:dyDescent="0.35">
      <c r="Q3240" s="83"/>
    </row>
    <row r="3241" spans="17:17" x14ac:dyDescent="0.35">
      <c r="Q3241" s="83"/>
    </row>
    <row r="3242" spans="17:17" x14ac:dyDescent="0.35">
      <c r="Q3242" s="83"/>
    </row>
    <row r="3243" spans="17:17" x14ac:dyDescent="0.35">
      <c r="Q3243" s="83"/>
    </row>
    <row r="3244" spans="17:17" x14ac:dyDescent="0.35">
      <c r="Q3244" s="83"/>
    </row>
    <row r="3245" spans="17:17" x14ac:dyDescent="0.35">
      <c r="Q3245" s="83"/>
    </row>
    <row r="3246" spans="17:17" x14ac:dyDescent="0.35">
      <c r="Q3246" s="83"/>
    </row>
    <row r="3247" spans="17:17" x14ac:dyDescent="0.35">
      <c r="Q3247" s="83"/>
    </row>
    <row r="3248" spans="17:17" x14ac:dyDescent="0.35">
      <c r="Q3248" s="83"/>
    </row>
    <row r="3249" spans="17:17" x14ac:dyDescent="0.35">
      <c r="Q3249" s="83"/>
    </row>
    <row r="3250" spans="17:17" x14ac:dyDescent="0.35">
      <c r="Q3250" s="83"/>
    </row>
    <row r="3251" spans="17:17" x14ac:dyDescent="0.35">
      <c r="Q3251" s="83"/>
    </row>
    <row r="3252" spans="17:17" x14ac:dyDescent="0.35">
      <c r="Q3252" s="83"/>
    </row>
    <row r="3253" spans="17:17" x14ac:dyDescent="0.35">
      <c r="Q3253" s="83"/>
    </row>
    <row r="3254" spans="17:17" x14ac:dyDescent="0.35">
      <c r="Q3254" s="83"/>
    </row>
    <row r="3255" spans="17:17" x14ac:dyDescent="0.35">
      <c r="Q3255" s="83"/>
    </row>
    <row r="3256" spans="17:17" x14ac:dyDescent="0.35">
      <c r="Q3256" s="83"/>
    </row>
    <row r="3257" spans="17:17" x14ac:dyDescent="0.35">
      <c r="Q3257" s="83"/>
    </row>
    <row r="3258" spans="17:17" x14ac:dyDescent="0.35">
      <c r="Q3258" s="83"/>
    </row>
    <row r="3259" spans="17:17" x14ac:dyDescent="0.35">
      <c r="Q3259" s="83"/>
    </row>
    <row r="3260" spans="17:17" x14ac:dyDescent="0.35">
      <c r="Q3260" s="83"/>
    </row>
    <row r="3261" spans="17:17" x14ac:dyDescent="0.35">
      <c r="Q3261" s="83"/>
    </row>
    <row r="3262" spans="17:17" x14ac:dyDescent="0.35">
      <c r="Q3262" s="83"/>
    </row>
    <row r="3263" spans="17:17" x14ac:dyDescent="0.35">
      <c r="Q3263" s="83"/>
    </row>
    <row r="3264" spans="17:17" x14ac:dyDescent="0.35">
      <c r="Q3264" s="83"/>
    </row>
    <row r="3265" spans="17:17" x14ac:dyDescent="0.35">
      <c r="Q3265" s="83"/>
    </row>
    <row r="3266" spans="17:17" x14ac:dyDescent="0.35">
      <c r="Q3266" s="83"/>
    </row>
    <row r="3267" spans="17:17" x14ac:dyDescent="0.35">
      <c r="Q3267" s="83"/>
    </row>
    <row r="3268" spans="17:17" x14ac:dyDescent="0.35">
      <c r="Q3268" s="83"/>
    </row>
    <row r="3269" spans="17:17" x14ac:dyDescent="0.35">
      <c r="Q3269" s="83"/>
    </row>
    <row r="3270" spans="17:17" x14ac:dyDescent="0.35">
      <c r="Q3270" s="83"/>
    </row>
    <row r="3271" spans="17:17" x14ac:dyDescent="0.35">
      <c r="Q3271" s="83"/>
    </row>
    <row r="3272" spans="17:17" x14ac:dyDescent="0.35">
      <c r="Q3272" s="83"/>
    </row>
    <row r="3273" spans="17:17" x14ac:dyDescent="0.35">
      <c r="Q3273" s="83"/>
    </row>
    <row r="3274" spans="17:17" x14ac:dyDescent="0.35">
      <c r="Q3274" s="83"/>
    </row>
    <row r="3275" spans="17:17" x14ac:dyDescent="0.35">
      <c r="Q3275" s="83"/>
    </row>
    <row r="3276" spans="17:17" x14ac:dyDescent="0.35">
      <c r="Q3276" s="83"/>
    </row>
    <row r="3277" spans="17:17" x14ac:dyDescent="0.35">
      <c r="Q3277" s="83"/>
    </row>
    <row r="3278" spans="17:17" x14ac:dyDescent="0.35">
      <c r="Q3278" s="83"/>
    </row>
    <row r="3279" spans="17:17" x14ac:dyDescent="0.35">
      <c r="Q3279" s="83"/>
    </row>
    <row r="3280" spans="17:17" x14ac:dyDescent="0.35">
      <c r="Q3280" s="83"/>
    </row>
    <row r="3281" spans="17:17" x14ac:dyDescent="0.35">
      <c r="Q3281" s="83"/>
    </row>
    <row r="3282" spans="17:17" x14ac:dyDescent="0.35">
      <c r="Q3282" s="83"/>
    </row>
    <row r="3283" spans="17:17" x14ac:dyDescent="0.35">
      <c r="Q3283" s="83"/>
    </row>
    <row r="3284" spans="17:17" x14ac:dyDescent="0.35">
      <c r="Q3284" s="83"/>
    </row>
    <row r="3285" spans="17:17" x14ac:dyDescent="0.35">
      <c r="Q3285" s="83"/>
    </row>
    <row r="3286" spans="17:17" x14ac:dyDescent="0.35">
      <c r="Q3286" s="83"/>
    </row>
    <row r="3287" spans="17:17" x14ac:dyDescent="0.35">
      <c r="Q3287" s="83"/>
    </row>
    <row r="3288" spans="17:17" x14ac:dyDescent="0.35">
      <c r="Q3288" s="83"/>
    </row>
    <row r="3289" spans="17:17" x14ac:dyDescent="0.35">
      <c r="Q3289" s="83"/>
    </row>
    <row r="3290" spans="17:17" x14ac:dyDescent="0.35">
      <c r="Q3290" s="83"/>
    </row>
    <row r="3291" spans="17:17" x14ac:dyDescent="0.35">
      <c r="Q3291" s="83"/>
    </row>
    <row r="3292" spans="17:17" x14ac:dyDescent="0.35">
      <c r="Q3292" s="83"/>
    </row>
    <row r="3293" spans="17:17" x14ac:dyDescent="0.35">
      <c r="Q3293" s="83"/>
    </row>
    <row r="3294" spans="17:17" x14ac:dyDescent="0.35">
      <c r="Q3294" s="83"/>
    </row>
    <row r="3295" spans="17:17" x14ac:dyDescent="0.35">
      <c r="Q3295" s="83"/>
    </row>
    <row r="3296" spans="17:17" x14ac:dyDescent="0.35">
      <c r="Q3296" s="83"/>
    </row>
    <row r="3297" spans="17:17" x14ac:dyDescent="0.35">
      <c r="Q3297" s="83"/>
    </row>
    <row r="3298" spans="17:17" x14ac:dyDescent="0.35">
      <c r="Q3298" s="83"/>
    </row>
    <row r="3299" spans="17:17" x14ac:dyDescent="0.35">
      <c r="Q3299" s="83"/>
    </row>
    <row r="3300" spans="17:17" x14ac:dyDescent="0.35">
      <c r="Q3300" s="83"/>
    </row>
    <row r="3301" spans="17:17" x14ac:dyDescent="0.35">
      <c r="Q3301" s="83"/>
    </row>
    <row r="3302" spans="17:17" x14ac:dyDescent="0.35">
      <c r="Q3302" s="83"/>
    </row>
    <row r="3303" spans="17:17" x14ac:dyDescent="0.35">
      <c r="Q3303" s="83"/>
    </row>
    <row r="3304" spans="17:17" x14ac:dyDescent="0.35">
      <c r="Q3304" s="83"/>
    </row>
    <row r="3305" spans="17:17" x14ac:dyDescent="0.35">
      <c r="Q3305" s="83"/>
    </row>
    <row r="3306" spans="17:17" x14ac:dyDescent="0.35">
      <c r="Q3306" s="83"/>
    </row>
    <row r="3307" spans="17:17" x14ac:dyDescent="0.35">
      <c r="Q3307" s="83"/>
    </row>
    <row r="3308" spans="17:17" x14ac:dyDescent="0.35">
      <c r="Q3308" s="83"/>
    </row>
    <row r="3309" spans="17:17" x14ac:dyDescent="0.35">
      <c r="Q3309" s="83"/>
    </row>
    <row r="3310" spans="17:17" x14ac:dyDescent="0.35">
      <c r="Q3310" s="83"/>
    </row>
    <row r="3311" spans="17:17" x14ac:dyDescent="0.35">
      <c r="Q3311" s="83"/>
    </row>
    <row r="3312" spans="17:17" x14ac:dyDescent="0.35">
      <c r="Q3312" s="83"/>
    </row>
    <row r="3313" spans="17:17" x14ac:dyDescent="0.35">
      <c r="Q3313" s="83"/>
    </row>
    <row r="3314" spans="17:17" x14ac:dyDescent="0.35">
      <c r="Q3314" s="83"/>
    </row>
    <row r="3315" spans="17:17" x14ac:dyDescent="0.35">
      <c r="Q3315" s="83"/>
    </row>
    <row r="3316" spans="17:17" x14ac:dyDescent="0.35">
      <c r="Q3316" s="83"/>
    </row>
    <row r="3317" spans="17:17" x14ac:dyDescent="0.35">
      <c r="Q3317" s="83"/>
    </row>
    <row r="3318" spans="17:17" x14ac:dyDescent="0.35">
      <c r="Q3318" s="83"/>
    </row>
    <row r="3319" spans="17:17" x14ac:dyDescent="0.35">
      <c r="Q3319" s="83"/>
    </row>
    <row r="3320" spans="17:17" x14ac:dyDescent="0.35">
      <c r="Q3320" s="83"/>
    </row>
    <row r="3321" spans="17:17" x14ac:dyDescent="0.35">
      <c r="Q3321" s="83"/>
    </row>
    <row r="3322" spans="17:17" x14ac:dyDescent="0.35">
      <c r="Q3322" s="83"/>
    </row>
    <row r="3323" spans="17:17" x14ac:dyDescent="0.35">
      <c r="Q3323" s="83"/>
    </row>
    <row r="3324" spans="17:17" x14ac:dyDescent="0.35">
      <c r="Q3324" s="83"/>
    </row>
    <row r="3325" spans="17:17" x14ac:dyDescent="0.35">
      <c r="Q3325" s="83"/>
    </row>
    <row r="3326" spans="17:17" x14ac:dyDescent="0.35">
      <c r="Q3326" s="83"/>
    </row>
    <row r="3327" spans="17:17" x14ac:dyDescent="0.35">
      <c r="Q3327" s="83"/>
    </row>
    <row r="3328" spans="17:17" x14ac:dyDescent="0.35">
      <c r="Q3328" s="83"/>
    </row>
    <row r="3329" spans="17:17" x14ac:dyDescent="0.35">
      <c r="Q3329" s="83"/>
    </row>
    <row r="3330" spans="17:17" x14ac:dyDescent="0.35">
      <c r="Q3330" s="83"/>
    </row>
    <row r="3331" spans="17:17" x14ac:dyDescent="0.35">
      <c r="Q3331" s="83"/>
    </row>
    <row r="3332" spans="17:17" x14ac:dyDescent="0.35">
      <c r="Q3332" s="83"/>
    </row>
    <row r="3333" spans="17:17" x14ac:dyDescent="0.35">
      <c r="Q3333" s="83"/>
    </row>
    <row r="3334" spans="17:17" x14ac:dyDescent="0.35">
      <c r="Q3334" s="83"/>
    </row>
    <row r="3335" spans="17:17" x14ac:dyDescent="0.35">
      <c r="Q3335" s="83"/>
    </row>
    <row r="3336" spans="17:17" x14ac:dyDescent="0.35">
      <c r="Q3336" s="83"/>
    </row>
    <row r="3337" spans="17:17" x14ac:dyDescent="0.35">
      <c r="Q3337" s="83"/>
    </row>
    <row r="3338" spans="17:17" x14ac:dyDescent="0.35">
      <c r="Q3338" s="83"/>
    </row>
    <row r="3339" spans="17:17" x14ac:dyDescent="0.35">
      <c r="Q3339" s="83"/>
    </row>
    <row r="3340" spans="17:17" x14ac:dyDescent="0.35">
      <c r="Q3340" s="83"/>
    </row>
    <row r="3341" spans="17:17" x14ac:dyDescent="0.35">
      <c r="Q3341" s="83"/>
    </row>
    <row r="3342" spans="17:17" x14ac:dyDescent="0.35">
      <c r="Q3342" s="83"/>
    </row>
    <row r="3343" spans="17:17" x14ac:dyDescent="0.35">
      <c r="Q3343" s="83"/>
    </row>
    <row r="3344" spans="17:17" x14ac:dyDescent="0.35">
      <c r="Q3344" s="83"/>
    </row>
    <row r="3345" spans="17:17" x14ac:dyDescent="0.35">
      <c r="Q3345" s="83"/>
    </row>
    <row r="3346" spans="17:17" x14ac:dyDescent="0.35">
      <c r="Q3346" s="83"/>
    </row>
    <row r="3347" spans="17:17" x14ac:dyDescent="0.35">
      <c r="Q3347" s="83"/>
    </row>
    <row r="3348" spans="17:17" x14ac:dyDescent="0.35">
      <c r="Q3348" s="83"/>
    </row>
    <row r="3349" spans="17:17" x14ac:dyDescent="0.35">
      <c r="Q3349" s="83"/>
    </row>
    <row r="3350" spans="17:17" x14ac:dyDescent="0.35">
      <c r="Q3350" s="83"/>
    </row>
    <row r="3351" spans="17:17" x14ac:dyDescent="0.35">
      <c r="Q3351" s="83"/>
    </row>
    <row r="3352" spans="17:17" x14ac:dyDescent="0.35">
      <c r="Q3352" s="83"/>
    </row>
    <row r="3353" spans="17:17" x14ac:dyDescent="0.35">
      <c r="Q3353" s="83"/>
    </row>
    <row r="3354" spans="17:17" x14ac:dyDescent="0.35">
      <c r="Q3354" s="83"/>
    </row>
    <row r="3355" spans="17:17" x14ac:dyDescent="0.35">
      <c r="Q3355" s="83"/>
    </row>
    <row r="3356" spans="17:17" x14ac:dyDescent="0.35">
      <c r="Q3356" s="83"/>
    </row>
    <row r="3357" spans="17:17" x14ac:dyDescent="0.35">
      <c r="Q3357" s="83"/>
    </row>
    <row r="3358" spans="17:17" x14ac:dyDescent="0.35">
      <c r="Q3358" s="83"/>
    </row>
    <row r="3359" spans="17:17" x14ac:dyDescent="0.35">
      <c r="Q3359" s="83"/>
    </row>
    <row r="3360" spans="17:17" x14ac:dyDescent="0.35">
      <c r="Q3360" s="83"/>
    </row>
    <row r="3361" spans="17:17" x14ac:dyDescent="0.35">
      <c r="Q3361" s="83"/>
    </row>
    <row r="3362" spans="17:17" x14ac:dyDescent="0.35">
      <c r="Q3362" s="83"/>
    </row>
    <row r="3363" spans="17:17" x14ac:dyDescent="0.35">
      <c r="Q3363" s="83"/>
    </row>
    <row r="3364" spans="17:17" x14ac:dyDescent="0.35">
      <c r="Q3364" s="83"/>
    </row>
    <row r="3365" spans="17:17" x14ac:dyDescent="0.35">
      <c r="Q3365" s="83"/>
    </row>
    <row r="3366" spans="17:17" x14ac:dyDescent="0.35">
      <c r="Q3366" s="83"/>
    </row>
    <row r="3367" spans="17:17" x14ac:dyDescent="0.35">
      <c r="Q3367" s="83"/>
    </row>
    <row r="3368" spans="17:17" x14ac:dyDescent="0.35">
      <c r="Q3368" s="83"/>
    </row>
    <row r="3369" spans="17:17" x14ac:dyDescent="0.35">
      <c r="Q3369" s="83"/>
    </row>
    <row r="3370" spans="17:17" x14ac:dyDescent="0.35">
      <c r="Q3370" s="83"/>
    </row>
    <row r="3371" spans="17:17" x14ac:dyDescent="0.35">
      <c r="Q3371" s="83"/>
    </row>
    <row r="3372" spans="17:17" x14ac:dyDescent="0.35">
      <c r="Q3372" s="83"/>
    </row>
    <row r="3373" spans="17:17" x14ac:dyDescent="0.35">
      <c r="Q3373" s="83"/>
    </row>
    <row r="3374" spans="17:17" x14ac:dyDescent="0.35">
      <c r="Q3374" s="83"/>
    </row>
    <row r="3375" spans="17:17" x14ac:dyDescent="0.35">
      <c r="Q3375" s="83"/>
    </row>
    <row r="3376" spans="17:17" x14ac:dyDescent="0.35">
      <c r="Q3376" s="83"/>
    </row>
    <row r="3377" spans="17:17" x14ac:dyDescent="0.35">
      <c r="Q3377" s="83"/>
    </row>
    <row r="3378" spans="17:17" x14ac:dyDescent="0.35">
      <c r="Q3378" s="83"/>
    </row>
    <row r="3379" spans="17:17" x14ac:dyDescent="0.35">
      <c r="Q3379" s="83"/>
    </row>
    <row r="3380" spans="17:17" x14ac:dyDescent="0.35">
      <c r="Q3380" s="83"/>
    </row>
    <row r="3381" spans="17:17" x14ac:dyDescent="0.35">
      <c r="Q3381" s="83"/>
    </row>
    <row r="3382" spans="17:17" x14ac:dyDescent="0.35">
      <c r="Q3382" s="83"/>
    </row>
    <row r="3383" spans="17:17" x14ac:dyDescent="0.35">
      <c r="Q3383" s="83"/>
    </row>
    <row r="3384" spans="17:17" x14ac:dyDescent="0.35">
      <c r="Q3384" s="83"/>
    </row>
    <row r="3385" spans="17:17" x14ac:dyDescent="0.35">
      <c r="Q3385" s="83"/>
    </row>
    <row r="3386" spans="17:17" x14ac:dyDescent="0.35">
      <c r="Q3386" s="83"/>
    </row>
    <row r="3387" spans="17:17" x14ac:dyDescent="0.35">
      <c r="Q3387" s="83"/>
    </row>
    <row r="3388" spans="17:17" x14ac:dyDescent="0.35">
      <c r="Q3388" s="83"/>
    </row>
    <row r="3389" spans="17:17" x14ac:dyDescent="0.35">
      <c r="Q3389" s="83"/>
    </row>
    <row r="3390" spans="17:17" x14ac:dyDescent="0.35">
      <c r="Q3390" s="83"/>
    </row>
    <row r="3391" spans="17:17" x14ac:dyDescent="0.35">
      <c r="Q3391" s="83"/>
    </row>
    <row r="3392" spans="17:17" x14ac:dyDescent="0.35">
      <c r="Q3392" s="83"/>
    </row>
    <row r="3393" spans="17:17" x14ac:dyDescent="0.35">
      <c r="Q3393" s="83"/>
    </row>
    <row r="3394" spans="17:17" x14ac:dyDescent="0.35">
      <c r="Q3394" s="83"/>
    </row>
    <row r="3395" spans="17:17" x14ac:dyDescent="0.35">
      <c r="Q3395" s="83"/>
    </row>
    <row r="3396" spans="17:17" x14ac:dyDescent="0.35">
      <c r="Q3396" s="83"/>
    </row>
    <row r="3397" spans="17:17" x14ac:dyDescent="0.35">
      <c r="Q3397" s="83"/>
    </row>
    <row r="3398" spans="17:17" x14ac:dyDescent="0.35">
      <c r="Q3398" s="83"/>
    </row>
    <row r="3399" spans="17:17" x14ac:dyDescent="0.35">
      <c r="Q3399" s="83"/>
    </row>
    <row r="3400" spans="17:17" x14ac:dyDescent="0.35">
      <c r="Q3400" s="83"/>
    </row>
    <row r="3401" spans="17:17" x14ac:dyDescent="0.35">
      <c r="Q3401" s="83"/>
    </row>
    <row r="3402" spans="17:17" x14ac:dyDescent="0.35">
      <c r="Q3402" s="83"/>
    </row>
    <row r="3403" spans="17:17" x14ac:dyDescent="0.35">
      <c r="Q3403" s="83"/>
    </row>
    <row r="3404" spans="17:17" x14ac:dyDescent="0.35">
      <c r="Q3404" s="83"/>
    </row>
    <row r="3405" spans="17:17" x14ac:dyDescent="0.35">
      <c r="Q3405" s="83"/>
    </row>
    <row r="3406" spans="17:17" x14ac:dyDescent="0.35">
      <c r="Q3406" s="83"/>
    </row>
    <row r="3407" spans="17:17" x14ac:dyDescent="0.35">
      <c r="Q3407" s="83"/>
    </row>
    <row r="3408" spans="17:17" x14ac:dyDescent="0.35">
      <c r="Q3408" s="83"/>
    </row>
    <row r="3409" spans="17:17" x14ac:dyDescent="0.35">
      <c r="Q3409" s="83"/>
    </row>
    <row r="3410" spans="17:17" x14ac:dyDescent="0.35">
      <c r="Q3410" s="83"/>
    </row>
    <row r="3411" spans="17:17" x14ac:dyDescent="0.35">
      <c r="Q3411" s="83"/>
    </row>
    <row r="3412" spans="17:17" x14ac:dyDescent="0.35">
      <c r="Q3412" s="83"/>
    </row>
    <row r="3413" spans="17:17" x14ac:dyDescent="0.35">
      <c r="Q3413" s="83"/>
    </row>
    <row r="3414" spans="17:17" x14ac:dyDescent="0.35">
      <c r="Q3414" s="83"/>
    </row>
    <row r="3415" spans="17:17" x14ac:dyDescent="0.35">
      <c r="Q3415" s="83"/>
    </row>
    <row r="3416" spans="17:17" x14ac:dyDescent="0.35">
      <c r="Q3416" s="83"/>
    </row>
    <row r="3417" spans="17:17" x14ac:dyDescent="0.35">
      <c r="Q3417" s="83"/>
    </row>
    <row r="3418" spans="17:17" x14ac:dyDescent="0.35">
      <c r="Q3418" s="83"/>
    </row>
    <row r="3419" spans="17:17" x14ac:dyDescent="0.35">
      <c r="Q3419" s="83"/>
    </row>
    <row r="3420" spans="17:17" x14ac:dyDescent="0.35">
      <c r="Q3420" s="83"/>
    </row>
    <row r="3421" spans="17:17" x14ac:dyDescent="0.35">
      <c r="Q3421" s="83"/>
    </row>
    <row r="3422" spans="17:17" x14ac:dyDescent="0.35">
      <c r="Q3422" s="83"/>
    </row>
    <row r="3423" spans="17:17" x14ac:dyDescent="0.35">
      <c r="Q3423" s="83"/>
    </row>
    <row r="3424" spans="17:17" x14ac:dyDescent="0.35">
      <c r="Q3424" s="83"/>
    </row>
    <row r="3425" spans="17:17" x14ac:dyDescent="0.35">
      <c r="Q3425" s="83"/>
    </row>
    <row r="3426" spans="17:17" x14ac:dyDescent="0.35">
      <c r="Q3426" s="83"/>
    </row>
    <row r="3427" spans="17:17" x14ac:dyDescent="0.35">
      <c r="Q3427" s="83"/>
    </row>
    <row r="3428" spans="17:17" x14ac:dyDescent="0.35">
      <c r="Q3428" s="83"/>
    </row>
    <row r="3429" spans="17:17" x14ac:dyDescent="0.35">
      <c r="Q3429" s="83"/>
    </row>
    <row r="3430" spans="17:17" x14ac:dyDescent="0.35">
      <c r="Q3430" s="83"/>
    </row>
    <row r="3431" spans="17:17" x14ac:dyDescent="0.35">
      <c r="Q3431" s="83"/>
    </row>
    <row r="3432" spans="17:17" x14ac:dyDescent="0.35">
      <c r="Q3432" s="83"/>
    </row>
    <row r="3433" spans="17:17" x14ac:dyDescent="0.35">
      <c r="Q3433" s="83"/>
    </row>
    <row r="3434" spans="17:17" x14ac:dyDescent="0.35">
      <c r="Q3434" s="83"/>
    </row>
    <row r="3435" spans="17:17" x14ac:dyDescent="0.35">
      <c r="Q3435" s="83"/>
    </row>
    <row r="3436" spans="17:17" x14ac:dyDescent="0.35">
      <c r="Q3436" s="83"/>
    </row>
    <row r="3437" spans="17:17" x14ac:dyDescent="0.35">
      <c r="Q3437" s="83"/>
    </row>
    <row r="3438" spans="17:17" x14ac:dyDescent="0.35">
      <c r="Q3438" s="83"/>
    </row>
    <row r="3439" spans="17:17" x14ac:dyDescent="0.35">
      <c r="Q3439" s="83"/>
    </row>
    <row r="3440" spans="17:17" x14ac:dyDescent="0.35">
      <c r="Q3440" s="83"/>
    </row>
    <row r="3441" spans="17:17" x14ac:dyDescent="0.35">
      <c r="Q3441" s="83"/>
    </row>
    <row r="3442" spans="17:17" x14ac:dyDescent="0.35">
      <c r="Q3442" s="83"/>
    </row>
    <row r="3443" spans="17:17" x14ac:dyDescent="0.35">
      <c r="Q3443" s="83"/>
    </row>
    <row r="3444" spans="17:17" x14ac:dyDescent="0.35">
      <c r="Q3444" s="83"/>
    </row>
    <row r="3445" spans="17:17" x14ac:dyDescent="0.35">
      <c r="Q3445" s="83"/>
    </row>
    <row r="3446" spans="17:17" x14ac:dyDescent="0.35">
      <c r="Q3446" s="83"/>
    </row>
    <row r="3447" spans="17:17" x14ac:dyDescent="0.35">
      <c r="Q3447" s="83"/>
    </row>
    <row r="3448" spans="17:17" x14ac:dyDescent="0.35">
      <c r="Q3448" s="83"/>
    </row>
    <row r="3449" spans="17:17" x14ac:dyDescent="0.35">
      <c r="Q3449" s="83"/>
    </row>
    <row r="3450" spans="17:17" x14ac:dyDescent="0.35">
      <c r="Q3450" s="83"/>
    </row>
    <row r="3451" spans="17:17" x14ac:dyDescent="0.35">
      <c r="Q3451" s="83"/>
    </row>
    <row r="3452" spans="17:17" x14ac:dyDescent="0.35">
      <c r="Q3452" s="83"/>
    </row>
    <row r="3453" spans="17:17" x14ac:dyDescent="0.35">
      <c r="Q3453" s="83"/>
    </row>
    <row r="3454" spans="17:17" x14ac:dyDescent="0.35">
      <c r="Q3454" s="83"/>
    </row>
    <row r="3455" spans="17:17" x14ac:dyDescent="0.35">
      <c r="Q3455" s="83"/>
    </row>
    <row r="3456" spans="17:17" x14ac:dyDescent="0.35">
      <c r="Q3456" s="83"/>
    </row>
    <row r="3457" spans="17:17" x14ac:dyDescent="0.35">
      <c r="Q3457" s="83"/>
    </row>
    <row r="3458" spans="17:17" x14ac:dyDescent="0.35">
      <c r="Q3458" s="83"/>
    </row>
    <row r="3459" spans="17:17" x14ac:dyDescent="0.35">
      <c r="Q3459" s="83"/>
    </row>
    <row r="3460" spans="17:17" x14ac:dyDescent="0.35">
      <c r="Q3460" s="83"/>
    </row>
    <row r="3461" spans="17:17" x14ac:dyDescent="0.35">
      <c r="Q3461" s="83"/>
    </row>
    <row r="3462" spans="17:17" x14ac:dyDescent="0.35">
      <c r="Q3462" s="83"/>
    </row>
    <row r="3463" spans="17:17" x14ac:dyDescent="0.35">
      <c r="Q3463" s="83"/>
    </row>
    <row r="3464" spans="17:17" x14ac:dyDescent="0.35">
      <c r="Q3464" s="83"/>
    </row>
    <row r="3465" spans="17:17" x14ac:dyDescent="0.35">
      <c r="Q3465" s="83"/>
    </row>
    <row r="3466" spans="17:17" x14ac:dyDescent="0.35">
      <c r="Q3466" s="83"/>
    </row>
    <row r="3467" spans="17:17" x14ac:dyDescent="0.35">
      <c r="Q3467" s="83"/>
    </row>
    <row r="3468" spans="17:17" x14ac:dyDescent="0.35">
      <c r="Q3468" s="83"/>
    </row>
    <row r="3469" spans="17:17" x14ac:dyDescent="0.35">
      <c r="Q3469" s="83"/>
    </row>
    <row r="3470" spans="17:17" x14ac:dyDescent="0.35">
      <c r="Q3470" s="83"/>
    </row>
    <row r="3471" spans="17:17" x14ac:dyDescent="0.35">
      <c r="Q3471" s="83"/>
    </row>
    <row r="3472" spans="17:17" x14ac:dyDescent="0.35">
      <c r="Q3472" s="83"/>
    </row>
    <row r="3473" spans="17:17" x14ac:dyDescent="0.35">
      <c r="Q3473" s="83"/>
    </row>
    <row r="3474" spans="17:17" x14ac:dyDescent="0.35">
      <c r="Q3474" s="83"/>
    </row>
    <row r="3475" spans="17:17" x14ac:dyDescent="0.35">
      <c r="Q3475" s="83"/>
    </row>
    <row r="3476" spans="17:17" x14ac:dyDescent="0.35">
      <c r="Q3476" s="83"/>
    </row>
    <row r="3477" spans="17:17" x14ac:dyDescent="0.35">
      <c r="Q3477" s="83"/>
    </row>
    <row r="3478" spans="17:17" x14ac:dyDescent="0.35">
      <c r="Q3478" s="83"/>
    </row>
    <row r="3479" spans="17:17" x14ac:dyDescent="0.35">
      <c r="Q3479" s="83"/>
    </row>
    <row r="3480" spans="17:17" x14ac:dyDescent="0.35">
      <c r="Q3480" s="83"/>
    </row>
    <row r="3481" spans="17:17" x14ac:dyDescent="0.35">
      <c r="Q3481" s="83"/>
    </row>
    <row r="3482" spans="17:17" x14ac:dyDescent="0.35">
      <c r="Q3482" s="83"/>
    </row>
    <row r="3483" spans="17:17" x14ac:dyDescent="0.35">
      <c r="Q3483" s="83"/>
    </row>
    <row r="3484" spans="17:17" x14ac:dyDescent="0.35">
      <c r="Q3484" s="83"/>
    </row>
    <row r="3485" spans="17:17" x14ac:dyDescent="0.35">
      <c r="Q3485" s="83"/>
    </row>
    <row r="3486" spans="17:17" x14ac:dyDescent="0.35">
      <c r="Q3486" s="83"/>
    </row>
    <row r="3487" spans="17:17" x14ac:dyDescent="0.35">
      <c r="Q3487" s="83"/>
    </row>
    <row r="3488" spans="17:17" x14ac:dyDescent="0.35">
      <c r="Q3488" s="83"/>
    </row>
    <row r="3489" spans="17:17" x14ac:dyDescent="0.35">
      <c r="Q3489" s="83"/>
    </row>
    <row r="3490" spans="17:17" x14ac:dyDescent="0.35">
      <c r="Q3490" s="83"/>
    </row>
    <row r="3491" spans="17:17" x14ac:dyDescent="0.35">
      <c r="Q3491" s="83"/>
    </row>
    <row r="3492" spans="17:17" x14ac:dyDescent="0.35">
      <c r="Q3492" s="83"/>
    </row>
    <row r="3493" spans="17:17" x14ac:dyDescent="0.35">
      <c r="Q3493" s="83"/>
    </row>
    <row r="3494" spans="17:17" x14ac:dyDescent="0.35">
      <c r="Q3494" s="83"/>
    </row>
    <row r="3495" spans="17:17" x14ac:dyDescent="0.35">
      <c r="Q3495" s="83"/>
    </row>
    <row r="3496" spans="17:17" x14ac:dyDescent="0.35">
      <c r="Q3496" s="83"/>
    </row>
    <row r="3497" spans="17:17" x14ac:dyDescent="0.35">
      <c r="Q3497" s="83"/>
    </row>
    <row r="3498" spans="17:17" x14ac:dyDescent="0.35">
      <c r="Q3498" s="83"/>
    </row>
    <row r="3499" spans="17:17" x14ac:dyDescent="0.35">
      <c r="Q3499" s="83"/>
    </row>
    <row r="3500" spans="17:17" x14ac:dyDescent="0.35">
      <c r="Q3500" s="83"/>
    </row>
    <row r="3501" spans="17:17" x14ac:dyDescent="0.35">
      <c r="Q3501" s="83"/>
    </row>
    <row r="3502" spans="17:17" x14ac:dyDescent="0.35">
      <c r="Q3502" s="83"/>
    </row>
    <row r="3503" spans="17:17" x14ac:dyDescent="0.35">
      <c r="Q3503" s="83"/>
    </row>
    <row r="3504" spans="17:17" x14ac:dyDescent="0.35">
      <c r="Q3504" s="83"/>
    </row>
    <row r="3505" spans="17:17" x14ac:dyDescent="0.35">
      <c r="Q3505" s="83"/>
    </row>
    <row r="3506" spans="17:17" x14ac:dyDescent="0.35">
      <c r="Q3506" s="83"/>
    </row>
    <row r="3507" spans="17:17" x14ac:dyDescent="0.35">
      <c r="Q3507" s="83"/>
    </row>
    <row r="3508" spans="17:17" x14ac:dyDescent="0.35">
      <c r="Q3508" s="83"/>
    </row>
    <row r="3509" spans="17:17" x14ac:dyDescent="0.35">
      <c r="Q3509" s="83"/>
    </row>
    <row r="3510" spans="17:17" x14ac:dyDescent="0.35">
      <c r="Q3510" s="83"/>
    </row>
    <row r="3511" spans="17:17" x14ac:dyDescent="0.35">
      <c r="Q3511" s="83"/>
    </row>
    <row r="3512" spans="17:17" x14ac:dyDescent="0.35">
      <c r="Q3512" s="83"/>
    </row>
    <row r="3513" spans="17:17" x14ac:dyDescent="0.35">
      <c r="Q3513" s="83"/>
    </row>
    <row r="3514" spans="17:17" x14ac:dyDescent="0.35">
      <c r="Q3514" s="83"/>
    </row>
    <row r="3515" spans="17:17" x14ac:dyDescent="0.35">
      <c r="Q3515" s="83"/>
    </row>
    <row r="3516" spans="17:17" x14ac:dyDescent="0.35">
      <c r="Q3516" s="83"/>
    </row>
    <row r="3517" spans="17:17" x14ac:dyDescent="0.35">
      <c r="Q3517" s="83"/>
    </row>
    <row r="3518" spans="17:17" x14ac:dyDescent="0.35">
      <c r="Q3518" s="83"/>
    </row>
    <row r="3519" spans="17:17" x14ac:dyDescent="0.35">
      <c r="Q3519" s="83"/>
    </row>
    <row r="3520" spans="17:17" x14ac:dyDescent="0.35">
      <c r="Q3520" s="83"/>
    </row>
    <row r="3521" spans="17:17" x14ac:dyDescent="0.35">
      <c r="Q3521" s="83"/>
    </row>
    <row r="3522" spans="17:17" x14ac:dyDescent="0.35">
      <c r="Q3522" s="83"/>
    </row>
    <row r="3523" spans="17:17" x14ac:dyDescent="0.35">
      <c r="Q3523" s="83"/>
    </row>
    <row r="3524" spans="17:17" x14ac:dyDescent="0.35">
      <c r="Q3524" s="83"/>
    </row>
    <row r="3525" spans="17:17" x14ac:dyDescent="0.35">
      <c r="Q3525" s="83"/>
    </row>
    <row r="3526" spans="17:17" x14ac:dyDescent="0.35">
      <c r="Q3526" s="83"/>
    </row>
    <row r="3527" spans="17:17" x14ac:dyDescent="0.35">
      <c r="Q3527" s="83"/>
    </row>
    <row r="3528" spans="17:17" x14ac:dyDescent="0.35">
      <c r="Q3528" s="83"/>
    </row>
    <row r="3529" spans="17:17" x14ac:dyDescent="0.35">
      <c r="Q3529" s="83"/>
    </row>
    <row r="3530" spans="17:17" x14ac:dyDescent="0.35">
      <c r="Q3530" s="83"/>
    </row>
    <row r="3531" spans="17:17" x14ac:dyDescent="0.35">
      <c r="Q3531" s="83"/>
    </row>
    <row r="3532" spans="17:17" x14ac:dyDescent="0.35">
      <c r="Q3532" s="83"/>
    </row>
    <row r="3533" spans="17:17" x14ac:dyDescent="0.35">
      <c r="Q3533" s="83"/>
    </row>
    <row r="3534" spans="17:17" x14ac:dyDescent="0.35">
      <c r="Q3534" s="83"/>
    </row>
    <row r="3535" spans="17:17" x14ac:dyDescent="0.35">
      <c r="Q3535" s="83"/>
    </row>
    <row r="3536" spans="17:17" x14ac:dyDescent="0.35">
      <c r="Q3536" s="83"/>
    </row>
    <row r="3537" spans="17:17" x14ac:dyDescent="0.35">
      <c r="Q3537" s="83"/>
    </row>
    <row r="3538" spans="17:17" x14ac:dyDescent="0.35">
      <c r="Q3538" s="83"/>
    </row>
    <row r="3539" spans="17:17" x14ac:dyDescent="0.35">
      <c r="Q3539" s="83"/>
    </row>
    <row r="3540" spans="17:17" x14ac:dyDescent="0.35">
      <c r="Q3540" s="83"/>
    </row>
    <row r="3541" spans="17:17" x14ac:dyDescent="0.35">
      <c r="Q3541" s="83"/>
    </row>
    <row r="3542" spans="17:17" x14ac:dyDescent="0.35">
      <c r="Q3542" s="83"/>
    </row>
    <row r="3543" spans="17:17" x14ac:dyDescent="0.35">
      <c r="Q3543" s="83"/>
    </row>
    <row r="3544" spans="17:17" x14ac:dyDescent="0.35">
      <c r="Q3544" s="83"/>
    </row>
    <row r="3545" spans="17:17" x14ac:dyDescent="0.35">
      <c r="Q3545" s="83"/>
    </row>
    <row r="3546" spans="17:17" x14ac:dyDescent="0.35">
      <c r="Q3546" s="83"/>
    </row>
    <row r="3547" spans="17:17" x14ac:dyDescent="0.35">
      <c r="Q3547" s="83"/>
    </row>
    <row r="3548" spans="17:17" x14ac:dyDescent="0.35">
      <c r="Q3548" s="83"/>
    </row>
    <row r="3549" spans="17:17" x14ac:dyDescent="0.35">
      <c r="Q3549" s="83"/>
    </row>
    <row r="3550" spans="17:17" x14ac:dyDescent="0.35">
      <c r="Q3550" s="83"/>
    </row>
    <row r="3551" spans="17:17" x14ac:dyDescent="0.35">
      <c r="Q3551" s="83"/>
    </row>
    <row r="3552" spans="17:17" x14ac:dyDescent="0.35">
      <c r="Q3552" s="83"/>
    </row>
    <row r="3553" spans="17:17" x14ac:dyDescent="0.35">
      <c r="Q3553" s="83"/>
    </row>
    <row r="3554" spans="17:17" x14ac:dyDescent="0.35">
      <c r="Q3554" s="83"/>
    </row>
    <row r="3555" spans="17:17" x14ac:dyDescent="0.35">
      <c r="Q3555" s="83"/>
    </row>
    <row r="3556" spans="17:17" x14ac:dyDescent="0.35">
      <c r="Q3556" s="83"/>
    </row>
    <row r="3557" spans="17:17" x14ac:dyDescent="0.35">
      <c r="Q3557" s="83"/>
    </row>
    <row r="3558" spans="17:17" x14ac:dyDescent="0.35">
      <c r="Q3558" s="83"/>
    </row>
    <row r="3559" spans="17:17" x14ac:dyDescent="0.35">
      <c r="Q3559" s="83"/>
    </row>
    <row r="3560" spans="17:17" x14ac:dyDescent="0.35">
      <c r="Q3560" s="83"/>
    </row>
    <row r="3561" spans="17:17" x14ac:dyDescent="0.35">
      <c r="Q3561" s="83"/>
    </row>
    <row r="3562" spans="17:17" x14ac:dyDescent="0.35">
      <c r="Q3562" s="83"/>
    </row>
    <row r="3563" spans="17:17" x14ac:dyDescent="0.35">
      <c r="Q3563" s="83"/>
    </row>
    <row r="3564" spans="17:17" x14ac:dyDescent="0.35">
      <c r="Q3564" s="83"/>
    </row>
    <row r="3565" spans="17:17" x14ac:dyDescent="0.35">
      <c r="Q3565" s="83"/>
    </row>
    <row r="3566" spans="17:17" x14ac:dyDescent="0.35">
      <c r="Q3566" s="83"/>
    </row>
    <row r="3567" spans="17:17" x14ac:dyDescent="0.35">
      <c r="Q3567" s="83"/>
    </row>
    <row r="3568" spans="17:17" x14ac:dyDescent="0.35">
      <c r="Q3568" s="83"/>
    </row>
    <row r="3569" spans="17:17" x14ac:dyDescent="0.35">
      <c r="Q3569" s="83"/>
    </row>
    <row r="3570" spans="17:17" x14ac:dyDescent="0.35">
      <c r="Q3570" s="83"/>
    </row>
    <row r="3571" spans="17:17" x14ac:dyDescent="0.35">
      <c r="Q3571" s="83"/>
    </row>
    <row r="3572" spans="17:17" x14ac:dyDescent="0.35">
      <c r="Q3572" s="83"/>
    </row>
    <row r="3573" spans="17:17" x14ac:dyDescent="0.35">
      <c r="Q3573" s="83"/>
    </row>
    <row r="3574" spans="17:17" x14ac:dyDescent="0.35">
      <c r="Q3574" s="83"/>
    </row>
    <row r="3575" spans="17:17" x14ac:dyDescent="0.35">
      <c r="Q3575" s="83"/>
    </row>
    <row r="3576" spans="17:17" x14ac:dyDescent="0.35">
      <c r="Q3576" s="83"/>
    </row>
    <row r="3577" spans="17:17" x14ac:dyDescent="0.35">
      <c r="Q3577" s="83"/>
    </row>
    <row r="3578" spans="17:17" x14ac:dyDescent="0.35">
      <c r="Q3578" s="83"/>
    </row>
    <row r="3579" spans="17:17" x14ac:dyDescent="0.35">
      <c r="Q3579" s="83"/>
    </row>
    <row r="3580" spans="17:17" x14ac:dyDescent="0.35">
      <c r="Q3580" s="83"/>
    </row>
    <row r="3581" spans="17:17" x14ac:dyDescent="0.35">
      <c r="Q3581" s="83"/>
    </row>
    <row r="3582" spans="17:17" x14ac:dyDescent="0.35">
      <c r="Q3582" s="83"/>
    </row>
    <row r="3583" spans="17:17" x14ac:dyDescent="0.35">
      <c r="Q3583" s="83"/>
    </row>
    <row r="3584" spans="17:17" x14ac:dyDescent="0.35">
      <c r="Q3584" s="83"/>
    </row>
    <row r="3585" spans="17:17" x14ac:dyDescent="0.35">
      <c r="Q3585" s="83"/>
    </row>
    <row r="3586" spans="17:17" x14ac:dyDescent="0.35">
      <c r="Q3586" s="83"/>
    </row>
    <row r="3587" spans="17:17" x14ac:dyDescent="0.35">
      <c r="Q3587" s="83"/>
    </row>
    <row r="3588" spans="17:17" x14ac:dyDescent="0.35">
      <c r="Q3588" s="83"/>
    </row>
    <row r="3589" spans="17:17" x14ac:dyDescent="0.35">
      <c r="Q3589" s="83"/>
    </row>
    <row r="3590" spans="17:17" x14ac:dyDescent="0.35">
      <c r="Q3590" s="83"/>
    </row>
    <row r="3591" spans="17:17" x14ac:dyDescent="0.35">
      <c r="Q3591" s="83"/>
    </row>
    <row r="3592" spans="17:17" x14ac:dyDescent="0.35">
      <c r="Q3592" s="83"/>
    </row>
    <row r="3593" spans="17:17" x14ac:dyDescent="0.35">
      <c r="Q3593" s="83"/>
    </row>
    <row r="3594" spans="17:17" x14ac:dyDescent="0.35">
      <c r="Q3594" s="83"/>
    </row>
    <row r="3595" spans="17:17" x14ac:dyDescent="0.35">
      <c r="Q3595" s="83"/>
    </row>
    <row r="3596" spans="17:17" x14ac:dyDescent="0.35">
      <c r="Q3596" s="83"/>
    </row>
    <row r="3597" spans="17:17" x14ac:dyDescent="0.35">
      <c r="Q3597" s="83"/>
    </row>
    <row r="3598" spans="17:17" x14ac:dyDescent="0.35">
      <c r="Q3598" s="83"/>
    </row>
    <row r="3599" spans="17:17" x14ac:dyDescent="0.35">
      <c r="Q3599" s="83"/>
    </row>
    <row r="3600" spans="17:17" x14ac:dyDescent="0.35">
      <c r="Q3600" s="83"/>
    </row>
    <row r="3601" spans="17:17" x14ac:dyDescent="0.35">
      <c r="Q3601" s="83"/>
    </row>
    <row r="3602" spans="17:17" x14ac:dyDescent="0.35">
      <c r="Q3602" s="83"/>
    </row>
    <row r="3603" spans="17:17" x14ac:dyDescent="0.35">
      <c r="Q3603" s="83"/>
    </row>
    <row r="3604" spans="17:17" x14ac:dyDescent="0.35">
      <c r="Q3604" s="83"/>
    </row>
    <row r="3605" spans="17:17" x14ac:dyDescent="0.35">
      <c r="Q3605" s="83"/>
    </row>
    <row r="3606" spans="17:17" x14ac:dyDescent="0.35">
      <c r="Q3606" s="83"/>
    </row>
    <row r="3607" spans="17:17" x14ac:dyDescent="0.35">
      <c r="Q3607" s="83"/>
    </row>
    <row r="3608" spans="17:17" x14ac:dyDescent="0.35">
      <c r="Q3608" s="83"/>
    </row>
    <row r="3609" spans="17:17" x14ac:dyDescent="0.35">
      <c r="Q3609" s="83"/>
    </row>
    <row r="3610" spans="17:17" x14ac:dyDescent="0.35">
      <c r="Q3610" s="83"/>
    </row>
    <row r="3611" spans="17:17" x14ac:dyDescent="0.35">
      <c r="Q3611" s="83"/>
    </row>
    <row r="3612" spans="17:17" x14ac:dyDescent="0.35">
      <c r="Q3612" s="83"/>
    </row>
    <row r="3613" spans="17:17" x14ac:dyDescent="0.35">
      <c r="Q3613" s="83"/>
    </row>
    <row r="3614" spans="17:17" x14ac:dyDescent="0.35">
      <c r="Q3614" s="83"/>
    </row>
    <row r="3615" spans="17:17" x14ac:dyDescent="0.35">
      <c r="Q3615" s="83"/>
    </row>
    <row r="3616" spans="17:17" x14ac:dyDescent="0.35">
      <c r="Q3616" s="83"/>
    </row>
    <row r="3617" spans="17:17" x14ac:dyDescent="0.35">
      <c r="Q3617" s="83"/>
    </row>
    <row r="3618" spans="17:17" x14ac:dyDescent="0.35">
      <c r="Q3618" s="83"/>
    </row>
    <row r="3619" spans="17:17" x14ac:dyDescent="0.35">
      <c r="Q3619" s="83"/>
    </row>
    <row r="3620" spans="17:17" x14ac:dyDescent="0.35">
      <c r="Q3620" s="83"/>
    </row>
    <row r="3621" spans="17:17" x14ac:dyDescent="0.35">
      <c r="Q3621" s="83"/>
    </row>
    <row r="3622" spans="17:17" x14ac:dyDescent="0.35">
      <c r="Q3622" s="83"/>
    </row>
    <row r="3623" spans="17:17" x14ac:dyDescent="0.35">
      <c r="Q3623" s="83"/>
    </row>
    <row r="3624" spans="17:17" x14ac:dyDescent="0.35">
      <c r="Q3624" s="83"/>
    </row>
    <row r="3625" spans="17:17" x14ac:dyDescent="0.35">
      <c r="Q3625" s="83"/>
    </row>
    <row r="3626" spans="17:17" x14ac:dyDescent="0.35">
      <c r="Q3626" s="83"/>
    </row>
    <row r="3627" spans="17:17" x14ac:dyDescent="0.35">
      <c r="Q3627" s="83"/>
    </row>
    <row r="3628" spans="17:17" x14ac:dyDescent="0.35">
      <c r="Q3628" s="83"/>
    </row>
    <row r="3629" spans="17:17" x14ac:dyDescent="0.35">
      <c r="Q3629" s="83"/>
    </row>
    <row r="3630" spans="17:17" x14ac:dyDescent="0.35">
      <c r="Q3630" s="83"/>
    </row>
    <row r="3631" spans="17:17" x14ac:dyDescent="0.35">
      <c r="Q3631" s="83"/>
    </row>
    <row r="3632" spans="17:17" x14ac:dyDescent="0.35">
      <c r="Q3632" s="83"/>
    </row>
    <row r="3633" spans="17:17" x14ac:dyDescent="0.35">
      <c r="Q3633" s="83"/>
    </row>
    <row r="3634" spans="17:17" x14ac:dyDescent="0.35">
      <c r="Q3634" s="83"/>
    </row>
    <row r="3635" spans="17:17" x14ac:dyDescent="0.35">
      <c r="Q3635" s="83"/>
    </row>
    <row r="3636" spans="17:17" x14ac:dyDescent="0.35">
      <c r="Q3636" s="83"/>
    </row>
    <row r="3637" spans="17:17" x14ac:dyDescent="0.35">
      <c r="Q3637" s="83"/>
    </row>
    <row r="3638" spans="17:17" x14ac:dyDescent="0.35">
      <c r="Q3638" s="83"/>
    </row>
    <row r="3639" spans="17:17" x14ac:dyDescent="0.35">
      <c r="Q3639" s="83"/>
    </row>
    <row r="3640" spans="17:17" x14ac:dyDescent="0.35">
      <c r="Q3640" s="83"/>
    </row>
    <row r="3641" spans="17:17" x14ac:dyDescent="0.35">
      <c r="Q3641" s="83"/>
    </row>
    <row r="3642" spans="17:17" x14ac:dyDescent="0.35">
      <c r="Q3642" s="83"/>
    </row>
    <row r="3643" spans="17:17" x14ac:dyDescent="0.35">
      <c r="Q3643" s="83"/>
    </row>
    <row r="3644" spans="17:17" x14ac:dyDescent="0.35">
      <c r="Q3644" s="83"/>
    </row>
    <row r="3645" spans="17:17" x14ac:dyDescent="0.35">
      <c r="Q3645" s="83"/>
    </row>
    <row r="3646" spans="17:17" x14ac:dyDescent="0.35">
      <c r="Q3646" s="83"/>
    </row>
    <row r="3647" spans="17:17" x14ac:dyDescent="0.35">
      <c r="Q3647" s="83"/>
    </row>
    <row r="3648" spans="17:17" x14ac:dyDescent="0.35">
      <c r="Q3648" s="83"/>
    </row>
    <row r="3649" spans="17:17" x14ac:dyDescent="0.35">
      <c r="Q3649" s="83"/>
    </row>
    <row r="3650" spans="17:17" x14ac:dyDescent="0.35">
      <c r="Q3650" s="83"/>
    </row>
    <row r="3651" spans="17:17" x14ac:dyDescent="0.35">
      <c r="Q3651" s="83"/>
    </row>
    <row r="3652" spans="17:17" x14ac:dyDescent="0.35">
      <c r="Q3652" s="83"/>
    </row>
    <row r="3653" spans="17:17" x14ac:dyDescent="0.35">
      <c r="Q3653" s="83"/>
    </row>
    <row r="3654" spans="17:17" x14ac:dyDescent="0.35">
      <c r="Q3654" s="83"/>
    </row>
    <row r="3655" spans="17:17" x14ac:dyDescent="0.35">
      <c r="Q3655" s="83"/>
    </row>
    <row r="3656" spans="17:17" x14ac:dyDescent="0.35">
      <c r="Q3656" s="83"/>
    </row>
    <row r="3657" spans="17:17" x14ac:dyDescent="0.35">
      <c r="Q3657" s="83"/>
    </row>
    <row r="3658" spans="17:17" x14ac:dyDescent="0.35">
      <c r="Q3658" s="83"/>
    </row>
    <row r="3659" spans="17:17" x14ac:dyDescent="0.35">
      <c r="Q3659" s="83"/>
    </row>
    <row r="3660" spans="17:17" x14ac:dyDescent="0.35">
      <c r="Q3660" s="83"/>
    </row>
    <row r="3661" spans="17:17" x14ac:dyDescent="0.35">
      <c r="Q3661" s="83"/>
    </row>
    <row r="3662" spans="17:17" x14ac:dyDescent="0.35">
      <c r="Q3662" s="83"/>
    </row>
    <row r="3663" spans="17:17" x14ac:dyDescent="0.35">
      <c r="Q3663" s="83"/>
    </row>
    <row r="3664" spans="17:17" x14ac:dyDescent="0.35">
      <c r="Q3664" s="83"/>
    </row>
    <row r="3665" spans="17:17" x14ac:dyDescent="0.35">
      <c r="Q3665" s="83"/>
    </row>
    <row r="3666" spans="17:17" x14ac:dyDescent="0.35">
      <c r="Q3666" s="83"/>
    </row>
    <row r="3667" spans="17:17" x14ac:dyDescent="0.35">
      <c r="Q3667" s="83"/>
    </row>
    <row r="3668" spans="17:17" x14ac:dyDescent="0.35">
      <c r="Q3668" s="83"/>
    </row>
    <row r="3669" spans="17:17" x14ac:dyDescent="0.35">
      <c r="Q3669" s="83"/>
    </row>
    <row r="3670" spans="17:17" x14ac:dyDescent="0.35">
      <c r="Q3670" s="83"/>
    </row>
    <row r="3671" spans="17:17" x14ac:dyDescent="0.35">
      <c r="Q3671" s="83"/>
    </row>
    <row r="3672" spans="17:17" x14ac:dyDescent="0.35">
      <c r="Q3672" s="83"/>
    </row>
    <row r="3673" spans="17:17" x14ac:dyDescent="0.35">
      <c r="Q3673" s="83"/>
    </row>
    <row r="3674" spans="17:17" x14ac:dyDescent="0.35">
      <c r="Q3674" s="83"/>
    </row>
    <row r="3675" spans="17:17" x14ac:dyDescent="0.35">
      <c r="Q3675" s="83"/>
    </row>
    <row r="3676" spans="17:17" x14ac:dyDescent="0.35">
      <c r="Q3676" s="83"/>
    </row>
    <row r="3677" spans="17:17" x14ac:dyDescent="0.35">
      <c r="Q3677" s="83"/>
    </row>
    <row r="3678" spans="17:17" x14ac:dyDescent="0.35">
      <c r="Q3678" s="83"/>
    </row>
    <row r="3679" spans="17:17" x14ac:dyDescent="0.35">
      <c r="Q3679" s="83"/>
    </row>
    <row r="3680" spans="17:17" x14ac:dyDescent="0.35">
      <c r="Q3680" s="83"/>
    </row>
    <row r="3681" spans="17:17" x14ac:dyDescent="0.35">
      <c r="Q3681" s="83"/>
    </row>
    <row r="3682" spans="17:17" x14ac:dyDescent="0.35">
      <c r="Q3682" s="83"/>
    </row>
    <row r="3683" spans="17:17" x14ac:dyDescent="0.35">
      <c r="Q3683" s="83"/>
    </row>
    <row r="3684" spans="17:17" x14ac:dyDescent="0.35">
      <c r="Q3684" s="83"/>
    </row>
    <row r="3685" spans="17:17" x14ac:dyDescent="0.35">
      <c r="Q3685" s="83"/>
    </row>
    <row r="3686" spans="17:17" x14ac:dyDescent="0.35">
      <c r="Q3686" s="83"/>
    </row>
    <row r="3687" spans="17:17" x14ac:dyDescent="0.35">
      <c r="Q3687" s="83"/>
    </row>
    <row r="3688" spans="17:17" x14ac:dyDescent="0.35">
      <c r="Q3688" s="83"/>
    </row>
    <row r="3689" spans="17:17" x14ac:dyDescent="0.35">
      <c r="Q3689" s="83"/>
    </row>
    <row r="3690" spans="17:17" x14ac:dyDescent="0.35">
      <c r="Q3690" s="83"/>
    </row>
    <row r="3691" spans="17:17" x14ac:dyDescent="0.35">
      <c r="Q3691" s="83"/>
    </row>
    <row r="3692" spans="17:17" x14ac:dyDescent="0.35">
      <c r="Q3692" s="83"/>
    </row>
    <row r="3693" spans="17:17" x14ac:dyDescent="0.35">
      <c r="Q3693" s="83"/>
    </row>
    <row r="3694" spans="17:17" x14ac:dyDescent="0.35">
      <c r="Q3694" s="83"/>
    </row>
    <row r="3695" spans="17:17" x14ac:dyDescent="0.35">
      <c r="Q3695" s="83"/>
    </row>
    <row r="3696" spans="17:17" x14ac:dyDescent="0.35">
      <c r="Q3696" s="83"/>
    </row>
    <row r="3697" spans="17:17" x14ac:dyDescent="0.35">
      <c r="Q3697" s="83"/>
    </row>
    <row r="3698" spans="17:17" x14ac:dyDescent="0.35">
      <c r="Q3698" s="83"/>
    </row>
    <row r="3699" spans="17:17" x14ac:dyDescent="0.35">
      <c r="Q3699" s="83"/>
    </row>
    <row r="3700" spans="17:17" x14ac:dyDescent="0.35">
      <c r="Q3700" s="83"/>
    </row>
    <row r="3701" spans="17:17" x14ac:dyDescent="0.35">
      <c r="Q3701" s="83"/>
    </row>
    <row r="3702" spans="17:17" x14ac:dyDescent="0.35">
      <c r="Q3702" s="83"/>
    </row>
    <row r="3703" spans="17:17" x14ac:dyDescent="0.35">
      <c r="Q3703" s="83"/>
    </row>
    <row r="3704" spans="17:17" x14ac:dyDescent="0.35">
      <c r="Q3704" s="83"/>
    </row>
    <row r="3705" spans="17:17" x14ac:dyDescent="0.35">
      <c r="Q3705" s="83"/>
    </row>
    <row r="3706" spans="17:17" x14ac:dyDescent="0.35">
      <c r="Q3706" s="83"/>
    </row>
    <row r="3707" spans="17:17" x14ac:dyDescent="0.35">
      <c r="Q3707" s="83"/>
    </row>
    <row r="3708" spans="17:17" x14ac:dyDescent="0.35">
      <c r="Q3708" s="83"/>
    </row>
    <row r="3709" spans="17:17" x14ac:dyDescent="0.35">
      <c r="Q3709" s="83"/>
    </row>
    <row r="3710" spans="17:17" x14ac:dyDescent="0.35">
      <c r="Q3710" s="83"/>
    </row>
    <row r="3711" spans="17:17" x14ac:dyDescent="0.35">
      <c r="Q3711" s="83"/>
    </row>
    <row r="3712" spans="17:17" x14ac:dyDescent="0.35">
      <c r="Q3712" s="83"/>
    </row>
    <row r="3713" spans="17:17" x14ac:dyDescent="0.35">
      <c r="Q3713" s="83"/>
    </row>
    <row r="3714" spans="17:17" x14ac:dyDescent="0.35">
      <c r="Q3714" s="83"/>
    </row>
    <row r="3715" spans="17:17" x14ac:dyDescent="0.35">
      <c r="Q3715" s="83"/>
    </row>
    <row r="3716" spans="17:17" x14ac:dyDescent="0.35">
      <c r="Q3716" s="83"/>
    </row>
    <row r="3717" spans="17:17" x14ac:dyDescent="0.35">
      <c r="Q3717" s="83"/>
    </row>
    <row r="3718" spans="17:17" x14ac:dyDescent="0.35">
      <c r="Q3718" s="83"/>
    </row>
    <row r="3719" spans="17:17" x14ac:dyDescent="0.35">
      <c r="Q3719" s="83"/>
    </row>
    <row r="3720" spans="17:17" x14ac:dyDescent="0.35">
      <c r="Q3720" s="83"/>
    </row>
    <row r="3721" spans="17:17" x14ac:dyDescent="0.35">
      <c r="Q3721" s="83"/>
    </row>
    <row r="3722" spans="17:17" x14ac:dyDescent="0.35">
      <c r="Q3722" s="83"/>
    </row>
    <row r="3723" spans="17:17" x14ac:dyDescent="0.35">
      <c r="Q3723" s="83"/>
    </row>
    <row r="3724" spans="17:17" x14ac:dyDescent="0.35">
      <c r="Q3724" s="83"/>
    </row>
    <row r="3725" spans="17:17" x14ac:dyDescent="0.35">
      <c r="Q3725" s="83"/>
    </row>
    <row r="3726" spans="17:17" x14ac:dyDescent="0.35">
      <c r="Q3726" s="83"/>
    </row>
    <row r="3727" spans="17:17" x14ac:dyDescent="0.35">
      <c r="Q3727" s="83"/>
    </row>
    <row r="3728" spans="17:17" x14ac:dyDescent="0.35">
      <c r="Q3728" s="83"/>
    </row>
    <row r="3729" spans="17:17" x14ac:dyDescent="0.35">
      <c r="Q3729" s="83"/>
    </row>
    <row r="3730" spans="17:17" x14ac:dyDescent="0.35">
      <c r="Q3730" s="83"/>
    </row>
    <row r="3731" spans="17:17" x14ac:dyDescent="0.35">
      <c r="Q3731" s="83"/>
    </row>
    <row r="3732" spans="17:17" x14ac:dyDescent="0.35">
      <c r="Q3732" s="83"/>
    </row>
    <row r="3733" spans="17:17" x14ac:dyDescent="0.35">
      <c r="Q3733" s="83"/>
    </row>
    <row r="3734" spans="17:17" x14ac:dyDescent="0.35">
      <c r="Q3734" s="83"/>
    </row>
    <row r="3735" spans="17:17" x14ac:dyDescent="0.35">
      <c r="Q3735" s="83"/>
    </row>
    <row r="3736" spans="17:17" x14ac:dyDescent="0.35">
      <c r="Q3736" s="83"/>
    </row>
    <row r="3737" spans="17:17" x14ac:dyDescent="0.35">
      <c r="Q3737" s="83"/>
    </row>
    <row r="3738" spans="17:17" x14ac:dyDescent="0.35">
      <c r="Q3738" s="83"/>
    </row>
    <row r="3739" spans="17:17" x14ac:dyDescent="0.35">
      <c r="Q3739" s="83"/>
    </row>
    <row r="3740" spans="17:17" x14ac:dyDescent="0.35">
      <c r="Q3740" s="83"/>
    </row>
    <row r="3741" spans="17:17" x14ac:dyDescent="0.35">
      <c r="Q3741" s="83"/>
    </row>
    <row r="3742" spans="17:17" x14ac:dyDescent="0.35">
      <c r="Q3742" s="83"/>
    </row>
    <row r="3743" spans="17:17" x14ac:dyDescent="0.35">
      <c r="Q3743" s="83"/>
    </row>
    <row r="3744" spans="17:17" x14ac:dyDescent="0.35">
      <c r="Q3744" s="83"/>
    </row>
    <row r="3745" spans="17:17" x14ac:dyDescent="0.35">
      <c r="Q3745" s="83"/>
    </row>
    <row r="3746" spans="17:17" x14ac:dyDescent="0.35">
      <c r="Q3746" s="83"/>
    </row>
    <row r="3747" spans="17:17" x14ac:dyDescent="0.35">
      <c r="Q3747" s="83"/>
    </row>
    <row r="3748" spans="17:17" x14ac:dyDescent="0.35">
      <c r="Q3748" s="83"/>
    </row>
    <row r="3749" spans="17:17" x14ac:dyDescent="0.35">
      <c r="Q3749" s="83"/>
    </row>
    <row r="3750" spans="17:17" x14ac:dyDescent="0.35">
      <c r="Q3750" s="83"/>
    </row>
    <row r="3751" spans="17:17" x14ac:dyDescent="0.35">
      <c r="Q3751" s="83"/>
    </row>
    <row r="3752" spans="17:17" x14ac:dyDescent="0.35">
      <c r="Q3752" s="83"/>
    </row>
    <row r="3753" spans="17:17" x14ac:dyDescent="0.35">
      <c r="Q3753" s="83"/>
    </row>
    <row r="3754" spans="17:17" x14ac:dyDescent="0.35">
      <c r="Q3754" s="83"/>
    </row>
    <row r="3755" spans="17:17" x14ac:dyDescent="0.35">
      <c r="Q3755" s="83"/>
    </row>
    <row r="3756" spans="17:17" x14ac:dyDescent="0.35">
      <c r="Q3756" s="83"/>
    </row>
    <row r="3757" spans="17:17" x14ac:dyDescent="0.35">
      <c r="Q3757" s="83"/>
    </row>
    <row r="3758" spans="17:17" x14ac:dyDescent="0.35">
      <c r="Q3758" s="83"/>
    </row>
    <row r="3759" spans="17:17" x14ac:dyDescent="0.35">
      <c r="Q3759" s="83"/>
    </row>
    <row r="3760" spans="17:17" x14ac:dyDescent="0.35">
      <c r="Q3760" s="83"/>
    </row>
    <row r="3761" spans="17:17" x14ac:dyDescent="0.35">
      <c r="Q3761" s="83"/>
    </row>
    <row r="3762" spans="17:17" x14ac:dyDescent="0.35">
      <c r="Q3762" s="83"/>
    </row>
    <row r="3763" spans="17:17" x14ac:dyDescent="0.35">
      <c r="Q3763" s="83"/>
    </row>
    <row r="3764" spans="17:17" x14ac:dyDescent="0.35">
      <c r="Q3764" s="83"/>
    </row>
    <row r="3765" spans="17:17" x14ac:dyDescent="0.35">
      <c r="Q3765" s="83"/>
    </row>
    <row r="3766" spans="17:17" x14ac:dyDescent="0.35">
      <c r="Q3766" s="83"/>
    </row>
    <row r="3767" spans="17:17" x14ac:dyDescent="0.35">
      <c r="Q3767" s="83"/>
    </row>
    <row r="3768" spans="17:17" x14ac:dyDescent="0.35">
      <c r="Q3768" s="83"/>
    </row>
    <row r="3769" spans="17:17" x14ac:dyDescent="0.35">
      <c r="Q3769" s="83"/>
    </row>
    <row r="3770" spans="17:17" x14ac:dyDescent="0.35">
      <c r="Q3770" s="83"/>
    </row>
    <row r="3771" spans="17:17" x14ac:dyDescent="0.35">
      <c r="Q3771" s="83"/>
    </row>
    <row r="3772" spans="17:17" x14ac:dyDescent="0.35">
      <c r="Q3772" s="83"/>
    </row>
    <row r="3773" spans="17:17" x14ac:dyDescent="0.35">
      <c r="Q3773" s="83"/>
    </row>
    <row r="3774" spans="17:17" x14ac:dyDescent="0.35">
      <c r="Q3774" s="83"/>
    </row>
    <row r="3775" spans="17:17" x14ac:dyDescent="0.35">
      <c r="Q3775" s="83"/>
    </row>
    <row r="3776" spans="17:17" x14ac:dyDescent="0.35">
      <c r="Q3776" s="83"/>
    </row>
    <row r="3777" spans="17:17" x14ac:dyDescent="0.35">
      <c r="Q3777" s="83"/>
    </row>
    <row r="3778" spans="17:17" x14ac:dyDescent="0.35">
      <c r="Q3778" s="83"/>
    </row>
    <row r="3779" spans="17:17" x14ac:dyDescent="0.35">
      <c r="Q3779" s="83"/>
    </row>
    <row r="3780" spans="17:17" x14ac:dyDescent="0.35">
      <c r="Q3780" s="83"/>
    </row>
    <row r="3781" spans="17:17" x14ac:dyDescent="0.35">
      <c r="Q3781" s="83"/>
    </row>
    <row r="3782" spans="17:17" x14ac:dyDescent="0.35">
      <c r="Q3782" s="83"/>
    </row>
    <row r="3783" spans="17:17" x14ac:dyDescent="0.35">
      <c r="Q3783" s="83"/>
    </row>
    <row r="3784" spans="17:17" x14ac:dyDescent="0.35">
      <c r="Q3784" s="83"/>
    </row>
    <row r="3785" spans="17:17" x14ac:dyDescent="0.35">
      <c r="Q3785" s="83"/>
    </row>
    <row r="3786" spans="17:17" x14ac:dyDescent="0.35">
      <c r="Q3786" s="83"/>
    </row>
    <row r="3787" spans="17:17" x14ac:dyDescent="0.35">
      <c r="Q3787" s="83"/>
    </row>
    <row r="3788" spans="17:17" x14ac:dyDescent="0.35">
      <c r="Q3788" s="83"/>
    </row>
    <row r="3789" spans="17:17" x14ac:dyDescent="0.35">
      <c r="Q3789" s="83"/>
    </row>
    <row r="3790" spans="17:17" x14ac:dyDescent="0.35">
      <c r="Q3790" s="83"/>
    </row>
    <row r="3791" spans="17:17" x14ac:dyDescent="0.35">
      <c r="Q3791" s="83"/>
    </row>
    <row r="3792" spans="17:17" x14ac:dyDescent="0.35">
      <c r="Q3792" s="83"/>
    </row>
    <row r="3793" spans="17:17" x14ac:dyDescent="0.35">
      <c r="Q3793" s="83"/>
    </row>
    <row r="3794" spans="17:17" x14ac:dyDescent="0.35">
      <c r="Q3794" s="83"/>
    </row>
    <row r="3795" spans="17:17" x14ac:dyDescent="0.35">
      <c r="Q3795" s="83"/>
    </row>
    <row r="3796" spans="17:17" x14ac:dyDescent="0.35">
      <c r="Q3796" s="83"/>
    </row>
    <row r="3797" spans="17:17" x14ac:dyDescent="0.35">
      <c r="Q3797" s="83"/>
    </row>
    <row r="3798" spans="17:17" x14ac:dyDescent="0.35">
      <c r="Q3798" s="83"/>
    </row>
    <row r="3799" spans="17:17" x14ac:dyDescent="0.35">
      <c r="Q3799" s="83"/>
    </row>
    <row r="3800" spans="17:17" x14ac:dyDescent="0.35">
      <c r="Q3800" s="83"/>
    </row>
    <row r="3801" spans="17:17" x14ac:dyDescent="0.35">
      <c r="Q3801" s="83"/>
    </row>
    <row r="3802" spans="17:17" x14ac:dyDescent="0.35">
      <c r="Q3802" s="83"/>
    </row>
    <row r="3803" spans="17:17" x14ac:dyDescent="0.35">
      <c r="Q3803" s="83"/>
    </row>
    <row r="3804" spans="17:17" x14ac:dyDescent="0.35">
      <c r="Q3804" s="83"/>
    </row>
    <row r="3805" spans="17:17" x14ac:dyDescent="0.35">
      <c r="Q3805" s="83"/>
    </row>
    <row r="3806" spans="17:17" x14ac:dyDescent="0.35">
      <c r="Q3806" s="83"/>
    </row>
    <row r="3807" spans="17:17" x14ac:dyDescent="0.35">
      <c r="Q3807" s="83"/>
    </row>
    <row r="3808" spans="17:17" x14ac:dyDescent="0.35">
      <c r="Q3808" s="83"/>
    </row>
    <row r="3809" spans="17:17" x14ac:dyDescent="0.35">
      <c r="Q3809" s="83"/>
    </row>
    <row r="3810" spans="17:17" x14ac:dyDescent="0.35">
      <c r="Q3810" s="83"/>
    </row>
    <row r="3811" spans="17:17" x14ac:dyDescent="0.35">
      <c r="Q3811" s="83"/>
    </row>
    <row r="3812" spans="17:17" x14ac:dyDescent="0.35">
      <c r="Q3812" s="83"/>
    </row>
    <row r="3813" spans="17:17" x14ac:dyDescent="0.35">
      <c r="Q3813" s="83"/>
    </row>
    <row r="3814" spans="17:17" x14ac:dyDescent="0.35">
      <c r="Q3814" s="83"/>
    </row>
    <row r="3815" spans="17:17" x14ac:dyDescent="0.35">
      <c r="Q3815" s="83"/>
    </row>
    <row r="3816" spans="17:17" x14ac:dyDescent="0.35">
      <c r="Q3816" s="83"/>
    </row>
    <row r="3817" spans="17:17" x14ac:dyDescent="0.35">
      <c r="Q3817" s="83"/>
    </row>
    <row r="3818" spans="17:17" x14ac:dyDescent="0.35">
      <c r="Q3818" s="83"/>
    </row>
    <row r="3819" spans="17:17" x14ac:dyDescent="0.35">
      <c r="Q3819" s="83"/>
    </row>
    <row r="3820" spans="17:17" x14ac:dyDescent="0.35">
      <c r="Q3820" s="83"/>
    </row>
    <row r="3821" spans="17:17" x14ac:dyDescent="0.35">
      <c r="Q3821" s="83"/>
    </row>
    <row r="3822" spans="17:17" x14ac:dyDescent="0.35">
      <c r="Q3822" s="83"/>
    </row>
    <row r="3823" spans="17:17" x14ac:dyDescent="0.35">
      <c r="Q3823" s="83"/>
    </row>
    <row r="3824" spans="17:17" x14ac:dyDescent="0.35">
      <c r="Q3824" s="83"/>
    </row>
    <row r="3825" spans="17:17" x14ac:dyDescent="0.35">
      <c r="Q3825" s="83"/>
    </row>
    <row r="3826" spans="17:17" x14ac:dyDescent="0.35">
      <c r="Q3826" s="83"/>
    </row>
    <row r="3827" spans="17:17" x14ac:dyDescent="0.35">
      <c r="Q3827" s="83"/>
    </row>
    <row r="3828" spans="17:17" x14ac:dyDescent="0.35">
      <c r="Q3828" s="83"/>
    </row>
    <row r="3829" spans="17:17" x14ac:dyDescent="0.35">
      <c r="Q3829" s="83"/>
    </row>
    <row r="3830" spans="17:17" x14ac:dyDescent="0.35">
      <c r="Q3830" s="83"/>
    </row>
    <row r="3831" spans="17:17" x14ac:dyDescent="0.35">
      <c r="Q3831" s="83"/>
    </row>
    <row r="3832" spans="17:17" x14ac:dyDescent="0.35">
      <c r="Q3832" s="83"/>
    </row>
    <row r="3833" spans="17:17" x14ac:dyDescent="0.35">
      <c r="Q3833" s="83"/>
    </row>
    <row r="3834" spans="17:17" x14ac:dyDescent="0.35">
      <c r="Q3834" s="83"/>
    </row>
    <row r="3835" spans="17:17" x14ac:dyDescent="0.35">
      <c r="Q3835" s="83"/>
    </row>
    <row r="3836" spans="17:17" x14ac:dyDescent="0.35">
      <c r="Q3836" s="83"/>
    </row>
    <row r="3837" spans="17:17" x14ac:dyDescent="0.35">
      <c r="Q3837" s="83"/>
    </row>
    <row r="3838" spans="17:17" x14ac:dyDescent="0.35">
      <c r="Q3838" s="83"/>
    </row>
    <row r="3839" spans="17:17" x14ac:dyDescent="0.35">
      <c r="Q3839" s="83"/>
    </row>
    <row r="3840" spans="17:17" x14ac:dyDescent="0.35">
      <c r="Q3840" s="83"/>
    </row>
    <row r="3841" spans="17:17" x14ac:dyDescent="0.35">
      <c r="Q3841" s="83"/>
    </row>
    <row r="3842" spans="17:17" x14ac:dyDescent="0.35">
      <c r="Q3842" s="83"/>
    </row>
    <row r="3843" spans="17:17" x14ac:dyDescent="0.35">
      <c r="Q3843" s="83"/>
    </row>
    <row r="3844" spans="17:17" x14ac:dyDescent="0.35">
      <c r="Q3844" s="83"/>
    </row>
    <row r="3845" spans="17:17" x14ac:dyDescent="0.35">
      <c r="Q3845" s="83"/>
    </row>
    <row r="3846" spans="17:17" x14ac:dyDescent="0.35">
      <c r="Q3846" s="83"/>
    </row>
    <row r="3847" spans="17:17" x14ac:dyDescent="0.35">
      <c r="Q3847" s="83"/>
    </row>
    <row r="3848" spans="17:17" x14ac:dyDescent="0.35">
      <c r="Q3848" s="83"/>
    </row>
    <row r="3849" spans="17:17" x14ac:dyDescent="0.35">
      <c r="Q3849" s="83"/>
    </row>
    <row r="3850" spans="17:17" x14ac:dyDescent="0.35">
      <c r="Q3850" s="83"/>
    </row>
    <row r="3851" spans="17:17" x14ac:dyDescent="0.35">
      <c r="Q3851" s="83"/>
    </row>
    <row r="3852" spans="17:17" x14ac:dyDescent="0.35">
      <c r="Q3852" s="83"/>
    </row>
    <row r="3853" spans="17:17" x14ac:dyDescent="0.35">
      <c r="Q3853" s="83"/>
    </row>
    <row r="3854" spans="17:17" x14ac:dyDescent="0.35">
      <c r="Q3854" s="83"/>
    </row>
    <row r="3855" spans="17:17" x14ac:dyDescent="0.35">
      <c r="Q3855" s="83"/>
    </row>
    <row r="3856" spans="17:17" x14ac:dyDescent="0.35">
      <c r="Q3856" s="83"/>
    </row>
    <row r="3857" spans="17:17" x14ac:dyDescent="0.35">
      <c r="Q3857" s="83"/>
    </row>
    <row r="3858" spans="17:17" x14ac:dyDescent="0.35">
      <c r="Q3858" s="83"/>
    </row>
    <row r="3859" spans="17:17" x14ac:dyDescent="0.35">
      <c r="Q3859" s="83"/>
    </row>
    <row r="3860" spans="17:17" x14ac:dyDescent="0.35">
      <c r="Q3860" s="83"/>
    </row>
    <row r="3861" spans="17:17" x14ac:dyDescent="0.35">
      <c r="Q3861" s="83"/>
    </row>
    <row r="3862" spans="17:17" x14ac:dyDescent="0.35">
      <c r="Q3862" s="83"/>
    </row>
    <row r="3863" spans="17:17" x14ac:dyDescent="0.35">
      <c r="Q3863" s="83"/>
    </row>
    <row r="3864" spans="17:17" x14ac:dyDescent="0.35">
      <c r="Q3864" s="83"/>
    </row>
    <row r="3865" spans="17:17" x14ac:dyDescent="0.35">
      <c r="Q3865" s="83"/>
    </row>
    <row r="3866" spans="17:17" x14ac:dyDescent="0.35">
      <c r="Q3866" s="83"/>
    </row>
    <row r="3867" spans="17:17" x14ac:dyDescent="0.35">
      <c r="Q3867" s="83"/>
    </row>
    <row r="3868" spans="17:17" x14ac:dyDescent="0.35">
      <c r="Q3868" s="83"/>
    </row>
    <row r="3869" spans="17:17" x14ac:dyDescent="0.35">
      <c r="Q3869" s="83"/>
    </row>
    <row r="3870" spans="17:17" x14ac:dyDescent="0.35">
      <c r="Q3870" s="83"/>
    </row>
    <row r="3871" spans="17:17" x14ac:dyDescent="0.35">
      <c r="Q3871" s="83"/>
    </row>
    <row r="3872" spans="17:17" x14ac:dyDescent="0.35">
      <c r="Q3872" s="83"/>
    </row>
    <row r="3873" spans="17:17" x14ac:dyDescent="0.35">
      <c r="Q3873" s="83"/>
    </row>
    <row r="3874" spans="17:17" x14ac:dyDescent="0.35">
      <c r="Q3874" s="83"/>
    </row>
    <row r="3875" spans="17:17" x14ac:dyDescent="0.35">
      <c r="Q3875" s="83"/>
    </row>
    <row r="3876" spans="17:17" x14ac:dyDescent="0.35">
      <c r="Q3876" s="83"/>
    </row>
    <row r="3877" spans="17:17" x14ac:dyDescent="0.35">
      <c r="Q3877" s="83"/>
    </row>
    <row r="3878" spans="17:17" x14ac:dyDescent="0.35">
      <c r="Q3878" s="83"/>
    </row>
    <row r="3879" spans="17:17" x14ac:dyDescent="0.35">
      <c r="Q3879" s="83"/>
    </row>
    <row r="3880" spans="17:17" x14ac:dyDescent="0.35">
      <c r="Q3880" s="83"/>
    </row>
    <row r="3881" spans="17:17" x14ac:dyDescent="0.35">
      <c r="Q3881" s="83"/>
    </row>
    <row r="3882" spans="17:17" x14ac:dyDescent="0.35">
      <c r="Q3882" s="83"/>
    </row>
    <row r="3883" spans="17:17" x14ac:dyDescent="0.35">
      <c r="Q3883" s="83"/>
    </row>
    <row r="3884" spans="17:17" x14ac:dyDescent="0.35">
      <c r="Q3884" s="83"/>
    </row>
    <row r="3885" spans="17:17" x14ac:dyDescent="0.35">
      <c r="Q3885" s="83"/>
    </row>
    <row r="3886" spans="17:17" x14ac:dyDescent="0.35">
      <c r="Q3886" s="83"/>
    </row>
    <row r="3887" spans="17:17" x14ac:dyDescent="0.35">
      <c r="Q3887" s="83"/>
    </row>
    <row r="3888" spans="17:17" x14ac:dyDescent="0.35">
      <c r="Q3888" s="83"/>
    </row>
    <row r="3889" spans="17:17" x14ac:dyDescent="0.35">
      <c r="Q3889" s="83"/>
    </row>
    <row r="3890" spans="17:17" x14ac:dyDescent="0.35">
      <c r="Q3890" s="83"/>
    </row>
    <row r="3891" spans="17:17" x14ac:dyDescent="0.35">
      <c r="Q3891" s="83"/>
    </row>
    <row r="3892" spans="17:17" x14ac:dyDescent="0.35">
      <c r="Q3892" s="83"/>
    </row>
    <row r="3893" spans="17:17" x14ac:dyDescent="0.35">
      <c r="Q3893" s="83"/>
    </row>
    <row r="3894" spans="17:17" x14ac:dyDescent="0.35">
      <c r="Q3894" s="83"/>
    </row>
    <row r="3895" spans="17:17" x14ac:dyDescent="0.35">
      <c r="Q3895" s="83"/>
    </row>
    <row r="3896" spans="17:17" x14ac:dyDescent="0.35">
      <c r="Q3896" s="83"/>
    </row>
    <row r="3897" spans="17:17" x14ac:dyDescent="0.35">
      <c r="Q3897" s="83"/>
    </row>
    <row r="3898" spans="17:17" x14ac:dyDescent="0.35">
      <c r="Q3898" s="83"/>
    </row>
    <row r="3899" spans="17:17" x14ac:dyDescent="0.35">
      <c r="Q3899" s="83"/>
    </row>
    <row r="3900" spans="17:17" x14ac:dyDescent="0.35">
      <c r="Q3900" s="83"/>
    </row>
    <row r="3901" spans="17:17" x14ac:dyDescent="0.35">
      <c r="Q3901" s="83"/>
    </row>
    <row r="3902" spans="17:17" x14ac:dyDescent="0.35">
      <c r="Q3902" s="83"/>
    </row>
    <row r="3903" spans="17:17" x14ac:dyDescent="0.35">
      <c r="Q3903" s="83"/>
    </row>
    <row r="3904" spans="17:17" x14ac:dyDescent="0.35">
      <c r="Q3904" s="83"/>
    </row>
    <row r="3905" spans="17:17" x14ac:dyDescent="0.35">
      <c r="Q3905" s="83"/>
    </row>
    <row r="3906" spans="17:17" x14ac:dyDescent="0.35">
      <c r="Q3906" s="83"/>
    </row>
    <row r="3907" spans="17:17" x14ac:dyDescent="0.35">
      <c r="Q3907" s="83"/>
    </row>
    <row r="3908" spans="17:17" x14ac:dyDescent="0.35">
      <c r="Q3908" s="83"/>
    </row>
    <row r="3909" spans="17:17" x14ac:dyDescent="0.35">
      <c r="Q3909" s="83"/>
    </row>
    <row r="3910" spans="17:17" x14ac:dyDescent="0.35">
      <c r="Q3910" s="83"/>
    </row>
    <row r="3911" spans="17:17" x14ac:dyDescent="0.35">
      <c r="Q3911" s="83"/>
    </row>
    <row r="3912" spans="17:17" x14ac:dyDescent="0.35">
      <c r="Q3912" s="83"/>
    </row>
    <row r="3913" spans="17:17" x14ac:dyDescent="0.35">
      <c r="Q3913" s="83"/>
    </row>
    <row r="3914" spans="17:17" x14ac:dyDescent="0.35">
      <c r="Q3914" s="83"/>
    </row>
    <row r="3915" spans="17:17" x14ac:dyDescent="0.35">
      <c r="Q3915" s="83"/>
    </row>
    <row r="3916" spans="17:17" x14ac:dyDescent="0.35">
      <c r="Q3916" s="83"/>
    </row>
    <row r="3917" spans="17:17" x14ac:dyDescent="0.35">
      <c r="Q3917" s="83"/>
    </row>
    <row r="3918" spans="17:17" x14ac:dyDescent="0.35">
      <c r="Q3918" s="83"/>
    </row>
    <row r="3919" spans="17:17" x14ac:dyDescent="0.35">
      <c r="Q3919" s="83"/>
    </row>
    <row r="3920" spans="17:17" x14ac:dyDescent="0.35">
      <c r="Q3920" s="83"/>
    </row>
    <row r="3921" spans="17:17" x14ac:dyDescent="0.35">
      <c r="Q3921" s="83"/>
    </row>
    <row r="3922" spans="17:17" x14ac:dyDescent="0.35">
      <c r="Q3922" s="83"/>
    </row>
    <row r="3923" spans="17:17" x14ac:dyDescent="0.35">
      <c r="Q3923" s="83"/>
    </row>
    <row r="3924" spans="17:17" x14ac:dyDescent="0.35">
      <c r="Q3924" s="83"/>
    </row>
    <row r="3925" spans="17:17" x14ac:dyDescent="0.35">
      <c r="Q3925" s="83"/>
    </row>
    <row r="3926" spans="17:17" x14ac:dyDescent="0.35">
      <c r="Q3926" s="83"/>
    </row>
    <row r="3927" spans="17:17" x14ac:dyDescent="0.35">
      <c r="Q3927" s="83"/>
    </row>
    <row r="3928" spans="17:17" x14ac:dyDescent="0.35">
      <c r="Q3928" s="83"/>
    </row>
    <row r="3929" spans="17:17" x14ac:dyDescent="0.35">
      <c r="Q3929" s="83"/>
    </row>
    <row r="3930" spans="17:17" x14ac:dyDescent="0.35">
      <c r="Q3930" s="83"/>
    </row>
    <row r="3931" spans="17:17" x14ac:dyDescent="0.35">
      <c r="Q3931" s="83"/>
    </row>
    <row r="3932" spans="17:17" x14ac:dyDescent="0.35">
      <c r="Q3932" s="83"/>
    </row>
    <row r="3933" spans="17:17" x14ac:dyDescent="0.35">
      <c r="Q3933" s="83"/>
    </row>
    <row r="3934" spans="17:17" x14ac:dyDescent="0.35">
      <c r="Q3934" s="83"/>
    </row>
    <row r="3935" spans="17:17" x14ac:dyDescent="0.35">
      <c r="Q3935" s="83"/>
    </row>
    <row r="3936" spans="17:17" x14ac:dyDescent="0.35">
      <c r="Q3936" s="83"/>
    </row>
    <row r="3937" spans="17:17" x14ac:dyDescent="0.35">
      <c r="Q3937" s="83"/>
    </row>
    <row r="3938" spans="17:17" x14ac:dyDescent="0.35">
      <c r="Q3938" s="83"/>
    </row>
    <row r="3939" spans="17:17" x14ac:dyDescent="0.35">
      <c r="Q3939" s="83"/>
    </row>
    <row r="3940" spans="17:17" x14ac:dyDescent="0.35">
      <c r="Q3940" s="83"/>
    </row>
    <row r="3941" spans="17:17" x14ac:dyDescent="0.35">
      <c r="Q3941" s="83"/>
    </row>
    <row r="3942" spans="17:17" x14ac:dyDescent="0.35">
      <c r="Q3942" s="83"/>
    </row>
    <row r="3943" spans="17:17" x14ac:dyDescent="0.35">
      <c r="Q3943" s="83"/>
    </row>
    <row r="3944" spans="17:17" x14ac:dyDescent="0.35">
      <c r="Q3944" s="83"/>
    </row>
    <row r="3945" spans="17:17" x14ac:dyDescent="0.35">
      <c r="Q3945" s="83"/>
    </row>
    <row r="3946" spans="17:17" x14ac:dyDescent="0.35">
      <c r="Q3946" s="83"/>
    </row>
    <row r="3947" spans="17:17" x14ac:dyDescent="0.35">
      <c r="Q3947" s="83"/>
    </row>
    <row r="3948" spans="17:17" x14ac:dyDescent="0.35">
      <c r="Q3948" s="83"/>
    </row>
    <row r="3949" spans="17:17" x14ac:dyDescent="0.35">
      <c r="Q3949" s="83"/>
    </row>
    <row r="3950" spans="17:17" x14ac:dyDescent="0.35">
      <c r="Q3950" s="83"/>
    </row>
    <row r="3951" spans="17:17" x14ac:dyDescent="0.35">
      <c r="Q3951" s="83"/>
    </row>
    <row r="3952" spans="17:17" x14ac:dyDescent="0.35">
      <c r="Q3952" s="83"/>
    </row>
    <row r="3953" spans="17:17" x14ac:dyDescent="0.35">
      <c r="Q3953" s="83"/>
    </row>
    <row r="3954" spans="17:17" x14ac:dyDescent="0.35">
      <c r="Q3954" s="83"/>
    </row>
    <row r="3955" spans="17:17" x14ac:dyDescent="0.35">
      <c r="Q3955" s="83"/>
    </row>
    <row r="3956" spans="17:17" x14ac:dyDescent="0.35">
      <c r="Q3956" s="83"/>
    </row>
    <row r="3957" spans="17:17" x14ac:dyDescent="0.35">
      <c r="Q3957" s="83"/>
    </row>
    <row r="3958" spans="17:17" x14ac:dyDescent="0.35">
      <c r="Q3958" s="83"/>
    </row>
    <row r="3959" spans="17:17" x14ac:dyDescent="0.35">
      <c r="Q3959" s="83"/>
    </row>
    <row r="3960" spans="17:17" x14ac:dyDescent="0.35">
      <c r="Q3960" s="83"/>
    </row>
    <row r="3961" spans="17:17" x14ac:dyDescent="0.35">
      <c r="Q3961" s="83"/>
    </row>
    <row r="3962" spans="17:17" x14ac:dyDescent="0.35">
      <c r="Q3962" s="83"/>
    </row>
    <row r="3963" spans="17:17" x14ac:dyDescent="0.35">
      <c r="Q3963" s="83"/>
    </row>
    <row r="3964" spans="17:17" x14ac:dyDescent="0.35">
      <c r="Q3964" s="83"/>
    </row>
    <row r="3965" spans="17:17" x14ac:dyDescent="0.35">
      <c r="Q3965" s="83"/>
    </row>
    <row r="3966" spans="17:17" x14ac:dyDescent="0.35">
      <c r="Q3966" s="83"/>
    </row>
    <row r="3967" spans="17:17" x14ac:dyDescent="0.35">
      <c r="Q3967" s="83"/>
    </row>
    <row r="3968" spans="17:17" x14ac:dyDescent="0.35">
      <c r="Q3968" s="83"/>
    </row>
    <row r="3969" spans="17:17" x14ac:dyDescent="0.35">
      <c r="Q3969" s="83"/>
    </row>
    <row r="3970" spans="17:17" x14ac:dyDescent="0.35">
      <c r="Q3970" s="83"/>
    </row>
    <row r="3971" spans="17:17" x14ac:dyDescent="0.35">
      <c r="Q3971" s="83"/>
    </row>
    <row r="3972" spans="17:17" x14ac:dyDescent="0.35">
      <c r="Q3972" s="83"/>
    </row>
    <row r="3973" spans="17:17" x14ac:dyDescent="0.35">
      <c r="Q3973" s="83"/>
    </row>
    <row r="3974" spans="17:17" x14ac:dyDescent="0.35">
      <c r="Q3974" s="83"/>
    </row>
    <row r="3975" spans="17:17" x14ac:dyDescent="0.35">
      <c r="Q3975" s="83"/>
    </row>
    <row r="3976" spans="17:17" x14ac:dyDescent="0.35">
      <c r="Q3976" s="83"/>
    </row>
    <row r="3977" spans="17:17" x14ac:dyDescent="0.35">
      <c r="Q3977" s="83"/>
    </row>
    <row r="3978" spans="17:17" x14ac:dyDescent="0.35">
      <c r="Q3978" s="83"/>
    </row>
    <row r="3979" spans="17:17" x14ac:dyDescent="0.35">
      <c r="Q3979" s="83"/>
    </row>
    <row r="3980" spans="17:17" x14ac:dyDescent="0.35">
      <c r="Q3980" s="83"/>
    </row>
    <row r="3981" spans="17:17" x14ac:dyDescent="0.35">
      <c r="Q3981" s="83"/>
    </row>
    <row r="3982" spans="17:17" x14ac:dyDescent="0.35">
      <c r="Q3982" s="83"/>
    </row>
    <row r="3983" spans="17:17" x14ac:dyDescent="0.35">
      <c r="Q3983" s="83"/>
    </row>
    <row r="3984" spans="17:17" x14ac:dyDescent="0.35">
      <c r="Q3984" s="83"/>
    </row>
    <row r="3985" spans="17:17" x14ac:dyDescent="0.35">
      <c r="Q3985" s="83"/>
    </row>
    <row r="3986" spans="17:17" x14ac:dyDescent="0.35">
      <c r="Q3986" s="83"/>
    </row>
    <row r="3987" spans="17:17" x14ac:dyDescent="0.35">
      <c r="Q3987" s="83"/>
    </row>
    <row r="3988" spans="17:17" x14ac:dyDescent="0.35">
      <c r="Q3988" s="83"/>
    </row>
    <row r="3989" spans="17:17" x14ac:dyDescent="0.35">
      <c r="Q3989" s="83"/>
    </row>
    <row r="3990" spans="17:17" x14ac:dyDescent="0.35">
      <c r="Q3990" s="83"/>
    </row>
    <row r="3991" spans="17:17" x14ac:dyDescent="0.35">
      <c r="Q3991" s="83"/>
    </row>
    <row r="3992" spans="17:17" x14ac:dyDescent="0.35">
      <c r="Q3992" s="83"/>
    </row>
    <row r="3993" spans="17:17" x14ac:dyDescent="0.35">
      <c r="Q3993" s="83"/>
    </row>
    <row r="3994" spans="17:17" x14ac:dyDescent="0.35">
      <c r="Q3994" s="83"/>
    </row>
    <row r="3995" spans="17:17" x14ac:dyDescent="0.35">
      <c r="Q3995" s="83"/>
    </row>
    <row r="3996" spans="17:17" x14ac:dyDescent="0.35">
      <c r="Q3996" s="83"/>
    </row>
    <row r="3997" spans="17:17" x14ac:dyDescent="0.35">
      <c r="Q3997" s="83"/>
    </row>
    <row r="3998" spans="17:17" x14ac:dyDescent="0.35">
      <c r="Q3998" s="83"/>
    </row>
    <row r="3999" spans="17:17" x14ac:dyDescent="0.35">
      <c r="Q3999" s="83"/>
    </row>
    <row r="4000" spans="17:17" x14ac:dyDescent="0.35">
      <c r="Q4000" s="83"/>
    </row>
    <row r="4001" spans="17:17" x14ac:dyDescent="0.35">
      <c r="Q4001" s="83"/>
    </row>
    <row r="4002" spans="17:17" x14ac:dyDescent="0.35">
      <c r="Q4002" s="83"/>
    </row>
    <row r="4003" spans="17:17" x14ac:dyDescent="0.35">
      <c r="Q4003" s="83"/>
    </row>
    <row r="4004" spans="17:17" x14ac:dyDescent="0.35">
      <c r="Q4004" s="83"/>
    </row>
    <row r="4005" spans="17:17" x14ac:dyDescent="0.35">
      <c r="Q4005" s="83"/>
    </row>
    <row r="4006" spans="17:17" x14ac:dyDescent="0.35">
      <c r="Q4006" s="83"/>
    </row>
    <row r="4007" spans="17:17" x14ac:dyDescent="0.35">
      <c r="Q4007" s="83"/>
    </row>
    <row r="4008" spans="17:17" x14ac:dyDescent="0.35">
      <c r="Q4008" s="83"/>
    </row>
    <row r="4009" spans="17:17" x14ac:dyDescent="0.35">
      <c r="Q4009" s="83"/>
    </row>
    <row r="4010" spans="17:17" x14ac:dyDescent="0.35">
      <c r="Q4010" s="83"/>
    </row>
    <row r="4011" spans="17:17" x14ac:dyDescent="0.35">
      <c r="Q4011" s="83"/>
    </row>
    <row r="4012" spans="17:17" x14ac:dyDescent="0.35">
      <c r="Q4012" s="83"/>
    </row>
    <row r="4013" spans="17:17" x14ac:dyDescent="0.35">
      <c r="Q4013" s="83"/>
    </row>
    <row r="4014" spans="17:17" x14ac:dyDescent="0.35">
      <c r="Q4014" s="83"/>
    </row>
    <row r="4015" spans="17:17" x14ac:dyDescent="0.35">
      <c r="Q4015" s="83"/>
    </row>
    <row r="4016" spans="17:17" x14ac:dyDescent="0.35">
      <c r="Q4016" s="83"/>
    </row>
    <row r="4017" spans="17:17" x14ac:dyDescent="0.35">
      <c r="Q4017" s="83"/>
    </row>
    <row r="4018" spans="17:17" x14ac:dyDescent="0.35">
      <c r="Q4018" s="83"/>
    </row>
    <row r="4019" spans="17:17" x14ac:dyDescent="0.35">
      <c r="Q4019" s="83"/>
    </row>
    <row r="4020" spans="17:17" x14ac:dyDescent="0.35">
      <c r="Q4020" s="83"/>
    </row>
    <row r="4021" spans="17:17" x14ac:dyDescent="0.35">
      <c r="Q4021" s="83"/>
    </row>
    <row r="4022" spans="17:17" x14ac:dyDescent="0.35">
      <c r="Q4022" s="83"/>
    </row>
    <row r="4023" spans="17:17" x14ac:dyDescent="0.35">
      <c r="Q4023" s="83"/>
    </row>
    <row r="4024" spans="17:17" x14ac:dyDescent="0.35">
      <c r="Q4024" s="83"/>
    </row>
    <row r="4025" spans="17:17" x14ac:dyDescent="0.35">
      <c r="Q4025" s="83"/>
    </row>
    <row r="4026" spans="17:17" x14ac:dyDescent="0.35">
      <c r="Q4026" s="83"/>
    </row>
    <row r="4027" spans="17:17" x14ac:dyDescent="0.35">
      <c r="Q4027" s="83"/>
    </row>
    <row r="4028" spans="17:17" x14ac:dyDescent="0.35">
      <c r="Q4028" s="83"/>
    </row>
    <row r="4029" spans="17:17" x14ac:dyDescent="0.35">
      <c r="Q4029" s="83"/>
    </row>
    <row r="4030" spans="17:17" x14ac:dyDescent="0.35">
      <c r="Q4030" s="83"/>
    </row>
    <row r="4031" spans="17:17" x14ac:dyDescent="0.35">
      <c r="Q4031" s="83"/>
    </row>
    <row r="4032" spans="17:17" x14ac:dyDescent="0.35">
      <c r="Q4032" s="83"/>
    </row>
    <row r="4033" spans="17:17" x14ac:dyDescent="0.35">
      <c r="Q4033" s="83"/>
    </row>
    <row r="4034" spans="17:17" x14ac:dyDescent="0.35">
      <c r="Q4034" s="83"/>
    </row>
    <row r="4035" spans="17:17" x14ac:dyDescent="0.35">
      <c r="Q4035" s="83"/>
    </row>
    <row r="4036" spans="17:17" x14ac:dyDescent="0.35">
      <c r="Q4036" s="83"/>
    </row>
    <row r="4037" spans="17:17" x14ac:dyDescent="0.35">
      <c r="Q4037" s="83"/>
    </row>
    <row r="4038" spans="17:17" x14ac:dyDescent="0.35">
      <c r="Q4038" s="83"/>
    </row>
    <row r="4039" spans="17:17" x14ac:dyDescent="0.35">
      <c r="Q4039" s="83"/>
    </row>
    <row r="4040" spans="17:17" x14ac:dyDescent="0.35">
      <c r="Q4040" s="83"/>
    </row>
    <row r="4041" spans="17:17" x14ac:dyDescent="0.35">
      <c r="Q4041" s="83"/>
    </row>
    <row r="4042" spans="17:17" x14ac:dyDescent="0.35">
      <c r="Q4042" s="83"/>
    </row>
    <row r="4043" spans="17:17" x14ac:dyDescent="0.35">
      <c r="Q4043" s="83"/>
    </row>
    <row r="4044" spans="17:17" x14ac:dyDescent="0.35">
      <c r="Q4044" s="83"/>
    </row>
    <row r="4045" spans="17:17" x14ac:dyDescent="0.35">
      <c r="Q4045" s="83"/>
    </row>
    <row r="4046" spans="17:17" x14ac:dyDescent="0.35">
      <c r="Q4046" s="83"/>
    </row>
    <row r="4047" spans="17:17" x14ac:dyDescent="0.35">
      <c r="Q4047" s="83"/>
    </row>
    <row r="4048" spans="17:17" x14ac:dyDescent="0.35">
      <c r="Q4048" s="83"/>
    </row>
    <row r="4049" spans="17:17" x14ac:dyDescent="0.35">
      <c r="Q4049" s="83"/>
    </row>
    <row r="4050" spans="17:17" x14ac:dyDescent="0.35">
      <c r="Q4050" s="83"/>
    </row>
    <row r="4051" spans="17:17" x14ac:dyDescent="0.35">
      <c r="Q4051" s="83"/>
    </row>
    <row r="4052" spans="17:17" x14ac:dyDescent="0.35">
      <c r="Q4052" s="83"/>
    </row>
    <row r="4053" spans="17:17" x14ac:dyDescent="0.35">
      <c r="Q4053" s="83"/>
    </row>
    <row r="4054" spans="17:17" x14ac:dyDescent="0.35">
      <c r="Q4054" s="83"/>
    </row>
    <row r="4055" spans="17:17" x14ac:dyDescent="0.35">
      <c r="Q4055" s="83"/>
    </row>
    <row r="4056" spans="17:17" x14ac:dyDescent="0.35">
      <c r="Q4056" s="83"/>
    </row>
    <row r="4057" spans="17:17" x14ac:dyDescent="0.35">
      <c r="Q4057" s="83"/>
    </row>
    <row r="4058" spans="17:17" x14ac:dyDescent="0.35">
      <c r="Q4058" s="83"/>
    </row>
    <row r="4059" spans="17:17" x14ac:dyDescent="0.35">
      <c r="Q4059" s="83"/>
    </row>
    <row r="4060" spans="17:17" x14ac:dyDescent="0.35">
      <c r="Q4060" s="83"/>
    </row>
    <row r="4061" spans="17:17" x14ac:dyDescent="0.35">
      <c r="Q4061" s="83"/>
    </row>
    <row r="4062" spans="17:17" x14ac:dyDescent="0.35">
      <c r="Q4062" s="83"/>
    </row>
    <row r="4063" spans="17:17" x14ac:dyDescent="0.35">
      <c r="Q4063" s="83"/>
    </row>
    <row r="4064" spans="17:17" x14ac:dyDescent="0.35">
      <c r="Q4064" s="83"/>
    </row>
    <row r="4065" spans="17:17" x14ac:dyDescent="0.35">
      <c r="Q4065" s="83"/>
    </row>
    <row r="4066" spans="17:17" x14ac:dyDescent="0.35">
      <c r="Q4066" s="83"/>
    </row>
    <row r="4067" spans="17:17" x14ac:dyDescent="0.35">
      <c r="Q4067" s="83"/>
    </row>
    <row r="4068" spans="17:17" x14ac:dyDescent="0.35">
      <c r="Q4068" s="83"/>
    </row>
    <row r="4069" spans="17:17" x14ac:dyDescent="0.35">
      <c r="Q4069" s="83"/>
    </row>
    <row r="4070" spans="17:17" x14ac:dyDescent="0.35">
      <c r="Q4070" s="83"/>
    </row>
    <row r="4071" spans="17:17" x14ac:dyDescent="0.35">
      <c r="Q4071" s="83"/>
    </row>
    <row r="4072" spans="17:17" x14ac:dyDescent="0.35">
      <c r="Q4072" s="83"/>
    </row>
    <row r="4073" spans="17:17" x14ac:dyDescent="0.35">
      <c r="Q4073" s="83"/>
    </row>
    <row r="4074" spans="17:17" x14ac:dyDescent="0.35">
      <c r="Q4074" s="83"/>
    </row>
    <row r="4075" spans="17:17" x14ac:dyDescent="0.35">
      <c r="Q4075" s="83"/>
    </row>
    <row r="4076" spans="17:17" x14ac:dyDescent="0.35">
      <c r="Q4076" s="83"/>
    </row>
    <row r="4077" spans="17:17" x14ac:dyDescent="0.35">
      <c r="Q4077" s="83"/>
    </row>
    <row r="4078" spans="17:17" x14ac:dyDescent="0.35">
      <c r="Q4078" s="83"/>
    </row>
    <row r="4079" spans="17:17" x14ac:dyDescent="0.35">
      <c r="Q4079" s="83"/>
    </row>
    <row r="4080" spans="17:17" x14ac:dyDescent="0.35">
      <c r="Q4080" s="83"/>
    </row>
    <row r="4081" spans="17:17" x14ac:dyDescent="0.35">
      <c r="Q4081" s="83"/>
    </row>
    <row r="4082" spans="17:17" x14ac:dyDescent="0.35">
      <c r="Q4082" s="83"/>
    </row>
    <row r="4083" spans="17:17" x14ac:dyDescent="0.35">
      <c r="Q4083" s="83"/>
    </row>
    <row r="4084" spans="17:17" x14ac:dyDescent="0.35">
      <c r="Q4084" s="83"/>
    </row>
    <row r="4085" spans="17:17" x14ac:dyDescent="0.35">
      <c r="Q4085" s="83"/>
    </row>
    <row r="4086" spans="17:17" x14ac:dyDescent="0.35">
      <c r="Q4086" s="83"/>
    </row>
    <row r="4087" spans="17:17" x14ac:dyDescent="0.35">
      <c r="Q4087" s="83"/>
    </row>
    <row r="4088" spans="17:17" x14ac:dyDescent="0.35">
      <c r="Q4088" s="83"/>
    </row>
    <row r="4089" spans="17:17" x14ac:dyDescent="0.35">
      <c r="Q4089" s="83"/>
    </row>
    <row r="4090" spans="17:17" x14ac:dyDescent="0.35">
      <c r="Q4090" s="83"/>
    </row>
    <row r="4091" spans="17:17" x14ac:dyDescent="0.35">
      <c r="Q4091" s="83"/>
    </row>
    <row r="4092" spans="17:17" x14ac:dyDescent="0.35">
      <c r="Q4092" s="83"/>
    </row>
    <row r="4093" spans="17:17" x14ac:dyDescent="0.35">
      <c r="Q4093" s="83"/>
    </row>
    <row r="4094" spans="17:17" x14ac:dyDescent="0.35">
      <c r="Q4094" s="83"/>
    </row>
    <row r="4095" spans="17:17" x14ac:dyDescent="0.35">
      <c r="Q4095" s="83"/>
    </row>
    <row r="4096" spans="17:17" x14ac:dyDescent="0.35">
      <c r="Q4096" s="83"/>
    </row>
    <row r="4097" spans="17:17" x14ac:dyDescent="0.35">
      <c r="Q4097" s="83"/>
    </row>
    <row r="4098" spans="17:17" x14ac:dyDescent="0.35">
      <c r="Q4098" s="83"/>
    </row>
    <row r="4099" spans="17:17" x14ac:dyDescent="0.35">
      <c r="Q4099" s="83"/>
    </row>
    <row r="4100" spans="17:17" x14ac:dyDescent="0.35">
      <c r="Q4100" s="83"/>
    </row>
    <row r="4101" spans="17:17" x14ac:dyDescent="0.35">
      <c r="Q4101" s="83"/>
    </row>
    <row r="4102" spans="17:17" x14ac:dyDescent="0.35">
      <c r="Q4102" s="83"/>
    </row>
    <row r="4103" spans="17:17" x14ac:dyDescent="0.35">
      <c r="Q4103" s="83"/>
    </row>
    <row r="4104" spans="17:17" x14ac:dyDescent="0.35">
      <c r="Q4104" s="83"/>
    </row>
    <row r="4105" spans="17:17" x14ac:dyDescent="0.35">
      <c r="Q4105" s="83"/>
    </row>
    <row r="4106" spans="17:17" x14ac:dyDescent="0.35">
      <c r="Q4106" s="83"/>
    </row>
    <row r="4107" spans="17:17" x14ac:dyDescent="0.35">
      <c r="Q4107" s="83"/>
    </row>
    <row r="4108" spans="17:17" x14ac:dyDescent="0.35">
      <c r="Q4108" s="83"/>
    </row>
    <row r="4109" spans="17:17" x14ac:dyDescent="0.35">
      <c r="Q4109" s="83"/>
    </row>
    <row r="4110" spans="17:17" x14ac:dyDescent="0.35">
      <c r="Q4110" s="83"/>
    </row>
    <row r="4111" spans="17:17" x14ac:dyDescent="0.35">
      <c r="Q4111" s="83"/>
    </row>
    <row r="4112" spans="17:17" x14ac:dyDescent="0.35">
      <c r="Q4112" s="83"/>
    </row>
    <row r="4113" spans="17:17" x14ac:dyDescent="0.35">
      <c r="Q4113" s="83"/>
    </row>
    <row r="4114" spans="17:17" x14ac:dyDescent="0.35">
      <c r="Q4114" s="83"/>
    </row>
    <row r="4115" spans="17:17" x14ac:dyDescent="0.35">
      <c r="Q4115" s="83"/>
    </row>
    <row r="4116" spans="17:17" x14ac:dyDescent="0.35">
      <c r="Q4116" s="83"/>
    </row>
    <row r="4117" spans="17:17" x14ac:dyDescent="0.35">
      <c r="Q4117" s="83"/>
    </row>
    <row r="4118" spans="17:17" x14ac:dyDescent="0.35">
      <c r="Q4118" s="83"/>
    </row>
    <row r="4119" spans="17:17" x14ac:dyDescent="0.35">
      <c r="Q4119" s="83"/>
    </row>
    <row r="4120" spans="17:17" x14ac:dyDescent="0.35">
      <c r="Q4120" s="83"/>
    </row>
    <row r="4121" spans="17:17" x14ac:dyDescent="0.35">
      <c r="Q4121" s="83"/>
    </row>
    <row r="4122" spans="17:17" x14ac:dyDescent="0.35">
      <c r="Q4122" s="83"/>
    </row>
    <row r="4123" spans="17:17" x14ac:dyDescent="0.35">
      <c r="Q4123" s="83"/>
    </row>
    <row r="4124" spans="17:17" x14ac:dyDescent="0.35">
      <c r="Q4124" s="83"/>
    </row>
    <row r="4125" spans="17:17" x14ac:dyDescent="0.35">
      <c r="Q4125" s="83"/>
    </row>
    <row r="4126" spans="17:17" x14ac:dyDescent="0.35">
      <c r="Q4126" s="83"/>
    </row>
    <row r="4127" spans="17:17" x14ac:dyDescent="0.35">
      <c r="Q4127" s="83"/>
    </row>
    <row r="4128" spans="17:17" x14ac:dyDescent="0.35">
      <c r="Q4128" s="83"/>
    </row>
    <row r="4129" spans="17:17" x14ac:dyDescent="0.35">
      <c r="Q4129" s="83"/>
    </row>
    <row r="4130" spans="17:17" x14ac:dyDescent="0.35">
      <c r="Q4130" s="83"/>
    </row>
    <row r="4131" spans="17:17" x14ac:dyDescent="0.35">
      <c r="Q4131" s="83"/>
    </row>
    <row r="4132" spans="17:17" x14ac:dyDescent="0.35">
      <c r="Q4132" s="83"/>
    </row>
    <row r="4133" spans="17:17" x14ac:dyDescent="0.35">
      <c r="Q4133" s="83"/>
    </row>
    <row r="4134" spans="17:17" x14ac:dyDescent="0.35">
      <c r="Q4134" s="83"/>
    </row>
    <row r="4135" spans="17:17" x14ac:dyDescent="0.35">
      <c r="Q4135" s="83"/>
    </row>
    <row r="4136" spans="17:17" x14ac:dyDescent="0.35">
      <c r="Q4136" s="83"/>
    </row>
    <row r="4137" spans="17:17" x14ac:dyDescent="0.35">
      <c r="Q4137" s="83"/>
    </row>
    <row r="4138" spans="17:17" x14ac:dyDescent="0.35">
      <c r="Q4138" s="83"/>
    </row>
    <row r="4139" spans="17:17" x14ac:dyDescent="0.35">
      <c r="Q4139" s="83"/>
    </row>
    <row r="4140" spans="17:17" x14ac:dyDescent="0.35">
      <c r="Q4140" s="83"/>
    </row>
    <row r="4141" spans="17:17" x14ac:dyDescent="0.35">
      <c r="Q4141" s="83"/>
    </row>
    <row r="4142" spans="17:17" x14ac:dyDescent="0.35">
      <c r="Q4142" s="83"/>
    </row>
    <row r="4143" spans="17:17" x14ac:dyDescent="0.35">
      <c r="Q4143" s="83"/>
    </row>
    <row r="4144" spans="17:17" x14ac:dyDescent="0.35">
      <c r="Q4144" s="83"/>
    </row>
    <row r="4145" spans="17:17" x14ac:dyDescent="0.35">
      <c r="Q4145" s="83"/>
    </row>
    <row r="4146" spans="17:17" x14ac:dyDescent="0.35">
      <c r="Q4146" s="83"/>
    </row>
    <row r="4147" spans="17:17" x14ac:dyDescent="0.35">
      <c r="Q4147" s="83"/>
    </row>
    <row r="4148" spans="17:17" x14ac:dyDescent="0.35">
      <c r="Q4148" s="83"/>
    </row>
    <row r="4149" spans="17:17" x14ac:dyDescent="0.35">
      <c r="Q4149" s="83"/>
    </row>
    <row r="4150" spans="17:17" x14ac:dyDescent="0.35">
      <c r="Q4150" s="83"/>
    </row>
    <row r="4151" spans="17:17" x14ac:dyDescent="0.35">
      <c r="Q4151" s="83"/>
    </row>
    <row r="4152" spans="17:17" x14ac:dyDescent="0.35">
      <c r="Q4152" s="83"/>
    </row>
    <row r="4153" spans="17:17" x14ac:dyDescent="0.35">
      <c r="Q4153" s="83"/>
    </row>
    <row r="4154" spans="17:17" x14ac:dyDescent="0.35">
      <c r="Q4154" s="83"/>
    </row>
    <row r="4155" spans="17:17" x14ac:dyDescent="0.35">
      <c r="Q4155" s="83"/>
    </row>
    <row r="4156" spans="17:17" x14ac:dyDescent="0.35">
      <c r="Q4156" s="83"/>
    </row>
    <row r="4157" spans="17:17" x14ac:dyDescent="0.35">
      <c r="Q4157" s="83"/>
    </row>
    <row r="4158" spans="17:17" x14ac:dyDescent="0.35">
      <c r="Q4158" s="83"/>
    </row>
    <row r="4159" spans="17:17" x14ac:dyDescent="0.35">
      <c r="Q4159" s="83"/>
    </row>
    <row r="4160" spans="17:17" x14ac:dyDescent="0.35">
      <c r="Q4160" s="83"/>
    </row>
    <row r="4161" spans="17:17" x14ac:dyDescent="0.35">
      <c r="Q4161" s="83"/>
    </row>
    <row r="4162" spans="17:17" x14ac:dyDescent="0.35">
      <c r="Q4162" s="83"/>
    </row>
    <row r="4163" spans="17:17" x14ac:dyDescent="0.35">
      <c r="Q4163" s="83"/>
    </row>
    <row r="4164" spans="17:17" x14ac:dyDescent="0.35">
      <c r="Q4164" s="83"/>
    </row>
    <row r="4165" spans="17:17" x14ac:dyDescent="0.35">
      <c r="Q4165" s="83"/>
    </row>
    <row r="4166" spans="17:17" x14ac:dyDescent="0.35">
      <c r="Q4166" s="83"/>
    </row>
    <row r="4167" spans="17:17" x14ac:dyDescent="0.35">
      <c r="Q4167" s="83"/>
    </row>
    <row r="4168" spans="17:17" x14ac:dyDescent="0.35">
      <c r="Q4168" s="83"/>
    </row>
    <row r="4169" spans="17:17" x14ac:dyDescent="0.35">
      <c r="Q4169" s="83"/>
    </row>
    <row r="4170" spans="17:17" x14ac:dyDescent="0.35">
      <c r="Q4170" s="83"/>
    </row>
    <row r="4171" spans="17:17" x14ac:dyDescent="0.35">
      <c r="Q4171" s="83"/>
    </row>
    <row r="4172" spans="17:17" x14ac:dyDescent="0.35">
      <c r="Q4172" s="83"/>
    </row>
    <row r="4173" spans="17:17" x14ac:dyDescent="0.35">
      <c r="Q4173" s="83"/>
    </row>
    <row r="4174" spans="17:17" x14ac:dyDescent="0.35">
      <c r="Q4174" s="83"/>
    </row>
    <row r="4175" spans="17:17" x14ac:dyDescent="0.35">
      <c r="Q4175" s="83"/>
    </row>
    <row r="4176" spans="17:17" x14ac:dyDescent="0.35">
      <c r="Q4176" s="83"/>
    </row>
    <row r="4177" spans="17:17" x14ac:dyDescent="0.35">
      <c r="Q4177" s="83"/>
    </row>
    <row r="4178" spans="17:17" x14ac:dyDescent="0.35">
      <c r="Q4178" s="83"/>
    </row>
    <row r="4179" spans="17:17" x14ac:dyDescent="0.35">
      <c r="Q4179" s="83"/>
    </row>
    <row r="4180" spans="17:17" x14ac:dyDescent="0.35">
      <c r="Q4180" s="83"/>
    </row>
    <row r="4181" spans="17:17" x14ac:dyDescent="0.35">
      <c r="Q4181" s="83"/>
    </row>
    <row r="4182" spans="17:17" x14ac:dyDescent="0.35">
      <c r="Q4182" s="83"/>
    </row>
    <row r="4183" spans="17:17" x14ac:dyDescent="0.35">
      <c r="Q4183" s="83"/>
    </row>
    <row r="4184" spans="17:17" x14ac:dyDescent="0.35">
      <c r="Q4184" s="83"/>
    </row>
    <row r="4185" spans="17:17" x14ac:dyDescent="0.35">
      <c r="Q4185" s="83"/>
    </row>
    <row r="4186" spans="17:17" x14ac:dyDescent="0.35">
      <c r="Q4186" s="83"/>
    </row>
    <row r="4187" spans="17:17" x14ac:dyDescent="0.35">
      <c r="Q4187" s="83"/>
    </row>
    <row r="4188" spans="17:17" x14ac:dyDescent="0.35">
      <c r="Q4188" s="83"/>
    </row>
    <row r="4189" spans="17:17" x14ac:dyDescent="0.35">
      <c r="Q4189" s="83"/>
    </row>
    <row r="4190" spans="17:17" x14ac:dyDescent="0.35">
      <c r="Q4190" s="83"/>
    </row>
    <row r="4191" spans="17:17" x14ac:dyDescent="0.35">
      <c r="Q4191" s="83"/>
    </row>
    <row r="4192" spans="17:17" x14ac:dyDescent="0.35">
      <c r="Q4192" s="83"/>
    </row>
    <row r="4193" spans="17:17" x14ac:dyDescent="0.35">
      <c r="Q4193" s="83"/>
    </row>
    <row r="4194" spans="17:17" x14ac:dyDescent="0.35">
      <c r="Q4194" s="83"/>
    </row>
    <row r="4195" spans="17:17" x14ac:dyDescent="0.35">
      <c r="Q4195" s="83"/>
    </row>
    <row r="4196" spans="17:17" x14ac:dyDescent="0.35">
      <c r="Q4196" s="83"/>
    </row>
    <row r="4197" spans="17:17" x14ac:dyDescent="0.35">
      <c r="Q4197" s="83"/>
    </row>
    <row r="4198" spans="17:17" x14ac:dyDescent="0.35">
      <c r="Q4198" s="83"/>
    </row>
    <row r="4199" spans="17:17" x14ac:dyDescent="0.35">
      <c r="Q4199" s="83"/>
    </row>
    <row r="4200" spans="17:17" x14ac:dyDescent="0.35">
      <c r="Q4200" s="83"/>
    </row>
    <row r="4201" spans="17:17" x14ac:dyDescent="0.35">
      <c r="Q4201" s="83"/>
    </row>
    <row r="4202" spans="17:17" x14ac:dyDescent="0.35">
      <c r="Q4202" s="83"/>
    </row>
    <row r="4203" spans="17:17" x14ac:dyDescent="0.35">
      <c r="Q4203" s="83"/>
    </row>
    <row r="4204" spans="17:17" x14ac:dyDescent="0.35">
      <c r="Q4204" s="83"/>
    </row>
    <row r="4205" spans="17:17" x14ac:dyDescent="0.35">
      <c r="Q4205" s="83"/>
    </row>
    <row r="4206" spans="17:17" x14ac:dyDescent="0.35">
      <c r="Q4206" s="83"/>
    </row>
    <row r="4207" spans="17:17" x14ac:dyDescent="0.35">
      <c r="Q4207" s="83"/>
    </row>
    <row r="4208" spans="17:17" x14ac:dyDescent="0.35">
      <c r="Q4208" s="83"/>
    </row>
    <row r="4209" spans="17:17" x14ac:dyDescent="0.35">
      <c r="Q4209" s="83"/>
    </row>
    <row r="4210" spans="17:17" x14ac:dyDescent="0.35">
      <c r="Q4210" s="83"/>
    </row>
    <row r="4211" spans="17:17" x14ac:dyDescent="0.35">
      <c r="Q4211" s="83"/>
    </row>
    <row r="4212" spans="17:17" x14ac:dyDescent="0.35">
      <c r="Q4212" s="83"/>
    </row>
    <row r="4213" spans="17:17" x14ac:dyDescent="0.35">
      <c r="Q4213" s="83"/>
    </row>
    <row r="4214" spans="17:17" x14ac:dyDescent="0.35">
      <c r="Q4214" s="83"/>
    </row>
    <row r="4215" spans="17:17" x14ac:dyDescent="0.35">
      <c r="Q4215" s="83"/>
    </row>
    <row r="4216" spans="17:17" x14ac:dyDescent="0.35">
      <c r="Q4216" s="83"/>
    </row>
    <row r="4217" spans="17:17" x14ac:dyDescent="0.35">
      <c r="Q4217" s="83"/>
    </row>
    <row r="4218" spans="17:17" x14ac:dyDescent="0.35">
      <c r="Q4218" s="83"/>
    </row>
    <row r="4219" spans="17:17" x14ac:dyDescent="0.35">
      <c r="Q4219" s="83"/>
    </row>
    <row r="4220" spans="17:17" x14ac:dyDescent="0.35">
      <c r="Q4220" s="83"/>
    </row>
    <row r="4221" spans="17:17" x14ac:dyDescent="0.35">
      <c r="Q4221" s="83"/>
    </row>
    <row r="4222" spans="17:17" x14ac:dyDescent="0.35">
      <c r="Q4222" s="83"/>
    </row>
    <row r="4223" spans="17:17" x14ac:dyDescent="0.35">
      <c r="Q4223" s="83"/>
    </row>
    <row r="4224" spans="17:17" x14ac:dyDescent="0.35">
      <c r="Q4224" s="83"/>
    </row>
    <row r="4225" spans="17:17" x14ac:dyDescent="0.35">
      <c r="Q4225" s="83"/>
    </row>
    <row r="4226" spans="17:17" x14ac:dyDescent="0.35">
      <c r="Q4226" s="83"/>
    </row>
    <row r="4227" spans="17:17" x14ac:dyDescent="0.35">
      <c r="Q4227" s="83"/>
    </row>
    <row r="4228" spans="17:17" x14ac:dyDescent="0.35">
      <c r="Q4228" s="83"/>
    </row>
    <row r="4229" spans="17:17" x14ac:dyDescent="0.35">
      <c r="Q4229" s="83"/>
    </row>
    <row r="4230" spans="17:17" x14ac:dyDescent="0.35">
      <c r="Q4230" s="83"/>
    </row>
    <row r="4231" spans="17:17" x14ac:dyDescent="0.35">
      <c r="Q4231" s="83"/>
    </row>
    <row r="4232" spans="17:17" x14ac:dyDescent="0.35">
      <c r="Q4232" s="83"/>
    </row>
    <row r="4233" spans="17:17" x14ac:dyDescent="0.35">
      <c r="Q4233" s="83"/>
    </row>
    <row r="4234" spans="17:17" x14ac:dyDescent="0.35">
      <c r="Q4234" s="83"/>
    </row>
    <row r="4235" spans="17:17" x14ac:dyDescent="0.35">
      <c r="Q4235" s="83"/>
    </row>
    <row r="4236" spans="17:17" x14ac:dyDescent="0.35">
      <c r="Q4236" s="83"/>
    </row>
    <row r="4237" spans="17:17" x14ac:dyDescent="0.35">
      <c r="Q4237" s="83"/>
    </row>
    <row r="4238" spans="17:17" x14ac:dyDescent="0.35">
      <c r="Q4238" s="83"/>
    </row>
    <row r="4239" spans="17:17" x14ac:dyDescent="0.35">
      <c r="Q4239" s="83"/>
    </row>
    <row r="4240" spans="17:17" x14ac:dyDescent="0.35">
      <c r="Q4240" s="83"/>
    </row>
    <row r="4241" spans="17:17" x14ac:dyDescent="0.35">
      <c r="Q4241" s="83"/>
    </row>
    <row r="4242" spans="17:17" x14ac:dyDescent="0.35">
      <c r="Q4242" s="83"/>
    </row>
    <row r="4243" spans="17:17" x14ac:dyDescent="0.35">
      <c r="Q4243" s="83"/>
    </row>
    <row r="4244" spans="17:17" x14ac:dyDescent="0.35">
      <c r="Q4244" s="83"/>
    </row>
    <row r="4245" spans="17:17" x14ac:dyDescent="0.35">
      <c r="Q4245" s="83"/>
    </row>
    <row r="4246" spans="17:17" x14ac:dyDescent="0.35">
      <c r="Q4246" s="83"/>
    </row>
    <row r="4247" spans="17:17" x14ac:dyDescent="0.35">
      <c r="Q4247" s="83"/>
    </row>
    <row r="4248" spans="17:17" x14ac:dyDescent="0.35">
      <c r="Q4248" s="83"/>
    </row>
    <row r="4249" spans="17:17" x14ac:dyDescent="0.35">
      <c r="Q4249" s="83"/>
    </row>
    <row r="4250" spans="17:17" x14ac:dyDescent="0.35">
      <c r="Q4250" s="83"/>
    </row>
    <row r="4251" spans="17:17" x14ac:dyDescent="0.35">
      <c r="Q4251" s="83"/>
    </row>
    <row r="4252" spans="17:17" x14ac:dyDescent="0.35">
      <c r="Q4252" s="83"/>
    </row>
    <row r="4253" spans="17:17" x14ac:dyDescent="0.35">
      <c r="Q4253" s="83"/>
    </row>
    <row r="4254" spans="17:17" x14ac:dyDescent="0.35">
      <c r="Q4254" s="83"/>
    </row>
    <row r="4255" spans="17:17" x14ac:dyDescent="0.35">
      <c r="Q4255" s="83"/>
    </row>
    <row r="4256" spans="17:17" x14ac:dyDescent="0.35">
      <c r="Q4256" s="83"/>
    </row>
    <row r="4257" spans="17:17" x14ac:dyDescent="0.35">
      <c r="Q4257" s="83"/>
    </row>
    <row r="4258" spans="17:17" x14ac:dyDescent="0.35">
      <c r="Q4258" s="83"/>
    </row>
    <row r="4259" spans="17:17" x14ac:dyDescent="0.35">
      <c r="Q4259" s="83"/>
    </row>
    <row r="4260" spans="17:17" x14ac:dyDescent="0.35">
      <c r="Q4260" s="83"/>
    </row>
    <row r="4261" spans="17:17" x14ac:dyDescent="0.35">
      <c r="Q4261" s="83"/>
    </row>
    <row r="4262" spans="17:17" x14ac:dyDescent="0.35">
      <c r="Q4262" s="83"/>
    </row>
    <row r="4263" spans="17:17" x14ac:dyDescent="0.35">
      <c r="Q4263" s="83"/>
    </row>
    <row r="4264" spans="17:17" x14ac:dyDescent="0.35">
      <c r="Q4264" s="83"/>
    </row>
    <row r="4265" spans="17:17" x14ac:dyDescent="0.35">
      <c r="Q4265" s="83"/>
    </row>
    <row r="4266" spans="17:17" x14ac:dyDescent="0.35">
      <c r="Q4266" s="83"/>
    </row>
    <row r="4267" spans="17:17" x14ac:dyDescent="0.35">
      <c r="Q4267" s="83"/>
    </row>
    <row r="4268" spans="17:17" x14ac:dyDescent="0.35">
      <c r="Q4268" s="83"/>
    </row>
    <row r="4269" spans="17:17" x14ac:dyDescent="0.35">
      <c r="Q4269" s="83"/>
    </row>
    <row r="4270" spans="17:17" x14ac:dyDescent="0.35">
      <c r="Q4270" s="83"/>
    </row>
    <row r="4271" spans="17:17" x14ac:dyDescent="0.35">
      <c r="Q4271" s="83"/>
    </row>
    <row r="4272" spans="17:17" x14ac:dyDescent="0.35">
      <c r="Q4272" s="83"/>
    </row>
    <row r="4273" spans="17:17" x14ac:dyDescent="0.35">
      <c r="Q4273" s="83"/>
    </row>
    <row r="4274" spans="17:17" x14ac:dyDescent="0.35">
      <c r="Q4274" s="83"/>
    </row>
    <row r="4275" spans="17:17" x14ac:dyDescent="0.35">
      <c r="Q4275" s="83"/>
    </row>
    <row r="4276" spans="17:17" x14ac:dyDescent="0.35">
      <c r="Q4276" s="83"/>
    </row>
    <row r="4277" spans="17:17" x14ac:dyDescent="0.35">
      <c r="Q4277" s="83"/>
    </row>
    <row r="4278" spans="17:17" x14ac:dyDescent="0.35">
      <c r="Q4278" s="83"/>
    </row>
    <row r="4279" spans="17:17" x14ac:dyDescent="0.35">
      <c r="Q4279" s="83"/>
    </row>
    <row r="4280" spans="17:17" x14ac:dyDescent="0.35">
      <c r="Q4280" s="83"/>
    </row>
    <row r="4281" spans="17:17" x14ac:dyDescent="0.35">
      <c r="Q4281" s="83"/>
    </row>
    <row r="4282" spans="17:17" x14ac:dyDescent="0.35">
      <c r="Q4282" s="83"/>
    </row>
    <row r="4283" spans="17:17" x14ac:dyDescent="0.35">
      <c r="Q4283" s="83"/>
    </row>
    <row r="4284" spans="17:17" x14ac:dyDescent="0.35">
      <c r="Q4284" s="83"/>
    </row>
    <row r="4285" spans="17:17" x14ac:dyDescent="0.35">
      <c r="Q4285" s="83"/>
    </row>
    <row r="4286" spans="17:17" x14ac:dyDescent="0.35">
      <c r="Q4286" s="83"/>
    </row>
    <row r="4287" spans="17:17" x14ac:dyDescent="0.35">
      <c r="Q4287" s="83"/>
    </row>
    <row r="4288" spans="17:17" x14ac:dyDescent="0.35">
      <c r="Q4288" s="83"/>
    </row>
    <row r="4289" spans="17:17" x14ac:dyDescent="0.35">
      <c r="Q4289" s="83"/>
    </row>
    <row r="4290" spans="17:17" x14ac:dyDescent="0.35">
      <c r="Q4290" s="83"/>
    </row>
    <row r="4291" spans="17:17" x14ac:dyDescent="0.35">
      <c r="Q4291" s="83"/>
    </row>
    <row r="4292" spans="17:17" x14ac:dyDescent="0.35">
      <c r="Q4292" s="83"/>
    </row>
    <row r="4293" spans="17:17" x14ac:dyDescent="0.35">
      <c r="Q4293" s="83"/>
    </row>
    <row r="4294" spans="17:17" x14ac:dyDescent="0.35">
      <c r="Q4294" s="83"/>
    </row>
    <row r="4295" spans="17:17" x14ac:dyDescent="0.35">
      <c r="Q4295" s="83"/>
    </row>
    <row r="4296" spans="17:17" x14ac:dyDescent="0.35">
      <c r="Q4296" s="83"/>
    </row>
    <row r="4297" spans="17:17" x14ac:dyDescent="0.35">
      <c r="Q4297" s="83"/>
    </row>
    <row r="4298" spans="17:17" x14ac:dyDescent="0.35">
      <c r="Q4298" s="83"/>
    </row>
    <row r="4299" spans="17:17" x14ac:dyDescent="0.35">
      <c r="Q4299" s="83"/>
    </row>
    <row r="4300" spans="17:17" x14ac:dyDescent="0.35">
      <c r="Q4300" s="83"/>
    </row>
    <row r="4301" spans="17:17" x14ac:dyDescent="0.35">
      <c r="Q4301" s="83"/>
    </row>
    <row r="4302" spans="17:17" x14ac:dyDescent="0.35">
      <c r="Q4302" s="83"/>
    </row>
    <row r="4303" spans="17:17" x14ac:dyDescent="0.35">
      <c r="Q4303" s="83"/>
    </row>
    <row r="4304" spans="17:17" x14ac:dyDescent="0.35">
      <c r="Q4304" s="83"/>
    </row>
    <row r="4305" spans="17:17" x14ac:dyDescent="0.35">
      <c r="Q4305" s="83"/>
    </row>
    <row r="4306" spans="17:17" x14ac:dyDescent="0.35">
      <c r="Q4306" s="83"/>
    </row>
    <row r="4307" spans="17:17" x14ac:dyDescent="0.35">
      <c r="Q4307" s="83"/>
    </row>
    <row r="4308" spans="17:17" x14ac:dyDescent="0.35">
      <c r="Q4308" s="83"/>
    </row>
    <row r="4309" spans="17:17" x14ac:dyDescent="0.35">
      <c r="Q4309" s="83"/>
    </row>
    <row r="4310" spans="17:17" x14ac:dyDescent="0.35">
      <c r="Q4310" s="83"/>
    </row>
    <row r="4311" spans="17:17" x14ac:dyDescent="0.35">
      <c r="Q4311" s="83"/>
    </row>
    <row r="4312" spans="17:17" x14ac:dyDescent="0.35">
      <c r="Q4312" s="83"/>
    </row>
    <row r="4313" spans="17:17" x14ac:dyDescent="0.35">
      <c r="Q4313" s="83"/>
    </row>
    <row r="4314" spans="17:17" x14ac:dyDescent="0.35">
      <c r="Q4314" s="83"/>
    </row>
    <row r="4315" spans="17:17" x14ac:dyDescent="0.35">
      <c r="Q4315" s="83"/>
    </row>
    <row r="4316" spans="17:17" x14ac:dyDescent="0.35">
      <c r="Q4316" s="83"/>
    </row>
    <row r="4317" spans="17:17" x14ac:dyDescent="0.35">
      <c r="Q4317" s="83"/>
    </row>
    <row r="4318" spans="17:17" x14ac:dyDescent="0.35">
      <c r="Q4318" s="83"/>
    </row>
    <row r="4319" spans="17:17" x14ac:dyDescent="0.35">
      <c r="Q4319" s="83"/>
    </row>
    <row r="4320" spans="17:17" x14ac:dyDescent="0.35">
      <c r="Q4320" s="83"/>
    </row>
    <row r="4321" spans="17:17" x14ac:dyDescent="0.35">
      <c r="Q4321" s="83"/>
    </row>
    <row r="4322" spans="17:17" x14ac:dyDescent="0.35">
      <c r="Q4322" s="83"/>
    </row>
    <row r="4323" spans="17:17" x14ac:dyDescent="0.35">
      <c r="Q4323" s="83"/>
    </row>
    <row r="4324" spans="17:17" x14ac:dyDescent="0.35">
      <c r="Q4324" s="83"/>
    </row>
    <row r="4325" spans="17:17" x14ac:dyDescent="0.35">
      <c r="Q4325" s="83"/>
    </row>
    <row r="4326" spans="17:17" x14ac:dyDescent="0.35">
      <c r="Q4326" s="83"/>
    </row>
    <row r="4327" spans="17:17" x14ac:dyDescent="0.35">
      <c r="Q4327" s="83"/>
    </row>
    <row r="4328" spans="17:17" x14ac:dyDescent="0.35">
      <c r="Q4328" s="83"/>
    </row>
    <row r="4329" spans="17:17" x14ac:dyDescent="0.35">
      <c r="Q4329" s="83"/>
    </row>
    <row r="4330" spans="17:17" x14ac:dyDescent="0.35">
      <c r="Q4330" s="83"/>
    </row>
    <row r="4331" spans="17:17" x14ac:dyDescent="0.35">
      <c r="Q4331" s="83"/>
    </row>
    <row r="4332" spans="17:17" x14ac:dyDescent="0.35">
      <c r="Q4332" s="83"/>
    </row>
    <row r="4333" spans="17:17" x14ac:dyDescent="0.35">
      <c r="Q4333" s="83"/>
    </row>
    <row r="4334" spans="17:17" x14ac:dyDescent="0.35">
      <c r="Q4334" s="83"/>
    </row>
    <row r="4335" spans="17:17" x14ac:dyDescent="0.35">
      <c r="Q4335" s="83"/>
    </row>
    <row r="4336" spans="17:17" x14ac:dyDescent="0.35">
      <c r="Q4336" s="83"/>
    </row>
    <row r="4337" spans="17:17" x14ac:dyDescent="0.35">
      <c r="Q4337" s="83"/>
    </row>
    <row r="4338" spans="17:17" x14ac:dyDescent="0.35">
      <c r="Q4338" s="83"/>
    </row>
    <row r="4339" spans="17:17" x14ac:dyDescent="0.35">
      <c r="Q4339" s="83"/>
    </row>
    <row r="4340" spans="17:17" x14ac:dyDescent="0.35">
      <c r="Q4340" s="83"/>
    </row>
    <row r="4341" spans="17:17" x14ac:dyDescent="0.35">
      <c r="Q4341" s="83"/>
    </row>
    <row r="4342" spans="17:17" x14ac:dyDescent="0.35">
      <c r="Q4342" s="83"/>
    </row>
    <row r="4343" spans="17:17" x14ac:dyDescent="0.35">
      <c r="Q4343" s="83"/>
    </row>
    <row r="4344" spans="17:17" x14ac:dyDescent="0.35">
      <c r="Q4344" s="83"/>
    </row>
    <row r="4345" spans="17:17" x14ac:dyDescent="0.35">
      <c r="Q4345" s="83"/>
    </row>
    <row r="4346" spans="17:17" x14ac:dyDescent="0.35">
      <c r="Q4346" s="83"/>
    </row>
    <row r="4347" spans="17:17" x14ac:dyDescent="0.35">
      <c r="Q4347" s="83"/>
    </row>
    <row r="4348" spans="17:17" x14ac:dyDescent="0.35">
      <c r="Q4348" s="83"/>
    </row>
    <row r="4349" spans="17:17" x14ac:dyDescent="0.35">
      <c r="Q4349" s="83"/>
    </row>
    <row r="4350" spans="17:17" x14ac:dyDescent="0.35">
      <c r="Q4350" s="83"/>
    </row>
    <row r="4351" spans="17:17" x14ac:dyDescent="0.35">
      <c r="Q4351" s="83"/>
    </row>
    <row r="4352" spans="17:17" x14ac:dyDescent="0.35">
      <c r="Q4352" s="83"/>
    </row>
    <row r="4353" spans="17:17" x14ac:dyDescent="0.35">
      <c r="Q4353" s="83"/>
    </row>
    <row r="4354" spans="17:17" x14ac:dyDescent="0.35">
      <c r="Q4354" s="83"/>
    </row>
    <row r="4355" spans="17:17" x14ac:dyDescent="0.35">
      <c r="Q4355" s="83"/>
    </row>
    <row r="4356" spans="17:17" x14ac:dyDescent="0.35">
      <c r="Q4356" s="83"/>
    </row>
    <row r="4357" spans="17:17" x14ac:dyDescent="0.35">
      <c r="Q4357" s="83"/>
    </row>
    <row r="4358" spans="17:17" x14ac:dyDescent="0.35">
      <c r="Q4358" s="83"/>
    </row>
    <row r="4359" spans="17:17" x14ac:dyDescent="0.35">
      <c r="Q4359" s="83"/>
    </row>
    <row r="4360" spans="17:17" x14ac:dyDescent="0.35">
      <c r="Q4360" s="83"/>
    </row>
    <row r="4361" spans="17:17" x14ac:dyDescent="0.35">
      <c r="Q4361" s="83"/>
    </row>
    <row r="4362" spans="17:17" x14ac:dyDescent="0.35">
      <c r="Q4362" s="83"/>
    </row>
    <row r="4363" spans="17:17" x14ac:dyDescent="0.35">
      <c r="Q4363" s="83"/>
    </row>
    <row r="4364" spans="17:17" x14ac:dyDescent="0.35">
      <c r="Q4364" s="83"/>
    </row>
    <row r="4365" spans="17:17" x14ac:dyDescent="0.35">
      <c r="Q4365" s="83"/>
    </row>
    <row r="4366" spans="17:17" x14ac:dyDescent="0.35">
      <c r="Q4366" s="83"/>
    </row>
    <row r="4367" spans="17:17" x14ac:dyDescent="0.35">
      <c r="Q4367" s="83"/>
    </row>
    <row r="4368" spans="17:17" x14ac:dyDescent="0.35">
      <c r="Q4368" s="83"/>
    </row>
    <row r="4369" spans="17:17" x14ac:dyDescent="0.35">
      <c r="Q4369" s="83"/>
    </row>
    <row r="4370" spans="17:17" x14ac:dyDescent="0.35">
      <c r="Q4370" s="83"/>
    </row>
    <row r="4371" spans="17:17" x14ac:dyDescent="0.35">
      <c r="Q4371" s="83"/>
    </row>
    <row r="4372" spans="17:17" x14ac:dyDescent="0.35">
      <c r="Q4372" s="83"/>
    </row>
    <row r="4373" spans="17:17" x14ac:dyDescent="0.35">
      <c r="Q4373" s="83"/>
    </row>
    <row r="4374" spans="17:17" x14ac:dyDescent="0.35">
      <c r="Q4374" s="83"/>
    </row>
    <row r="4375" spans="17:17" x14ac:dyDescent="0.35">
      <c r="Q4375" s="83"/>
    </row>
    <row r="4376" spans="17:17" x14ac:dyDescent="0.35">
      <c r="Q4376" s="83"/>
    </row>
    <row r="4377" spans="17:17" x14ac:dyDescent="0.35">
      <c r="Q4377" s="83"/>
    </row>
    <row r="4378" spans="17:17" x14ac:dyDescent="0.35">
      <c r="Q4378" s="83"/>
    </row>
    <row r="4379" spans="17:17" x14ac:dyDescent="0.35">
      <c r="Q4379" s="83"/>
    </row>
    <row r="4380" spans="17:17" x14ac:dyDescent="0.35">
      <c r="Q4380" s="83"/>
    </row>
    <row r="4381" spans="17:17" x14ac:dyDescent="0.35">
      <c r="Q4381" s="83"/>
    </row>
    <row r="4382" spans="17:17" x14ac:dyDescent="0.35">
      <c r="Q4382" s="83"/>
    </row>
    <row r="4383" spans="17:17" x14ac:dyDescent="0.35">
      <c r="Q4383" s="83"/>
    </row>
    <row r="4384" spans="17:17" x14ac:dyDescent="0.35">
      <c r="Q4384" s="83"/>
    </row>
    <row r="4385" spans="17:17" x14ac:dyDescent="0.35">
      <c r="Q4385" s="83"/>
    </row>
    <row r="4386" spans="17:17" x14ac:dyDescent="0.35">
      <c r="Q4386" s="83"/>
    </row>
    <row r="4387" spans="17:17" x14ac:dyDescent="0.35">
      <c r="Q4387" s="83"/>
    </row>
    <row r="4388" spans="17:17" x14ac:dyDescent="0.35">
      <c r="Q4388" s="83"/>
    </row>
    <row r="4389" spans="17:17" x14ac:dyDescent="0.35">
      <c r="Q4389" s="83"/>
    </row>
    <row r="4390" spans="17:17" x14ac:dyDescent="0.35">
      <c r="Q4390" s="83"/>
    </row>
    <row r="4391" spans="17:17" x14ac:dyDescent="0.35">
      <c r="Q4391" s="83"/>
    </row>
    <row r="4392" spans="17:17" x14ac:dyDescent="0.35">
      <c r="Q4392" s="83"/>
    </row>
    <row r="4393" spans="17:17" x14ac:dyDescent="0.35">
      <c r="Q4393" s="83"/>
    </row>
    <row r="4394" spans="17:17" x14ac:dyDescent="0.35">
      <c r="Q4394" s="83"/>
    </row>
    <row r="4395" spans="17:17" x14ac:dyDescent="0.35">
      <c r="Q4395" s="83"/>
    </row>
    <row r="4396" spans="17:17" x14ac:dyDescent="0.35">
      <c r="Q4396" s="83"/>
    </row>
    <row r="4397" spans="17:17" x14ac:dyDescent="0.35">
      <c r="Q4397" s="83"/>
    </row>
    <row r="4398" spans="17:17" x14ac:dyDescent="0.35">
      <c r="Q4398" s="83"/>
    </row>
    <row r="4399" spans="17:17" x14ac:dyDescent="0.35">
      <c r="Q4399" s="83"/>
    </row>
    <row r="4400" spans="17:17" x14ac:dyDescent="0.35">
      <c r="Q4400" s="83"/>
    </row>
    <row r="4401" spans="17:17" x14ac:dyDescent="0.35">
      <c r="Q4401" s="83"/>
    </row>
    <row r="4402" spans="17:17" x14ac:dyDescent="0.35">
      <c r="Q4402" s="83"/>
    </row>
    <row r="4403" spans="17:17" x14ac:dyDescent="0.35">
      <c r="Q4403" s="83"/>
    </row>
    <row r="4404" spans="17:17" x14ac:dyDescent="0.35">
      <c r="Q4404" s="83"/>
    </row>
    <row r="4405" spans="17:17" x14ac:dyDescent="0.35">
      <c r="Q4405" s="83"/>
    </row>
    <row r="4406" spans="17:17" x14ac:dyDescent="0.35">
      <c r="Q4406" s="83"/>
    </row>
    <row r="4407" spans="17:17" x14ac:dyDescent="0.35">
      <c r="Q4407" s="83"/>
    </row>
    <row r="4408" spans="17:17" x14ac:dyDescent="0.35">
      <c r="Q4408" s="83"/>
    </row>
    <row r="4409" spans="17:17" x14ac:dyDescent="0.35">
      <c r="Q4409" s="83"/>
    </row>
    <row r="4410" spans="17:17" x14ac:dyDescent="0.35">
      <c r="Q4410" s="83"/>
    </row>
    <row r="4411" spans="17:17" x14ac:dyDescent="0.35">
      <c r="Q4411" s="83"/>
    </row>
    <row r="4412" spans="17:17" x14ac:dyDescent="0.35">
      <c r="Q4412" s="83"/>
    </row>
    <row r="4413" spans="17:17" x14ac:dyDescent="0.35">
      <c r="Q4413" s="83"/>
    </row>
    <row r="4414" spans="17:17" x14ac:dyDescent="0.35">
      <c r="Q4414" s="83"/>
    </row>
    <row r="4415" spans="17:17" x14ac:dyDescent="0.35">
      <c r="Q4415" s="83"/>
    </row>
    <row r="4416" spans="17:17" x14ac:dyDescent="0.35">
      <c r="Q4416" s="83"/>
    </row>
    <row r="4417" spans="17:17" x14ac:dyDescent="0.35">
      <c r="Q4417" s="83"/>
    </row>
    <row r="4418" spans="17:17" x14ac:dyDescent="0.35">
      <c r="Q4418" s="83"/>
    </row>
    <row r="4419" spans="17:17" x14ac:dyDescent="0.35">
      <c r="Q4419" s="83"/>
    </row>
    <row r="4420" spans="17:17" x14ac:dyDescent="0.35">
      <c r="Q4420" s="83"/>
    </row>
    <row r="4421" spans="17:17" x14ac:dyDescent="0.35">
      <c r="Q4421" s="83"/>
    </row>
    <row r="4422" spans="17:17" x14ac:dyDescent="0.35">
      <c r="Q4422" s="83"/>
    </row>
    <row r="4423" spans="17:17" x14ac:dyDescent="0.35">
      <c r="Q4423" s="83"/>
    </row>
    <row r="4424" spans="17:17" x14ac:dyDescent="0.35">
      <c r="Q4424" s="83"/>
    </row>
    <row r="4425" spans="17:17" x14ac:dyDescent="0.35">
      <c r="Q4425" s="83"/>
    </row>
    <row r="4426" spans="17:17" x14ac:dyDescent="0.35">
      <c r="Q4426" s="83"/>
    </row>
    <row r="4427" spans="17:17" x14ac:dyDescent="0.35">
      <c r="Q4427" s="83"/>
    </row>
    <row r="4428" spans="17:17" x14ac:dyDescent="0.35">
      <c r="Q4428" s="83"/>
    </row>
    <row r="4429" spans="17:17" x14ac:dyDescent="0.35">
      <c r="Q4429" s="83"/>
    </row>
    <row r="4430" spans="17:17" x14ac:dyDescent="0.35">
      <c r="Q4430" s="83"/>
    </row>
    <row r="4431" spans="17:17" x14ac:dyDescent="0.35">
      <c r="Q4431" s="83"/>
    </row>
    <row r="4432" spans="17:17" x14ac:dyDescent="0.35">
      <c r="Q4432" s="83"/>
    </row>
    <row r="4433" spans="17:17" x14ac:dyDescent="0.35">
      <c r="Q4433" s="83"/>
    </row>
    <row r="4434" spans="17:17" x14ac:dyDescent="0.35">
      <c r="Q4434" s="83"/>
    </row>
    <row r="4435" spans="17:17" x14ac:dyDescent="0.35">
      <c r="Q4435" s="83"/>
    </row>
    <row r="4436" spans="17:17" x14ac:dyDescent="0.35">
      <c r="Q4436" s="83"/>
    </row>
    <row r="4437" spans="17:17" x14ac:dyDescent="0.35">
      <c r="Q4437" s="83"/>
    </row>
    <row r="4438" spans="17:17" x14ac:dyDescent="0.35">
      <c r="Q4438" s="83"/>
    </row>
    <row r="4439" spans="17:17" x14ac:dyDescent="0.35">
      <c r="Q4439" s="83"/>
    </row>
    <row r="4440" spans="17:17" x14ac:dyDescent="0.35">
      <c r="Q4440" s="83"/>
    </row>
    <row r="4441" spans="17:17" x14ac:dyDescent="0.35">
      <c r="Q4441" s="83"/>
    </row>
    <row r="4442" spans="17:17" x14ac:dyDescent="0.35">
      <c r="Q4442" s="83"/>
    </row>
    <row r="4443" spans="17:17" x14ac:dyDescent="0.35">
      <c r="Q4443" s="83"/>
    </row>
    <row r="4444" spans="17:17" x14ac:dyDescent="0.35">
      <c r="Q4444" s="83"/>
    </row>
    <row r="4445" spans="17:17" x14ac:dyDescent="0.35">
      <c r="Q4445" s="83"/>
    </row>
    <row r="4446" spans="17:17" x14ac:dyDescent="0.35">
      <c r="Q4446" s="83"/>
    </row>
    <row r="4447" spans="17:17" x14ac:dyDescent="0.35">
      <c r="Q4447" s="83"/>
    </row>
    <row r="4448" spans="17:17" x14ac:dyDescent="0.35">
      <c r="Q4448" s="83"/>
    </row>
    <row r="4449" spans="17:17" x14ac:dyDescent="0.35">
      <c r="Q4449" s="83"/>
    </row>
    <row r="4450" spans="17:17" x14ac:dyDescent="0.35">
      <c r="Q4450" s="83"/>
    </row>
    <row r="4451" spans="17:17" x14ac:dyDescent="0.35">
      <c r="Q4451" s="83"/>
    </row>
    <row r="4452" spans="17:17" x14ac:dyDescent="0.35">
      <c r="Q4452" s="83"/>
    </row>
    <row r="4453" spans="17:17" x14ac:dyDescent="0.35">
      <c r="Q4453" s="83"/>
    </row>
    <row r="4454" spans="17:17" x14ac:dyDescent="0.35">
      <c r="Q4454" s="83"/>
    </row>
    <row r="4455" spans="17:17" x14ac:dyDescent="0.35">
      <c r="Q4455" s="83"/>
    </row>
    <row r="4456" spans="17:17" x14ac:dyDescent="0.35">
      <c r="Q4456" s="83"/>
    </row>
    <row r="4457" spans="17:17" x14ac:dyDescent="0.35">
      <c r="Q4457" s="83"/>
    </row>
    <row r="4458" spans="17:17" x14ac:dyDescent="0.35">
      <c r="Q4458" s="83"/>
    </row>
    <row r="4459" spans="17:17" x14ac:dyDescent="0.35">
      <c r="Q4459" s="83"/>
    </row>
    <row r="4460" spans="17:17" x14ac:dyDescent="0.35">
      <c r="Q4460" s="83"/>
    </row>
    <row r="4461" spans="17:17" x14ac:dyDescent="0.35">
      <c r="Q4461" s="83"/>
    </row>
    <row r="4462" spans="17:17" x14ac:dyDescent="0.35">
      <c r="Q4462" s="83"/>
    </row>
    <row r="4463" spans="17:17" x14ac:dyDescent="0.35">
      <c r="Q4463" s="83"/>
    </row>
    <row r="4464" spans="17:17" x14ac:dyDescent="0.35">
      <c r="Q4464" s="83"/>
    </row>
    <row r="4465" spans="17:17" x14ac:dyDescent="0.35">
      <c r="Q4465" s="83"/>
    </row>
    <row r="4466" spans="17:17" x14ac:dyDescent="0.35">
      <c r="Q4466" s="83"/>
    </row>
    <row r="4467" spans="17:17" x14ac:dyDescent="0.35">
      <c r="Q4467" s="83"/>
    </row>
    <row r="4468" spans="17:17" x14ac:dyDescent="0.35">
      <c r="Q4468" s="83"/>
    </row>
    <row r="4469" spans="17:17" x14ac:dyDescent="0.35">
      <c r="Q4469" s="83"/>
    </row>
    <row r="4470" spans="17:17" x14ac:dyDescent="0.35">
      <c r="Q4470" s="83"/>
    </row>
    <row r="4471" spans="17:17" x14ac:dyDescent="0.35">
      <c r="Q4471" s="83"/>
    </row>
    <row r="4472" spans="17:17" x14ac:dyDescent="0.35">
      <c r="Q4472" s="83"/>
    </row>
    <row r="4473" spans="17:17" x14ac:dyDescent="0.35">
      <c r="Q4473" s="83"/>
    </row>
    <row r="4474" spans="17:17" x14ac:dyDescent="0.35">
      <c r="Q4474" s="83"/>
    </row>
    <row r="4475" spans="17:17" x14ac:dyDescent="0.35">
      <c r="Q4475" s="83"/>
    </row>
    <row r="4476" spans="17:17" x14ac:dyDescent="0.35">
      <c r="Q4476" s="83"/>
    </row>
    <row r="4477" spans="17:17" x14ac:dyDescent="0.35">
      <c r="Q4477" s="83"/>
    </row>
    <row r="4478" spans="17:17" x14ac:dyDescent="0.35">
      <c r="Q4478" s="83"/>
    </row>
    <row r="4479" spans="17:17" x14ac:dyDescent="0.35">
      <c r="Q4479" s="83"/>
    </row>
    <row r="4480" spans="17:17" x14ac:dyDescent="0.35">
      <c r="Q4480" s="83"/>
    </row>
    <row r="4481" spans="17:17" x14ac:dyDescent="0.35">
      <c r="Q4481" s="83"/>
    </row>
    <row r="4482" spans="17:17" x14ac:dyDescent="0.35">
      <c r="Q4482" s="83"/>
    </row>
    <row r="4483" spans="17:17" x14ac:dyDescent="0.35">
      <c r="Q4483" s="83"/>
    </row>
    <row r="4484" spans="17:17" x14ac:dyDescent="0.35">
      <c r="Q4484" s="83"/>
    </row>
    <row r="4485" spans="17:17" x14ac:dyDescent="0.35">
      <c r="Q4485" s="83"/>
    </row>
    <row r="4486" spans="17:17" x14ac:dyDescent="0.35">
      <c r="Q4486" s="83"/>
    </row>
    <row r="4487" spans="17:17" x14ac:dyDescent="0.35">
      <c r="Q4487" s="83"/>
    </row>
    <row r="4488" spans="17:17" x14ac:dyDescent="0.35">
      <c r="Q4488" s="83"/>
    </row>
    <row r="4489" spans="17:17" x14ac:dyDescent="0.35">
      <c r="Q4489" s="83"/>
    </row>
    <row r="4490" spans="17:17" x14ac:dyDescent="0.35">
      <c r="Q4490" s="83"/>
    </row>
    <row r="4491" spans="17:17" x14ac:dyDescent="0.35">
      <c r="Q4491" s="83"/>
    </row>
    <row r="4492" spans="17:17" x14ac:dyDescent="0.35">
      <c r="Q4492" s="83"/>
    </row>
    <row r="4493" spans="17:17" x14ac:dyDescent="0.35">
      <c r="Q4493" s="83"/>
    </row>
    <row r="4494" spans="17:17" x14ac:dyDescent="0.35">
      <c r="Q4494" s="83"/>
    </row>
    <row r="4495" spans="17:17" x14ac:dyDescent="0.35">
      <c r="Q4495" s="83"/>
    </row>
    <row r="4496" spans="17:17" x14ac:dyDescent="0.35">
      <c r="Q4496" s="83"/>
    </row>
    <row r="4497" spans="17:17" x14ac:dyDescent="0.35">
      <c r="Q4497" s="83"/>
    </row>
    <row r="4498" spans="17:17" x14ac:dyDescent="0.35">
      <c r="Q4498" s="83"/>
    </row>
    <row r="4499" spans="17:17" x14ac:dyDescent="0.35">
      <c r="Q4499" s="83"/>
    </row>
    <row r="4500" spans="17:17" x14ac:dyDescent="0.35">
      <c r="Q4500" s="83"/>
    </row>
    <row r="4501" spans="17:17" x14ac:dyDescent="0.35">
      <c r="Q4501" s="83"/>
    </row>
    <row r="4502" spans="17:17" x14ac:dyDescent="0.35">
      <c r="Q4502" s="83"/>
    </row>
    <row r="4503" spans="17:17" x14ac:dyDescent="0.35">
      <c r="Q4503" s="83"/>
    </row>
    <row r="4504" spans="17:17" x14ac:dyDescent="0.35">
      <c r="Q4504" s="83"/>
    </row>
    <row r="4505" spans="17:17" x14ac:dyDescent="0.35">
      <c r="Q4505" s="83"/>
    </row>
    <row r="4506" spans="17:17" x14ac:dyDescent="0.35">
      <c r="Q4506" s="83"/>
    </row>
    <row r="4507" spans="17:17" x14ac:dyDescent="0.35">
      <c r="Q4507" s="83"/>
    </row>
    <row r="4508" spans="17:17" x14ac:dyDescent="0.35">
      <c r="Q4508" s="83"/>
    </row>
    <row r="4509" spans="17:17" x14ac:dyDescent="0.35">
      <c r="Q4509" s="83"/>
    </row>
    <row r="4510" spans="17:17" x14ac:dyDescent="0.35">
      <c r="Q4510" s="83"/>
    </row>
    <row r="4511" spans="17:17" x14ac:dyDescent="0.35">
      <c r="Q4511" s="83"/>
    </row>
    <row r="4512" spans="17:17" x14ac:dyDescent="0.35">
      <c r="Q4512" s="83"/>
    </row>
    <row r="4513" spans="17:17" x14ac:dyDescent="0.35">
      <c r="Q4513" s="83"/>
    </row>
    <row r="4514" spans="17:17" x14ac:dyDescent="0.35">
      <c r="Q4514" s="83"/>
    </row>
    <row r="4515" spans="17:17" x14ac:dyDescent="0.35">
      <c r="Q4515" s="83"/>
    </row>
    <row r="4516" spans="17:17" x14ac:dyDescent="0.35">
      <c r="Q4516" s="83"/>
    </row>
    <row r="4517" spans="17:17" x14ac:dyDescent="0.35">
      <c r="Q4517" s="83"/>
    </row>
    <row r="4518" spans="17:17" x14ac:dyDescent="0.35">
      <c r="Q4518" s="83"/>
    </row>
    <row r="4519" spans="17:17" x14ac:dyDescent="0.35">
      <c r="Q4519" s="83"/>
    </row>
    <row r="4520" spans="17:17" x14ac:dyDescent="0.35">
      <c r="Q4520" s="83"/>
    </row>
    <row r="4521" spans="17:17" x14ac:dyDescent="0.35">
      <c r="Q4521" s="83"/>
    </row>
    <row r="4522" spans="17:17" x14ac:dyDescent="0.35">
      <c r="Q4522" s="83"/>
    </row>
    <row r="4523" spans="17:17" x14ac:dyDescent="0.35">
      <c r="Q4523" s="83"/>
    </row>
    <row r="4524" spans="17:17" x14ac:dyDescent="0.35">
      <c r="Q4524" s="83"/>
    </row>
    <row r="4525" spans="17:17" x14ac:dyDescent="0.35">
      <c r="Q4525" s="83"/>
    </row>
    <row r="4526" spans="17:17" x14ac:dyDescent="0.35">
      <c r="Q4526" s="83"/>
    </row>
    <row r="4527" spans="17:17" x14ac:dyDescent="0.35">
      <c r="Q4527" s="83"/>
    </row>
    <row r="4528" spans="17:17" x14ac:dyDescent="0.35">
      <c r="Q4528" s="83"/>
    </row>
    <row r="4529" spans="17:17" x14ac:dyDescent="0.35">
      <c r="Q4529" s="83"/>
    </row>
    <row r="4530" spans="17:17" x14ac:dyDescent="0.35">
      <c r="Q4530" s="83"/>
    </row>
    <row r="4531" spans="17:17" x14ac:dyDescent="0.35">
      <c r="Q4531" s="83"/>
    </row>
    <row r="4532" spans="17:17" x14ac:dyDescent="0.35">
      <c r="Q4532" s="83"/>
    </row>
    <row r="4533" spans="17:17" x14ac:dyDescent="0.35">
      <c r="Q4533" s="83"/>
    </row>
    <row r="4534" spans="17:17" x14ac:dyDescent="0.35">
      <c r="Q4534" s="83"/>
    </row>
    <row r="4535" spans="17:17" x14ac:dyDescent="0.35">
      <c r="Q4535" s="83"/>
    </row>
    <row r="4536" spans="17:17" x14ac:dyDescent="0.35">
      <c r="Q4536" s="83"/>
    </row>
    <row r="4537" spans="17:17" x14ac:dyDescent="0.35">
      <c r="Q4537" s="83"/>
    </row>
    <row r="4538" spans="17:17" x14ac:dyDescent="0.35">
      <c r="Q4538" s="83"/>
    </row>
    <row r="4539" spans="17:17" x14ac:dyDescent="0.35">
      <c r="Q4539" s="83"/>
    </row>
    <row r="4540" spans="17:17" x14ac:dyDescent="0.35">
      <c r="Q4540" s="83"/>
    </row>
    <row r="4541" spans="17:17" x14ac:dyDescent="0.35">
      <c r="Q4541" s="83"/>
    </row>
    <row r="4542" spans="17:17" x14ac:dyDescent="0.35">
      <c r="Q4542" s="83"/>
    </row>
    <row r="4543" spans="17:17" x14ac:dyDescent="0.35">
      <c r="Q4543" s="83"/>
    </row>
    <row r="4544" spans="17:17" x14ac:dyDescent="0.35">
      <c r="Q4544" s="83"/>
    </row>
    <row r="4545" spans="17:17" x14ac:dyDescent="0.35">
      <c r="Q4545" s="83"/>
    </row>
    <row r="4546" spans="17:17" x14ac:dyDescent="0.35">
      <c r="Q4546" s="83"/>
    </row>
    <row r="4547" spans="17:17" x14ac:dyDescent="0.35">
      <c r="Q4547" s="83"/>
    </row>
    <row r="4548" spans="17:17" x14ac:dyDescent="0.35">
      <c r="Q4548" s="83"/>
    </row>
    <row r="4549" spans="17:17" x14ac:dyDescent="0.35">
      <c r="Q4549" s="83"/>
    </row>
    <row r="4550" spans="17:17" x14ac:dyDescent="0.35">
      <c r="Q4550" s="83"/>
    </row>
    <row r="4551" spans="17:17" x14ac:dyDescent="0.35">
      <c r="Q4551" s="83"/>
    </row>
    <row r="4552" spans="17:17" x14ac:dyDescent="0.35">
      <c r="Q4552" s="83"/>
    </row>
    <row r="4553" spans="17:17" x14ac:dyDescent="0.35">
      <c r="Q4553" s="83"/>
    </row>
    <row r="4554" spans="17:17" x14ac:dyDescent="0.35">
      <c r="Q4554" s="83"/>
    </row>
    <row r="4555" spans="17:17" x14ac:dyDescent="0.35">
      <c r="Q4555" s="83"/>
    </row>
    <row r="4556" spans="17:17" x14ac:dyDescent="0.35">
      <c r="Q4556" s="83"/>
    </row>
    <row r="4557" spans="17:17" x14ac:dyDescent="0.35">
      <c r="Q4557" s="83"/>
    </row>
    <row r="4558" spans="17:17" x14ac:dyDescent="0.35">
      <c r="Q4558" s="83"/>
    </row>
    <row r="4559" spans="17:17" x14ac:dyDescent="0.35">
      <c r="Q4559" s="83"/>
    </row>
    <row r="4560" spans="17:17" x14ac:dyDescent="0.35">
      <c r="Q4560" s="83"/>
    </row>
    <row r="4561" spans="17:17" x14ac:dyDescent="0.35">
      <c r="Q4561" s="83"/>
    </row>
    <row r="4562" spans="17:17" x14ac:dyDescent="0.35">
      <c r="Q4562" s="83"/>
    </row>
    <row r="4563" spans="17:17" x14ac:dyDescent="0.35">
      <c r="Q4563" s="83"/>
    </row>
    <row r="4564" spans="17:17" x14ac:dyDescent="0.35">
      <c r="Q4564" s="83"/>
    </row>
    <row r="4565" spans="17:17" x14ac:dyDescent="0.35">
      <c r="Q4565" s="83"/>
    </row>
    <row r="4566" spans="17:17" x14ac:dyDescent="0.35">
      <c r="Q4566" s="83"/>
    </row>
    <row r="4567" spans="17:17" x14ac:dyDescent="0.35">
      <c r="Q4567" s="83"/>
    </row>
    <row r="4568" spans="17:17" x14ac:dyDescent="0.35">
      <c r="Q4568" s="83"/>
    </row>
    <row r="4569" spans="17:17" x14ac:dyDescent="0.35">
      <c r="Q4569" s="83"/>
    </row>
    <row r="4570" spans="17:17" x14ac:dyDescent="0.35">
      <c r="Q4570" s="83"/>
    </row>
    <row r="4571" spans="17:17" x14ac:dyDescent="0.35">
      <c r="Q4571" s="83"/>
    </row>
    <row r="4572" spans="17:17" x14ac:dyDescent="0.35">
      <c r="Q4572" s="83"/>
    </row>
    <row r="4573" spans="17:17" x14ac:dyDescent="0.35">
      <c r="Q4573" s="83"/>
    </row>
    <row r="4574" spans="17:17" x14ac:dyDescent="0.35">
      <c r="Q4574" s="83"/>
    </row>
    <row r="4575" spans="17:17" x14ac:dyDescent="0.35">
      <c r="Q4575" s="83"/>
    </row>
    <row r="4576" spans="17:17" x14ac:dyDescent="0.35">
      <c r="Q4576" s="83"/>
    </row>
    <row r="4577" spans="17:17" x14ac:dyDescent="0.35">
      <c r="Q4577" s="83"/>
    </row>
    <row r="4578" spans="17:17" x14ac:dyDescent="0.35">
      <c r="Q4578" s="83"/>
    </row>
    <row r="4579" spans="17:17" x14ac:dyDescent="0.35">
      <c r="Q4579" s="83"/>
    </row>
    <row r="4580" spans="17:17" x14ac:dyDescent="0.35">
      <c r="Q4580" s="83"/>
    </row>
    <row r="4581" spans="17:17" x14ac:dyDescent="0.35">
      <c r="Q4581" s="83"/>
    </row>
    <row r="4582" spans="17:17" x14ac:dyDescent="0.35">
      <c r="Q4582" s="83"/>
    </row>
    <row r="4583" spans="17:17" x14ac:dyDescent="0.35">
      <c r="Q4583" s="83"/>
    </row>
    <row r="4584" spans="17:17" x14ac:dyDescent="0.35">
      <c r="Q4584" s="83"/>
    </row>
    <row r="4585" spans="17:17" x14ac:dyDescent="0.35">
      <c r="Q4585" s="83"/>
    </row>
    <row r="4586" spans="17:17" x14ac:dyDescent="0.35">
      <c r="Q4586" s="83"/>
    </row>
    <row r="4587" spans="17:17" x14ac:dyDescent="0.35">
      <c r="Q4587" s="83"/>
    </row>
    <row r="4588" spans="17:17" x14ac:dyDescent="0.35">
      <c r="Q4588" s="83"/>
    </row>
    <row r="4589" spans="17:17" x14ac:dyDescent="0.35">
      <c r="Q4589" s="83"/>
    </row>
    <row r="4590" spans="17:17" x14ac:dyDescent="0.35">
      <c r="Q4590" s="83"/>
    </row>
    <row r="4591" spans="17:17" x14ac:dyDescent="0.35">
      <c r="Q4591" s="83"/>
    </row>
    <row r="4592" spans="17:17" x14ac:dyDescent="0.35">
      <c r="Q4592" s="83"/>
    </row>
    <row r="4593" spans="17:17" x14ac:dyDescent="0.35">
      <c r="Q4593" s="83"/>
    </row>
    <row r="4594" spans="17:17" x14ac:dyDescent="0.35">
      <c r="Q4594" s="83"/>
    </row>
    <row r="4595" spans="17:17" x14ac:dyDescent="0.35">
      <c r="Q4595" s="83"/>
    </row>
    <row r="4596" spans="17:17" x14ac:dyDescent="0.35">
      <c r="Q4596" s="83"/>
    </row>
    <row r="4597" spans="17:17" x14ac:dyDescent="0.35">
      <c r="Q4597" s="83"/>
    </row>
    <row r="4598" spans="17:17" x14ac:dyDescent="0.35">
      <c r="Q4598" s="83"/>
    </row>
    <row r="4599" spans="17:17" x14ac:dyDescent="0.35">
      <c r="Q4599" s="83"/>
    </row>
    <row r="4600" spans="17:17" x14ac:dyDescent="0.35">
      <c r="Q4600" s="83"/>
    </row>
    <row r="4601" spans="17:17" x14ac:dyDescent="0.35">
      <c r="Q4601" s="83"/>
    </row>
    <row r="4602" spans="17:17" x14ac:dyDescent="0.35">
      <c r="Q4602" s="83"/>
    </row>
    <row r="4603" spans="17:17" x14ac:dyDescent="0.35">
      <c r="Q4603" s="83"/>
    </row>
    <row r="4604" spans="17:17" x14ac:dyDescent="0.35">
      <c r="Q4604" s="83"/>
    </row>
    <row r="4605" spans="17:17" x14ac:dyDescent="0.35">
      <c r="Q4605" s="83"/>
    </row>
    <row r="4606" spans="17:17" x14ac:dyDescent="0.35">
      <c r="Q4606" s="83"/>
    </row>
    <row r="4607" spans="17:17" x14ac:dyDescent="0.35">
      <c r="Q4607" s="83"/>
    </row>
    <row r="4608" spans="17:17" x14ac:dyDescent="0.35">
      <c r="Q4608" s="83"/>
    </row>
    <row r="4609" spans="17:17" x14ac:dyDescent="0.35">
      <c r="Q4609" s="83"/>
    </row>
    <row r="4610" spans="17:17" x14ac:dyDescent="0.35">
      <c r="Q4610" s="83"/>
    </row>
    <row r="4611" spans="17:17" x14ac:dyDescent="0.35">
      <c r="Q4611" s="83"/>
    </row>
    <row r="4612" spans="17:17" x14ac:dyDescent="0.35">
      <c r="Q4612" s="83"/>
    </row>
    <row r="4613" spans="17:17" x14ac:dyDescent="0.35">
      <c r="Q4613" s="83"/>
    </row>
    <row r="4614" spans="17:17" x14ac:dyDescent="0.35">
      <c r="Q4614" s="83"/>
    </row>
    <row r="4615" spans="17:17" x14ac:dyDescent="0.35">
      <c r="Q4615" s="83"/>
    </row>
    <row r="4616" spans="17:17" x14ac:dyDescent="0.35">
      <c r="Q4616" s="83"/>
    </row>
    <row r="4617" spans="17:17" x14ac:dyDescent="0.35">
      <c r="Q4617" s="83"/>
    </row>
    <row r="4618" spans="17:17" x14ac:dyDescent="0.35">
      <c r="Q4618" s="83"/>
    </row>
    <row r="4619" spans="17:17" x14ac:dyDescent="0.35">
      <c r="Q4619" s="83"/>
    </row>
    <row r="4620" spans="17:17" x14ac:dyDescent="0.35">
      <c r="Q4620" s="83"/>
    </row>
    <row r="4621" spans="17:17" x14ac:dyDescent="0.35">
      <c r="Q4621" s="83"/>
    </row>
    <row r="4622" spans="17:17" x14ac:dyDescent="0.35">
      <c r="Q4622" s="83"/>
    </row>
    <row r="4623" spans="17:17" x14ac:dyDescent="0.35">
      <c r="Q4623" s="83"/>
    </row>
    <row r="4624" spans="17:17" x14ac:dyDescent="0.35">
      <c r="Q4624" s="83"/>
    </row>
    <row r="4625" spans="17:17" x14ac:dyDescent="0.35">
      <c r="Q4625" s="83"/>
    </row>
    <row r="4626" spans="17:17" x14ac:dyDescent="0.35">
      <c r="Q4626" s="83"/>
    </row>
    <row r="4627" spans="17:17" x14ac:dyDescent="0.35">
      <c r="Q4627" s="83"/>
    </row>
    <row r="4628" spans="17:17" x14ac:dyDescent="0.35">
      <c r="Q4628" s="83"/>
    </row>
    <row r="4629" spans="17:17" x14ac:dyDescent="0.35">
      <c r="Q4629" s="83"/>
    </row>
    <row r="4630" spans="17:17" x14ac:dyDescent="0.35">
      <c r="Q4630" s="83"/>
    </row>
    <row r="4631" spans="17:17" x14ac:dyDescent="0.35">
      <c r="Q4631" s="83"/>
    </row>
    <row r="4632" spans="17:17" x14ac:dyDescent="0.35">
      <c r="Q4632" s="83"/>
    </row>
    <row r="4633" spans="17:17" x14ac:dyDescent="0.35">
      <c r="Q4633" s="83"/>
    </row>
    <row r="4634" spans="17:17" x14ac:dyDescent="0.35">
      <c r="Q4634" s="83"/>
    </row>
    <row r="4635" spans="17:17" x14ac:dyDescent="0.35">
      <c r="Q4635" s="83"/>
    </row>
    <row r="4636" spans="17:17" x14ac:dyDescent="0.35">
      <c r="Q4636" s="83"/>
    </row>
    <row r="4637" spans="17:17" x14ac:dyDescent="0.35">
      <c r="Q4637" s="83"/>
    </row>
    <row r="4638" spans="17:17" x14ac:dyDescent="0.35">
      <c r="Q4638" s="83"/>
    </row>
    <row r="4639" spans="17:17" x14ac:dyDescent="0.35">
      <c r="Q4639" s="83"/>
    </row>
    <row r="4640" spans="17:17" x14ac:dyDescent="0.35">
      <c r="Q4640" s="83"/>
    </row>
    <row r="4641" spans="17:17" x14ac:dyDescent="0.35">
      <c r="Q4641" s="83"/>
    </row>
    <row r="4642" spans="17:17" x14ac:dyDescent="0.35">
      <c r="Q4642" s="83"/>
    </row>
    <row r="4643" spans="17:17" x14ac:dyDescent="0.35">
      <c r="Q4643" s="83"/>
    </row>
    <row r="4644" spans="17:17" x14ac:dyDescent="0.35">
      <c r="Q4644" s="83"/>
    </row>
    <row r="4645" spans="17:17" x14ac:dyDescent="0.35">
      <c r="Q4645" s="83"/>
    </row>
    <row r="4646" spans="17:17" x14ac:dyDescent="0.35">
      <c r="Q4646" s="83"/>
    </row>
    <row r="4647" spans="17:17" x14ac:dyDescent="0.35">
      <c r="Q4647" s="83"/>
    </row>
    <row r="4648" spans="17:17" x14ac:dyDescent="0.35">
      <c r="Q4648" s="83"/>
    </row>
    <row r="4649" spans="17:17" x14ac:dyDescent="0.35">
      <c r="Q4649" s="83"/>
    </row>
    <row r="4650" spans="17:17" x14ac:dyDescent="0.35">
      <c r="Q4650" s="83"/>
    </row>
    <row r="4651" spans="17:17" x14ac:dyDescent="0.35">
      <c r="Q4651" s="83"/>
    </row>
    <row r="4652" spans="17:17" x14ac:dyDescent="0.35">
      <c r="Q4652" s="83"/>
    </row>
    <row r="4653" spans="17:17" x14ac:dyDescent="0.35">
      <c r="Q4653" s="83"/>
    </row>
    <row r="4654" spans="17:17" x14ac:dyDescent="0.35">
      <c r="Q4654" s="83"/>
    </row>
    <row r="4655" spans="17:17" x14ac:dyDescent="0.35">
      <c r="Q4655" s="83"/>
    </row>
    <row r="4656" spans="17:17" x14ac:dyDescent="0.35">
      <c r="Q4656" s="83"/>
    </row>
    <row r="4657" spans="17:17" x14ac:dyDescent="0.35">
      <c r="Q4657" s="83"/>
    </row>
    <row r="4658" spans="17:17" x14ac:dyDescent="0.35">
      <c r="Q4658" s="83"/>
    </row>
    <row r="4659" spans="17:17" x14ac:dyDescent="0.35">
      <c r="Q4659" s="83"/>
    </row>
    <row r="4660" spans="17:17" x14ac:dyDescent="0.35">
      <c r="Q4660" s="83"/>
    </row>
    <row r="4661" spans="17:17" x14ac:dyDescent="0.35">
      <c r="Q4661" s="83"/>
    </row>
    <row r="4662" spans="17:17" x14ac:dyDescent="0.35">
      <c r="Q4662" s="83"/>
    </row>
    <row r="4663" spans="17:17" x14ac:dyDescent="0.35">
      <c r="Q4663" s="83"/>
    </row>
    <row r="4664" spans="17:17" x14ac:dyDescent="0.35">
      <c r="Q4664" s="83"/>
    </row>
    <row r="4665" spans="17:17" x14ac:dyDescent="0.35">
      <c r="Q4665" s="83"/>
    </row>
    <row r="4666" spans="17:17" x14ac:dyDescent="0.35">
      <c r="Q4666" s="83"/>
    </row>
    <row r="4667" spans="17:17" x14ac:dyDescent="0.35">
      <c r="Q4667" s="83"/>
    </row>
    <row r="4668" spans="17:17" x14ac:dyDescent="0.35">
      <c r="Q4668" s="83"/>
    </row>
    <row r="4669" spans="17:17" x14ac:dyDescent="0.35">
      <c r="Q4669" s="83"/>
    </row>
    <row r="4670" spans="17:17" x14ac:dyDescent="0.35">
      <c r="Q4670" s="83"/>
    </row>
    <row r="4671" spans="17:17" x14ac:dyDescent="0.35">
      <c r="Q4671" s="83"/>
    </row>
    <row r="4672" spans="17:17" x14ac:dyDescent="0.35">
      <c r="Q4672" s="83"/>
    </row>
    <row r="4673" spans="17:17" x14ac:dyDescent="0.35">
      <c r="Q4673" s="83"/>
    </row>
    <row r="4674" spans="17:17" x14ac:dyDescent="0.35">
      <c r="Q4674" s="83"/>
    </row>
    <row r="4675" spans="17:17" x14ac:dyDescent="0.35">
      <c r="Q4675" s="83"/>
    </row>
    <row r="4676" spans="17:17" x14ac:dyDescent="0.35">
      <c r="Q4676" s="83"/>
    </row>
    <row r="4677" spans="17:17" x14ac:dyDescent="0.35">
      <c r="Q4677" s="83"/>
    </row>
    <row r="4678" spans="17:17" x14ac:dyDescent="0.35">
      <c r="Q4678" s="83"/>
    </row>
    <row r="4679" spans="17:17" x14ac:dyDescent="0.35">
      <c r="Q4679" s="83"/>
    </row>
    <row r="4680" spans="17:17" x14ac:dyDescent="0.35">
      <c r="Q4680" s="83"/>
    </row>
    <row r="4681" spans="17:17" x14ac:dyDescent="0.35">
      <c r="Q4681" s="83"/>
    </row>
    <row r="4682" spans="17:17" x14ac:dyDescent="0.35">
      <c r="Q4682" s="83"/>
    </row>
    <row r="4683" spans="17:17" x14ac:dyDescent="0.35">
      <c r="Q4683" s="83"/>
    </row>
    <row r="4684" spans="17:17" x14ac:dyDescent="0.35">
      <c r="Q4684" s="83"/>
    </row>
    <row r="4685" spans="17:17" x14ac:dyDescent="0.35">
      <c r="Q4685" s="83"/>
    </row>
    <row r="4686" spans="17:17" x14ac:dyDescent="0.35">
      <c r="Q4686" s="83"/>
    </row>
    <row r="4687" spans="17:17" x14ac:dyDescent="0.35">
      <c r="Q4687" s="83"/>
    </row>
    <row r="4688" spans="17:17" x14ac:dyDescent="0.35">
      <c r="Q4688" s="83"/>
    </row>
    <row r="4689" spans="17:17" x14ac:dyDescent="0.35">
      <c r="Q4689" s="83"/>
    </row>
    <row r="4690" spans="17:17" x14ac:dyDescent="0.35">
      <c r="Q4690" s="83"/>
    </row>
    <row r="4691" spans="17:17" x14ac:dyDescent="0.35">
      <c r="Q4691" s="83"/>
    </row>
    <row r="4692" spans="17:17" x14ac:dyDescent="0.35">
      <c r="Q4692" s="83"/>
    </row>
    <row r="4693" spans="17:17" x14ac:dyDescent="0.35">
      <c r="Q4693" s="83"/>
    </row>
    <row r="4694" spans="17:17" x14ac:dyDescent="0.35">
      <c r="Q4694" s="83"/>
    </row>
    <row r="4695" spans="17:17" x14ac:dyDescent="0.35">
      <c r="Q4695" s="83"/>
    </row>
    <row r="4696" spans="17:17" x14ac:dyDescent="0.35">
      <c r="Q4696" s="83"/>
    </row>
    <row r="4697" spans="17:17" x14ac:dyDescent="0.35">
      <c r="Q4697" s="83"/>
    </row>
    <row r="4698" spans="17:17" x14ac:dyDescent="0.35">
      <c r="Q4698" s="83"/>
    </row>
    <row r="4699" spans="17:17" x14ac:dyDescent="0.35">
      <c r="Q4699" s="83"/>
    </row>
    <row r="4700" spans="17:17" x14ac:dyDescent="0.35">
      <c r="Q4700" s="83"/>
    </row>
    <row r="4701" spans="17:17" x14ac:dyDescent="0.35">
      <c r="Q4701" s="83"/>
    </row>
    <row r="4702" spans="17:17" x14ac:dyDescent="0.35">
      <c r="Q4702" s="83"/>
    </row>
    <row r="4703" spans="17:17" x14ac:dyDescent="0.35">
      <c r="Q4703" s="83"/>
    </row>
    <row r="4704" spans="17:17" x14ac:dyDescent="0.35">
      <c r="Q4704" s="83"/>
    </row>
    <row r="4705" spans="17:17" x14ac:dyDescent="0.35">
      <c r="Q4705" s="83"/>
    </row>
    <row r="4706" spans="17:17" x14ac:dyDescent="0.35">
      <c r="Q4706" s="83"/>
    </row>
    <row r="4707" spans="17:17" x14ac:dyDescent="0.35">
      <c r="Q4707" s="83"/>
    </row>
    <row r="4708" spans="17:17" x14ac:dyDescent="0.35">
      <c r="Q4708" s="83"/>
    </row>
    <row r="4709" spans="17:17" x14ac:dyDescent="0.35">
      <c r="Q4709" s="83"/>
    </row>
    <row r="4710" spans="17:17" x14ac:dyDescent="0.35">
      <c r="Q4710" s="83"/>
    </row>
    <row r="4711" spans="17:17" x14ac:dyDescent="0.35">
      <c r="Q4711" s="83"/>
    </row>
    <row r="4712" spans="17:17" x14ac:dyDescent="0.35">
      <c r="Q4712" s="83"/>
    </row>
    <row r="4713" spans="17:17" x14ac:dyDescent="0.35">
      <c r="Q4713" s="83"/>
    </row>
    <row r="4714" spans="17:17" x14ac:dyDescent="0.35">
      <c r="Q4714" s="83"/>
    </row>
    <row r="4715" spans="17:17" x14ac:dyDescent="0.35">
      <c r="Q4715" s="83"/>
    </row>
    <row r="4716" spans="17:17" x14ac:dyDescent="0.35">
      <c r="Q4716" s="83"/>
    </row>
    <row r="4717" spans="17:17" x14ac:dyDescent="0.35">
      <c r="Q4717" s="83"/>
    </row>
    <row r="4718" spans="17:17" x14ac:dyDescent="0.35">
      <c r="Q4718" s="83"/>
    </row>
    <row r="4719" spans="17:17" x14ac:dyDescent="0.35">
      <c r="Q4719" s="83"/>
    </row>
    <row r="4720" spans="17:17" x14ac:dyDescent="0.35">
      <c r="Q4720" s="83"/>
    </row>
    <row r="4721" spans="17:17" x14ac:dyDescent="0.35">
      <c r="Q4721" s="83"/>
    </row>
    <row r="4722" spans="17:17" x14ac:dyDescent="0.35">
      <c r="Q4722" s="83"/>
    </row>
    <row r="4723" spans="17:17" x14ac:dyDescent="0.35">
      <c r="Q4723" s="83"/>
    </row>
    <row r="4724" spans="17:17" x14ac:dyDescent="0.35">
      <c r="Q4724" s="83"/>
    </row>
    <row r="4725" spans="17:17" x14ac:dyDescent="0.35">
      <c r="Q4725" s="83"/>
    </row>
    <row r="4726" spans="17:17" x14ac:dyDescent="0.35">
      <c r="Q4726" s="83"/>
    </row>
    <row r="4727" spans="17:17" x14ac:dyDescent="0.35">
      <c r="Q4727" s="83"/>
    </row>
    <row r="4728" spans="17:17" x14ac:dyDescent="0.35">
      <c r="Q4728" s="83"/>
    </row>
    <row r="4729" spans="17:17" x14ac:dyDescent="0.35">
      <c r="Q4729" s="83"/>
    </row>
    <row r="4730" spans="17:17" x14ac:dyDescent="0.35">
      <c r="Q4730" s="83"/>
    </row>
    <row r="4731" spans="17:17" x14ac:dyDescent="0.35">
      <c r="Q4731" s="83"/>
    </row>
    <row r="4732" spans="17:17" x14ac:dyDescent="0.35">
      <c r="Q4732" s="83"/>
    </row>
    <row r="4733" spans="17:17" x14ac:dyDescent="0.35">
      <c r="Q4733" s="83"/>
    </row>
    <row r="4734" spans="17:17" x14ac:dyDescent="0.35">
      <c r="Q4734" s="83"/>
    </row>
    <row r="4735" spans="17:17" x14ac:dyDescent="0.35">
      <c r="Q4735" s="83"/>
    </row>
    <row r="4736" spans="17:17" x14ac:dyDescent="0.35">
      <c r="Q4736" s="83"/>
    </row>
    <row r="4737" spans="17:17" x14ac:dyDescent="0.35">
      <c r="Q4737" s="83"/>
    </row>
    <row r="4738" spans="17:17" x14ac:dyDescent="0.35">
      <c r="Q4738" s="83"/>
    </row>
    <row r="4739" spans="17:17" x14ac:dyDescent="0.35">
      <c r="Q4739" s="83"/>
    </row>
    <row r="4740" spans="17:17" x14ac:dyDescent="0.35">
      <c r="Q4740" s="83"/>
    </row>
    <row r="4741" spans="17:17" x14ac:dyDescent="0.35">
      <c r="Q4741" s="83"/>
    </row>
    <row r="4742" spans="17:17" x14ac:dyDescent="0.35">
      <c r="Q4742" s="83"/>
    </row>
    <row r="4743" spans="17:17" x14ac:dyDescent="0.35">
      <c r="Q4743" s="83"/>
    </row>
    <row r="4744" spans="17:17" x14ac:dyDescent="0.35">
      <c r="Q4744" s="83"/>
    </row>
    <row r="4745" spans="17:17" x14ac:dyDescent="0.35">
      <c r="Q4745" s="83"/>
    </row>
    <row r="4746" spans="17:17" x14ac:dyDescent="0.35">
      <c r="Q4746" s="83"/>
    </row>
    <row r="4747" spans="17:17" x14ac:dyDescent="0.35">
      <c r="Q4747" s="83"/>
    </row>
    <row r="4748" spans="17:17" x14ac:dyDescent="0.35">
      <c r="Q4748" s="83"/>
    </row>
    <row r="4749" spans="17:17" x14ac:dyDescent="0.35">
      <c r="Q4749" s="83"/>
    </row>
    <row r="4750" spans="17:17" x14ac:dyDescent="0.35">
      <c r="Q4750" s="83"/>
    </row>
    <row r="4751" spans="17:17" x14ac:dyDescent="0.35">
      <c r="Q4751" s="83"/>
    </row>
    <row r="4752" spans="17:17" x14ac:dyDescent="0.35">
      <c r="Q4752" s="83"/>
    </row>
    <row r="4753" spans="17:17" x14ac:dyDescent="0.35">
      <c r="Q4753" s="83"/>
    </row>
    <row r="4754" spans="17:17" x14ac:dyDescent="0.35">
      <c r="Q4754" s="83"/>
    </row>
    <row r="4755" spans="17:17" x14ac:dyDescent="0.35">
      <c r="Q4755" s="83"/>
    </row>
    <row r="4756" spans="17:17" x14ac:dyDescent="0.35">
      <c r="Q4756" s="83"/>
    </row>
    <row r="4757" spans="17:17" x14ac:dyDescent="0.35">
      <c r="Q4757" s="83"/>
    </row>
    <row r="4758" spans="17:17" x14ac:dyDescent="0.35">
      <c r="Q4758" s="83"/>
    </row>
    <row r="4759" spans="17:17" x14ac:dyDescent="0.35">
      <c r="Q4759" s="83"/>
    </row>
    <row r="4760" spans="17:17" x14ac:dyDescent="0.35">
      <c r="Q4760" s="83"/>
    </row>
    <row r="4761" spans="17:17" x14ac:dyDescent="0.35">
      <c r="Q4761" s="83"/>
    </row>
    <row r="4762" spans="17:17" x14ac:dyDescent="0.35">
      <c r="Q4762" s="83"/>
    </row>
    <row r="4763" spans="17:17" x14ac:dyDescent="0.35">
      <c r="Q4763" s="83"/>
    </row>
    <row r="4764" spans="17:17" x14ac:dyDescent="0.35">
      <c r="Q4764" s="83"/>
    </row>
    <row r="4765" spans="17:17" x14ac:dyDescent="0.35">
      <c r="Q4765" s="83"/>
    </row>
    <row r="4766" spans="17:17" x14ac:dyDescent="0.35">
      <c r="Q4766" s="83"/>
    </row>
    <row r="4767" spans="17:17" x14ac:dyDescent="0.35">
      <c r="Q4767" s="83"/>
    </row>
    <row r="4768" spans="17:17" x14ac:dyDescent="0.35">
      <c r="Q4768" s="83"/>
    </row>
    <row r="4769" spans="17:17" x14ac:dyDescent="0.35">
      <c r="Q4769" s="83"/>
    </row>
    <row r="4770" spans="17:17" x14ac:dyDescent="0.35">
      <c r="Q4770" s="83"/>
    </row>
    <row r="4771" spans="17:17" x14ac:dyDescent="0.35">
      <c r="Q4771" s="83"/>
    </row>
    <row r="4772" spans="17:17" x14ac:dyDescent="0.35">
      <c r="Q4772" s="83"/>
    </row>
    <row r="4773" spans="17:17" x14ac:dyDescent="0.35">
      <c r="Q4773" s="83"/>
    </row>
    <row r="4774" spans="17:17" x14ac:dyDescent="0.35">
      <c r="Q4774" s="83"/>
    </row>
    <row r="4775" spans="17:17" x14ac:dyDescent="0.35">
      <c r="Q4775" s="83"/>
    </row>
    <row r="4776" spans="17:17" x14ac:dyDescent="0.35">
      <c r="Q4776" s="83"/>
    </row>
    <row r="4777" spans="17:17" x14ac:dyDescent="0.35">
      <c r="Q4777" s="83"/>
    </row>
    <row r="4778" spans="17:17" x14ac:dyDescent="0.35">
      <c r="Q4778" s="83"/>
    </row>
    <row r="4779" spans="17:17" x14ac:dyDescent="0.35">
      <c r="Q4779" s="83"/>
    </row>
    <row r="4780" spans="17:17" x14ac:dyDescent="0.35">
      <c r="Q4780" s="83"/>
    </row>
    <row r="4781" spans="17:17" x14ac:dyDescent="0.35">
      <c r="Q4781" s="83"/>
    </row>
    <row r="4782" spans="17:17" x14ac:dyDescent="0.35">
      <c r="Q4782" s="83"/>
    </row>
    <row r="4783" spans="17:17" x14ac:dyDescent="0.35">
      <c r="Q4783" s="83"/>
    </row>
    <row r="4784" spans="17:17" x14ac:dyDescent="0.35">
      <c r="Q4784" s="83"/>
    </row>
    <row r="4785" spans="17:17" x14ac:dyDescent="0.35">
      <c r="Q4785" s="83"/>
    </row>
    <row r="4786" spans="17:17" x14ac:dyDescent="0.35">
      <c r="Q4786" s="83"/>
    </row>
    <row r="4787" spans="17:17" x14ac:dyDescent="0.35">
      <c r="Q4787" s="83"/>
    </row>
    <row r="4788" spans="17:17" x14ac:dyDescent="0.35">
      <c r="Q4788" s="83"/>
    </row>
    <row r="4789" spans="17:17" x14ac:dyDescent="0.35">
      <c r="Q4789" s="83"/>
    </row>
    <row r="4790" spans="17:17" x14ac:dyDescent="0.35">
      <c r="Q4790" s="83"/>
    </row>
    <row r="4791" spans="17:17" x14ac:dyDescent="0.35">
      <c r="Q4791" s="83"/>
    </row>
    <row r="4792" spans="17:17" x14ac:dyDescent="0.35">
      <c r="Q4792" s="83"/>
    </row>
    <row r="4793" spans="17:17" x14ac:dyDescent="0.35">
      <c r="Q4793" s="83"/>
    </row>
    <row r="4794" spans="17:17" x14ac:dyDescent="0.35">
      <c r="Q4794" s="83"/>
    </row>
    <row r="4795" spans="17:17" x14ac:dyDescent="0.35">
      <c r="Q4795" s="83"/>
    </row>
    <row r="4796" spans="17:17" x14ac:dyDescent="0.35">
      <c r="Q4796" s="83"/>
    </row>
    <row r="4797" spans="17:17" x14ac:dyDescent="0.35">
      <c r="Q4797" s="83"/>
    </row>
    <row r="4798" spans="17:17" x14ac:dyDescent="0.35">
      <c r="Q4798" s="83"/>
    </row>
    <row r="4799" spans="17:17" x14ac:dyDescent="0.35">
      <c r="Q4799" s="83"/>
    </row>
    <row r="4800" spans="17:17" x14ac:dyDescent="0.35">
      <c r="Q4800" s="83"/>
    </row>
    <row r="4801" spans="17:17" x14ac:dyDescent="0.35">
      <c r="Q4801" s="83"/>
    </row>
    <row r="4802" spans="17:17" x14ac:dyDescent="0.35">
      <c r="Q4802" s="83"/>
    </row>
    <row r="4803" spans="17:17" x14ac:dyDescent="0.35">
      <c r="Q4803" s="83"/>
    </row>
    <row r="4804" spans="17:17" x14ac:dyDescent="0.35">
      <c r="Q4804" s="83"/>
    </row>
    <row r="4805" spans="17:17" x14ac:dyDescent="0.35">
      <c r="Q4805" s="83"/>
    </row>
    <row r="4806" spans="17:17" x14ac:dyDescent="0.35">
      <c r="Q4806" s="83"/>
    </row>
    <row r="4807" spans="17:17" x14ac:dyDescent="0.35">
      <c r="Q4807" s="83"/>
    </row>
    <row r="4808" spans="17:17" x14ac:dyDescent="0.35">
      <c r="Q4808" s="83"/>
    </row>
    <row r="4809" spans="17:17" x14ac:dyDescent="0.35">
      <c r="Q4809" s="83"/>
    </row>
    <row r="4810" spans="17:17" x14ac:dyDescent="0.35">
      <c r="Q4810" s="83"/>
    </row>
    <row r="4811" spans="17:17" x14ac:dyDescent="0.35">
      <c r="Q4811" s="83"/>
    </row>
    <row r="4812" spans="17:17" x14ac:dyDescent="0.35">
      <c r="Q4812" s="83"/>
    </row>
    <row r="4813" spans="17:17" x14ac:dyDescent="0.35">
      <c r="Q4813" s="83"/>
    </row>
    <row r="4814" spans="17:17" x14ac:dyDescent="0.35">
      <c r="Q4814" s="83"/>
    </row>
    <row r="4815" spans="17:17" x14ac:dyDescent="0.35">
      <c r="Q4815" s="83"/>
    </row>
    <row r="4816" spans="17:17" x14ac:dyDescent="0.35">
      <c r="Q4816" s="83"/>
    </row>
    <row r="4817" spans="17:17" x14ac:dyDescent="0.35">
      <c r="Q4817" s="83"/>
    </row>
    <row r="4818" spans="17:17" x14ac:dyDescent="0.35">
      <c r="Q4818" s="83"/>
    </row>
    <row r="4819" spans="17:17" x14ac:dyDescent="0.35">
      <c r="Q4819" s="83"/>
    </row>
    <row r="4820" spans="17:17" x14ac:dyDescent="0.35">
      <c r="Q4820" s="83"/>
    </row>
    <row r="4821" spans="17:17" x14ac:dyDescent="0.35">
      <c r="Q4821" s="83"/>
    </row>
    <row r="4822" spans="17:17" x14ac:dyDescent="0.35">
      <c r="Q4822" s="83"/>
    </row>
    <row r="4823" spans="17:17" x14ac:dyDescent="0.35">
      <c r="Q4823" s="83"/>
    </row>
    <row r="4824" spans="17:17" x14ac:dyDescent="0.35">
      <c r="Q4824" s="83"/>
    </row>
    <row r="4825" spans="17:17" x14ac:dyDescent="0.35">
      <c r="Q4825" s="83"/>
    </row>
    <row r="4826" spans="17:17" x14ac:dyDescent="0.35">
      <c r="Q4826" s="83"/>
    </row>
    <row r="4827" spans="17:17" x14ac:dyDescent="0.35">
      <c r="Q4827" s="83"/>
    </row>
    <row r="4828" spans="17:17" x14ac:dyDescent="0.35">
      <c r="Q4828" s="83"/>
    </row>
    <row r="4829" spans="17:17" x14ac:dyDescent="0.35">
      <c r="Q4829" s="83"/>
    </row>
    <row r="4830" spans="17:17" x14ac:dyDescent="0.35">
      <c r="Q4830" s="83"/>
    </row>
    <row r="4831" spans="17:17" x14ac:dyDescent="0.35">
      <c r="Q4831" s="83"/>
    </row>
    <row r="4832" spans="17:17" x14ac:dyDescent="0.35">
      <c r="Q4832" s="83"/>
    </row>
    <row r="4833" spans="17:17" x14ac:dyDescent="0.35">
      <c r="Q4833" s="83"/>
    </row>
    <row r="4834" spans="17:17" x14ac:dyDescent="0.35">
      <c r="Q4834" s="83"/>
    </row>
    <row r="4835" spans="17:17" x14ac:dyDescent="0.35">
      <c r="Q4835" s="83"/>
    </row>
    <row r="4836" spans="17:17" x14ac:dyDescent="0.35">
      <c r="Q4836" s="83"/>
    </row>
    <row r="4837" spans="17:17" x14ac:dyDescent="0.35">
      <c r="Q4837" s="83"/>
    </row>
    <row r="4838" spans="17:17" x14ac:dyDescent="0.35">
      <c r="Q4838" s="83"/>
    </row>
    <row r="4839" spans="17:17" x14ac:dyDescent="0.35">
      <c r="Q4839" s="83"/>
    </row>
    <row r="4840" spans="17:17" x14ac:dyDescent="0.35">
      <c r="Q4840" s="83"/>
    </row>
    <row r="4841" spans="17:17" x14ac:dyDescent="0.35">
      <c r="Q4841" s="83"/>
    </row>
    <row r="4842" spans="17:17" x14ac:dyDescent="0.35">
      <c r="Q4842" s="83"/>
    </row>
    <row r="4843" spans="17:17" x14ac:dyDescent="0.35">
      <c r="Q4843" s="83"/>
    </row>
    <row r="4844" spans="17:17" x14ac:dyDescent="0.35">
      <c r="Q4844" s="83"/>
    </row>
    <row r="4845" spans="17:17" x14ac:dyDescent="0.35">
      <c r="Q4845" s="83"/>
    </row>
    <row r="4846" spans="17:17" x14ac:dyDescent="0.35">
      <c r="Q4846" s="83"/>
    </row>
    <row r="4847" spans="17:17" x14ac:dyDescent="0.35">
      <c r="Q4847" s="83"/>
    </row>
    <row r="4848" spans="17:17" x14ac:dyDescent="0.35">
      <c r="Q4848" s="83"/>
    </row>
    <row r="4849" spans="17:17" x14ac:dyDescent="0.35">
      <c r="Q4849" s="83"/>
    </row>
    <row r="4850" spans="17:17" x14ac:dyDescent="0.35">
      <c r="Q4850" s="83"/>
    </row>
    <row r="4851" spans="17:17" x14ac:dyDescent="0.35">
      <c r="Q4851" s="83"/>
    </row>
    <row r="4852" spans="17:17" x14ac:dyDescent="0.35">
      <c r="Q4852" s="83"/>
    </row>
    <row r="4853" spans="17:17" x14ac:dyDescent="0.35">
      <c r="Q4853" s="83"/>
    </row>
    <row r="4854" spans="17:17" x14ac:dyDescent="0.35">
      <c r="Q4854" s="83"/>
    </row>
    <row r="4855" spans="17:17" x14ac:dyDescent="0.35">
      <c r="Q4855" s="83"/>
    </row>
    <row r="4856" spans="17:17" x14ac:dyDescent="0.35">
      <c r="Q4856" s="83"/>
    </row>
    <row r="4857" spans="17:17" x14ac:dyDescent="0.35">
      <c r="Q4857" s="83"/>
    </row>
    <row r="4858" spans="17:17" x14ac:dyDescent="0.35">
      <c r="Q4858" s="83"/>
    </row>
    <row r="4859" spans="17:17" x14ac:dyDescent="0.35">
      <c r="Q4859" s="83"/>
    </row>
    <row r="4860" spans="17:17" x14ac:dyDescent="0.35">
      <c r="Q4860" s="83"/>
    </row>
    <row r="4861" spans="17:17" x14ac:dyDescent="0.35">
      <c r="Q4861" s="83"/>
    </row>
    <row r="4862" spans="17:17" x14ac:dyDescent="0.35">
      <c r="Q4862" s="83"/>
    </row>
    <row r="4863" spans="17:17" x14ac:dyDescent="0.35">
      <c r="Q4863" s="83"/>
    </row>
    <row r="4864" spans="17:17" x14ac:dyDescent="0.35">
      <c r="Q4864" s="83"/>
    </row>
    <row r="4865" spans="17:17" x14ac:dyDescent="0.35">
      <c r="Q4865" s="83"/>
    </row>
    <row r="4866" spans="17:17" x14ac:dyDescent="0.35">
      <c r="Q4866" s="83"/>
    </row>
    <row r="4867" spans="17:17" x14ac:dyDescent="0.35">
      <c r="Q4867" s="83"/>
    </row>
    <row r="4868" spans="17:17" x14ac:dyDescent="0.35">
      <c r="Q4868" s="83"/>
    </row>
    <row r="4869" spans="17:17" x14ac:dyDescent="0.35">
      <c r="Q4869" s="83"/>
    </row>
    <row r="4870" spans="17:17" x14ac:dyDescent="0.35">
      <c r="Q4870" s="83"/>
    </row>
    <row r="4871" spans="17:17" x14ac:dyDescent="0.35">
      <c r="Q4871" s="83"/>
    </row>
    <row r="4872" spans="17:17" x14ac:dyDescent="0.35">
      <c r="Q4872" s="83"/>
    </row>
    <row r="4873" spans="17:17" x14ac:dyDescent="0.35">
      <c r="Q4873" s="83"/>
    </row>
    <row r="4874" spans="17:17" x14ac:dyDescent="0.35">
      <c r="Q4874" s="83"/>
    </row>
    <row r="4875" spans="17:17" x14ac:dyDescent="0.35">
      <c r="Q4875" s="83"/>
    </row>
    <row r="4876" spans="17:17" x14ac:dyDescent="0.35">
      <c r="Q4876" s="83"/>
    </row>
    <row r="4877" spans="17:17" x14ac:dyDescent="0.35">
      <c r="Q4877" s="83"/>
    </row>
    <row r="4878" spans="17:17" x14ac:dyDescent="0.35">
      <c r="Q4878" s="83"/>
    </row>
    <row r="4879" spans="17:17" x14ac:dyDescent="0.35">
      <c r="Q4879" s="83"/>
    </row>
    <row r="4880" spans="17:17" x14ac:dyDescent="0.35">
      <c r="Q4880" s="83"/>
    </row>
    <row r="4881" spans="17:17" x14ac:dyDescent="0.35">
      <c r="Q4881" s="83"/>
    </row>
    <row r="4882" spans="17:17" x14ac:dyDescent="0.35">
      <c r="Q4882" s="83"/>
    </row>
    <row r="4883" spans="17:17" x14ac:dyDescent="0.35">
      <c r="Q4883" s="83"/>
    </row>
    <row r="4884" spans="17:17" x14ac:dyDescent="0.35">
      <c r="Q4884" s="83"/>
    </row>
    <row r="4885" spans="17:17" x14ac:dyDescent="0.35">
      <c r="Q4885" s="83"/>
    </row>
    <row r="4886" spans="17:17" x14ac:dyDescent="0.35">
      <c r="Q4886" s="83"/>
    </row>
    <row r="4887" spans="17:17" x14ac:dyDescent="0.35">
      <c r="Q4887" s="83"/>
    </row>
    <row r="4888" spans="17:17" x14ac:dyDescent="0.35">
      <c r="Q4888" s="83"/>
    </row>
    <row r="4889" spans="17:17" x14ac:dyDescent="0.35">
      <c r="Q4889" s="83"/>
    </row>
    <row r="4890" spans="17:17" x14ac:dyDescent="0.35">
      <c r="Q4890" s="83"/>
    </row>
    <row r="4891" spans="17:17" x14ac:dyDescent="0.35">
      <c r="Q4891" s="83"/>
    </row>
    <row r="4892" spans="17:17" x14ac:dyDescent="0.35">
      <c r="Q4892" s="83"/>
    </row>
    <row r="4893" spans="17:17" x14ac:dyDescent="0.35">
      <c r="Q4893" s="83"/>
    </row>
    <row r="4894" spans="17:17" x14ac:dyDescent="0.35">
      <c r="Q4894" s="83"/>
    </row>
    <row r="4895" spans="17:17" x14ac:dyDescent="0.35">
      <c r="Q4895" s="83"/>
    </row>
    <row r="4896" spans="17:17" x14ac:dyDescent="0.35">
      <c r="Q4896" s="83"/>
    </row>
    <row r="4897" spans="17:17" x14ac:dyDescent="0.35">
      <c r="Q4897" s="83"/>
    </row>
    <row r="4898" spans="17:17" x14ac:dyDescent="0.35">
      <c r="Q4898" s="83"/>
    </row>
    <row r="4899" spans="17:17" x14ac:dyDescent="0.35">
      <c r="Q4899" s="83"/>
    </row>
    <row r="4900" spans="17:17" x14ac:dyDescent="0.35">
      <c r="Q4900" s="83"/>
    </row>
    <row r="4901" spans="17:17" x14ac:dyDescent="0.35">
      <c r="Q4901" s="83"/>
    </row>
    <row r="4902" spans="17:17" x14ac:dyDescent="0.35">
      <c r="Q4902" s="83"/>
    </row>
    <row r="4903" spans="17:17" x14ac:dyDescent="0.35">
      <c r="Q4903" s="83"/>
    </row>
    <row r="4904" spans="17:17" x14ac:dyDescent="0.35">
      <c r="Q4904" s="83"/>
    </row>
    <row r="4905" spans="17:17" x14ac:dyDescent="0.35">
      <c r="Q4905" s="83"/>
    </row>
    <row r="4906" spans="17:17" x14ac:dyDescent="0.35">
      <c r="Q4906" s="83"/>
    </row>
    <row r="4907" spans="17:17" x14ac:dyDescent="0.35">
      <c r="Q4907" s="83"/>
    </row>
    <row r="4908" spans="17:17" x14ac:dyDescent="0.35">
      <c r="Q4908" s="83"/>
    </row>
    <row r="4909" spans="17:17" x14ac:dyDescent="0.35">
      <c r="Q4909" s="83"/>
    </row>
    <row r="4910" spans="17:17" x14ac:dyDescent="0.35">
      <c r="Q4910" s="83"/>
    </row>
    <row r="4911" spans="17:17" x14ac:dyDescent="0.35">
      <c r="Q4911" s="83"/>
    </row>
    <row r="4912" spans="17:17" x14ac:dyDescent="0.35">
      <c r="Q4912" s="83"/>
    </row>
    <row r="4913" spans="17:17" x14ac:dyDescent="0.35">
      <c r="Q4913" s="83"/>
    </row>
    <row r="4914" spans="17:17" x14ac:dyDescent="0.35">
      <c r="Q4914" s="83"/>
    </row>
    <row r="4915" spans="17:17" x14ac:dyDescent="0.35">
      <c r="Q4915" s="83"/>
    </row>
    <row r="4916" spans="17:17" x14ac:dyDescent="0.35">
      <c r="Q4916" s="83"/>
    </row>
    <row r="4917" spans="17:17" x14ac:dyDescent="0.35">
      <c r="Q4917" s="83"/>
    </row>
    <row r="4918" spans="17:17" x14ac:dyDescent="0.35">
      <c r="Q4918" s="83"/>
    </row>
    <row r="4919" spans="17:17" x14ac:dyDescent="0.35">
      <c r="Q4919" s="83"/>
    </row>
    <row r="4920" spans="17:17" x14ac:dyDescent="0.35">
      <c r="Q4920" s="83"/>
    </row>
    <row r="4921" spans="17:17" x14ac:dyDescent="0.35">
      <c r="Q4921" s="83"/>
    </row>
    <row r="4922" spans="17:17" x14ac:dyDescent="0.35">
      <c r="Q4922" s="83"/>
    </row>
    <row r="4923" spans="17:17" x14ac:dyDescent="0.35">
      <c r="Q4923" s="83"/>
    </row>
    <row r="4924" spans="17:17" x14ac:dyDescent="0.35">
      <c r="Q4924" s="83"/>
    </row>
    <row r="4925" spans="17:17" x14ac:dyDescent="0.35">
      <c r="Q4925" s="83"/>
    </row>
    <row r="4926" spans="17:17" x14ac:dyDescent="0.35">
      <c r="Q4926" s="83"/>
    </row>
    <row r="4927" spans="17:17" x14ac:dyDescent="0.35">
      <c r="Q4927" s="83"/>
    </row>
    <row r="4928" spans="17:17" x14ac:dyDescent="0.35">
      <c r="Q4928" s="83"/>
    </row>
    <row r="4929" spans="17:17" x14ac:dyDescent="0.35">
      <c r="Q4929" s="83"/>
    </row>
    <row r="4930" spans="17:17" x14ac:dyDescent="0.35">
      <c r="Q4930" s="83"/>
    </row>
    <row r="4931" spans="17:17" x14ac:dyDescent="0.35">
      <c r="Q4931" s="83"/>
    </row>
    <row r="4932" spans="17:17" x14ac:dyDescent="0.35">
      <c r="Q4932" s="83"/>
    </row>
    <row r="4933" spans="17:17" x14ac:dyDescent="0.35">
      <c r="Q4933" s="83"/>
    </row>
    <row r="4934" spans="17:17" x14ac:dyDescent="0.35">
      <c r="Q4934" s="83"/>
    </row>
    <row r="4935" spans="17:17" x14ac:dyDescent="0.35">
      <c r="Q4935" s="83"/>
    </row>
    <row r="4936" spans="17:17" x14ac:dyDescent="0.35">
      <c r="Q4936" s="83"/>
    </row>
    <row r="4937" spans="17:17" x14ac:dyDescent="0.35">
      <c r="Q4937" s="83"/>
    </row>
    <row r="4938" spans="17:17" x14ac:dyDescent="0.35">
      <c r="Q4938" s="83"/>
    </row>
    <row r="4939" spans="17:17" x14ac:dyDescent="0.35">
      <c r="Q4939" s="83"/>
    </row>
    <row r="4940" spans="17:17" x14ac:dyDescent="0.35">
      <c r="Q4940" s="83"/>
    </row>
    <row r="4941" spans="17:17" x14ac:dyDescent="0.35">
      <c r="Q4941" s="83"/>
    </row>
    <row r="4942" spans="17:17" x14ac:dyDescent="0.35">
      <c r="Q4942" s="83"/>
    </row>
    <row r="4943" spans="17:17" x14ac:dyDescent="0.35">
      <c r="Q4943" s="83"/>
    </row>
    <row r="4944" spans="17:17" x14ac:dyDescent="0.35">
      <c r="Q4944" s="83"/>
    </row>
    <row r="4945" spans="17:17" x14ac:dyDescent="0.35">
      <c r="Q4945" s="83"/>
    </row>
    <row r="4946" spans="17:17" x14ac:dyDescent="0.35">
      <c r="Q4946" s="83"/>
    </row>
    <row r="4947" spans="17:17" x14ac:dyDescent="0.35">
      <c r="Q4947" s="83"/>
    </row>
    <row r="4948" spans="17:17" x14ac:dyDescent="0.35">
      <c r="Q4948" s="83"/>
    </row>
    <row r="4949" spans="17:17" x14ac:dyDescent="0.35">
      <c r="Q4949" s="83"/>
    </row>
    <row r="4950" spans="17:17" x14ac:dyDescent="0.35">
      <c r="Q4950" s="83"/>
    </row>
    <row r="4951" spans="17:17" x14ac:dyDescent="0.35">
      <c r="Q4951" s="83"/>
    </row>
    <row r="4952" spans="17:17" x14ac:dyDescent="0.35">
      <c r="Q4952" s="83"/>
    </row>
    <row r="4953" spans="17:17" x14ac:dyDescent="0.35">
      <c r="Q4953" s="83"/>
    </row>
    <row r="4954" spans="17:17" x14ac:dyDescent="0.35">
      <c r="Q4954" s="83"/>
    </row>
    <row r="4955" spans="17:17" x14ac:dyDescent="0.35">
      <c r="Q4955" s="83"/>
    </row>
    <row r="4956" spans="17:17" x14ac:dyDescent="0.35">
      <c r="Q4956" s="83"/>
    </row>
    <row r="4957" spans="17:17" x14ac:dyDescent="0.35">
      <c r="Q4957" s="83"/>
    </row>
    <row r="4958" spans="17:17" x14ac:dyDescent="0.35">
      <c r="Q4958" s="83"/>
    </row>
    <row r="4959" spans="17:17" x14ac:dyDescent="0.35">
      <c r="Q4959" s="83"/>
    </row>
    <row r="4960" spans="17:17" x14ac:dyDescent="0.35">
      <c r="Q4960" s="83"/>
    </row>
    <row r="4961" spans="17:17" x14ac:dyDescent="0.35">
      <c r="Q4961" s="83"/>
    </row>
    <row r="4962" spans="17:17" x14ac:dyDescent="0.35">
      <c r="Q4962" s="83"/>
    </row>
    <row r="4963" spans="17:17" x14ac:dyDescent="0.35">
      <c r="Q4963" s="83"/>
    </row>
    <row r="4964" spans="17:17" x14ac:dyDescent="0.35">
      <c r="Q4964" s="83"/>
    </row>
    <row r="4965" spans="17:17" x14ac:dyDescent="0.35">
      <c r="Q4965" s="83"/>
    </row>
    <row r="4966" spans="17:17" x14ac:dyDescent="0.35">
      <c r="Q4966" s="83"/>
    </row>
    <row r="4967" spans="17:17" x14ac:dyDescent="0.35">
      <c r="Q4967" s="83"/>
    </row>
    <row r="4968" spans="17:17" x14ac:dyDescent="0.35">
      <c r="Q4968" s="83"/>
    </row>
    <row r="4969" spans="17:17" x14ac:dyDescent="0.35">
      <c r="Q4969" s="83"/>
    </row>
    <row r="4970" spans="17:17" x14ac:dyDescent="0.35">
      <c r="Q4970" s="83"/>
    </row>
    <row r="4971" spans="17:17" x14ac:dyDescent="0.35">
      <c r="Q4971" s="83"/>
    </row>
    <row r="4972" spans="17:17" x14ac:dyDescent="0.35">
      <c r="Q4972" s="83"/>
    </row>
    <row r="4973" spans="17:17" x14ac:dyDescent="0.35">
      <c r="Q4973" s="83"/>
    </row>
    <row r="4974" spans="17:17" x14ac:dyDescent="0.35">
      <c r="Q4974" s="83"/>
    </row>
    <row r="4975" spans="17:17" x14ac:dyDescent="0.35">
      <c r="Q4975" s="83"/>
    </row>
    <row r="4976" spans="17:17" x14ac:dyDescent="0.35">
      <c r="Q4976" s="83"/>
    </row>
    <row r="4977" spans="17:17" x14ac:dyDescent="0.35">
      <c r="Q4977" s="83"/>
    </row>
    <row r="4978" spans="17:17" x14ac:dyDescent="0.35">
      <c r="Q4978" s="83"/>
    </row>
    <row r="4979" spans="17:17" x14ac:dyDescent="0.35">
      <c r="Q4979" s="83"/>
    </row>
    <row r="4980" spans="17:17" x14ac:dyDescent="0.35">
      <c r="Q4980" s="83"/>
    </row>
    <row r="4981" spans="17:17" x14ac:dyDescent="0.35">
      <c r="Q4981" s="83"/>
    </row>
    <row r="4982" spans="17:17" x14ac:dyDescent="0.35">
      <c r="Q4982" s="83"/>
    </row>
    <row r="4983" spans="17:17" x14ac:dyDescent="0.35">
      <c r="Q4983" s="83"/>
    </row>
    <row r="4984" spans="17:17" x14ac:dyDescent="0.35">
      <c r="Q4984" s="83"/>
    </row>
    <row r="4985" spans="17:17" x14ac:dyDescent="0.35">
      <c r="Q4985" s="83"/>
    </row>
    <row r="4986" spans="17:17" x14ac:dyDescent="0.35">
      <c r="Q4986" s="83"/>
    </row>
    <row r="4987" spans="17:17" x14ac:dyDescent="0.35">
      <c r="Q4987" s="83"/>
    </row>
    <row r="4988" spans="17:17" x14ac:dyDescent="0.35">
      <c r="Q4988" s="83"/>
    </row>
    <row r="4989" spans="17:17" x14ac:dyDescent="0.35">
      <c r="Q4989" s="83"/>
    </row>
    <row r="4990" spans="17:17" x14ac:dyDescent="0.35">
      <c r="Q4990" s="83"/>
    </row>
    <row r="4991" spans="17:17" x14ac:dyDescent="0.35">
      <c r="Q4991" s="83"/>
    </row>
    <row r="4992" spans="17:17" x14ac:dyDescent="0.35">
      <c r="Q4992" s="83"/>
    </row>
    <row r="4993" spans="17:17" x14ac:dyDescent="0.35">
      <c r="Q4993" s="83"/>
    </row>
    <row r="4994" spans="17:17" x14ac:dyDescent="0.35">
      <c r="Q4994" s="83"/>
    </row>
    <row r="4995" spans="17:17" x14ac:dyDescent="0.35">
      <c r="Q4995" s="83"/>
    </row>
    <row r="4996" spans="17:17" x14ac:dyDescent="0.35">
      <c r="Q4996" s="83"/>
    </row>
    <row r="4997" spans="17:17" x14ac:dyDescent="0.35">
      <c r="Q4997" s="83"/>
    </row>
    <row r="4998" spans="17:17" x14ac:dyDescent="0.35">
      <c r="Q4998" s="83"/>
    </row>
    <row r="4999" spans="17:17" x14ac:dyDescent="0.35">
      <c r="Q4999" s="83"/>
    </row>
    <row r="5000" spans="17:17" x14ac:dyDescent="0.35">
      <c r="Q5000" s="83"/>
    </row>
    <row r="5001" spans="17:17" x14ac:dyDescent="0.35">
      <c r="Q5001" s="83"/>
    </row>
    <row r="5002" spans="17:17" x14ac:dyDescent="0.35">
      <c r="Q5002" s="83"/>
    </row>
    <row r="5003" spans="17:17" x14ac:dyDescent="0.35">
      <c r="Q5003" s="83"/>
    </row>
    <row r="5004" spans="17:17" x14ac:dyDescent="0.35">
      <c r="Q5004" s="83"/>
    </row>
    <row r="5005" spans="17:17" x14ac:dyDescent="0.35">
      <c r="Q5005" s="83"/>
    </row>
    <row r="5006" spans="17:17" x14ac:dyDescent="0.35">
      <c r="Q5006" s="83"/>
    </row>
    <row r="5007" spans="17:17" x14ac:dyDescent="0.35">
      <c r="Q5007" s="83"/>
    </row>
    <row r="5008" spans="17:17" x14ac:dyDescent="0.35">
      <c r="Q5008" s="83"/>
    </row>
    <row r="5009" spans="17:17" x14ac:dyDescent="0.35">
      <c r="Q5009" s="83"/>
    </row>
    <row r="5010" spans="17:17" x14ac:dyDescent="0.35">
      <c r="Q5010" s="83"/>
    </row>
    <row r="5011" spans="17:17" x14ac:dyDescent="0.35">
      <c r="Q5011" s="83"/>
    </row>
    <row r="5012" spans="17:17" x14ac:dyDescent="0.35">
      <c r="Q5012" s="83"/>
    </row>
    <row r="5013" spans="17:17" x14ac:dyDescent="0.35">
      <c r="Q5013" s="83"/>
    </row>
    <row r="5014" spans="17:17" x14ac:dyDescent="0.35">
      <c r="Q5014" s="83"/>
    </row>
    <row r="5015" spans="17:17" x14ac:dyDescent="0.35">
      <c r="Q5015" s="83"/>
    </row>
    <row r="5016" spans="17:17" x14ac:dyDescent="0.35">
      <c r="Q5016" s="83"/>
    </row>
    <row r="5017" spans="17:17" x14ac:dyDescent="0.35">
      <c r="Q5017" s="83"/>
    </row>
    <row r="5018" spans="17:17" x14ac:dyDescent="0.35">
      <c r="Q5018" s="83"/>
    </row>
    <row r="5019" spans="17:17" x14ac:dyDescent="0.35">
      <c r="Q5019" s="83"/>
    </row>
    <row r="5020" spans="17:17" x14ac:dyDescent="0.35">
      <c r="Q5020" s="83"/>
    </row>
    <row r="5021" spans="17:17" x14ac:dyDescent="0.35">
      <c r="Q5021" s="83"/>
    </row>
    <row r="5022" spans="17:17" x14ac:dyDescent="0.35">
      <c r="Q5022" s="83"/>
    </row>
    <row r="5023" spans="17:17" x14ac:dyDescent="0.35">
      <c r="Q5023" s="83"/>
    </row>
    <row r="5024" spans="17:17" x14ac:dyDescent="0.35">
      <c r="Q5024" s="83"/>
    </row>
    <row r="5025" spans="17:17" x14ac:dyDescent="0.35">
      <c r="Q5025" s="83"/>
    </row>
    <row r="5026" spans="17:17" x14ac:dyDescent="0.35">
      <c r="Q5026" s="83"/>
    </row>
    <row r="5027" spans="17:17" x14ac:dyDescent="0.35">
      <c r="Q5027" s="83"/>
    </row>
    <row r="5028" spans="17:17" x14ac:dyDescent="0.35">
      <c r="Q5028" s="83"/>
    </row>
    <row r="5029" spans="17:17" x14ac:dyDescent="0.35">
      <c r="Q5029" s="83"/>
    </row>
    <row r="5030" spans="17:17" x14ac:dyDescent="0.35">
      <c r="Q5030" s="83"/>
    </row>
    <row r="5031" spans="17:17" x14ac:dyDescent="0.35">
      <c r="Q5031" s="83"/>
    </row>
    <row r="5032" spans="17:17" x14ac:dyDescent="0.35">
      <c r="Q5032" s="83"/>
    </row>
    <row r="5033" spans="17:17" x14ac:dyDescent="0.35">
      <c r="Q5033" s="83"/>
    </row>
    <row r="5034" spans="17:17" x14ac:dyDescent="0.35">
      <c r="Q5034" s="83"/>
    </row>
    <row r="5035" spans="17:17" x14ac:dyDescent="0.35">
      <c r="Q5035" s="83"/>
    </row>
    <row r="5036" spans="17:17" x14ac:dyDescent="0.35">
      <c r="Q5036" s="83"/>
    </row>
    <row r="5037" spans="17:17" x14ac:dyDescent="0.35">
      <c r="Q5037" s="83"/>
    </row>
    <row r="5038" spans="17:17" x14ac:dyDescent="0.35">
      <c r="Q5038" s="83"/>
    </row>
    <row r="5039" spans="17:17" x14ac:dyDescent="0.35">
      <c r="Q5039" s="83"/>
    </row>
    <row r="5040" spans="17:17" x14ac:dyDescent="0.35">
      <c r="Q5040" s="83"/>
    </row>
    <row r="5041" spans="17:17" x14ac:dyDescent="0.35">
      <c r="Q5041" s="83"/>
    </row>
    <row r="5042" spans="17:17" x14ac:dyDescent="0.35">
      <c r="Q5042" s="83"/>
    </row>
    <row r="5043" spans="17:17" x14ac:dyDescent="0.35">
      <c r="Q5043" s="83"/>
    </row>
    <row r="5044" spans="17:17" x14ac:dyDescent="0.35">
      <c r="Q5044" s="83"/>
    </row>
    <row r="5045" spans="17:17" x14ac:dyDescent="0.35">
      <c r="Q5045" s="83"/>
    </row>
    <row r="5046" spans="17:17" x14ac:dyDescent="0.35">
      <c r="Q5046" s="83"/>
    </row>
    <row r="5047" spans="17:17" x14ac:dyDescent="0.35">
      <c r="Q5047" s="83"/>
    </row>
    <row r="5048" spans="17:17" x14ac:dyDescent="0.35">
      <c r="Q5048" s="83"/>
    </row>
    <row r="5049" spans="17:17" x14ac:dyDescent="0.35">
      <c r="Q5049" s="83"/>
    </row>
    <row r="5050" spans="17:17" x14ac:dyDescent="0.35">
      <c r="Q5050" s="83"/>
    </row>
    <row r="5051" spans="17:17" x14ac:dyDescent="0.35">
      <c r="Q5051" s="83"/>
    </row>
    <row r="5052" spans="17:17" x14ac:dyDescent="0.35">
      <c r="Q5052" s="83"/>
    </row>
    <row r="5053" spans="17:17" x14ac:dyDescent="0.35">
      <c r="Q5053" s="83"/>
    </row>
    <row r="5054" spans="17:17" x14ac:dyDescent="0.35">
      <c r="Q5054" s="83"/>
    </row>
    <row r="5055" spans="17:17" x14ac:dyDescent="0.35">
      <c r="Q5055" s="83"/>
    </row>
    <row r="5056" spans="17:17" x14ac:dyDescent="0.35">
      <c r="Q5056" s="83"/>
    </row>
    <row r="5057" spans="17:17" x14ac:dyDescent="0.35">
      <c r="Q5057" s="83"/>
    </row>
    <row r="5058" spans="17:17" x14ac:dyDescent="0.35">
      <c r="Q5058" s="83"/>
    </row>
    <row r="5059" spans="17:17" x14ac:dyDescent="0.35">
      <c r="Q5059" s="83"/>
    </row>
    <row r="5060" spans="17:17" x14ac:dyDescent="0.35">
      <c r="Q5060" s="83"/>
    </row>
    <row r="5061" spans="17:17" x14ac:dyDescent="0.35">
      <c r="Q5061" s="83"/>
    </row>
    <row r="5062" spans="17:17" x14ac:dyDescent="0.35">
      <c r="Q5062" s="83"/>
    </row>
    <row r="5063" spans="17:17" x14ac:dyDescent="0.35">
      <c r="Q5063" s="83"/>
    </row>
    <row r="5064" spans="17:17" x14ac:dyDescent="0.35">
      <c r="Q5064" s="83"/>
    </row>
    <row r="5065" spans="17:17" x14ac:dyDescent="0.35">
      <c r="Q5065" s="83"/>
    </row>
    <row r="5066" spans="17:17" x14ac:dyDescent="0.35">
      <c r="Q5066" s="83"/>
    </row>
    <row r="5067" spans="17:17" x14ac:dyDescent="0.35">
      <c r="Q5067" s="83"/>
    </row>
    <row r="5068" spans="17:17" x14ac:dyDescent="0.35">
      <c r="Q5068" s="83"/>
    </row>
    <row r="5069" spans="17:17" x14ac:dyDescent="0.35">
      <c r="Q5069" s="83"/>
    </row>
    <row r="5070" spans="17:17" x14ac:dyDescent="0.35">
      <c r="Q5070" s="83"/>
    </row>
    <row r="5071" spans="17:17" x14ac:dyDescent="0.35">
      <c r="Q5071" s="83"/>
    </row>
    <row r="5072" spans="17:17" x14ac:dyDescent="0.35">
      <c r="Q5072" s="83"/>
    </row>
    <row r="5073" spans="17:17" x14ac:dyDescent="0.35">
      <c r="Q5073" s="83"/>
    </row>
    <row r="5074" spans="17:17" x14ac:dyDescent="0.35">
      <c r="Q5074" s="83"/>
    </row>
    <row r="5075" spans="17:17" x14ac:dyDescent="0.35">
      <c r="Q5075" s="83"/>
    </row>
    <row r="5076" spans="17:17" x14ac:dyDescent="0.35">
      <c r="Q5076" s="83"/>
    </row>
    <row r="5077" spans="17:17" x14ac:dyDescent="0.35">
      <c r="Q5077" s="83"/>
    </row>
    <row r="5078" spans="17:17" x14ac:dyDescent="0.35">
      <c r="Q5078" s="83"/>
    </row>
    <row r="5079" spans="17:17" x14ac:dyDescent="0.35">
      <c r="Q5079" s="83"/>
    </row>
    <row r="5080" spans="17:17" x14ac:dyDescent="0.35">
      <c r="Q5080" s="83"/>
    </row>
    <row r="5081" spans="17:17" x14ac:dyDescent="0.35">
      <c r="Q5081" s="83"/>
    </row>
    <row r="5082" spans="17:17" x14ac:dyDescent="0.35">
      <c r="Q5082" s="83"/>
    </row>
    <row r="5083" spans="17:17" x14ac:dyDescent="0.35">
      <c r="Q5083" s="83"/>
    </row>
    <row r="5084" spans="17:17" x14ac:dyDescent="0.35">
      <c r="Q5084" s="83"/>
    </row>
    <row r="5085" spans="17:17" x14ac:dyDescent="0.35">
      <c r="Q5085" s="83"/>
    </row>
    <row r="5086" spans="17:17" x14ac:dyDescent="0.35">
      <c r="Q5086" s="83"/>
    </row>
    <row r="5087" spans="17:17" x14ac:dyDescent="0.35">
      <c r="Q5087" s="83"/>
    </row>
    <row r="5088" spans="17:17" x14ac:dyDescent="0.35">
      <c r="Q5088" s="83"/>
    </row>
    <row r="5089" spans="17:17" x14ac:dyDescent="0.35">
      <c r="Q5089" s="83"/>
    </row>
    <row r="5090" spans="17:17" x14ac:dyDescent="0.35">
      <c r="Q5090" s="83"/>
    </row>
    <row r="5091" spans="17:17" x14ac:dyDescent="0.35">
      <c r="Q5091" s="83"/>
    </row>
    <row r="5092" spans="17:17" x14ac:dyDescent="0.35">
      <c r="Q5092" s="83"/>
    </row>
    <row r="5093" spans="17:17" x14ac:dyDescent="0.35">
      <c r="Q5093" s="83"/>
    </row>
    <row r="5094" spans="17:17" x14ac:dyDescent="0.35">
      <c r="Q5094" s="83"/>
    </row>
    <row r="5095" spans="17:17" x14ac:dyDescent="0.35">
      <c r="Q5095" s="83"/>
    </row>
    <row r="5096" spans="17:17" x14ac:dyDescent="0.35">
      <c r="Q5096" s="83"/>
    </row>
    <row r="5097" spans="17:17" x14ac:dyDescent="0.35">
      <c r="Q5097" s="83"/>
    </row>
    <row r="5098" spans="17:17" x14ac:dyDescent="0.35">
      <c r="Q5098" s="83"/>
    </row>
    <row r="5099" spans="17:17" x14ac:dyDescent="0.35">
      <c r="Q5099" s="83"/>
    </row>
    <row r="5100" spans="17:17" x14ac:dyDescent="0.35">
      <c r="Q5100" s="83"/>
    </row>
    <row r="5101" spans="17:17" x14ac:dyDescent="0.35">
      <c r="Q5101" s="83"/>
    </row>
    <row r="5102" spans="17:17" x14ac:dyDescent="0.35">
      <c r="Q5102" s="83"/>
    </row>
    <row r="5103" spans="17:17" x14ac:dyDescent="0.35">
      <c r="Q5103" s="83"/>
    </row>
    <row r="5104" spans="17:17" x14ac:dyDescent="0.35">
      <c r="Q5104" s="83"/>
    </row>
    <row r="5105" spans="17:17" x14ac:dyDescent="0.35">
      <c r="Q5105" s="83"/>
    </row>
    <row r="5106" spans="17:17" x14ac:dyDescent="0.35">
      <c r="Q5106" s="83"/>
    </row>
    <row r="5107" spans="17:17" x14ac:dyDescent="0.35">
      <c r="Q5107" s="83"/>
    </row>
    <row r="5108" spans="17:17" x14ac:dyDescent="0.35">
      <c r="Q5108" s="83"/>
    </row>
    <row r="5109" spans="17:17" x14ac:dyDescent="0.35">
      <c r="Q5109" s="83"/>
    </row>
    <row r="5110" spans="17:17" x14ac:dyDescent="0.35">
      <c r="Q5110" s="83"/>
    </row>
    <row r="5111" spans="17:17" x14ac:dyDescent="0.35">
      <c r="Q5111" s="83"/>
    </row>
    <row r="5112" spans="17:17" x14ac:dyDescent="0.35">
      <c r="Q5112" s="83"/>
    </row>
    <row r="5113" spans="17:17" x14ac:dyDescent="0.35">
      <c r="Q5113" s="83"/>
    </row>
    <row r="5114" spans="17:17" x14ac:dyDescent="0.35">
      <c r="Q5114" s="83"/>
    </row>
    <row r="5115" spans="17:17" x14ac:dyDescent="0.35">
      <c r="Q5115" s="83"/>
    </row>
    <row r="5116" spans="17:17" x14ac:dyDescent="0.35">
      <c r="Q5116" s="83"/>
    </row>
    <row r="5117" spans="17:17" x14ac:dyDescent="0.35">
      <c r="Q5117" s="83"/>
    </row>
    <row r="5118" spans="17:17" x14ac:dyDescent="0.35">
      <c r="Q5118" s="83"/>
    </row>
    <row r="5119" spans="17:17" x14ac:dyDescent="0.35">
      <c r="Q5119" s="83"/>
    </row>
    <row r="5120" spans="17:17" x14ac:dyDescent="0.35">
      <c r="Q5120" s="83"/>
    </row>
    <row r="5121" spans="17:17" x14ac:dyDescent="0.35">
      <c r="Q5121" s="83"/>
    </row>
    <row r="5122" spans="17:17" x14ac:dyDescent="0.35">
      <c r="Q5122" s="83"/>
    </row>
    <row r="5123" spans="17:17" x14ac:dyDescent="0.35">
      <c r="Q5123" s="83"/>
    </row>
    <row r="5124" spans="17:17" x14ac:dyDescent="0.35">
      <c r="Q5124" s="83"/>
    </row>
    <row r="5125" spans="17:17" x14ac:dyDescent="0.35">
      <c r="Q5125" s="83"/>
    </row>
    <row r="5126" spans="17:17" x14ac:dyDescent="0.35">
      <c r="Q5126" s="83"/>
    </row>
    <row r="5127" spans="17:17" x14ac:dyDescent="0.35">
      <c r="Q5127" s="83"/>
    </row>
    <row r="5128" spans="17:17" x14ac:dyDescent="0.35">
      <c r="Q5128" s="83"/>
    </row>
    <row r="5129" spans="17:17" x14ac:dyDescent="0.35">
      <c r="Q5129" s="83"/>
    </row>
    <row r="5130" spans="17:17" x14ac:dyDescent="0.35">
      <c r="Q5130" s="83"/>
    </row>
    <row r="5131" spans="17:17" x14ac:dyDescent="0.35">
      <c r="Q5131" s="83"/>
    </row>
    <row r="5132" spans="17:17" x14ac:dyDescent="0.35">
      <c r="Q5132" s="83"/>
    </row>
    <row r="5133" spans="17:17" x14ac:dyDescent="0.35">
      <c r="Q5133" s="83"/>
    </row>
    <row r="5134" spans="17:17" x14ac:dyDescent="0.35">
      <c r="Q5134" s="83"/>
    </row>
    <row r="5135" spans="17:17" x14ac:dyDescent="0.35">
      <c r="Q5135" s="83"/>
    </row>
    <row r="5136" spans="17:17" x14ac:dyDescent="0.35">
      <c r="Q5136" s="83"/>
    </row>
    <row r="5137" spans="17:17" x14ac:dyDescent="0.35">
      <c r="Q5137" s="83"/>
    </row>
    <row r="5138" spans="17:17" x14ac:dyDescent="0.35">
      <c r="Q5138" s="83"/>
    </row>
    <row r="5139" spans="17:17" x14ac:dyDescent="0.35">
      <c r="Q5139" s="83"/>
    </row>
    <row r="5140" spans="17:17" x14ac:dyDescent="0.35">
      <c r="Q5140" s="83"/>
    </row>
    <row r="5141" spans="17:17" x14ac:dyDescent="0.35">
      <c r="Q5141" s="83"/>
    </row>
    <row r="5142" spans="17:17" x14ac:dyDescent="0.35">
      <c r="Q5142" s="83"/>
    </row>
    <row r="5143" spans="17:17" x14ac:dyDescent="0.35">
      <c r="Q5143" s="83"/>
    </row>
    <row r="5144" spans="17:17" x14ac:dyDescent="0.35">
      <c r="Q5144" s="83"/>
    </row>
    <row r="5145" spans="17:17" x14ac:dyDescent="0.35">
      <c r="Q5145" s="83"/>
    </row>
    <row r="5146" spans="17:17" x14ac:dyDescent="0.35">
      <c r="Q5146" s="83"/>
    </row>
    <row r="5147" spans="17:17" x14ac:dyDescent="0.35">
      <c r="Q5147" s="83"/>
    </row>
    <row r="5148" spans="17:17" x14ac:dyDescent="0.35">
      <c r="Q5148" s="83"/>
    </row>
    <row r="5149" spans="17:17" x14ac:dyDescent="0.35">
      <c r="Q5149" s="83"/>
    </row>
    <row r="5150" spans="17:17" x14ac:dyDescent="0.35">
      <c r="Q5150" s="83"/>
    </row>
    <row r="5151" spans="17:17" x14ac:dyDescent="0.35">
      <c r="Q5151" s="83"/>
    </row>
    <row r="5152" spans="17:17" x14ac:dyDescent="0.35">
      <c r="Q5152" s="83"/>
    </row>
    <row r="5153" spans="17:17" x14ac:dyDescent="0.35">
      <c r="Q5153" s="83"/>
    </row>
    <row r="5154" spans="17:17" x14ac:dyDescent="0.35">
      <c r="Q5154" s="83"/>
    </row>
    <row r="5155" spans="17:17" x14ac:dyDescent="0.35">
      <c r="Q5155" s="83"/>
    </row>
    <row r="5156" spans="17:17" x14ac:dyDescent="0.35">
      <c r="Q5156" s="83"/>
    </row>
    <row r="5157" spans="17:17" x14ac:dyDescent="0.35">
      <c r="Q5157" s="83"/>
    </row>
    <row r="5158" spans="17:17" x14ac:dyDescent="0.35">
      <c r="Q5158" s="83"/>
    </row>
    <row r="5159" spans="17:17" x14ac:dyDescent="0.35">
      <c r="Q5159" s="83"/>
    </row>
    <row r="5160" spans="17:17" x14ac:dyDescent="0.35">
      <c r="Q5160" s="83"/>
    </row>
    <row r="5161" spans="17:17" x14ac:dyDescent="0.35">
      <c r="Q5161" s="83"/>
    </row>
    <row r="5162" spans="17:17" x14ac:dyDescent="0.35">
      <c r="Q5162" s="83"/>
    </row>
    <row r="5163" spans="17:17" x14ac:dyDescent="0.35">
      <c r="Q5163" s="83"/>
    </row>
    <row r="5164" spans="17:17" x14ac:dyDescent="0.35">
      <c r="Q5164" s="83"/>
    </row>
    <row r="5165" spans="17:17" x14ac:dyDescent="0.35">
      <c r="Q5165" s="83"/>
    </row>
    <row r="5166" spans="17:17" x14ac:dyDescent="0.35">
      <c r="Q5166" s="83"/>
    </row>
    <row r="5167" spans="17:17" x14ac:dyDescent="0.35">
      <c r="Q5167" s="83"/>
    </row>
    <row r="5168" spans="17:17" x14ac:dyDescent="0.35">
      <c r="Q5168" s="83"/>
    </row>
    <row r="5169" spans="17:17" x14ac:dyDescent="0.35">
      <c r="Q5169" s="83"/>
    </row>
    <row r="5170" spans="17:17" x14ac:dyDescent="0.35">
      <c r="Q5170" s="83"/>
    </row>
    <row r="5171" spans="17:17" x14ac:dyDescent="0.35">
      <c r="Q5171" s="83"/>
    </row>
    <row r="5172" spans="17:17" x14ac:dyDescent="0.35">
      <c r="Q5172" s="83"/>
    </row>
    <row r="5173" spans="17:17" x14ac:dyDescent="0.35">
      <c r="Q5173" s="83"/>
    </row>
    <row r="5174" spans="17:17" x14ac:dyDescent="0.35">
      <c r="Q5174" s="83"/>
    </row>
    <row r="5175" spans="17:17" x14ac:dyDescent="0.35">
      <c r="Q5175" s="83"/>
    </row>
    <row r="5176" spans="17:17" x14ac:dyDescent="0.35">
      <c r="Q5176" s="83"/>
    </row>
    <row r="5177" spans="17:17" x14ac:dyDescent="0.35">
      <c r="Q5177" s="83"/>
    </row>
    <row r="5178" spans="17:17" x14ac:dyDescent="0.35">
      <c r="Q5178" s="83"/>
    </row>
    <row r="5179" spans="17:17" x14ac:dyDescent="0.35">
      <c r="Q5179" s="83"/>
    </row>
    <row r="5180" spans="17:17" x14ac:dyDescent="0.35">
      <c r="Q5180" s="83"/>
    </row>
    <row r="5181" spans="17:17" x14ac:dyDescent="0.35">
      <c r="Q5181" s="83"/>
    </row>
    <row r="5182" spans="17:17" x14ac:dyDescent="0.35">
      <c r="Q5182" s="83"/>
    </row>
    <row r="5183" spans="17:17" x14ac:dyDescent="0.35">
      <c r="Q5183" s="83"/>
    </row>
    <row r="5184" spans="17:17" x14ac:dyDescent="0.35">
      <c r="Q5184" s="83"/>
    </row>
    <row r="5185" spans="17:17" x14ac:dyDescent="0.35">
      <c r="Q5185" s="83"/>
    </row>
    <row r="5186" spans="17:17" x14ac:dyDescent="0.35">
      <c r="Q5186" s="83"/>
    </row>
    <row r="5187" spans="17:17" x14ac:dyDescent="0.35">
      <c r="Q5187" s="83"/>
    </row>
    <row r="5188" spans="17:17" x14ac:dyDescent="0.35">
      <c r="Q5188" s="83"/>
    </row>
    <row r="5189" spans="17:17" x14ac:dyDescent="0.35">
      <c r="Q5189" s="83"/>
    </row>
    <row r="5190" spans="17:17" x14ac:dyDescent="0.35">
      <c r="Q5190" s="83"/>
    </row>
    <row r="5191" spans="17:17" x14ac:dyDescent="0.35">
      <c r="Q5191" s="83"/>
    </row>
    <row r="5192" spans="17:17" x14ac:dyDescent="0.35">
      <c r="Q5192" s="83"/>
    </row>
    <row r="5193" spans="17:17" x14ac:dyDescent="0.35">
      <c r="Q5193" s="83"/>
    </row>
    <row r="5194" spans="17:17" x14ac:dyDescent="0.35">
      <c r="Q5194" s="83"/>
    </row>
    <row r="5195" spans="17:17" x14ac:dyDescent="0.35">
      <c r="Q5195" s="83"/>
    </row>
    <row r="5196" spans="17:17" x14ac:dyDescent="0.35">
      <c r="Q5196" s="83"/>
    </row>
    <row r="5197" spans="17:17" x14ac:dyDescent="0.35">
      <c r="Q5197" s="83"/>
    </row>
    <row r="5198" spans="17:17" x14ac:dyDescent="0.35">
      <c r="Q5198" s="83"/>
    </row>
    <row r="5199" spans="17:17" x14ac:dyDescent="0.35">
      <c r="Q5199" s="83"/>
    </row>
    <row r="5200" spans="17:17" x14ac:dyDescent="0.35">
      <c r="Q5200" s="83"/>
    </row>
    <row r="5201" spans="17:17" x14ac:dyDescent="0.35">
      <c r="Q5201" s="83"/>
    </row>
    <row r="5202" spans="17:17" x14ac:dyDescent="0.35">
      <c r="Q5202" s="83"/>
    </row>
    <row r="5203" spans="17:17" x14ac:dyDescent="0.35">
      <c r="Q5203" s="83"/>
    </row>
    <row r="5204" spans="17:17" x14ac:dyDescent="0.35">
      <c r="Q5204" s="83"/>
    </row>
    <row r="5205" spans="17:17" x14ac:dyDescent="0.35">
      <c r="Q5205" s="83"/>
    </row>
    <row r="5206" spans="17:17" x14ac:dyDescent="0.35">
      <c r="Q5206" s="83"/>
    </row>
    <row r="5207" spans="17:17" x14ac:dyDescent="0.35">
      <c r="Q5207" s="83"/>
    </row>
    <row r="5208" spans="17:17" x14ac:dyDescent="0.35">
      <c r="Q5208" s="83"/>
    </row>
    <row r="5209" spans="17:17" x14ac:dyDescent="0.35">
      <c r="Q5209" s="83"/>
    </row>
    <row r="5210" spans="17:17" x14ac:dyDescent="0.35">
      <c r="Q5210" s="83"/>
    </row>
    <row r="5211" spans="17:17" x14ac:dyDescent="0.35">
      <c r="Q5211" s="83"/>
    </row>
    <row r="5212" spans="17:17" x14ac:dyDescent="0.35">
      <c r="Q5212" s="83"/>
    </row>
    <row r="5213" spans="17:17" x14ac:dyDescent="0.35">
      <c r="Q5213" s="83"/>
    </row>
    <row r="5214" spans="17:17" x14ac:dyDescent="0.35">
      <c r="Q5214" s="83"/>
    </row>
    <row r="5215" spans="17:17" x14ac:dyDescent="0.35">
      <c r="Q5215" s="83"/>
    </row>
    <row r="5216" spans="17:17" x14ac:dyDescent="0.35">
      <c r="Q5216" s="83"/>
    </row>
    <row r="5217" spans="17:17" x14ac:dyDescent="0.35">
      <c r="Q5217" s="83"/>
    </row>
    <row r="5218" spans="17:17" x14ac:dyDescent="0.35">
      <c r="Q5218" s="83"/>
    </row>
    <row r="5219" spans="17:17" x14ac:dyDescent="0.35">
      <c r="Q5219" s="83"/>
    </row>
    <row r="5220" spans="17:17" x14ac:dyDescent="0.35">
      <c r="Q5220" s="83"/>
    </row>
    <row r="5221" spans="17:17" x14ac:dyDescent="0.35">
      <c r="Q5221" s="83"/>
    </row>
    <row r="5222" spans="17:17" x14ac:dyDescent="0.35">
      <c r="Q5222" s="83"/>
    </row>
    <row r="5223" spans="17:17" x14ac:dyDescent="0.35">
      <c r="Q5223" s="83"/>
    </row>
    <row r="5224" spans="17:17" x14ac:dyDescent="0.35">
      <c r="Q5224" s="83"/>
    </row>
    <row r="5225" spans="17:17" x14ac:dyDescent="0.35">
      <c r="Q5225" s="83"/>
    </row>
    <row r="5226" spans="17:17" x14ac:dyDescent="0.35">
      <c r="Q5226" s="83"/>
    </row>
    <row r="5227" spans="17:17" x14ac:dyDescent="0.35">
      <c r="Q5227" s="83"/>
    </row>
    <row r="5228" spans="17:17" x14ac:dyDescent="0.35">
      <c r="Q5228" s="83"/>
    </row>
    <row r="5229" spans="17:17" x14ac:dyDescent="0.35">
      <c r="Q5229" s="83"/>
    </row>
    <row r="5230" spans="17:17" x14ac:dyDescent="0.35">
      <c r="Q5230" s="83"/>
    </row>
    <row r="5231" spans="17:17" x14ac:dyDescent="0.35">
      <c r="Q5231" s="83"/>
    </row>
    <row r="5232" spans="17:17" x14ac:dyDescent="0.35">
      <c r="Q5232" s="83"/>
    </row>
    <row r="5233" spans="17:17" x14ac:dyDescent="0.35">
      <c r="Q5233" s="83"/>
    </row>
    <row r="5234" spans="17:17" x14ac:dyDescent="0.35">
      <c r="Q5234" s="83"/>
    </row>
    <row r="5235" spans="17:17" x14ac:dyDescent="0.35">
      <c r="Q5235" s="83"/>
    </row>
    <row r="5236" spans="17:17" x14ac:dyDescent="0.35">
      <c r="Q5236" s="83"/>
    </row>
    <row r="5237" spans="17:17" x14ac:dyDescent="0.35">
      <c r="Q5237" s="83"/>
    </row>
    <row r="5238" spans="17:17" x14ac:dyDescent="0.35">
      <c r="Q5238" s="83"/>
    </row>
    <row r="5239" spans="17:17" x14ac:dyDescent="0.35">
      <c r="Q5239" s="83"/>
    </row>
    <row r="5240" spans="17:17" x14ac:dyDescent="0.35">
      <c r="Q5240" s="83"/>
    </row>
    <row r="5241" spans="17:17" x14ac:dyDescent="0.35">
      <c r="Q5241" s="83"/>
    </row>
    <row r="5242" spans="17:17" x14ac:dyDescent="0.35">
      <c r="Q5242" s="83"/>
    </row>
    <row r="5243" spans="17:17" x14ac:dyDescent="0.35">
      <c r="Q5243" s="83"/>
    </row>
    <row r="5244" spans="17:17" x14ac:dyDescent="0.35">
      <c r="Q5244" s="83"/>
    </row>
    <row r="5245" spans="17:17" x14ac:dyDescent="0.35">
      <c r="Q5245" s="83"/>
    </row>
    <row r="5246" spans="17:17" x14ac:dyDescent="0.35">
      <c r="Q5246" s="83"/>
    </row>
    <row r="5247" spans="17:17" x14ac:dyDescent="0.35">
      <c r="Q5247" s="83"/>
    </row>
    <row r="5248" spans="17:17" x14ac:dyDescent="0.35">
      <c r="Q5248" s="83"/>
    </row>
    <row r="5249" spans="17:17" x14ac:dyDescent="0.35">
      <c r="Q5249" s="83"/>
    </row>
    <row r="5250" spans="17:17" x14ac:dyDescent="0.35">
      <c r="Q5250" s="83"/>
    </row>
    <row r="5251" spans="17:17" x14ac:dyDescent="0.35">
      <c r="Q5251" s="83"/>
    </row>
    <row r="5252" spans="17:17" x14ac:dyDescent="0.35">
      <c r="Q5252" s="83"/>
    </row>
    <row r="5253" spans="17:17" x14ac:dyDescent="0.35">
      <c r="Q5253" s="83"/>
    </row>
    <row r="5254" spans="17:17" x14ac:dyDescent="0.35">
      <c r="Q5254" s="83"/>
    </row>
    <row r="5255" spans="17:17" x14ac:dyDescent="0.35">
      <c r="Q5255" s="83"/>
    </row>
    <row r="5256" spans="17:17" x14ac:dyDescent="0.35">
      <c r="Q5256" s="83"/>
    </row>
    <row r="5257" spans="17:17" x14ac:dyDescent="0.35">
      <c r="Q5257" s="83"/>
    </row>
    <row r="5258" spans="17:17" x14ac:dyDescent="0.35">
      <c r="Q5258" s="83"/>
    </row>
    <row r="5259" spans="17:17" x14ac:dyDescent="0.35">
      <c r="Q5259" s="83"/>
    </row>
    <row r="5260" spans="17:17" x14ac:dyDescent="0.35">
      <c r="Q5260" s="83"/>
    </row>
    <row r="5261" spans="17:17" x14ac:dyDescent="0.35">
      <c r="Q5261" s="83"/>
    </row>
    <row r="5262" spans="17:17" x14ac:dyDescent="0.35">
      <c r="Q5262" s="83"/>
    </row>
    <row r="5263" spans="17:17" x14ac:dyDescent="0.35">
      <c r="Q5263" s="83"/>
    </row>
    <row r="5264" spans="17:17" x14ac:dyDescent="0.35">
      <c r="Q5264" s="83"/>
    </row>
    <row r="5265" spans="17:17" x14ac:dyDescent="0.35">
      <c r="Q5265" s="83"/>
    </row>
    <row r="5266" spans="17:17" x14ac:dyDescent="0.35">
      <c r="Q5266" s="83"/>
    </row>
    <row r="5267" spans="17:17" x14ac:dyDescent="0.35">
      <c r="Q5267" s="83"/>
    </row>
    <row r="5268" spans="17:17" x14ac:dyDescent="0.35">
      <c r="Q5268" s="83"/>
    </row>
    <row r="5269" spans="17:17" x14ac:dyDescent="0.35">
      <c r="Q5269" s="83"/>
    </row>
    <row r="5270" spans="17:17" x14ac:dyDescent="0.35">
      <c r="Q5270" s="83"/>
    </row>
    <row r="5271" spans="17:17" x14ac:dyDescent="0.35">
      <c r="Q5271" s="83"/>
    </row>
    <row r="5272" spans="17:17" x14ac:dyDescent="0.35">
      <c r="Q5272" s="83"/>
    </row>
    <row r="5273" spans="17:17" x14ac:dyDescent="0.35">
      <c r="Q5273" s="83"/>
    </row>
    <row r="5274" spans="17:17" x14ac:dyDescent="0.35">
      <c r="Q5274" s="83"/>
    </row>
    <row r="5275" spans="17:17" x14ac:dyDescent="0.35">
      <c r="Q5275" s="83"/>
    </row>
    <row r="5276" spans="17:17" x14ac:dyDescent="0.35">
      <c r="Q5276" s="83"/>
    </row>
    <row r="5277" spans="17:17" x14ac:dyDescent="0.35">
      <c r="Q5277" s="83"/>
    </row>
    <row r="5278" spans="17:17" x14ac:dyDescent="0.35">
      <c r="Q5278" s="83"/>
    </row>
    <row r="5279" spans="17:17" x14ac:dyDescent="0.35">
      <c r="Q5279" s="83"/>
    </row>
    <row r="5280" spans="17:17" x14ac:dyDescent="0.35">
      <c r="Q5280" s="83"/>
    </row>
    <row r="5281" spans="17:17" x14ac:dyDescent="0.35">
      <c r="Q5281" s="83"/>
    </row>
    <row r="5282" spans="17:17" x14ac:dyDescent="0.35">
      <c r="Q5282" s="83"/>
    </row>
    <row r="5283" spans="17:17" x14ac:dyDescent="0.35">
      <c r="Q5283" s="83"/>
    </row>
    <row r="5284" spans="17:17" x14ac:dyDescent="0.35">
      <c r="Q5284" s="83"/>
    </row>
    <row r="5285" spans="17:17" x14ac:dyDescent="0.35">
      <c r="Q5285" s="83"/>
    </row>
    <row r="5286" spans="17:17" x14ac:dyDescent="0.35">
      <c r="Q5286" s="83"/>
    </row>
    <row r="5287" spans="17:17" x14ac:dyDescent="0.35">
      <c r="Q5287" s="83"/>
    </row>
    <row r="5288" spans="17:17" x14ac:dyDescent="0.35">
      <c r="Q5288" s="83"/>
    </row>
    <row r="5289" spans="17:17" x14ac:dyDescent="0.35">
      <c r="Q5289" s="83"/>
    </row>
    <row r="5290" spans="17:17" x14ac:dyDescent="0.35">
      <c r="Q5290" s="83"/>
    </row>
    <row r="5291" spans="17:17" x14ac:dyDescent="0.35">
      <c r="Q5291" s="83"/>
    </row>
    <row r="5292" spans="17:17" x14ac:dyDescent="0.35">
      <c r="Q5292" s="83"/>
    </row>
    <row r="5293" spans="17:17" x14ac:dyDescent="0.35">
      <c r="Q5293" s="83"/>
    </row>
    <row r="5294" spans="17:17" x14ac:dyDescent="0.35">
      <c r="Q5294" s="83"/>
    </row>
    <row r="5295" spans="17:17" x14ac:dyDescent="0.35">
      <c r="Q5295" s="83"/>
    </row>
    <row r="5296" spans="17:17" x14ac:dyDescent="0.35">
      <c r="Q5296" s="83"/>
    </row>
    <row r="5297" spans="17:17" x14ac:dyDescent="0.35">
      <c r="Q5297" s="83"/>
    </row>
    <row r="5298" spans="17:17" x14ac:dyDescent="0.35">
      <c r="Q5298" s="83"/>
    </row>
    <row r="5299" spans="17:17" x14ac:dyDescent="0.35">
      <c r="Q5299" s="83"/>
    </row>
    <row r="5300" spans="17:17" x14ac:dyDescent="0.35">
      <c r="Q5300" s="83"/>
    </row>
    <row r="5301" spans="17:17" x14ac:dyDescent="0.35">
      <c r="Q5301" s="83"/>
    </row>
    <row r="5302" spans="17:17" x14ac:dyDescent="0.35">
      <c r="Q5302" s="83"/>
    </row>
    <row r="5303" spans="17:17" x14ac:dyDescent="0.35">
      <c r="Q5303" s="83"/>
    </row>
    <row r="5304" spans="17:17" x14ac:dyDescent="0.35">
      <c r="Q5304" s="83"/>
    </row>
    <row r="5305" spans="17:17" x14ac:dyDescent="0.35">
      <c r="Q5305" s="83"/>
    </row>
    <row r="5306" spans="17:17" x14ac:dyDescent="0.35">
      <c r="Q5306" s="83"/>
    </row>
    <row r="5307" spans="17:17" x14ac:dyDescent="0.35">
      <c r="Q5307" s="83"/>
    </row>
    <row r="5308" spans="17:17" x14ac:dyDescent="0.35">
      <c r="Q5308" s="83"/>
    </row>
    <row r="5309" spans="17:17" x14ac:dyDescent="0.35">
      <c r="Q5309" s="83"/>
    </row>
    <row r="5310" spans="17:17" x14ac:dyDescent="0.35">
      <c r="Q5310" s="83"/>
    </row>
    <row r="5311" spans="17:17" x14ac:dyDescent="0.35">
      <c r="Q5311" s="83"/>
    </row>
    <row r="5312" spans="17:17" x14ac:dyDescent="0.35">
      <c r="Q5312" s="83"/>
    </row>
    <row r="5313" spans="17:17" x14ac:dyDescent="0.35">
      <c r="Q5313" s="83"/>
    </row>
    <row r="5314" spans="17:17" x14ac:dyDescent="0.35">
      <c r="Q5314" s="83"/>
    </row>
    <row r="5315" spans="17:17" x14ac:dyDescent="0.35">
      <c r="Q5315" s="83"/>
    </row>
    <row r="5316" spans="17:17" x14ac:dyDescent="0.35">
      <c r="Q5316" s="83"/>
    </row>
    <row r="5317" spans="17:17" x14ac:dyDescent="0.35">
      <c r="Q5317" s="83"/>
    </row>
    <row r="5318" spans="17:17" x14ac:dyDescent="0.35">
      <c r="Q5318" s="83"/>
    </row>
    <row r="5319" spans="17:17" x14ac:dyDescent="0.35">
      <c r="Q5319" s="83"/>
    </row>
    <row r="5320" spans="17:17" x14ac:dyDescent="0.35">
      <c r="Q5320" s="83"/>
    </row>
    <row r="5321" spans="17:17" x14ac:dyDescent="0.35">
      <c r="Q5321" s="83"/>
    </row>
    <row r="5322" spans="17:17" x14ac:dyDescent="0.35">
      <c r="Q5322" s="83"/>
    </row>
    <row r="5323" spans="17:17" x14ac:dyDescent="0.35">
      <c r="Q5323" s="83"/>
    </row>
    <row r="5324" spans="17:17" x14ac:dyDescent="0.35">
      <c r="Q5324" s="83"/>
    </row>
    <row r="5325" spans="17:17" x14ac:dyDescent="0.35">
      <c r="Q5325" s="83"/>
    </row>
    <row r="5326" spans="17:17" x14ac:dyDescent="0.35">
      <c r="Q5326" s="83"/>
    </row>
    <row r="5327" spans="17:17" x14ac:dyDescent="0.35">
      <c r="Q5327" s="83"/>
    </row>
    <row r="5328" spans="17:17" x14ac:dyDescent="0.35">
      <c r="Q5328" s="83"/>
    </row>
    <row r="5329" spans="17:17" x14ac:dyDescent="0.35">
      <c r="Q5329" s="83"/>
    </row>
    <row r="5330" spans="17:17" x14ac:dyDescent="0.35">
      <c r="Q5330" s="83"/>
    </row>
    <row r="5331" spans="17:17" x14ac:dyDescent="0.35">
      <c r="Q5331" s="83"/>
    </row>
    <row r="5332" spans="17:17" x14ac:dyDescent="0.35">
      <c r="Q5332" s="83"/>
    </row>
    <row r="5333" spans="17:17" x14ac:dyDescent="0.35">
      <c r="Q5333" s="83"/>
    </row>
    <row r="5334" spans="17:17" x14ac:dyDescent="0.35">
      <c r="Q5334" s="83"/>
    </row>
    <row r="5335" spans="17:17" x14ac:dyDescent="0.35">
      <c r="Q5335" s="83"/>
    </row>
    <row r="5336" spans="17:17" x14ac:dyDescent="0.35">
      <c r="Q5336" s="83"/>
    </row>
    <row r="5337" spans="17:17" x14ac:dyDescent="0.35">
      <c r="Q5337" s="83"/>
    </row>
    <row r="5338" spans="17:17" x14ac:dyDescent="0.35">
      <c r="Q5338" s="83"/>
    </row>
    <row r="5339" spans="17:17" x14ac:dyDescent="0.35">
      <c r="Q5339" s="83"/>
    </row>
    <row r="5340" spans="17:17" x14ac:dyDescent="0.35">
      <c r="Q5340" s="83"/>
    </row>
    <row r="5341" spans="17:17" x14ac:dyDescent="0.35">
      <c r="Q5341" s="83"/>
    </row>
    <row r="5342" spans="17:17" x14ac:dyDescent="0.35">
      <c r="Q5342" s="83"/>
    </row>
    <row r="5343" spans="17:17" x14ac:dyDescent="0.35">
      <c r="Q5343" s="83"/>
    </row>
    <row r="5344" spans="17:17" x14ac:dyDescent="0.35">
      <c r="Q5344" s="83"/>
    </row>
    <row r="5345" spans="17:17" x14ac:dyDescent="0.35">
      <c r="Q5345" s="83"/>
    </row>
    <row r="5346" spans="17:17" x14ac:dyDescent="0.35">
      <c r="Q5346" s="83"/>
    </row>
    <row r="5347" spans="17:17" x14ac:dyDescent="0.35">
      <c r="Q5347" s="83"/>
    </row>
    <row r="5348" spans="17:17" x14ac:dyDescent="0.35">
      <c r="Q5348" s="83"/>
    </row>
    <row r="5349" spans="17:17" x14ac:dyDescent="0.35">
      <c r="Q5349" s="83"/>
    </row>
    <row r="5350" spans="17:17" x14ac:dyDescent="0.35">
      <c r="Q5350" s="83"/>
    </row>
    <row r="5351" spans="17:17" x14ac:dyDescent="0.35">
      <c r="Q5351" s="83"/>
    </row>
    <row r="5352" spans="17:17" x14ac:dyDescent="0.35">
      <c r="Q5352" s="83"/>
    </row>
    <row r="5353" spans="17:17" x14ac:dyDescent="0.35">
      <c r="Q5353" s="83"/>
    </row>
    <row r="5354" spans="17:17" x14ac:dyDescent="0.35">
      <c r="Q5354" s="83"/>
    </row>
    <row r="5355" spans="17:17" x14ac:dyDescent="0.35">
      <c r="Q5355" s="83"/>
    </row>
    <row r="5356" spans="17:17" x14ac:dyDescent="0.35">
      <c r="Q5356" s="83"/>
    </row>
    <row r="5357" spans="17:17" x14ac:dyDescent="0.35">
      <c r="Q5357" s="83"/>
    </row>
    <row r="5358" spans="17:17" x14ac:dyDescent="0.35">
      <c r="Q5358" s="83"/>
    </row>
    <row r="5359" spans="17:17" x14ac:dyDescent="0.35">
      <c r="Q5359" s="83"/>
    </row>
    <row r="5360" spans="17:17" x14ac:dyDescent="0.35">
      <c r="Q5360" s="83"/>
    </row>
    <row r="5361" spans="17:17" x14ac:dyDescent="0.35">
      <c r="Q5361" s="83"/>
    </row>
    <row r="5362" spans="17:17" x14ac:dyDescent="0.35">
      <c r="Q5362" s="83"/>
    </row>
    <row r="5363" spans="17:17" x14ac:dyDescent="0.35">
      <c r="Q5363" s="83"/>
    </row>
    <row r="5364" spans="17:17" x14ac:dyDescent="0.35">
      <c r="Q5364" s="83"/>
    </row>
    <row r="5365" spans="17:17" x14ac:dyDescent="0.35">
      <c r="Q5365" s="83"/>
    </row>
    <row r="5366" spans="17:17" x14ac:dyDescent="0.35">
      <c r="Q5366" s="83"/>
    </row>
    <row r="5367" spans="17:17" x14ac:dyDescent="0.35">
      <c r="Q5367" s="83"/>
    </row>
    <row r="5368" spans="17:17" x14ac:dyDescent="0.35">
      <c r="Q5368" s="83"/>
    </row>
    <row r="5369" spans="17:17" x14ac:dyDescent="0.35">
      <c r="Q5369" s="83"/>
    </row>
    <row r="5370" spans="17:17" x14ac:dyDescent="0.35">
      <c r="Q5370" s="83"/>
    </row>
    <row r="5371" spans="17:17" x14ac:dyDescent="0.35">
      <c r="Q5371" s="83"/>
    </row>
    <row r="5372" spans="17:17" x14ac:dyDescent="0.35">
      <c r="Q5372" s="83"/>
    </row>
    <row r="5373" spans="17:17" x14ac:dyDescent="0.35">
      <c r="Q5373" s="83"/>
    </row>
    <row r="5374" spans="17:17" x14ac:dyDescent="0.35">
      <c r="Q5374" s="83"/>
    </row>
    <row r="5375" spans="17:17" x14ac:dyDescent="0.35">
      <c r="Q5375" s="83"/>
    </row>
    <row r="5376" spans="17:17" x14ac:dyDescent="0.35">
      <c r="Q5376" s="83"/>
    </row>
    <row r="5377" spans="17:17" x14ac:dyDescent="0.35">
      <c r="Q5377" s="83"/>
    </row>
    <row r="5378" spans="17:17" x14ac:dyDescent="0.35">
      <c r="Q5378" s="83"/>
    </row>
    <row r="5379" spans="17:17" x14ac:dyDescent="0.35">
      <c r="Q5379" s="83"/>
    </row>
    <row r="5380" spans="17:17" x14ac:dyDescent="0.35">
      <c r="Q5380" s="83"/>
    </row>
    <row r="5381" spans="17:17" x14ac:dyDescent="0.35">
      <c r="Q5381" s="83"/>
    </row>
    <row r="5382" spans="17:17" x14ac:dyDescent="0.35">
      <c r="Q5382" s="83"/>
    </row>
    <row r="5383" spans="17:17" x14ac:dyDescent="0.35">
      <c r="Q5383" s="83"/>
    </row>
    <row r="5384" spans="17:17" x14ac:dyDescent="0.35">
      <c r="Q5384" s="83"/>
    </row>
    <row r="5385" spans="17:17" x14ac:dyDescent="0.35">
      <c r="Q5385" s="83"/>
    </row>
    <row r="5386" spans="17:17" x14ac:dyDescent="0.35">
      <c r="Q5386" s="83"/>
    </row>
    <row r="5387" spans="17:17" x14ac:dyDescent="0.35">
      <c r="Q5387" s="83"/>
    </row>
    <row r="5388" spans="17:17" x14ac:dyDescent="0.35">
      <c r="Q5388" s="83"/>
    </row>
    <row r="5389" spans="17:17" x14ac:dyDescent="0.35">
      <c r="Q5389" s="83"/>
    </row>
    <row r="5390" spans="17:17" x14ac:dyDescent="0.35">
      <c r="Q5390" s="83"/>
    </row>
    <row r="5391" spans="17:17" x14ac:dyDescent="0.35">
      <c r="Q5391" s="83"/>
    </row>
    <row r="5392" spans="17:17" x14ac:dyDescent="0.35">
      <c r="Q5392" s="83"/>
    </row>
    <row r="5393" spans="17:17" x14ac:dyDescent="0.35">
      <c r="Q5393" s="83"/>
    </row>
    <row r="5394" spans="17:17" x14ac:dyDescent="0.35">
      <c r="Q5394" s="83"/>
    </row>
    <row r="5395" spans="17:17" x14ac:dyDescent="0.35">
      <c r="Q5395" s="83"/>
    </row>
    <row r="5396" spans="17:17" x14ac:dyDescent="0.35">
      <c r="Q5396" s="83"/>
    </row>
    <row r="5397" spans="17:17" x14ac:dyDescent="0.35">
      <c r="Q5397" s="83"/>
    </row>
    <row r="5398" spans="17:17" x14ac:dyDescent="0.35">
      <c r="Q5398" s="83"/>
    </row>
    <row r="5399" spans="17:17" x14ac:dyDescent="0.35">
      <c r="Q5399" s="83"/>
    </row>
    <row r="5400" spans="17:17" x14ac:dyDescent="0.35">
      <c r="Q5400" s="83"/>
    </row>
    <row r="5401" spans="17:17" x14ac:dyDescent="0.35">
      <c r="Q5401" s="83"/>
    </row>
    <row r="5402" spans="17:17" x14ac:dyDescent="0.35">
      <c r="Q5402" s="83"/>
    </row>
    <row r="5403" spans="17:17" x14ac:dyDescent="0.35">
      <c r="Q5403" s="83"/>
    </row>
    <row r="5404" spans="17:17" x14ac:dyDescent="0.35">
      <c r="Q5404" s="83"/>
    </row>
    <row r="5405" spans="17:17" x14ac:dyDescent="0.35">
      <c r="Q5405" s="83"/>
    </row>
    <row r="5406" spans="17:17" x14ac:dyDescent="0.35">
      <c r="Q5406" s="83"/>
    </row>
    <row r="5407" spans="17:17" x14ac:dyDescent="0.35">
      <c r="Q5407" s="83"/>
    </row>
    <row r="5408" spans="17:17" x14ac:dyDescent="0.35">
      <c r="Q5408" s="83"/>
    </row>
    <row r="5409" spans="17:17" x14ac:dyDescent="0.35">
      <c r="Q5409" s="83"/>
    </row>
    <row r="5410" spans="17:17" x14ac:dyDescent="0.35">
      <c r="Q5410" s="83"/>
    </row>
    <row r="5411" spans="17:17" x14ac:dyDescent="0.35">
      <c r="Q5411" s="83"/>
    </row>
    <row r="5412" spans="17:17" x14ac:dyDescent="0.35">
      <c r="Q5412" s="83"/>
    </row>
    <row r="5413" spans="17:17" x14ac:dyDescent="0.35">
      <c r="Q5413" s="83"/>
    </row>
    <row r="5414" spans="17:17" x14ac:dyDescent="0.35">
      <c r="Q5414" s="83"/>
    </row>
    <row r="5415" spans="17:17" x14ac:dyDescent="0.35">
      <c r="Q5415" s="83"/>
    </row>
    <row r="5416" spans="17:17" x14ac:dyDescent="0.35">
      <c r="Q5416" s="83"/>
    </row>
    <row r="5417" spans="17:17" x14ac:dyDescent="0.35">
      <c r="Q5417" s="83"/>
    </row>
    <row r="5418" spans="17:17" x14ac:dyDescent="0.35">
      <c r="Q5418" s="83"/>
    </row>
    <row r="5419" spans="17:17" x14ac:dyDescent="0.35">
      <c r="Q5419" s="83"/>
    </row>
    <row r="5420" spans="17:17" x14ac:dyDescent="0.35">
      <c r="Q5420" s="83"/>
    </row>
    <row r="5421" spans="17:17" x14ac:dyDescent="0.35">
      <c r="Q5421" s="83"/>
    </row>
    <row r="5422" spans="17:17" x14ac:dyDescent="0.35">
      <c r="Q5422" s="83"/>
    </row>
    <row r="5423" spans="17:17" x14ac:dyDescent="0.35">
      <c r="Q5423" s="83"/>
    </row>
    <row r="5424" spans="17:17" x14ac:dyDescent="0.35">
      <c r="Q5424" s="83"/>
    </row>
    <row r="5425" spans="17:17" x14ac:dyDescent="0.35">
      <c r="Q5425" s="83"/>
    </row>
    <row r="5426" spans="17:17" x14ac:dyDescent="0.35">
      <c r="Q5426" s="83"/>
    </row>
    <row r="5427" spans="17:17" x14ac:dyDescent="0.35">
      <c r="Q5427" s="83"/>
    </row>
    <row r="5428" spans="17:17" x14ac:dyDescent="0.35">
      <c r="Q5428" s="83"/>
    </row>
    <row r="5429" spans="17:17" x14ac:dyDescent="0.35">
      <c r="Q5429" s="83"/>
    </row>
    <row r="5430" spans="17:17" x14ac:dyDescent="0.35">
      <c r="Q5430" s="83"/>
    </row>
    <row r="5431" spans="17:17" x14ac:dyDescent="0.35">
      <c r="Q5431" s="83"/>
    </row>
    <row r="5432" spans="17:17" x14ac:dyDescent="0.35">
      <c r="Q5432" s="83"/>
    </row>
    <row r="5433" spans="17:17" x14ac:dyDescent="0.35">
      <c r="Q5433" s="83"/>
    </row>
    <row r="5434" spans="17:17" x14ac:dyDescent="0.35">
      <c r="Q5434" s="83"/>
    </row>
    <row r="5435" spans="17:17" x14ac:dyDescent="0.35">
      <c r="Q5435" s="83"/>
    </row>
    <row r="5436" spans="17:17" x14ac:dyDescent="0.35">
      <c r="Q5436" s="83"/>
    </row>
    <row r="5437" spans="17:17" x14ac:dyDescent="0.35">
      <c r="Q5437" s="83"/>
    </row>
    <row r="5438" spans="17:17" x14ac:dyDescent="0.35">
      <c r="Q5438" s="83"/>
    </row>
    <row r="5439" spans="17:17" x14ac:dyDescent="0.35">
      <c r="Q5439" s="83"/>
    </row>
    <row r="5440" spans="17:17" x14ac:dyDescent="0.35">
      <c r="Q5440" s="83"/>
    </row>
    <row r="5441" spans="17:17" x14ac:dyDescent="0.35">
      <c r="Q5441" s="83"/>
    </row>
    <row r="5442" spans="17:17" x14ac:dyDescent="0.35">
      <c r="Q5442" s="83"/>
    </row>
    <row r="5443" spans="17:17" x14ac:dyDescent="0.35">
      <c r="Q5443" s="83"/>
    </row>
    <row r="5444" spans="17:17" x14ac:dyDescent="0.35">
      <c r="Q5444" s="83"/>
    </row>
    <row r="5445" spans="17:17" x14ac:dyDescent="0.35">
      <c r="Q5445" s="83"/>
    </row>
    <row r="5446" spans="17:17" x14ac:dyDescent="0.35">
      <c r="Q5446" s="83"/>
    </row>
    <row r="5447" spans="17:17" x14ac:dyDescent="0.35">
      <c r="Q5447" s="83"/>
    </row>
    <row r="5448" spans="17:17" x14ac:dyDescent="0.35">
      <c r="Q5448" s="83"/>
    </row>
    <row r="5449" spans="17:17" x14ac:dyDescent="0.35">
      <c r="Q5449" s="83"/>
    </row>
    <row r="5450" spans="17:17" x14ac:dyDescent="0.35">
      <c r="Q5450" s="83"/>
    </row>
    <row r="5451" spans="17:17" x14ac:dyDescent="0.35">
      <c r="Q5451" s="83"/>
    </row>
    <row r="5452" spans="17:17" x14ac:dyDescent="0.35">
      <c r="Q5452" s="83"/>
    </row>
    <row r="5453" spans="17:17" x14ac:dyDescent="0.35">
      <c r="Q5453" s="83"/>
    </row>
    <row r="5454" spans="17:17" x14ac:dyDescent="0.35">
      <c r="Q5454" s="83"/>
    </row>
    <row r="5455" spans="17:17" x14ac:dyDescent="0.35">
      <c r="Q5455" s="83"/>
    </row>
    <row r="5456" spans="17:17" x14ac:dyDescent="0.35">
      <c r="Q5456" s="83"/>
    </row>
    <row r="5457" spans="17:17" x14ac:dyDescent="0.35">
      <c r="Q5457" s="83"/>
    </row>
    <row r="5458" spans="17:17" x14ac:dyDescent="0.35">
      <c r="Q5458" s="83"/>
    </row>
    <row r="5459" spans="17:17" x14ac:dyDescent="0.35">
      <c r="Q5459" s="83"/>
    </row>
    <row r="5460" spans="17:17" x14ac:dyDescent="0.35">
      <c r="Q5460" s="83"/>
    </row>
    <row r="5461" spans="17:17" x14ac:dyDescent="0.35">
      <c r="Q5461" s="83"/>
    </row>
    <row r="5462" spans="17:17" x14ac:dyDescent="0.35">
      <c r="Q5462" s="83"/>
    </row>
    <row r="5463" spans="17:17" x14ac:dyDescent="0.35">
      <c r="Q5463" s="83"/>
    </row>
    <row r="5464" spans="17:17" x14ac:dyDescent="0.35">
      <c r="Q5464" s="83"/>
    </row>
    <row r="5465" spans="17:17" x14ac:dyDescent="0.35">
      <c r="Q5465" s="83"/>
    </row>
    <row r="5466" spans="17:17" x14ac:dyDescent="0.35">
      <c r="Q5466" s="83"/>
    </row>
    <row r="5467" spans="17:17" x14ac:dyDescent="0.35">
      <c r="Q5467" s="83"/>
    </row>
    <row r="5468" spans="17:17" x14ac:dyDescent="0.35">
      <c r="Q5468" s="83"/>
    </row>
    <row r="5469" spans="17:17" x14ac:dyDescent="0.35">
      <c r="Q5469" s="83"/>
    </row>
    <row r="5470" spans="17:17" x14ac:dyDescent="0.35">
      <c r="Q5470" s="83"/>
    </row>
    <row r="5471" spans="17:17" x14ac:dyDescent="0.35">
      <c r="Q5471" s="83"/>
    </row>
    <row r="5472" spans="17:17" x14ac:dyDescent="0.35">
      <c r="Q5472" s="83"/>
    </row>
    <row r="5473" spans="17:17" x14ac:dyDescent="0.35">
      <c r="Q5473" s="83"/>
    </row>
    <row r="5474" spans="17:17" x14ac:dyDescent="0.35">
      <c r="Q5474" s="83"/>
    </row>
    <row r="5475" spans="17:17" x14ac:dyDescent="0.35">
      <c r="Q5475" s="83"/>
    </row>
    <row r="5476" spans="17:17" x14ac:dyDescent="0.35">
      <c r="Q5476" s="83"/>
    </row>
    <row r="5477" spans="17:17" x14ac:dyDescent="0.35">
      <c r="Q5477" s="83"/>
    </row>
    <row r="5478" spans="17:17" x14ac:dyDescent="0.35">
      <c r="Q5478" s="83"/>
    </row>
    <row r="5479" spans="17:17" x14ac:dyDescent="0.35">
      <c r="Q5479" s="83"/>
    </row>
    <row r="5480" spans="17:17" x14ac:dyDescent="0.35">
      <c r="Q5480" s="83"/>
    </row>
    <row r="5481" spans="17:17" x14ac:dyDescent="0.35">
      <c r="Q5481" s="83"/>
    </row>
    <row r="5482" spans="17:17" x14ac:dyDescent="0.35">
      <c r="Q5482" s="83"/>
    </row>
    <row r="5483" spans="17:17" x14ac:dyDescent="0.35">
      <c r="Q5483" s="83"/>
    </row>
    <row r="5484" spans="17:17" x14ac:dyDescent="0.35">
      <c r="Q5484" s="83"/>
    </row>
    <row r="5485" spans="17:17" x14ac:dyDescent="0.35">
      <c r="Q5485" s="83"/>
    </row>
    <row r="5486" spans="17:17" x14ac:dyDescent="0.35">
      <c r="Q5486" s="83"/>
    </row>
    <row r="5487" spans="17:17" x14ac:dyDescent="0.35">
      <c r="Q5487" s="83"/>
    </row>
    <row r="5488" spans="17:17" x14ac:dyDescent="0.35">
      <c r="Q5488" s="83"/>
    </row>
    <row r="5489" spans="17:17" x14ac:dyDescent="0.35">
      <c r="Q5489" s="83"/>
    </row>
    <row r="5490" spans="17:17" x14ac:dyDescent="0.35">
      <c r="Q5490" s="83"/>
    </row>
    <row r="5491" spans="17:17" x14ac:dyDescent="0.35">
      <c r="Q5491" s="83"/>
    </row>
    <row r="5492" spans="17:17" x14ac:dyDescent="0.35">
      <c r="Q5492" s="83"/>
    </row>
    <row r="5493" spans="17:17" x14ac:dyDescent="0.35">
      <c r="Q5493" s="83"/>
    </row>
    <row r="5494" spans="17:17" x14ac:dyDescent="0.35">
      <c r="Q5494" s="83"/>
    </row>
    <row r="5495" spans="17:17" x14ac:dyDescent="0.35">
      <c r="Q5495" s="83"/>
    </row>
    <row r="5496" spans="17:17" x14ac:dyDescent="0.35">
      <c r="Q5496" s="83"/>
    </row>
    <row r="5497" spans="17:17" x14ac:dyDescent="0.35">
      <c r="Q5497" s="83"/>
    </row>
    <row r="5498" spans="17:17" x14ac:dyDescent="0.35">
      <c r="Q5498" s="83"/>
    </row>
    <row r="5499" spans="17:17" x14ac:dyDescent="0.35">
      <c r="Q5499" s="83"/>
    </row>
    <row r="5500" spans="17:17" x14ac:dyDescent="0.35">
      <c r="Q5500" s="83"/>
    </row>
    <row r="5501" spans="17:17" x14ac:dyDescent="0.35">
      <c r="Q5501" s="83"/>
    </row>
    <row r="5502" spans="17:17" x14ac:dyDescent="0.35">
      <c r="Q5502" s="83"/>
    </row>
    <row r="5503" spans="17:17" x14ac:dyDescent="0.35">
      <c r="Q5503" s="83"/>
    </row>
    <row r="5504" spans="17:17" x14ac:dyDescent="0.35">
      <c r="Q5504" s="83"/>
    </row>
    <row r="5505" spans="17:17" x14ac:dyDescent="0.35">
      <c r="Q5505" s="83"/>
    </row>
    <row r="5506" spans="17:17" x14ac:dyDescent="0.35">
      <c r="Q5506" s="83"/>
    </row>
    <row r="5507" spans="17:17" x14ac:dyDescent="0.35">
      <c r="Q5507" s="83"/>
    </row>
    <row r="5508" spans="17:17" x14ac:dyDescent="0.35">
      <c r="Q5508" s="83"/>
    </row>
    <row r="5509" spans="17:17" x14ac:dyDescent="0.35">
      <c r="Q5509" s="83"/>
    </row>
    <row r="5510" spans="17:17" x14ac:dyDescent="0.35">
      <c r="Q5510" s="83"/>
    </row>
    <row r="5511" spans="17:17" x14ac:dyDescent="0.35">
      <c r="Q5511" s="83"/>
    </row>
    <row r="5512" spans="17:17" x14ac:dyDescent="0.35">
      <c r="Q5512" s="83"/>
    </row>
    <row r="5513" spans="17:17" x14ac:dyDescent="0.35">
      <c r="Q5513" s="83"/>
    </row>
    <row r="5514" spans="17:17" x14ac:dyDescent="0.35">
      <c r="Q5514" s="83"/>
    </row>
    <row r="5515" spans="17:17" x14ac:dyDescent="0.35">
      <c r="Q5515" s="83"/>
    </row>
    <row r="5516" spans="17:17" x14ac:dyDescent="0.35">
      <c r="Q5516" s="83"/>
    </row>
    <row r="5517" spans="17:17" x14ac:dyDescent="0.35">
      <c r="Q5517" s="83"/>
    </row>
    <row r="5518" spans="17:17" x14ac:dyDescent="0.35">
      <c r="Q5518" s="83"/>
    </row>
    <row r="5519" spans="17:17" x14ac:dyDescent="0.35">
      <c r="Q5519" s="83"/>
    </row>
    <row r="5520" spans="17:17" x14ac:dyDescent="0.35">
      <c r="Q5520" s="83"/>
    </row>
    <row r="5521" spans="17:17" x14ac:dyDescent="0.35">
      <c r="Q5521" s="83"/>
    </row>
    <row r="5522" spans="17:17" x14ac:dyDescent="0.35">
      <c r="Q5522" s="83"/>
    </row>
    <row r="5523" spans="17:17" x14ac:dyDescent="0.35">
      <c r="Q5523" s="83"/>
    </row>
    <row r="5524" spans="17:17" x14ac:dyDescent="0.35">
      <c r="Q5524" s="83"/>
    </row>
    <row r="5525" spans="17:17" x14ac:dyDescent="0.35">
      <c r="Q5525" s="83"/>
    </row>
    <row r="5526" spans="17:17" x14ac:dyDescent="0.35">
      <c r="Q5526" s="83"/>
    </row>
    <row r="5527" spans="17:17" x14ac:dyDescent="0.35">
      <c r="Q5527" s="83"/>
    </row>
    <row r="5528" spans="17:17" x14ac:dyDescent="0.35">
      <c r="Q5528" s="83"/>
    </row>
    <row r="5529" spans="17:17" x14ac:dyDescent="0.35">
      <c r="Q5529" s="83"/>
    </row>
    <row r="5530" spans="17:17" x14ac:dyDescent="0.35">
      <c r="Q5530" s="83"/>
    </row>
    <row r="5531" spans="17:17" x14ac:dyDescent="0.35">
      <c r="Q5531" s="83"/>
    </row>
    <row r="5532" spans="17:17" x14ac:dyDescent="0.35">
      <c r="Q5532" s="83"/>
    </row>
    <row r="5533" spans="17:17" x14ac:dyDescent="0.35">
      <c r="Q5533" s="83"/>
    </row>
    <row r="5534" spans="17:17" x14ac:dyDescent="0.35">
      <c r="Q5534" s="83"/>
    </row>
    <row r="5535" spans="17:17" x14ac:dyDescent="0.35">
      <c r="Q5535" s="83"/>
    </row>
    <row r="5536" spans="17:17" x14ac:dyDescent="0.35">
      <c r="Q5536" s="83"/>
    </row>
    <row r="5537" spans="17:17" x14ac:dyDescent="0.35">
      <c r="Q5537" s="83"/>
    </row>
    <row r="5538" spans="17:17" x14ac:dyDescent="0.35">
      <c r="Q5538" s="83"/>
    </row>
    <row r="5539" spans="17:17" x14ac:dyDescent="0.35">
      <c r="Q5539" s="83"/>
    </row>
    <row r="5540" spans="17:17" x14ac:dyDescent="0.35">
      <c r="Q5540" s="83"/>
    </row>
    <row r="5541" spans="17:17" x14ac:dyDescent="0.35">
      <c r="Q5541" s="83"/>
    </row>
    <row r="5542" spans="17:17" x14ac:dyDescent="0.35">
      <c r="Q5542" s="83"/>
    </row>
    <row r="5543" spans="17:17" x14ac:dyDescent="0.35">
      <c r="Q5543" s="83"/>
    </row>
    <row r="5544" spans="17:17" x14ac:dyDescent="0.35">
      <c r="Q5544" s="83"/>
    </row>
    <row r="5545" spans="17:17" x14ac:dyDescent="0.35">
      <c r="Q5545" s="83"/>
    </row>
    <row r="5546" spans="17:17" x14ac:dyDescent="0.35">
      <c r="Q5546" s="83"/>
    </row>
    <row r="5547" spans="17:17" x14ac:dyDescent="0.35">
      <c r="Q5547" s="83"/>
    </row>
    <row r="5548" spans="17:17" x14ac:dyDescent="0.35">
      <c r="Q5548" s="83"/>
    </row>
    <row r="5549" spans="17:17" x14ac:dyDescent="0.35">
      <c r="Q5549" s="83"/>
    </row>
    <row r="5550" spans="17:17" x14ac:dyDescent="0.35">
      <c r="Q5550" s="83"/>
    </row>
    <row r="5551" spans="17:17" x14ac:dyDescent="0.35">
      <c r="Q5551" s="83"/>
    </row>
    <row r="5552" spans="17:17" x14ac:dyDescent="0.35">
      <c r="Q5552" s="83"/>
    </row>
    <row r="5553" spans="17:17" x14ac:dyDescent="0.35">
      <c r="Q5553" s="83"/>
    </row>
    <row r="5554" spans="17:17" x14ac:dyDescent="0.35">
      <c r="Q5554" s="83"/>
    </row>
    <row r="5555" spans="17:17" x14ac:dyDescent="0.35">
      <c r="Q5555" s="83"/>
    </row>
    <row r="5556" spans="17:17" x14ac:dyDescent="0.35">
      <c r="Q5556" s="83"/>
    </row>
    <row r="5557" spans="17:17" x14ac:dyDescent="0.35">
      <c r="Q5557" s="83"/>
    </row>
    <row r="5558" spans="17:17" x14ac:dyDescent="0.35">
      <c r="Q5558" s="83"/>
    </row>
    <row r="5559" spans="17:17" x14ac:dyDescent="0.35">
      <c r="Q5559" s="83"/>
    </row>
    <row r="5560" spans="17:17" x14ac:dyDescent="0.35">
      <c r="Q5560" s="83"/>
    </row>
    <row r="5561" spans="17:17" x14ac:dyDescent="0.35">
      <c r="Q5561" s="83"/>
    </row>
    <row r="5562" spans="17:17" x14ac:dyDescent="0.35">
      <c r="Q5562" s="83"/>
    </row>
    <row r="5563" spans="17:17" x14ac:dyDescent="0.35">
      <c r="Q5563" s="83"/>
    </row>
    <row r="5564" spans="17:17" x14ac:dyDescent="0.35">
      <c r="Q5564" s="83"/>
    </row>
    <row r="5565" spans="17:17" x14ac:dyDescent="0.35">
      <c r="Q5565" s="83"/>
    </row>
    <row r="5566" spans="17:17" x14ac:dyDescent="0.35">
      <c r="Q5566" s="83"/>
    </row>
    <row r="5567" spans="17:17" x14ac:dyDescent="0.35">
      <c r="Q5567" s="83"/>
    </row>
    <row r="5568" spans="17:17" x14ac:dyDescent="0.35">
      <c r="Q5568" s="83"/>
    </row>
    <row r="5569" spans="17:17" x14ac:dyDescent="0.35">
      <c r="Q5569" s="83"/>
    </row>
    <row r="5570" spans="17:17" x14ac:dyDescent="0.35">
      <c r="Q5570" s="83"/>
    </row>
    <row r="5571" spans="17:17" x14ac:dyDescent="0.35">
      <c r="Q5571" s="83"/>
    </row>
    <row r="5572" spans="17:17" x14ac:dyDescent="0.35">
      <c r="Q5572" s="83"/>
    </row>
    <row r="5573" spans="17:17" x14ac:dyDescent="0.35">
      <c r="Q5573" s="83"/>
    </row>
    <row r="5574" spans="17:17" x14ac:dyDescent="0.35">
      <c r="Q5574" s="83"/>
    </row>
    <row r="5575" spans="17:17" x14ac:dyDescent="0.35">
      <c r="Q5575" s="83"/>
    </row>
    <row r="5576" spans="17:17" x14ac:dyDescent="0.35">
      <c r="Q5576" s="83"/>
    </row>
    <row r="5577" spans="17:17" x14ac:dyDescent="0.35">
      <c r="Q5577" s="83"/>
    </row>
    <row r="5578" spans="17:17" x14ac:dyDescent="0.35">
      <c r="Q5578" s="83"/>
    </row>
    <row r="5579" spans="17:17" x14ac:dyDescent="0.35">
      <c r="Q5579" s="83"/>
    </row>
    <row r="5580" spans="17:17" x14ac:dyDescent="0.35">
      <c r="Q5580" s="83"/>
    </row>
    <row r="5581" spans="17:17" x14ac:dyDescent="0.35">
      <c r="Q5581" s="83"/>
    </row>
    <row r="5582" spans="17:17" x14ac:dyDescent="0.35">
      <c r="Q5582" s="83"/>
    </row>
    <row r="5583" spans="17:17" x14ac:dyDescent="0.35">
      <c r="Q5583" s="83"/>
    </row>
    <row r="5584" spans="17:17" x14ac:dyDescent="0.35">
      <c r="Q5584" s="83"/>
    </row>
    <row r="5585" spans="17:17" x14ac:dyDescent="0.35">
      <c r="Q5585" s="83"/>
    </row>
    <row r="5586" spans="17:17" x14ac:dyDescent="0.35">
      <c r="Q5586" s="83"/>
    </row>
    <row r="5587" spans="17:17" x14ac:dyDescent="0.35">
      <c r="Q5587" s="83"/>
    </row>
    <row r="5588" spans="17:17" x14ac:dyDescent="0.35">
      <c r="Q5588" s="83"/>
    </row>
    <row r="5589" spans="17:17" x14ac:dyDescent="0.35">
      <c r="Q5589" s="83"/>
    </row>
    <row r="5590" spans="17:17" x14ac:dyDescent="0.35">
      <c r="Q5590" s="83"/>
    </row>
    <row r="5591" spans="17:17" x14ac:dyDescent="0.35">
      <c r="Q5591" s="83"/>
    </row>
    <row r="5592" spans="17:17" x14ac:dyDescent="0.35">
      <c r="Q5592" s="83"/>
    </row>
    <row r="5593" spans="17:17" x14ac:dyDescent="0.35">
      <c r="Q5593" s="83"/>
    </row>
    <row r="5594" spans="17:17" x14ac:dyDescent="0.35">
      <c r="Q5594" s="83"/>
    </row>
    <row r="5595" spans="17:17" x14ac:dyDescent="0.35">
      <c r="Q5595" s="83"/>
    </row>
    <row r="5596" spans="17:17" x14ac:dyDescent="0.35">
      <c r="Q5596" s="83"/>
    </row>
    <row r="5597" spans="17:17" x14ac:dyDescent="0.35">
      <c r="Q5597" s="83"/>
    </row>
    <row r="5598" spans="17:17" x14ac:dyDescent="0.35">
      <c r="Q5598" s="83"/>
    </row>
    <row r="5599" spans="17:17" x14ac:dyDescent="0.35">
      <c r="Q5599" s="83"/>
    </row>
    <row r="5600" spans="17:17" x14ac:dyDescent="0.35">
      <c r="Q5600" s="83"/>
    </row>
    <row r="5601" spans="17:17" x14ac:dyDescent="0.35">
      <c r="Q5601" s="83"/>
    </row>
    <row r="5602" spans="17:17" x14ac:dyDescent="0.35">
      <c r="Q5602" s="83"/>
    </row>
    <row r="5603" spans="17:17" x14ac:dyDescent="0.35">
      <c r="Q5603" s="83"/>
    </row>
    <row r="5604" spans="17:17" x14ac:dyDescent="0.35">
      <c r="Q5604" s="83"/>
    </row>
    <row r="5605" spans="17:17" x14ac:dyDescent="0.35">
      <c r="Q5605" s="83"/>
    </row>
    <row r="5606" spans="17:17" x14ac:dyDescent="0.35">
      <c r="Q5606" s="83"/>
    </row>
    <row r="5607" spans="17:17" x14ac:dyDescent="0.35">
      <c r="Q5607" s="83"/>
    </row>
    <row r="5608" spans="17:17" x14ac:dyDescent="0.35">
      <c r="Q5608" s="83"/>
    </row>
    <row r="5609" spans="17:17" x14ac:dyDescent="0.35">
      <c r="Q5609" s="83"/>
    </row>
    <row r="5610" spans="17:17" x14ac:dyDescent="0.35">
      <c r="Q5610" s="83"/>
    </row>
    <row r="5611" spans="17:17" x14ac:dyDescent="0.35">
      <c r="Q5611" s="83"/>
    </row>
    <row r="5612" spans="17:17" x14ac:dyDescent="0.35">
      <c r="Q5612" s="83"/>
    </row>
    <row r="5613" spans="17:17" x14ac:dyDescent="0.35">
      <c r="Q5613" s="83"/>
    </row>
    <row r="5614" spans="17:17" x14ac:dyDescent="0.35">
      <c r="Q5614" s="83"/>
    </row>
    <row r="5615" spans="17:17" x14ac:dyDescent="0.35">
      <c r="Q5615" s="83"/>
    </row>
    <row r="5616" spans="17:17" x14ac:dyDescent="0.35">
      <c r="Q5616" s="83"/>
    </row>
    <row r="5617" spans="17:17" x14ac:dyDescent="0.35">
      <c r="Q5617" s="83"/>
    </row>
    <row r="5618" spans="17:17" x14ac:dyDescent="0.35">
      <c r="Q5618" s="83"/>
    </row>
    <row r="5619" spans="17:17" x14ac:dyDescent="0.35">
      <c r="Q5619" s="83"/>
    </row>
    <row r="5620" spans="17:17" x14ac:dyDescent="0.35">
      <c r="Q5620" s="83"/>
    </row>
    <row r="5621" spans="17:17" x14ac:dyDescent="0.35">
      <c r="Q5621" s="83"/>
    </row>
    <row r="5622" spans="17:17" x14ac:dyDescent="0.35">
      <c r="Q5622" s="83"/>
    </row>
    <row r="5623" spans="17:17" x14ac:dyDescent="0.35">
      <c r="Q5623" s="83"/>
    </row>
    <row r="5624" spans="17:17" x14ac:dyDescent="0.35">
      <c r="Q5624" s="83"/>
    </row>
    <row r="5625" spans="17:17" x14ac:dyDescent="0.35">
      <c r="Q5625" s="83"/>
    </row>
    <row r="5626" spans="17:17" x14ac:dyDescent="0.35">
      <c r="Q5626" s="83"/>
    </row>
    <row r="5627" spans="17:17" x14ac:dyDescent="0.35">
      <c r="Q5627" s="83"/>
    </row>
    <row r="5628" spans="17:17" x14ac:dyDescent="0.35">
      <c r="Q5628" s="83"/>
    </row>
    <row r="5629" spans="17:17" x14ac:dyDescent="0.35">
      <c r="Q5629" s="83"/>
    </row>
    <row r="5630" spans="17:17" x14ac:dyDescent="0.35">
      <c r="Q5630" s="83"/>
    </row>
    <row r="5631" spans="17:17" x14ac:dyDescent="0.35">
      <c r="Q5631" s="83"/>
    </row>
    <row r="5632" spans="17:17" x14ac:dyDescent="0.35">
      <c r="Q5632" s="83"/>
    </row>
    <row r="5633" spans="17:17" x14ac:dyDescent="0.35">
      <c r="Q5633" s="83"/>
    </row>
    <row r="5634" spans="17:17" x14ac:dyDescent="0.35">
      <c r="Q5634" s="83"/>
    </row>
    <row r="5635" spans="17:17" x14ac:dyDescent="0.35">
      <c r="Q5635" s="83"/>
    </row>
    <row r="5636" spans="17:17" x14ac:dyDescent="0.35">
      <c r="Q5636" s="83"/>
    </row>
    <row r="5637" spans="17:17" x14ac:dyDescent="0.35">
      <c r="Q5637" s="83"/>
    </row>
    <row r="5638" spans="17:17" x14ac:dyDescent="0.35">
      <c r="Q5638" s="83"/>
    </row>
    <row r="5639" spans="17:17" x14ac:dyDescent="0.35">
      <c r="Q5639" s="83"/>
    </row>
    <row r="5640" spans="17:17" x14ac:dyDescent="0.35">
      <c r="Q5640" s="83"/>
    </row>
    <row r="5641" spans="17:17" x14ac:dyDescent="0.35">
      <c r="Q5641" s="83"/>
    </row>
    <row r="5642" spans="17:17" x14ac:dyDescent="0.35">
      <c r="Q5642" s="83"/>
    </row>
    <row r="5643" spans="17:17" x14ac:dyDescent="0.35">
      <c r="Q5643" s="83"/>
    </row>
    <row r="5644" spans="17:17" x14ac:dyDescent="0.35">
      <c r="Q5644" s="83"/>
    </row>
    <row r="5645" spans="17:17" x14ac:dyDescent="0.35">
      <c r="Q5645" s="83"/>
    </row>
    <row r="5646" spans="17:17" x14ac:dyDescent="0.35">
      <c r="Q5646" s="83"/>
    </row>
    <row r="5647" spans="17:17" x14ac:dyDescent="0.35">
      <c r="Q5647" s="83"/>
    </row>
    <row r="5648" spans="17:17" x14ac:dyDescent="0.35">
      <c r="Q5648" s="83"/>
    </row>
    <row r="5649" spans="17:17" x14ac:dyDescent="0.35">
      <c r="Q5649" s="83"/>
    </row>
    <row r="5650" spans="17:17" x14ac:dyDescent="0.35">
      <c r="Q5650" s="83"/>
    </row>
    <row r="5651" spans="17:17" x14ac:dyDescent="0.35">
      <c r="Q5651" s="83"/>
    </row>
    <row r="5652" spans="17:17" x14ac:dyDescent="0.35">
      <c r="Q5652" s="83"/>
    </row>
    <row r="5653" spans="17:17" x14ac:dyDescent="0.35">
      <c r="Q5653" s="83"/>
    </row>
    <row r="5654" spans="17:17" x14ac:dyDescent="0.35">
      <c r="Q5654" s="83"/>
    </row>
    <row r="5655" spans="17:17" x14ac:dyDescent="0.35">
      <c r="Q5655" s="83"/>
    </row>
    <row r="5656" spans="17:17" x14ac:dyDescent="0.35">
      <c r="Q5656" s="83"/>
    </row>
    <row r="5657" spans="17:17" x14ac:dyDescent="0.35">
      <c r="Q5657" s="83"/>
    </row>
    <row r="5658" spans="17:17" x14ac:dyDescent="0.35">
      <c r="Q5658" s="83"/>
    </row>
    <row r="5659" spans="17:17" x14ac:dyDescent="0.35">
      <c r="Q5659" s="83"/>
    </row>
    <row r="5660" spans="17:17" x14ac:dyDescent="0.35">
      <c r="Q5660" s="83"/>
    </row>
    <row r="5661" spans="17:17" x14ac:dyDescent="0.35">
      <c r="Q5661" s="83"/>
    </row>
    <row r="5662" spans="17:17" x14ac:dyDescent="0.35">
      <c r="Q5662" s="83"/>
    </row>
    <row r="5663" spans="17:17" x14ac:dyDescent="0.35">
      <c r="Q5663" s="83"/>
    </row>
    <row r="5664" spans="17:17" x14ac:dyDescent="0.35">
      <c r="Q5664" s="83"/>
    </row>
    <row r="5665" spans="17:17" x14ac:dyDescent="0.35">
      <c r="Q5665" s="83"/>
    </row>
    <row r="5666" spans="17:17" x14ac:dyDescent="0.35">
      <c r="Q5666" s="83"/>
    </row>
    <row r="5667" spans="17:17" x14ac:dyDescent="0.35">
      <c r="Q5667" s="83"/>
    </row>
    <row r="5668" spans="17:17" x14ac:dyDescent="0.35">
      <c r="Q5668" s="83"/>
    </row>
    <row r="5669" spans="17:17" x14ac:dyDescent="0.35">
      <c r="Q5669" s="83"/>
    </row>
    <row r="5670" spans="17:17" x14ac:dyDescent="0.35">
      <c r="Q5670" s="83"/>
    </row>
    <row r="5671" spans="17:17" x14ac:dyDescent="0.35">
      <c r="Q5671" s="83"/>
    </row>
    <row r="5672" spans="17:17" x14ac:dyDescent="0.35">
      <c r="Q5672" s="83"/>
    </row>
    <row r="5673" spans="17:17" x14ac:dyDescent="0.35">
      <c r="Q5673" s="83"/>
    </row>
    <row r="5674" spans="17:17" x14ac:dyDescent="0.35">
      <c r="Q5674" s="83"/>
    </row>
    <row r="5675" spans="17:17" x14ac:dyDescent="0.35">
      <c r="Q5675" s="83"/>
    </row>
    <row r="5676" spans="17:17" x14ac:dyDescent="0.35">
      <c r="Q5676" s="83"/>
    </row>
    <row r="5677" spans="17:17" x14ac:dyDescent="0.35">
      <c r="Q5677" s="83"/>
    </row>
    <row r="5678" spans="17:17" x14ac:dyDescent="0.35">
      <c r="Q5678" s="83"/>
    </row>
    <row r="5679" spans="17:17" x14ac:dyDescent="0.35">
      <c r="Q5679" s="83"/>
    </row>
    <row r="5680" spans="17:17" x14ac:dyDescent="0.35">
      <c r="Q5680" s="83"/>
    </row>
    <row r="5681" spans="17:17" x14ac:dyDescent="0.35">
      <c r="Q5681" s="83"/>
    </row>
    <row r="5682" spans="17:17" x14ac:dyDescent="0.35">
      <c r="Q5682" s="83"/>
    </row>
    <row r="5683" spans="17:17" x14ac:dyDescent="0.35">
      <c r="Q5683" s="83"/>
    </row>
    <row r="5684" spans="17:17" x14ac:dyDescent="0.35">
      <c r="Q5684" s="83"/>
    </row>
    <row r="5685" spans="17:17" x14ac:dyDescent="0.35">
      <c r="Q5685" s="83"/>
    </row>
    <row r="5686" spans="17:17" x14ac:dyDescent="0.35">
      <c r="Q5686" s="83"/>
    </row>
    <row r="5687" spans="17:17" x14ac:dyDescent="0.35">
      <c r="Q5687" s="83"/>
    </row>
    <row r="5688" spans="17:17" x14ac:dyDescent="0.35">
      <c r="Q5688" s="83"/>
    </row>
    <row r="5689" spans="17:17" x14ac:dyDescent="0.35">
      <c r="Q5689" s="83"/>
    </row>
    <row r="5690" spans="17:17" x14ac:dyDescent="0.35">
      <c r="Q5690" s="83"/>
    </row>
    <row r="5691" spans="17:17" x14ac:dyDescent="0.35">
      <c r="Q5691" s="83"/>
    </row>
    <row r="5692" spans="17:17" x14ac:dyDescent="0.35">
      <c r="Q5692" s="83"/>
    </row>
    <row r="5693" spans="17:17" x14ac:dyDescent="0.35">
      <c r="Q5693" s="83"/>
    </row>
    <row r="5694" spans="17:17" x14ac:dyDescent="0.35">
      <c r="Q5694" s="83"/>
    </row>
    <row r="5695" spans="17:17" x14ac:dyDescent="0.35">
      <c r="Q5695" s="83"/>
    </row>
    <row r="5696" spans="17:17" x14ac:dyDescent="0.35">
      <c r="Q5696" s="83"/>
    </row>
    <row r="5697" spans="17:17" x14ac:dyDescent="0.35">
      <c r="Q5697" s="83"/>
    </row>
    <row r="5698" spans="17:17" x14ac:dyDescent="0.35">
      <c r="Q5698" s="83"/>
    </row>
    <row r="5699" spans="17:17" x14ac:dyDescent="0.35">
      <c r="Q5699" s="83"/>
    </row>
    <row r="5700" spans="17:17" x14ac:dyDescent="0.35">
      <c r="Q5700" s="83"/>
    </row>
    <row r="5701" spans="17:17" x14ac:dyDescent="0.35">
      <c r="Q5701" s="83"/>
    </row>
    <row r="5702" spans="17:17" x14ac:dyDescent="0.35">
      <c r="Q5702" s="83"/>
    </row>
    <row r="5703" spans="17:17" x14ac:dyDescent="0.35">
      <c r="Q5703" s="83"/>
    </row>
    <row r="5704" spans="17:17" x14ac:dyDescent="0.35">
      <c r="Q5704" s="83"/>
    </row>
    <row r="5705" spans="17:17" x14ac:dyDescent="0.35">
      <c r="Q5705" s="83"/>
    </row>
    <row r="5706" spans="17:17" x14ac:dyDescent="0.35">
      <c r="Q5706" s="83"/>
    </row>
    <row r="5707" spans="17:17" x14ac:dyDescent="0.35">
      <c r="Q5707" s="83"/>
    </row>
    <row r="5708" spans="17:17" x14ac:dyDescent="0.35">
      <c r="Q5708" s="83"/>
    </row>
    <row r="5709" spans="17:17" x14ac:dyDescent="0.35">
      <c r="Q5709" s="83"/>
    </row>
    <row r="5710" spans="17:17" x14ac:dyDescent="0.35">
      <c r="Q5710" s="83"/>
    </row>
    <row r="5711" spans="17:17" x14ac:dyDescent="0.35">
      <c r="Q5711" s="83"/>
    </row>
    <row r="5712" spans="17:17" x14ac:dyDescent="0.35">
      <c r="Q5712" s="83"/>
    </row>
    <row r="5713" spans="17:17" x14ac:dyDescent="0.35">
      <c r="Q5713" s="83"/>
    </row>
    <row r="5714" spans="17:17" x14ac:dyDescent="0.35">
      <c r="Q5714" s="83"/>
    </row>
    <row r="5715" spans="17:17" x14ac:dyDescent="0.35">
      <c r="Q5715" s="83"/>
    </row>
    <row r="5716" spans="17:17" x14ac:dyDescent="0.35">
      <c r="Q5716" s="83"/>
    </row>
    <row r="5717" spans="17:17" x14ac:dyDescent="0.35">
      <c r="Q5717" s="83"/>
    </row>
    <row r="5718" spans="17:17" x14ac:dyDescent="0.35">
      <c r="Q5718" s="83"/>
    </row>
    <row r="5719" spans="17:17" x14ac:dyDescent="0.35">
      <c r="Q5719" s="83"/>
    </row>
    <row r="5720" spans="17:17" x14ac:dyDescent="0.35">
      <c r="Q5720" s="83"/>
    </row>
    <row r="5721" spans="17:17" x14ac:dyDescent="0.35">
      <c r="Q5721" s="83"/>
    </row>
    <row r="5722" spans="17:17" x14ac:dyDescent="0.35">
      <c r="Q5722" s="83"/>
    </row>
    <row r="5723" spans="17:17" x14ac:dyDescent="0.35">
      <c r="Q5723" s="83"/>
    </row>
    <row r="5724" spans="17:17" x14ac:dyDescent="0.35">
      <c r="Q5724" s="83"/>
    </row>
    <row r="5725" spans="17:17" x14ac:dyDescent="0.35">
      <c r="Q5725" s="83"/>
    </row>
    <row r="5726" spans="17:17" x14ac:dyDescent="0.35">
      <c r="Q5726" s="83"/>
    </row>
    <row r="5727" spans="17:17" x14ac:dyDescent="0.35">
      <c r="Q5727" s="83"/>
    </row>
    <row r="5728" spans="17:17" x14ac:dyDescent="0.35">
      <c r="Q5728" s="83"/>
    </row>
    <row r="5729" spans="17:17" x14ac:dyDescent="0.35">
      <c r="Q5729" s="83"/>
    </row>
    <row r="5730" spans="17:17" x14ac:dyDescent="0.35">
      <c r="Q5730" s="83"/>
    </row>
    <row r="5731" spans="17:17" x14ac:dyDescent="0.35">
      <c r="Q5731" s="83"/>
    </row>
    <row r="5732" spans="17:17" x14ac:dyDescent="0.35">
      <c r="Q5732" s="83"/>
    </row>
    <row r="5733" spans="17:17" x14ac:dyDescent="0.35">
      <c r="Q5733" s="83"/>
    </row>
    <row r="5734" spans="17:17" x14ac:dyDescent="0.35">
      <c r="Q5734" s="83"/>
    </row>
    <row r="5735" spans="17:17" x14ac:dyDescent="0.35">
      <c r="Q5735" s="83"/>
    </row>
    <row r="5736" spans="17:17" x14ac:dyDescent="0.35">
      <c r="Q5736" s="83"/>
    </row>
    <row r="5737" spans="17:17" x14ac:dyDescent="0.35">
      <c r="Q5737" s="83"/>
    </row>
    <row r="5738" spans="17:17" x14ac:dyDescent="0.35">
      <c r="Q5738" s="83"/>
    </row>
    <row r="5739" spans="17:17" x14ac:dyDescent="0.35">
      <c r="Q5739" s="83"/>
    </row>
    <row r="5740" spans="17:17" x14ac:dyDescent="0.35">
      <c r="Q5740" s="83"/>
    </row>
    <row r="5741" spans="17:17" x14ac:dyDescent="0.35">
      <c r="Q5741" s="83"/>
    </row>
    <row r="5742" spans="17:17" x14ac:dyDescent="0.35">
      <c r="Q5742" s="83"/>
    </row>
    <row r="5743" spans="17:17" x14ac:dyDescent="0.35">
      <c r="Q5743" s="83"/>
    </row>
    <row r="5744" spans="17:17" x14ac:dyDescent="0.35">
      <c r="Q5744" s="83"/>
    </row>
    <row r="5745" spans="17:17" x14ac:dyDescent="0.35">
      <c r="Q5745" s="83"/>
    </row>
    <row r="5746" spans="17:17" x14ac:dyDescent="0.35">
      <c r="Q5746" s="83"/>
    </row>
    <row r="5747" spans="17:17" x14ac:dyDescent="0.35">
      <c r="Q5747" s="83"/>
    </row>
    <row r="5748" spans="17:17" x14ac:dyDescent="0.35">
      <c r="Q5748" s="83"/>
    </row>
    <row r="5749" spans="17:17" x14ac:dyDescent="0.35">
      <c r="Q5749" s="83"/>
    </row>
    <row r="5750" spans="17:17" x14ac:dyDescent="0.35">
      <c r="Q5750" s="83"/>
    </row>
    <row r="5751" spans="17:17" x14ac:dyDescent="0.35">
      <c r="Q5751" s="83"/>
    </row>
    <row r="5752" spans="17:17" x14ac:dyDescent="0.35">
      <c r="Q5752" s="83"/>
    </row>
    <row r="5753" spans="17:17" x14ac:dyDescent="0.35">
      <c r="Q5753" s="83"/>
    </row>
    <row r="5754" spans="17:17" x14ac:dyDescent="0.35">
      <c r="Q5754" s="83"/>
    </row>
    <row r="5755" spans="17:17" x14ac:dyDescent="0.35">
      <c r="Q5755" s="83"/>
    </row>
    <row r="5756" spans="17:17" x14ac:dyDescent="0.35">
      <c r="Q5756" s="83"/>
    </row>
    <row r="5757" spans="17:17" x14ac:dyDescent="0.35">
      <c r="Q5757" s="83"/>
    </row>
    <row r="5758" spans="17:17" x14ac:dyDescent="0.35">
      <c r="Q5758" s="83"/>
    </row>
    <row r="5759" spans="17:17" x14ac:dyDescent="0.35">
      <c r="Q5759" s="83"/>
    </row>
    <row r="5760" spans="17:17" x14ac:dyDescent="0.35">
      <c r="Q5760" s="83"/>
    </row>
    <row r="5761" spans="17:17" x14ac:dyDescent="0.35">
      <c r="Q5761" s="83"/>
    </row>
    <row r="5762" spans="17:17" x14ac:dyDescent="0.35">
      <c r="Q5762" s="83"/>
    </row>
    <row r="5763" spans="17:17" x14ac:dyDescent="0.35">
      <c r="Q5763" s="83"/>
    </row>
    <row r="5764" spans="17:17" x14ac:dyDescent="0.35">
      <c r="Q5764" s="83"/>
    </row>
    <row r="5765" spans="17:17" x14ac:dyDescent="0.35">
      <c r="Q5765" s="83"/>
    </row>
    <row r="5766" spans="17:17" x14ac:dyDescent="0.35">
      <c r="Q5766" s="83"/>
    </row>
    <row r="5767" spans="17:17" x14ac:dyDescent="0.35">
      <c r="Q5767" s="83"/>
    </row>
    <row r="5768" spans="17:17" x14ac:dyDescent="0.35">
      <c r="Q5768" s="83"/>
    </row>
    <row r="5769" spans="17:17" x14ac:dyDescent="0.35">
      <c r="Q5769" s="83"/>
    </row>
    <row r="5770" spans="17:17" x14ac:dyDescent="0.35">
      <c r="Q5770" s="83"/>
    </row>
    <row r="5771" spans="17:17" x14ac:dyDescent="0.35">
      <c r="Q5771" s="83"/>
    </row>
    <row r="5772" spans="17:17" x14ac:dyDescent="0.35">
      <c r="Q5772" s="83"/>
    </row>
    <row r="5773" spans="17:17" x14ac:dyDescent="0.35">
      <c r="Q5773" s="83"/>
    </row>
    <row r="5774" spans="17:17" x14ac:dyDescent="0.35">
      <c r="Q5774" s="83"/>
    </row>
    <row r="5775" spans="17:17" x14ac:dyDescent="0.35">
      <c r="Q5775" s="83"/>
    </row>
    <row r="5776" spans="17:17" x14ac:dyDescent="0.35">
      <c r="Q5776" s="83"/>
    </row>
    <row r="5777" spans="17:17" x14ac:dyDescent="0.35">
      <c r="Q5777" s="83"/>
    </row>
    <row r="5778" spans="17:17" x14ac:dyDescent="0.35">
      <c r="Q5778" s="83"/>
    </row>
    <row r="5779" spans="17:17" x14ac:dyDescent="0.35">
      <c r="Q5779" s="83"/>
    </row>
    <row r="5780" spans="17:17" x14ac:dyDescent="0.35">
      <c r="Q5780" s="83"/>
    </row>
    <row r="5781" spans="17:17" x14ac:dyDescent="0.35">
      <c r="Q5781" s="83"/>
    </row>
    <row r="5782" spans="17:17" x14ac:dyDescent="0.35">
      <c r="Q5782" s="83"/>
    </row>
    <row r="5783" spans="17:17" x14ac:dyDescent="0.35">
      <c r="Q5783" s="83"/>
    </row>
    <row r="5784" spans="17:17" x14ac:dyDescent="0.35">
      <c r="Q5784" s="83"/>
    </row>
    <row r="5785" spans="17:17" x14ac:dyDescent="0.35">
      <c r="Q5785" s="83"/>
    </row>
    <row r="5786" spans="17:17" x14ac:dyDescent="0.35">
      <c r="Q5786" s="83"/>
    </row>
    <row r="5787" spans="17:17" x14ac:dyDescent="0.35">
      <c r="Q5787" s="83"/>
    </row>
    <row r="5788" spans="17:17" x14ac:dyDescent="0.35">
      <c r="Q5788" s="83"/>
    </row>
    <row r="5789" spans="17:17" x14ac:dyDescent="0.35">
      <c r="Q5789" s="83"/>
    </row>
    <row r="5790" spans="17:17" x14ac:dyDescent="0.35">
      <c r="Q5790" s="83"/>
    </row>
    <row r="5791" spans="17:17" x14ac:dyDescent="0.35">
      <c r="Q5791" s="83"/>
    </row>
    <row r="5792" spans="17:17" x14ac:dyDescent="0.35">
      <c r="Q5792" s="83"/>
    </row>
    <row r="5793" spans="17:17" x14ac:dyDescent="0.35">
      <c r="Q5793" s="83"/>
    </row>
    <row r="5794" spans="17:17" x14ac:dyDescent="0.35">
      <c r="Q5794" s="83"/>
    </row>
    <row r="5795" spans="17:17" x14ac:dyDescent="0.35">
      <c r="Q5795" s="83"/>
    </row>
    <row r="5796" spans="17:17" x14ac:dyDescent="0.35">
      <c r="Q5796" s="83"/>
    </row>
    <row r="5797" spans="17:17" x14ac:dyDescent="0.35">
      <c r="Q5797" s="83"/>
    </row>
    <row r="5798" spans="17:17" x14ac:dyDescent="0.35">
      <c r="Q5798" s="83"/>
    </row>
    <row r="5799" spans="17:17" x14ac:dyDescent="0.35">
      <c r="Q5799" s="83"/>
    </row>
    <row r="5800" spans="17:17" x14ac:dyDescent="0.35">
      <c r="Q5800" s="83"/>
    </row>
    <row r="5801" spans="17:17" x14ac:dyDescent="0.35">
      <c r="Q5801" s="83"/>
    </row>
    <row r="5802" spans="17:17" x14ac:dyDescent="0.35">
      <c r="Q5802" s="83"/>
    </row>
    <row r="5803" spans="17:17" x14ac:dyDescent="0.35">
      <c r="Q5803" s="83"/>
    </row>
    <row r="5804" spans="17:17" x14ac:dyDescent="0.35">
      <c r="Q5804" s="83"/>
    </row>
    <row r="5805" spans="17:17" x14ac:dyDescent="0.35">
      <c r="Q5805" s="83"/>
    </row>
    <row r="5806" spans="17:17" x14ac:dyDescent="0.35">
      <c r="Q5806" s="83"/>
    </row>
    <row r="5807" spans="17:17" x14ac:dyDescent="0.35">
      <c r="Q5807" s="83"/>
    </row>
    <row r="5808" spans="17:17" x14ac:dyDescent="0.35">
      <c r="Q5808" s="83"/>
    </row>
    <row r="5809" spans="17:17" x14ac:dyDescent="0.35">
      <c r="Q5809" s="83"/>
    </row>
    <row r="5810" spans="17:17" x14ac:dyDescent="0.35">
      <c r="Q5810" s="83"/>
    </row>
    <row r="5811" spans="17:17" x14ac:dyDescent="0.35">
      <c r="Q5811" s="83"/>
    </row>
    <row r="5812" spans="17:17" x14ac:dyDescent="0.35">
      <c r="Q5812" s="83"/>
    </row>
    <row r="5813" spans="17:17" x14ac:dyDescent="0.35">
      <c r="Q5813" s="83"/>
    </row>
    <row r="5814" spans="17:17" x14ac:dyDescent="0.35">
      <c r="Q5814" s="83"/>
    </row>
    <row r="5815" spans="17:17" x14ac:dyDescent="0.35">
      <c r="Q5815" s="83"/>
    </row>
    <row r="5816" spans="17:17" x14ac:dyDescent="0.35">
      <c r="Q5816" s="83"/>
    </row>
    <row r="5817" spans="17:17" x14ac:dyDescent="0.35">
      <c r="Q5817" s="83"/>
    </row>
    <row r="5818" spans="17:17" x14ac:dyDescent="0.35">
      <c r="Q5818" s="83"/>
    </row>
    <row r="5819" spans="17:17" x14ac:dyDescent="0.35">
      <c r="Q5819" s="83"/>
    </row>
    <row r="5820" spans="17:17" x14ac:dyDescent="0.35">
      <c r="Q5820" s="83"/>
    </row>
    <row r="5821" spans="17:17" x14ac:dyDescent="0.35">
      <c r="Q5821" s="83"/>
    </row>
    <row r="5822" spans="17:17" x14ac:dyDescent="0.35">
      <c r="Q5822" s="83"/>
    </row>
    <row r="5823" spans="17:17" x14ac:dyDescent="0.35">
      <c r="Q5823" s="83"/>
    </row>
    <row r="5824" spans="17:17" x14ac:dyDescent="0.35">
      <c r="Q5824" s="83"/>
    </row>
    <row r="5825" spans="17:17" x14ac:dyDescent="0.35">
      <c r="Q5825" s="83"/>
    </row>
    <row r="5826" spans="17:17" x14ac:dyDescent="0.35">
      <c r="Q5826" s="83"/>
    </row>
    <row r="5827" spans="17:17" x14ac:dyDescent="0.35">
      <c r="Q5827" s="83"/>
    </row>
    <row r="5828" spans="17:17" x14ac:dyDescent="0.35">
      <c r="Q5828" s="83"/>
    </row>
    <row r="5829" spans="17:17" x14ac:dyDescent="0.35">
      <c r="Q5829" s="83"/>
    </row>
    <row r="5830" spans="17:17" x14ac:dyDescent="0.35">
      <c r="Q5830" s="83"/>
    </row>
    <row r="5831" spans="17:17" x14ac:dyDescent="0.35">
      <c r="Q5831" s="83"/>
    </row>
    <row r="5832" spans="17:17" x14ac:dyDescent="0.35">
      <c r="Q5832" s="83"/>
    </row>
    <row r="5833" spans="17:17" x14ac:dyDescent="0.35">
      <c r="Q5833" s="83"/>
    </row>
    <row r="5834" spans="17:17" x14ac:dyDescent="0.35">
      <c r="Q5834" s="83"/>
    </row>
    <row r="5835" spans="17:17" x14ac:dyDescent="0.35">
      <c r="Q5835" s="83"/>
    </row>
    <row r="5836" spans="17:17" x14ac:dyDescent="0.35">
      <c r="Q5836" s="83"/>
    </row>
    <row r="5837" spans="17:17" x14ac:dyDescent="0.35">
      <c r="Q5837" s="83"/>
    </row>
    <row r="5838" spans="17:17" x14ac:dyDescent="0.35">
      <c r="Q5838" s="83"/>
    </row>
    <row r="5839" spans="17:17" x14ac:dyDescent="0.35">
      <c r="Q5839" s="83"/>
    </row>
    <row r="5840" spans="17:17" x14ac:dyDescent="0.35">
      <c r="Q5840" s="83"/>
    </row>
    <row r="5841" spans="17:17" x14ac:dyDescent="0.35">
      <c r="Q5841" s="83"/>
    </row>
    <row r="5842" spans="17:17" x14ac:dyDescent="0.35">
      <c r="Q5842" s="83"/>
    </row>
    <row r="5843" spans="17:17" x14ac:dyDescent="0.35">
      <c r="Q5843" s="83"/>
    </row>
    <row r="5844" spans="17:17" x14ac:dyDescent="0.35">
      <c r="Q5844" s="83"/>
    </row>
    <row r="5845" spans="17:17" x14ac:dyDescent="0.35">
      <c r="Q5845" s="83"/>
    </row>
    <row r="5846" spans="17:17" x14ac:dyDescent="0.35">
      <c r="Q5846" s="83"/>
    </row>
    <row r="5847" spans="17:17" x14ac:dyDescent="0.35">
      <c r="Q5847" s="83"/>
    </row>
    <row r="5848" spans="17:17" x14ac:dyDescent="0.35">
      <c r="Q5848" s="83"/>
    </row>
    <row r="5849" spans="17:17" x14ac:dyDescent="0.35">
      <c r="Q5849" s="83"/>
    </row>
    <row r="5850" spans="17:17" x14ac:dyDescent="0.35">
      <c r="Q5850" s="83"/>
    </row>
    <row r="5851" spans="17:17" x14ac:dyDescent="0.35">
      <c r="Q5851" s="83"/>
    </row>
    <row r="5852" spans="17:17" x14ac:dyDescent="0.35">
      <c r="Q5852" s="83"/>
    </row>
    <row r="5853" spans="17:17" x14ac:dyDescent="0.35">
      <c r="Q5853" s="83"/>
    </row>
    <row r="5854" spans="17:17" x14ac:dyDescent="0.35">
      <c r="Q5854" s="83"/>
    </row>
    <row r="5855" spans="17:17" x14ac:dyDescent="0.35">
      <c r="Q5855" s="83"/>
    </row>
    <row r="5856" spans="17:17" x14ac:dyDescent="0.35">
      <c r="Q5856" s="83"/>
    </row>
    <row r="5857" spans="17:17" x14ac:dyDescent="0.35">
      <c r="Q5857" s="83"/>
    </row>
    <row r="5858" spans="17:17" x14ac:dyDescent="0.35">
      <c r="Q5858" s="83"/>
    </row>
    <row r="5859" spans="17:17" x14ac:dyDescent="0.35">
      <c r="Q5859" s="83"/>
    </row>
    <row r="5860" spans="17:17" x14ac:dyDescent="0.35">
      <c r="Q5860" s="83"/>
    </row>
    <row r="5861" spans="17:17" x14ac:dyDescent="0.35">
      <c r="Q5861" s="83"/>
    </row>
    <row r="5862" spans="17:17" x14ac:dyDescent="0.35">
      <c r="Q5862" s="83"/>
    </row>
    <row r="5863" spans="17:17" x14ac:dyDescent="0.35">
      <c r="Q5863" s="83"/>
    </row>
    <row r="5864" spans="17:17" x14ac:dyDescent="0.35">
      <c r="Q5864" s="83"/>
    </row>
    <row r="5865" spans="17:17" x14ac:dyDescent="0.35">
      <c r="Q5865" s="83"/>
    </row>
    <row r="5866" spans="17:17" x14ac:dyDescent="0.35">
      <c r="Q5866" s="83"/>
    </row>
    <row r="5867" spans="17:17" x14ac:dyDescent="0.35">
      <c r="Q5867" s="83"/>
    </row>
    <row r="5868" spans="17:17" x14ac:dyDescent="0.35">
      <c r="Q5868" s="83"/>
    </row>
    <row r="5869" spans="17:17" x14ac:dyDescent="0.35">
      <c r="Q5869" s="83"/>
    </row>
    <row r="5870" spans="17:17" x14ac:dyDescent="0.35">
      <c r="Q5870" s="83"/>
    </row>
    <row r="5871" spans="17:17" x14ac:dyDescent="0.35">
      <c r="Q5871" s="83"/>
    </row>
    <row r="5872" spans="17:17" x14ac:dyDescent="0.35">
      <c r="Q5872" s="83"/>
    </row>
    <row r="5873" spans="17:17" x14ac:dyDescent="0.35">
      <c r="Q5873" s="83"/>
    </row>
    <row r="5874" spans="17:17" x14ac:dyDescent="0.35">
      <c r="Q5874" s="83"/>
    </row>
    <row r="5875" spans="17:17" x14ac:dyDescent="0.35">
      <c r="Q5875" s="83"/>
    </row>
    <row r="5876" spans="17:17" x14ac:dyDescent="0.35">
      <c r="Q5876" s="83"/>
    </row>
    <row r="5877" spans="17:17" x14ac:dyDescent="0.35">
      <c r="Q5877" s="83"/>
    </row>
    <row r="5878" spans="17:17" x14ac:dyDescent="0.35">
      <c r="Q5878" s="83"/>
    </row>
    <row r="5879" spans="17:17" x14ac:dyDescent="0.35">
      <c r="Q5879" s="83"/>
    </row>
    <row r="5880" spans="17:17" x14ac:dyDescent="0.35">
      <c r="Q5880" s="83"/>
    </row>
    <row r="5881" spans="17:17" x14ac:dyDescent="0.35">
      <c r="Q5881" s="83"/>
    </row>
    <row r="5882" spans="17:17" x14ac:dyDescent="0.35">
      <c r="Q5882" s="83"/>
    </row>
    <row r="5883" spans="17:17" x14ac:dyDescent="0.35">
      <c r="Q5883" s="83"/>
    </row>
    <row r="5884" spans="17:17" x14ac:dyDescent="0.35">
      <c r="Q5884" s="83"/>
    </row>
    <row r="5885" spans="17:17" x14ac:dyDescent="0.35">
      <c r="Q5885" s="83"/>
    </row>
    <row r="5886" spans="17:17" x14ac:dyDescent="0.35">
      <c r="Q5886" s="83"/>
    </row>
    <row r="5887" spans="17:17" x14ac:dyDescent="0.35">
      <c r="Q5887" s="83"/>
    </row>
    <row r="5888" spans="17:17" x14ac:dyDescent="0.35">
      <c r="Q5888" s="83"/>
    </row>
    <row r="5889" spans="17:17" x14ac:dyDescent="0.35">
      <c r="Q5889" s="83"/>
    </row>
    <row r="5890" spans="17:17" x14ac:dyDescent="0.35">
      <c r="Q5890" s="83"/>
    </row>
    <row r="5891" spans="17:17" x14ac:dyDescent="0.35">
      <c r="Q5891" s="83"/>
    </row>
    <row r="5892" spans="17:17" x14ac:dyDescent="0.35">
      <c r="Q5892" s="83"/>
    </row>
    <row r="5893" spans="17:17" x14ac:dyDescent="0.35">
      <c r="Q5893" s="83"/>
    </row>
    <row r="5894" spans="17:17" x14ac:dyDescent="0.35">
      <c r="Q5894" s="83"/>
    </row>
    <row r="5895" spans="17:17" x14ac:dyDescent="0.35">
      <c r="Q5895" s="83"/>
    </row>
    <row r="5896" spans="17:17" x14ac:dyDescent="0.35">
      <c r="Q5896" s="83"/>
    </row>
    <row r="5897" spans="17:17" x14ac:dyDescent="0.35">
      <c r="Q5897" s="83"/>
    </row>
    <row r="5898" spans="17:17" x14ac:dyDescent="0.35">
      <c r="Q5898" s="83"/>
    </row>
    <row r="5899" spans="17:17" x14ac:dyDescent="0.35">
      <c r="Q5899" s="83"/>
    </row>
    <row r="5900" spans="17:17" x14ac:dyDescent="0.35">
      <c r="Q5900" s="83"/>
    </row>
    <row r="5901" spans="17:17" x14ac:dyDescent="0.35">
      <c r="Q5901" s="83"/>
    </row>
    <row r="5902" spans="17:17" x14ac:dyDescent="0.35">
      <c r="Q5902" s="83"/>
    </row>
    <row r="5903" spans="17:17" x14ac:dyDescent="0.35">
      <c r="Q5903" s="83"/>
    </row>
    <row r="5904" spans="17:17" x14ac:dyDescent="0.35">
      <c r="Q5904" s="83"/>
    </row>
    <row r="5905" spans="17:17" x14ac:dyDescent="0.35">
      <c r="Q5905" s="83"/>
    </row>
    <row r="5906" spans="17:17" x14ac:dyDescent="0.35">
      <c r="Q5906" s="83"/>
    </row>
    <row r="5907" spans="17:17" x14ac:dyDescent="0.35">
      <c r="Q5907" s="83"/>
    </row>
    <row r="5908" spans="17:17" x14ac:dyDescent="0.35">
      <c r="Q5908" s="83"/>
    </row>
    <row r="5909" spans="17:17" x14ac:dyDescent="0.35">
      <c r="Q5909" s="83"/>
    </row>
    <row r="5910" spans="17:17" x14ac:dyDescent="0.35">
      <c r="Q5910" s="83"/>
    </row>
    <row r="5911" spans="17:17" x14ac:dyDescent="0.35">
      <c r="Q5911" s="83"/>
    </row>
    <row r="5912" spans="17:17" x14ac:dyDescent="0.35">
      <c r="Q5912" s="83"/>
    </row>
    <row r="5913" spans="17:17" x14ac:dyDescent="0.35">
      <c r="Q5913" s="83"/>
    </row>
    <row r="5914" spans="17:17" x14ac:dyDescent="0.35">
      <c r="Q5914" s="83"/>
    </row>
    <row r="5915" spans="17:17" x14ac:dyDescent="0.35">
      <c r="Q5915" s="83"/>
    </row>
    <row r="5916" spans="17:17" x14ac:dyDescent="0.35">
      <c r="Q5916" s="83"/>
    </row>
    <row r="5917" spans="17:17" x14ac:dyDescent="0.35">
      <c r="Q5917" s="83"/>
    </row>
    <row r="5918" spans="17:17" x14ac:dyDescent="0.35">
      <c r="Q5918" s="83"/>
    </row>
    <row r="5919" spans="17:17" x14ac:dyDescent="0.35">
      <c r="Q5919" s="83"/>
    </row>
    <row r="5920" spans="17:17" x14ac:dyDescent="0.35">
      <c r="Q5920" s="83"/>
    </row>
    <row r="5921" spans="17:17" x14ac:dyDescent="0.35">
      <c r="Q5921" s="83"/>
    </row>
    <row r="5922" spans="17:17" x14ac:dyDescent="0.35">
      <c r="Q5922" s="83"/>
    </row>
    <row r="5923" spans="17:17" x14ac:dyDescent="0.35">
      <c r="Q5923" s="83"/>
    </row>
    <row r="5924" spans="17:17" x14ac:dyDescent="0.35">
      <c r="Q5924" s="83"/>
    </row>
    <row r="5925" spans="17:17" x14ac:dyDescent="0.35">
      <c r="Q5925" s="83"/>
    </row>
    <row r="5926" spans="17:17" x14ac:dyDescent="0.35">
      <c r="Q5926" s="83"/>
    </row>
    <row r="5927" spans="17:17" x14ac:dyDescent="0.35">
      <c r="Q5927" s="83"/>
    </row>
    <row r="5928" spans="17:17" x14ac:dyDescent="0.35">
      <c r="Q5928" s="83"/>
    </row>
    <row r="5929" spans="17:17" x14ac:dyDescent="0.35">
      <c r="Q5929" s="83"/>
    </row>
    <row r="5930" spans="17:17" x14ac:dyDescent="0.35">
      <c r="Q5930" s="83"/>
    </row>
    <row r="5931" spans="17:17" x14ac:dyDescent="0.35">
      <c r="Q5931" s="83"/>
    </row>
    <row r="5932" spans="17:17" x14ac:dyDescent="0.35">
      <c r="Q5932" s="83"/>
    </row>
    <row r="5933" spans="17:17" x14ac:dyDescent="0.35">
      <c r="Q5933" s="83"/>
    </row>
    <row r="5934" spans="17:17" x14ac:dyDescent="0.35">
      <c r="Q5934" s="83"/>
    </row>
    <row r="5935" spans="17:17" x14ac:dyDescent="0.35">
      <c r="Q5935" s="83"/>
    </row>
    <row r="5936" spans="17:17" x14ac:dyDescent="0.35">
      <c r="Q5936" s="83"/>
    </row>
    <row r="5937" spans="17:17" x14ac:dyDescent="0.35">
      <c r="Q5937" s="83"/>
    </row>
    <row r="5938" spans="17:17" x14ac:dyDescent="0.35">
      <c r="Q5938" s="83"/>
    </row>
    <row r="5939" spans="17:17" x14ac:dyDescent="0.35">
      <c r="Q5939" s="83"/>
    </row>
    <row r="5940" spans="17:17" x14ac:dyDescent="0.35">
      <c r="Q5940" s="83"/>
    </row>
    <row r="5941" spans="17:17" x14ac:dyDescent="0.35">
      <c r="Q5941" s="83"/>
    </row>
    <row r="5942" spans="17:17" x14ac:dyDescent="0.35">
      <c r="Q5942" s="83"/>
    </row>
    <row r="5943" spans="17:17" x14ac:dyDescent="0.35">
      <c r="Q5943" s="83"/>
    </row>
    <row r="5944" spans="17:17" x14ac:dyDescent="0.35">
      <c r="Q5944" s="83"/>
    </row>
    <row r="5945" spans="17:17" x14ac:dyDescent="0.35">
      <c r="Q5945" s="83"/>
    </row>
    <row r="5946" spans="17:17" x14ac:dyDescent="0.35">
      <c r="Q5946" s="83"/>
    </row>
    <row r="5947" spans="17:17" x14ac:dyDescent="0.35">
      <c r="Q5947" s="83"/>
    </row>
    <row r="5948" spans="17:17" x14ac:dyDescent="0.35">
      <c r="Q5948" s="83"/>
    </row>
    <row r="5949" spans="17:17" x14ac:dyDescent="0.35">
      <c r="Q5949" s="83"/>
    </row>
    <row r="5950" spans="17:17" x14ac:dyDescent="0.35">
      <c r="Q5950" s="83"/>
    </row>
    <row r="5951" spans="17:17" x14ac:dyDescent="0.35">
      <c r="Q5951" s="83"/>
    </row>
    <row r="5952" spans="17:17" x14ac:dyDescent="0.35">
      <c r="Q5952" s="83"/>
    </row>
    <row r="5953" spans="17:17" x14ac:dyDescent="0.35">
      <c r="Q5953" s="83"/>
    </row>
    <row r="5954" spans="17:17" x14ac:dyDescent="0.35">
      <c r="Q5954" s="83"/>
    </row>
    <row r="5955" spans="17:17" x14ac:dyDescent="0.35">
      <c r="Q5955" s="83"/>
    </row>
    <row r="5956" spans="17:17" x14ac:dyDescent="0.35">
      <c r="Q5956" s="83"/>
    </row>
    <row r="5957" spans="17:17" x14ac:dyDescent="0.35">
      <c r="Q5957" s="83"/>
    </row>
    <row r="5958" spans="17:17" x14ac:dyDescent="0.35">
      <c r="Q5958" s="83"/>
    </row>
    <row r="5959" spans="17:17" x14ac:dyDescent="0.35">
      <c r="Q5959" s="83"/>
    </row>
    <row r="5960" spans="17:17" x14ac:dyDescent="0.35">
      <c r="Q5960" s="83"/>
    </row>
    <row r="5961" spans="17:17" x14ac:dyDescent="0.35">
      <c r="Q5961" s="83"/>
    </row>
    <row r="5962" spans="17:17" x14ac:dyDescent="0.35">
      <c r="Q5962" s="83"/>
    </row>
    <row r="5963" spans="17:17" x14ac:dyDescent="0.35">
      <c r="Q5963" s="83"/>
    </row>
    <row r="5964" spans="17:17" x14ac:dyDescent="0.35">
      <c r="Q5964" s="83"/>
    </row>
    <row r="5965" spans="17:17" x14ac:dyDescent="0.35">
      <c r="Q5965" s="83"/>
    </row>
    <row r="5966" spans="17:17" x14ac:dyDescent="0.35">
      <c r="Q5966" s="83"/>
    </row>
    <row r="5967" spans="17:17" x14ac:dyDescent="0.35">
      <c r="Q5967" s="83"/>
    </row>
    <row r="5968" spans="17:17" x14ac:dyDescent="0.35">
      <c r="Q5968" s="83"/>
    </row>
    <row r="5969" spans="17:17" x14ac:dyDescent="0.35">
      <c r="Q5969" s="83"/>
    </row>
    <row r="5970" spans="17:17" x14ac:dyDescent="0.35">
      <c r="Q5970" s="83"/>
    </row>
    <row r="5971" spans="17:17" x14ac:dyDescent="0.35">
      <c r="Q5971" s="83"/>
    </row>
    <row r="5972" spans="17:17" x14ac:dyDescent="0.35">
      <c r="Q5972" s="83"/>
    </row>
    <row r="5973" spans="17:17" x14ac:dyDescent="0.35">
      <c r="Q5973" s="83"/>
    </row>
    <row r="5974" spans="17:17" x14ac:dyDescent="0.35">
      <c r="Q5974" s="83"/>
    </row>
    <row r="5975" spans="17:17" x14ac:dyDescent="0.35">
      <c r="Q5975" s="83"/>
    </row>
    <row r="5976" spans="17:17" x14ac:dyDescent="0.35">
      <c r="Q5976" s="83"/>
    </row>
    <row r="5977" spans="17:17" x14ac:dyDescent="0.35">
      <c r="Q5977" s="83"/>
    </row>
    <row r="5978" spans="17:17" x14ac:dyDescent="0.35">
      <c r="Q5978" s="83"/>
    </row>
    <row r="5979" spans="17:17" x14ac:dyDescent="0.35">
      <c r="Q5979" s="83"/>
    </row>
    <row r="5980" spans="17:17" x14ac:dyDescent="0.35">
      <c r="Q5980" s="83"/>
    </row>
    <row r="5981" spans="17:17" x14ac:dyDescent="0.35">
      <c r="Q5981" s="83"/>
    </row>
    <row r="5982" spans="17:17" x14ac:dyDescent="0.35">
      <c r="Q5982" s="83"/>
    </row>
    <row r="5983" spans="17:17" x14ac:dyDescent="0.35">
      <c r="Q5983" s="83"/>
    </row>
    <row r="5984" spans="17:17" x14ac:dyDescent="0.35">
      <c r="Q5984" s="83"/>
    </row>
    <row r="5985" spans="17:17" x14ac:dyDescent="0.35">
      <c r="Q5985" s="83"/>
    </row>
    <row r="5986" spans="17:17" x14ac:dyDescent="0.35">
      <c r="Q5986" s="83"/>
    </row>
    <row r="5987" spans="17:17" x14ac:dyDescent="0.35">
      <c r="Q5987" s="83"/>
    </row>
    <row r="5988" spans="17:17" x14ac:dyDescent="0.35">
      <c r="Q5988" s="83"/>
    </row>
    <row r="5989" spans="17:17" x14ac:dyDescent="0.35">
      <c r="Q5989" s="83"/>
    </row>
    <row r="5990" spans="17:17" x14ac:dyDescent="0.35">
      <c r="Q5990" s="83"/>
    </row>
    <row r="5991" spans="17:17" x14ac:dyDescent="0.35">
      <c r="Q5991" s="83"/>
    </row>
    <row r="5992" spans="17:17" x14ac:dyDescent="0.35">
      <c r="Q5992" s="83"/>
    </row>
    <row r="5993" spans="17:17" x14ac:dyDescent="0.35">
      <c r="Q5993" s="83"/>
    </row>
    <row r="5994" spans="17:17" x14ac:dyDescent="0.35">
      <c r="Q5994" s="83"/>
    </row>
    <row r="5995" spans="17:17" x14ac:dyDescent="0.35">
      <c r="Q5995" s="83"/>
    </row>
    <row r="5996" spans="17:17" x14ac:dyDescent="0.35">
      <c r="Q5996" s="83"/>
    </row>
    <row r="5997" spans="17:17" x14ac:dyDescent="0.35">
      <c r="Q5997" s="83"/>
    </row>
    <row r="5998" spans="17:17" x14ac:dyDescent="0.35">
      <c r="Q5998" s="83"/>
    </row>
    <row r="5999" spans="17:17" x14ac:dyDescent="0.35">
      <c r="Q5999" s="83"/>
    </row>
    <row r="6000" spans="17:17" x14ac:dyDescent="0.35">
      <c r="Q6000" s="83"/>
    </row>
    <row r="6001" spans="17:17" x14ac:dyDescent="0.35">
      <c r="Q6001" s="83"/>
    </row>
    <row r="6002" spans="17:17" x14ac:dyDescent="0.35">
      <c r="Q6002" s="83"/>
    </row>
    <row r="6003" spans="17:17" x14ac:dyDescent="0.35">
      <c r="Q6003" s="83"/>
    </row>
    <row r="6004" spans="17:17" x14ac:dyDescent="0.35">
      <c r="Q6004" s="83"/>
    </row>
    <row r="6005" spans="17:17" x14ac:dyDescent="0.35">
      <c r="Q6005" s="83"/>
    </row>
    <row r="6006" spans="17:17" x14ac:dyDescent="0.35">
      <c r="Q6006" s="83"/>
    </row>
    <row r="6007" spans="17:17" x14ac:dyDescent="0.35">
      <c r="Q6007" s="83"/>
    </row>
    <row r="6008" spans="17:17" x14ac:dyDescent="0.35">
      <c r="Q6008" s="83"/>
    </row>
    <row r="6009" spans="17:17" x14ac:dyDescent="0.35">
      <c r="Q6009" s="83"/>
    </row>
    <row r="6010" spans="17:17" x14ac:dyDescent="0.35">
      <c r="Q6010" s="83"/>
    </row>
    <row r="6011" spans="17:17" x14ac:dyDescent="0.35">
      <c r="Q6011" s="83"/>
    </row>
    <row r="6012" spans="17:17" x14ac:dyDescent="0.35">
      <c r="Q6012" s="83"/>
    </row>
    <row r="6013" spans="17:17" x14ac:dyDescent="0.35">
      <c r="Q6013" s="83"/>
    </row>
    <row r="6014" spans="17:17" x14ac:dyDescent="0.35">
      <c r="Q6014" s="83"/>
    </row>
    <row r="6015" spans="17:17" x14ac:dyDescent="0.35">
      <c r="Q6015" s="83"/>
    </row>
    <row r="6016" spans="17:17" x14ac:dyDescent="0.35">
      <c r="Q6016" s="83"/>
    </row>
    <row r="6017" spans="17:17" x14ac:dyDescent="0.35">
      <c r="Q6017" s="83"/>
    </row>
    <row r="6018" spans="17:17" x14ac:dyDescent="0.35">
      <c r="Q6018" s="83"/>
    </row>
    <row r="6019" spans="17:17" x14ac:dyDescent="0.35">
      <c r="Q6019" s="83"/>
    </row>
    <row r="6020" spans="17:17" x14ac:dyDescent="0.35">
      <c r="Q6020" s="83"/>
    </row>
    <row r="6021" spans="17:17" x14ac:dyDescent="0.35">
      <c r="Q6021" s="83"/>
    </row>
    <row r="6022" spans="17:17" x14ac:dyDescent="0.35">
      <c r="Q6022" s="83"/>
    </row>
    <row r="6023" spans="17:17" x14ac:dyDescent="0.35">
      <c r="Q6023" s="83"/>
    </row>
    <row r="6024" spans="17:17" x14ac:dyDescent="0.35">
      <c r="Q6024" s="83"/>
    </row>
    <row r="6025" spans="17:17" x14ac:dyDescent="0.35">
      <c r="Q6025" s="83"/>
    </row>
    <row r="6026" spans="17:17" x14ac:dyDescent="0.35">
      <c r="Q6026" s="83"/>
    </row>
    <row r="6027" spans="17:17" x14ac:dyDescent="0.35">
      <c r="Q6027" s="83"/>
    </row>
    <row r="6028" spans="17:17" x14ac:dyDescent="0.35">
      <c r="Q6028" s="83"/>
    </row>
    <row r="6029" spans="17:17" x14ac:dyDescent="0.35">
      <c r="Q6029" s="83"/>
    </row>
    <row r="6030" spans="17:17" x14ac:dyDescent="0.35">
      <c r="Q6030" s="83"/>
    </row>
    <row r="6031" spans="17:17" x14ac:dyDescent="0.35">
      <c r="Q6031" s="83"/>
    </row>
    <row r="6032" spans="17:17" x14ac:dyDescent="0.35">
      <c r="Q6032" s="83"/>
    </row>
    <row r="6033" spans="17:17" x14ac:dyDescent="0.35">
      <c r="Q6033" s="83"/>
    </row>
    <row r="6034" spans="17:17" x14ac:dyDescent="0.35">
      <c r="Q6034" s="83"/>
    </row>
    <row r="6035" spans="17:17" x14ac:dyDescent="0.35">
      <c r="Q6035" s="83"/>
    </row>
    <row r="6036" spans="17:17" x14ac:dyDescent="0.35">
      <c r="Q6036" s="83"/>
    </row>
    <row r="6037" spans="17:17" x14ac:dyDescent="0.35">
      <c r="Q6037" s="83"/>
    </row>
    <row r="6038" spans="17:17" x14ac:dyDescent="0.35">
      <c r="Q6038" s="83"/>
    </row>
    <row r="6039" spans="17:17" x14ac:dyDescent="0.35">
      <c r="Q6039" s="83"/>
    </row>
    <row r="6040" spans="17:17" x14ac:dyDescent="0.35">
      <c r="Q6040" s="83"/>
    </row>
    <row r="6041" spans="17:17" x14ac:dyDescent="0.35">
      <c r="Q6041" s="83"/>
    </row>
    <row r="6042" spans="17:17" x14ac:dyDescent="0.35">
      <c r="Q6042" s="83"/>
    </row>
    <row r="6043" spans="17:17" x14ac:dyDescent="0.35">
      <c r="Q6043" s="83"/>
    </row>
    <row r="6044" spans="17:17" x14ac:dyDescent="0.35">
      <c r="Q6044" s="83"/>
    </row>
    <row r="6045" spans="17:17" x14ac:dyDescent="0.35">
      <c r="Q6045" s="83"/>
    </row>
    <row r="6046" spans="17:17" x14ac:dyDescent="0.35">
      <c r="Q6046" s="83"/>
    </row>
    <row r="6047" spans="17:17" x14ac:dyDescent="0.35">
      <c r="Q6047" s="83"/>
    </row>
    <row r="6048" spans="17:17" x14ac:dyDescent="0.35">
      <c r="Q6048" s="83"/>
    </row>
    <row r="6049" spans="17:17" x14ac:dyDescent="0.35">
      <c r="Q6049" s="83"/>
    </row>
    <row r="6050" spans="17:17" x14ac:dyDescent="0.35">
      <c r="Q6050" s="83"/>
    </row>
    <row r="6051" spans="17:17" x14ac:dyDescent="0.35">
      <c r="Q6051" s="83"/>
    </row>
    <row r="6052" spans="17:17" x14ac:dyDescent="0.35">
      <c r="Q6052" s="83"/>
    </row>
    <row r="6053" spans="17:17" x14ac:dyDescent="0.35">
      <c r="Q6053" s="83"/>
    </row>
    <row r="6054" spans="17:17" x14ac:dyDescent="0.35">
      <c r="Q6054" s="83"/>
    </row>
    <row r="6055" spans="17:17" x14ac:dyDescent="0.35">
      <c r="Q6055" s="83"/>
    </row>
    <row r="6056" spans="17:17" x14ac:dyDescent="0.35">
      <c r="Q6056" s="83"/>
    </row>
    <row r="6057" spans="17:17" x14ac:dyDescent="0.35">
      <c r="Q6057" s="83"/>
    </row>
    <row r="6058" spans="17:17" x14ac:dyDescent="0.35">
      <c r="Q6058" s="83"/>
    </row>
    <row r="6059" spans="17:17" x14ac:dyDescent="0.35">
      <c r="Q6059" s="83"/>
    </row>
    <row r="6060" spans="17:17" x14ac:dyDescent="0.35">
      <c r="Q6060" s="83"/>
    </row>
    <row r="6061" spans="17:17" x14ac:dyDescent="0.35">
      <c r="Q6061" s="83"/>
    </row>
    <row r="6062" spans="17:17" x14ac:dyDescent="0.35">
      <c r="Q6062" s="83"/>
    </row>
    <row r="6063" spans="17:17" x14ac:dyDescent="0.35">
      <c r="Q6063" s="83"/>
    </row>
    <row r="6064" spans="17:17" x14ac:dyDescent="0.35">
      <c r="Q6064" s="83"/>
    </row>
    <row r="6065" spans="17:17" x14ac:dyDescent="0.35">
      <c r="Q6065" s="83"/>
    </row>
    <row r="6066" spans="17:17" x14ac:dyDescent="0.35">
      <c r="Q6066" s="83"/>
    </row>
    <row r="6067" spans="17:17" x14ac:dyDescent="0.35">
      <c r="Q6067" s="83"/>
    </row>
    <row r="6068" spans="17:17" x14ac:dyDescent="0.35">
      <c r="Q6068" s="83"/>
    </row>
    <row r="6069" spans="17:17" x14ac:dyDescent="0.35">
      <c r="Q6069" s="83"/>
    </row>
    <row r="6070" spans="17:17" x14ac:dyDescent="0.35">
      <c r="Q6070" s="83"/>
    </row>
    <row r="6071" spans="17:17" x14ac:dyDescent="0.35">
      <c r="Q6071" s="83"/>
    </row>
    <row r="6072" spans="17:17" x14ac:dyDescent="0.35">
      <c r="Q6072" s="83"/>
    </row>
    <row r="6073" spans="17:17" x14ac:dyDescent="0.35">
      <c r="Q6073" s="83"/>
    </row>
    <row r="6074" spans="17:17" x14ac:dyDescent="0.35">
      <c r="Q6074" s="83"/>
    </row>
    <row r="6075" spans="17:17" x14ac:dyDescent="0.35">
      <c r="Q6075" s="83"/>
    </row>
    <row r="6076" spans="17:17" x14ac:dyDescent="0.35">
      <c r="Q6076" s="83"/>
    </row>
    <row r="6077" spans="17:17" x14ac:dyDescent="0.35">
      <c r="Q6077" s="83"/>
    </row>
    <row r="6078" spans="17:17" x14ac:dyDescent="0.35">
      <c r="Q6078" s="83"/>
    </row>
    <row r="6079" spans="17:17" x14ac:dyDescent="0.35">
      <c r="Q6079" s="83"/>
    </row>
    <row r="6080" spans="17:17" x14ac:dyDescent="0.35">
      <c r="Q6080" s="83"/>
    </row>
    <row r="6081" spans="17:17" x14ac:dyDescent="0.35">
      <c r="Q6081" s="83"/>
    </row>
    <row r="6082" spans="17:17" x14ac:dyDescent="0.35">
      <c r="Q6082" s="83"/>
    </row>
    <row r="6083" spans="17:17" x14ac:dyDescent="0.35">
      <c r="Q6083" s="83"/>
    </row>
    <row r="6084" spans="17:17" x14ac:dyDescent="0.35">
      <c r="Q6084" s="83"/>
    </row>
    <row r="6085" spans="17:17" x14ac:dyDescent="0.35">
      <c r="Q6085" s="83"/>
    </row>
    <row r="6086" spans="17:17" x14ac:dyDescent="0.35">
      <c r="Q6086" s="83"/>
    </row>
    <row r="6087" spans="17:17" x14ac:dyDescent="0.35">
      <c r="Q6087" s="83"/>
    </row>
    <row r="6088" spans="17:17" x14ac:dyDescent="0.35">
      <c r="Q6088" s="83"/>
    </row>
    <row r="6089" spans="17:17" x14ac:dyDescent="0.35">
      <c r="Q6089" s="83"/>
    </row>
    <row r="6090" spans="17:17" x14ac:dyDescent="0.35">
      <c r="Q6090" s="83"/>
    </row>
    <row r="6091" spans="17:17" x14ac:dyDescent="0.35">
      <c r="Q6091" s="83"/>
    </row>
    <row r="6092" spans="17:17" x14ac:dyDescent="0.35">
      <c r="Q6092" s="83"/>
    </row>
    <row r="6093" spans="17:17" x14ac:dyDescent="0.35">
      <c r="Q6093" s="83"/>
    </row>
    <row r="6094" spans="17:17" x14ac:dyDescent="0.35">
      <c r="Q6094" s="83"/>
    </row>
    <row r="6095" spans="17:17" x14ac:dyDescent="0.35">
      <c r="Q6095" s="83"/>
    </row>
    <row r="6096" spans="17:17" x14ac:dyDescent="0.35">
      <c r="Q6096" s="83"/>
    </row>
    <row r="6097" spans="17:17" x14ac:dyDescent="0.35">
      <c r="Q6097" s="83"/>
    </row>
    <row r="6098" spans="17:17" x14ac:dyDescent="0.35">
      <c r="Q6098" s="83"/>
    </row>
    <row r="6099" spans="17:17" x14ac:dyDescent="0.35">
      <c r="Q6099" s="83"/>
    </row>
    <row r="6100" spans="17:17" x14ac:dyDescent="0.35">
      <c r="Q6100" s="83"/>
    </row>
    <row r="6101" spans="17:17" x14ac:dyDescent="0.35">
      <c r="Q6101" s="83"/>
    </row>
    <row r="6102" spans="17:17" x14ac:dyDescent="0.35">
      <c r="Q6102" s="83"/>
    </row>
    <row r="6103" spans="17:17" x14ac:dyDescent="0.35">
      <c r="Q6103" s="83"/>
    </row>
    <row r="6104" spans="17:17" x14ac:dyDescent="0.35">
      <c r="Q6104" s="83"/>
    </row>
    <row r="6105" spans="17:17" x14ac:dyDescent="0.35">
      <c r="Q6105" s="83"/>
    </row>
    <row r="6106" spans="17:17" x14ac:dyDescent="0.35">
      <c r="Q6106" s="83"/>
    </row>
    <row r="6107" spans="17:17" x14ac:dyDescent="0.35">
      <c r="Q6107" s="83"/>
    </row>
    <row r="6108" spans="17:17" x14ac:dyDescent="0.35">
      <c r="Q6108" s="83"/>
    </row>
    <row r="6109" spans="17:17" x14ac:dyDescent="0.35">
      <c r="Q6109" s="83"/>
    </row>
    <row r="6110" spans="17:17" x14ac:dyDescent="0.35">
      <c r="Q6110" s="83"/>
    </row>
    <row r="6111" spans="17:17" x14ac:dyDescent="0.35">
      <c r="Q6111" s="83"/>
    </row>
    <row r="6112" spans="17:17" x14ac:dyDescent="0.35">
      <c r="Q6112" s="83"/>
    </row>
    <row r="6113" spans="17:17" x14ac:dyDescent="0.35">
      <c r="Q6113" s="83"/>
    </row>
    <row r="6114" spans="17:17" x14ac:dyDescent="0.35">
      <c r="Q6114" s="83"/>
    </row>
    <row r="6115" spans="17:17" x14ac:dyDescent="0.35">
      <c r="Q6115" s="83"/>
    </row>
    <row r="6116" spans="17:17" x14ac:dyDescent="0.35">
      <c r="Q6116" s="83"/>
    </row>
    <row r="6117" spans="17:17" x14ac:dyDescent="0.35">
      <c r="Q6117" s="83"/>
    </row>
    <row r="6118" spans="17:17" x14ac:dyDescent="0.35">
      <c r="Q6118" s="83"/>
    </row>
    <row r="6119" spans="17:17" x14ac:dyDescent="0.35">
      <c r="Q6119" s="83"/>
    </row>
    <row r="6120" spans="17:17" x14ac:dyDescent="0.35">
      <c r="Q6120" s="83"/>
    </row>
    <row r="6121" spans="17:17" x14ac:dyDescent="0.35">
      <c r="Q6121" s="83"/>
    </row>
    <row r="6122" spans="17:17" x14ac:dyDescent="0.35">
      <c r="Q6122" s="83"/>
    </row>
    <row r="6123" spans="17:17" x14ac:dyDescent="0.35">
      <c r="Q6123" s="83"/>
    </row>
    <row r="6124" spans="17:17" x14ac:dyDescent="0.35">
      <c r="Q6124" s="83"/>
    </row>
    <row r="6125" spans="17:17" x14ac:dyDescent="0.35">
      <c r="Q6125" s="83"/>
    </row>
    <row r="6126" spans="17:17" x14ac:dyDescent="0.35">
      <c r="Q6126" s="83"/>
    </row>
    <row r="6127" spans="17:17" x14ac:dyDescent="0.35">
      <c r="Q6127" s="83"/>
    </row>
    <row r="6128" spans="17:17" x14ac:dyDescent="0.35">
      <c r="Q6128" s="83"/>
    </row>
    <row r="6129" spans="17:17" x14ac:dyDescent="0.35">
      <c r="Q6129" s="83"/>
    </row>
    <row r="6130" spans="17:17" x14ac:dyDescent="0.35">
      <c r="Q6130" s="83"/>
    </row>
    <row r="6131" spans="17:17" x14ac:dyDescent="0.35">
      <c r="Q6131" s="83"/>
    </row>
    <row r="6132" spans="17:17" x14ac:dyDescent="0.35">
      <c r="Q6132" s="83"/>
    </row>
    <row r="6133" spans="17:17" x14ac:dyDescent="0.35">
      <c r="Q6133" s="83"/>
    </row>
    <row r="6134" spans="17:17" x14ac:dyDescent="0.35">
      <c r="Q6134" s="83"/>
    </row>
    <row r="6135" spans="17:17" x14ac:dyDescent="0.35">
      <c r="Q6135" s="83"/>
    </row>
    <row r="6136" spans="17:17" x14ac:dyDescent="0.35">
      <c r="Q6136" s="83"/>
    </row>
    <row r="6137" spans="17:17" x14ac:dyDescent="0.35">
      <c r="Q6137" s="83"/>
    </row>
    <row r="6138" spans="17:17" x14ac:dyDescent="0.35">
      <c r="Q6138" s="83"/>
    </row>
    <row r="6139" spans="17:17" x14ac:dyDescent="0.35">
      <c r="Q6139" s="83"/>
    </row>
    <row r="6140" spans="17:17" x14ac:dyDescent="0.35">
      <c r="Q6140" s="83"/>
    </row>
    <row r="6141" spans="17:17" x14ac:dyDescent="0.35">
      <c r="Q6141" s="83"/>
    </row>
    <row r="6142" spans="17:17" x14ac:dyDescent="0.35">
      <c r="Q6142" s="83"/>
    </row>
    <row r="6143" spans="17:17" x14ac:dyDescent="0.35">
      <c r="Q6143" s="83"/>
    </row>
    <row r="6144" spans="17:17" x14ac:dyDescent="0.35">
      <c r="Q6144" s="83"/>
    </row>
    <row r="6145" spans="17:17" x14ac:dyDescent="0.35">
      <c r="Q6145" s="83"/>
    </row>
    <row r="6146" spans="17:17" x14ac:dyDescent="0.35">
      <c r="Q6146" s="83"/>
    </row>
    <row r="6147" spans="17:17" x14ac:dyDescent="0.35">
      <c r="Q6147" s="83"/>
    </row>
    <row r="6148" spans="17:17" x14ac:dyDescent="0.35">
      <c r="Q6148" s="83"/>
    </row>
    <row r="6149" spans="17:17" x14ac:dyDescent="0.35">
      <c r="Q6149" s="83"/>
    </row>
    <row r="6150" spans="17:17" x14ac:dyDescent="0.35">
      <c r="Q6150" s="83"/>
    </row>
    <row r="6151" spans="17:17" x14ac:dyDescent="0.35">
      <c r="Q6151" s="83"/>
    </row>
    <row r="6152" spans="17:17" x14ac:dyDescent="0.35">
      <c r="Q6152" s="83"/>
    </row>
    <row r="6153" spans="17:17" x14ac:dyDescent="0.35">
      <c r="Q6153" s="83"/>
    </row>
    <row r="6154" spans="17:17" x14ac:dyDescent="0.35">
      <c r="Q6154" s="83"/>
    </row>
    <row r="6155" spans="17:17" x14ac:dyDescent="0.35">
      <c r="Q6155" s="83"/>
    </row>
    <row r="6156" spans="17:17" x14ac:dyDescent="0.35">
      <c r="Q6156" s="83"/>
    </row>
    <row r="6157" spans="17:17" x14ac:dyDescent="0.35">
      <c r="Q6157" s="83"/>
    </row>
    <row r="6158" spans="17:17" x14ac:dyDescent="0.35">
      <c r="Q6158" s="83"/>
    </row>
    <row r="6159" spans="17:17" x14ac:dyDescent="0.35">
      <c r="Q6159" s="83"/>
    </row>
    <row r="6160" spans="17:17" x14ac:dyDescent="0.35">
      <c r="Q6160" s="83"/>
    </row>
    <row r="6161" spans="17:17" x14ac:dyDescent="0.35">
      <c r="Q6161" s="83"/>
    </row>
    <row r="6162" spans="17:17" x14ac:dyDescent="0.35">
      <c r="Q6162" s="83"/>
    </row>
    <row r="6163" spans="17:17" x14ac:dyDescent="0.35">
      <c r="Q6163" s="83"/>
    </row>
    <row r="6164" spans="17:17" x14ac:dyDescent="0.35">
      <c r="Q6164" s="83"/>
    </row>
    <row r="6165" spans="17:17" x14ac:dyDescent="0.35">
      <c r="Q6165" s="83"/>
    </row>
    <row r="6166" spans="17:17" x14ac:dyDescent="0.35">
      <c r="Q6166" s="83"/>
    </row>
    <row r="6167" spans="17:17" x14ac:dyDescent="0.35">
      <c r="Q6167" s="83"/>
    </row>
    <row r="6168" spans="17:17" x14ac:dyDescent="0.35">
      <c r="Q6168" s="83"/>
    </row>
    <row r="6169" spans="17:17" x14ac:dyDescent="0.35">
      <c r="Q6169" s="83"/>
    </row>
    <row r="6170" spans="17:17" x14ac:dyDescent="0.35">
      <c r="Q6170" s="83"/>
    </row>
    <row r="6171" spans="17:17" x14ac:dyDescent="0.35">
      <c r="Q6171" s="83"/>
    </row>
    <row r="6172" spans="17:17" x14ac:dyDescent="0.35">
      <c r="Q6172" s="83"/>
    </row>
    <row r="6173" spans="17:17" x14ac:dyDescent="0.35">
      <c r="Q6173" s="83"/>
    </row>
    <row r="6174" spans="17:17" x14ac:dyDescent="0.35">
      <c r="Q6174" s="83"/>
    </row>
    <row r="6175" spans="17:17" x14ac:dyDescent="0.35">
      <c r="Q6175" s="83"/>
    </row>
    <row r="6176" spans="17:17" x14ac:dyDescent="0.35">
      <c r="Q6176" s="83"/>
    </row>
    <row r="6177" spans="17:17" x14ac:dyDescent="0.35">
      <c r="Q6177" s="83"/>
    </row>
    <row r="6178" spans="17:17" x14ac:dyDescent="0.35">
      <c r="Q6178" s="83"/>
    </row>
    <row r="6179" spans="17:17" x14ac:dyDescent="0.35">
      <c r="Q6179" s="83"/>
    </row>
    <row r="6180" spans="17:17" x14ac:dyDescent="0.35">
      <c r="Q6180" s="83"/>
    </row>
    <row r="6181" spans="17:17" x14ac:dyDescent="0.35">
      <c r="Q6181" s="83"/>
    </row>
    <row r="6182" spans="17:17" x14ac:dyDescent="0.35">
      <c r="Q6182" s="83"/>
    </row>
    <row r="6183" spans="17:17" x14ac:dyDescent="0.35">
      <c r="Q6183" s="83"/>
    </row>
    <row r="6184" spans="17:17" x14ac:dyDescent="0.35">
      <c r="Q6184" s="83"/>
    </row>
    <row r="6185" spans="17:17" x14ac:dyDescent="0.35">
      <c r="Q6185" s="83"/>
    </row>
    <row r="6186" spans="17:17" x14ac:dyDescent="0.35">
      <c r="Q6186" s="83"/>
    </row>
    <row r="6187" spans="17:17" x14ac:dyDescent="0.35">
      <c r="Q6187" s="83"/>
    </row>
    <row r="6188" spans="17:17" x14ac:dyDescent="0.35">
      <c r="Q6188" s="83"/>
    </row>
    <row r="6189" spans="17:17" x14ac:dyDescent="0.35">
      <c r="Q6189" s="83"/>
    </row>
    <row r="6190" spans="17:17" x14ac:dyDescent="0.35">
      <c r="Q6190" s="83"/>
    </row>
    <row r="6191" spans="17:17" x14ac:dyDescent="0.35">
      <c r="Q6191" s="83"/>
    </row>
    <row r="6192" spans="17:17" x14ac:dyDescent="0.35">
      <c r="Q6192" s="83"/>
    </row>
    <row r="6193" spans="17:17" x14ac:dyDescent="0.35">
      <c r="Q6193" s="83"/>
    </row>
    <row r="6194" spans="17:17" x14ac:dyDescent="0.35">
      <c r="Q6194" s="83"/>
    </row>
    <row r="6195" spans="17:17" x14ac:dyDescent="0.35">
      <c r="Q6195" s="83"/>
    </row>
    <row r="6196" spans="17:17" x14ac:dyDescent="0.35">
      <c r="Q6196" s="83"/>
    </row>
    <row r="6197" spans="17:17" x14ac:dyDescent="0.35">
      <c r="Q6197" s="83"/>
    </row>
    <row r="6198" spans="17:17" x14ac:dyDescent="0.35">
      <c r="Q6198" s="83"/>
    </row>
    <row r="6199" spans="17:17" x14ac:dyDescent="0.35">
      <c r="Q6199" s="83"/>
    </row>
    <row r="6200" spans="17:17" x14ac:dyDescent="0.35">
      <c r="Q6200" s="83"/>
    </row>
    <row r="6201" spans="17:17" x14ac:dyDescent="0.35">
      <c r="Q6201" s="83"/>
    </row>
    <row r="6202" spans="17:17" x14ac:dyDescent="0.35">
      <c r="Q6202" s="83"/>
    </row>
    <row r="6203" spans="17:17" x14ac:dyDescent="0.35">
      <c r="Q6203" s="83"/>
    </row>
    <row r="6204" spans="17:17" x14ac:dyDescent="0.35">
      <c r="Q6204" s="83"/>
    </row>
    <row r="6205" spans="17:17" x14ac:dyDescent="0.35">
      <c r="Q6205" s="83"/>
    </row>
    <row r="6206" spans="17:17" x14ac:dyDescent="0.35">
      <c r="Q6206" s="83"/>
    </row>
    <row r="6207" spans="17:17" x14ac:dyDescent="0.35">
      <c r="Q6207" s="83"/>
    </row>
    <row r="6208" spans="17:17" x14ac:dyDescent="0.35">
      <c r="Q6208" s="83"/>
    </row>
    <row r="6209" spans="17:17" x14ac:dyDescent="0.35">
      <c r="Q6209" s="83"/>
    </row>
    <row r="6210" spans="17:17" x14ac:dyDescent="0.35">
      <c r="Q6210" s="83"/>
    </row>
    <row r="6211" spans="17:17" x14ac:dyDescent="0.35">
      <c r="Q6211" s="83"/>
    </row>
    <row r="6212" spans="17:17" x14ac:dyDescent="0.35">
      <c r="Q6212" s="83"/>
    </row>
    <row r="6213" spans="17:17" x14ac:dyDescent="0.35">
      <c r="Q6213" s="83"/>
    </row>
    <row r="6214" spans="17:17" x14ac:dyDescent="0.35">
      <c r="Q6214" s="83"/>
    </row>
    <row r="6215" spans="17:17" x14ac:dyDescent="0.35">
      <c r="Q6215" s="83"/>
    </row>
    <row r="6216" spans="17:17" x14ac:dyDescent="0.35">
      <c r="Q6216" s="83"/>
    </row>
    <row r="6217" spans="17:17" x14ac:dyDescent="0.35">
      <c r="Q6217" s="83"/>
    </row>
    <row r="6218" spans="17:17" x14ac:dyDescent="0.35">
      <c r="Q6218" s="83"/>
    </row>
    <row r="6219" spans="17:17" x14ac:dyDescent="0.35">
      <c r="Q6219" s="83"/>
    </row>
    <row r="6220" spans="17:17" x14ac:dyDescent="0.35">
      <c r="Q6220" s="83"/>
    </row>
    <row r="6221" spans="17:17" x14ac:dyDescent="0.35">
      <c r="Q6221" s="83"/>
    </row>
    <row r="6222" spans="17:17" x14ac:dyDescent="0.35">
      <c r="Q6222" s="83"/>
    </row>
    <row r="6223" spans="17:17" x14ac:dyDescent="0.35">
      <c r="Q6223" s="83"/>
    </row>
    <row r="6224" spans="17:17" x14ac:dyDescent="0.35">
      <c r="Q6224" s="83"/>
    </row>
    <row r="6225" spans="17:17" x14ac:dyDescent="0.35">
      <c r="Q6225" s="83"/>
    </row>
    <row r="6226" spans="17:17" x14ac:dyDescent="0.35">
      <c r="Q6226" s="83"/>
    </row>
    <row r="6227" spans="17:17" x14ac:dyDescent="0.35">
      <c r="Q6227" s="83"/>
    </row>
    <row r="6228" spans="17:17" x14ac:dyDescent="0.35">
      <c r="Q6228" s="83"/>
    </row>
    <row r="6229" spans="17:17" x14ac:dyDescent="0.35">
      <c r="Q6229" s="83"/>
    </row>
    <row r="6230" spans="17:17" x14ac:dyDescent="0.35">
      <c r="Q6230" s="83"/>
    </row>
    <row r="6231" spans="17:17" x14ac:dyDescent="0.35">
      <c r="Q6231" s="83"/>
    </row>
    <row r="6232" spans="17:17" x14ac:dyDescent="0.35">
      <c r="Q6232" s="83"/>
    </row>
    <row r="6233" spans="17:17" x14ac:dyDescent="0.35">
      <c r="Q6233" s="83"/>
    </row>
    <row r="6234" spans="17:17" x14ac:dyDescent="0.35">
      <c r="Q6234" s="83"/>
    </row>
    <row r="6235" spans="17:17" x14ac:dyDescent="0.35">
      <c r="Q6235" s="83"/>
    </row>
    <row r="6236" spans="17:17" x14ac:dyDescent="0.35">
      <c r="Q6236" s="83"/>
    </row>
    <row r="6237" spans="17:17" x14ac:dyDescent="0.35">
      <c r="Q6237" s="83"/>
    </row>
    <row r="6238" spans="17:17" x14ac:dyDescent="0.35">
      <c r="Q6238" s="83"/>
    </row>
    <row r="6239" spans="17:17" x14ac:dyDescent="0.35">
      <c r="Q6239" s="83"/>
    </row>
    <row r="6240" spans="17:17" x14ac:dyDescent="0.35">
      <c r="Q6240" s="83"/>
    </row>
    <row r="6241" spans="17:17" x14ac:dyDescent="0.35">
      <c r="Q6241" s="83"/>
    </row>
    <row r="6242" spans="17:17" x14ac:dyDescent="0.35">
      <c r="Q6242" s="83"/>
    </row>
    <row r="6243" spans="17:17" x14ac:dyDescent="0.35">
      <c r="Q6243" s="83"/>
    </row>
    <row r="6244" spans="17:17" x14ac:dyDescent="0.35">
      <c r="Q6244" s="83"/>
    </row>
    <row r="6245" spans="17:17" x14ac:dyDescent="0.35">
      <c r="Q6245" s="83"/>
    </row>
    <row r="6246" spans="17:17" x14ac:dyDescent="0.35">
      <c r="Q6246" s="83"/>
    </row>
    <row r="6247" spans="17:17" x14ac:dyDescent="0.35">
      <c r="Q6247" s="83"/>
    </row>
    <row r="6248" spans="17:17" x14ac:dyDescent="0.35">
      <c r="Q6248" s="83"/>
    </row>
    <row r="6249" spans="17:17" x14ac:dyDescent="0.35">
      <c r="Q6249" s="83"/>
    </row>
    <row r="6250" spans="17:17" x14ac:dyDescent="0.35">
      <c r="Q6250" s="83"/>
    </row>
    <row r="6251" spans="17:17" x14ac:dyDescent="0.35">
      <c r="Q6251" s="83"/>
    </row>
    <row r="6252" spans="17:17" x14ac:dyDescent="0.35">
      <c r="Q6252" s="83"/>
    </row>
    <row r="6253" spans="17:17" x14ac:dyDescent="0.35">
      <c r="Q6253" s="83"/>
    </row>
    <row r="6254" spans="17:17" x14ac:dyDescent="0.35">
      <c r="Q6254" s="83"/>
    </row>
    <row r="6255" spans="17:17" x14ac:dyDescent="0.35">
      <c r="Q6255" s="83"/>
    </row>
    <row r="6256" spans="17:17" x14ac:dyDescent="0.35">
      <c r="Q6256" s="83"/>
    </row>
    <row r="6257" spans="17:17" x14ac:dyDescent="0.35">
      <c r="Q6257" s="83"/>
    </row>
    <row r="6258" spans="17:17" x14ac:dyDescent="0.35">
      <c r="Q6258" s="83"/>
    </row>
    <row r="6259" spans="17:17" x14ac:dyDescent="0.35">
      <c r="Q6259" s="83"/>
    </row>
    <row r="6260" spans="17:17" x14ac:dyDescent="0.35">
      <c r="Q6260" s="83"/>
    </row>
    <row r="6261" spans="17:17" x14ac:dyDescent="0.35">
      <c r="Q6261" s="83"/>
    </row>
    <row r="6262" spans="17:17" x14ac:dyDescent="0.35">
      <c r="Q6262" s="83"/>
    </row>
    <row r="6263" spans="17:17" x14ac:dyDescent="0.35">
      <c r="Q6263" s="83"/>
    </row>
    <row r="6264" spans="17:17" x14ac:dyDescent="0.35">
      <c r="Q6264" s="83"/>
    </row>
    <row r="6265" spans="17:17" x14ac:dyDescent="0.35">
      <c r="Q6265" s="83"/>
    </row>
    <row r="6266" spans="17:17" x14ac:dyDescent="0.35">
      <c r="Q6266" s="83"/>
    </row>
    <row r="6267" spans="17:17" x14ac:dyDescent="0.35">
      <c r="Q6267" s="83"/>
    </row>
    <row r="6268" spans="17:17" x14ac:dyDescent="0.35">
      <c r="Q6268" s="83"/>
    </row>
    <row r="6269" spans="17:17" x14ac:dyDescent="0.35">
      <c r="Q6269" s="83"/>
    </row>
    <row r="6270" spans="17:17" x14ac:dyDescent="0.35">
      <c r="Q6270" s="83"/>
    </row>
    <row r="6271" spans="17:17" x14ac:dyDescent="0.35">
      <c r="Q6271" s="83"/>
    </row>
    <row r="6272" spans="17:17" x14ac:dyDescent="0.35">
      <c r="Q6272" s="83"/>
    </row>
    <row r="6273" spans="17:17" x14ac:dyDescent="0.35">
      <c r="Q6273" s="83"/>
    </row>
    <row r="6274" spans="17:17" x14ac:dyDescent="0.35">
      <c r="Q6274" s="83"/>
    </row>
    <row r="6275" spans="17:17" x14ac:dyDescent="0.35">
      <c r="Q6275" s="83"/>
    </row>
    <row r="6276" spans="17:17" x14ac:dyDescent="0.35">
      <c r="Q6276" s="83"/>
    </row>
    <row r="6277" spans="17:17" x14ac:dyDescent="0.35">
      <c r="Q6277" s="83"/>
    </row>
    <row r="6278" spans="17:17" x14ac:dyDescent="0.35">
      <c r="Q6278" s="83"/>
    </row>
    <row r="6279" spans="17:17" x14ac:dyDescent="0.35">
      <c r="Q6279" s="83"/>
    </row>
    <row r="6280" spans="17:17" x14ac:dyDescent="0.35">
      <c r="Q6280" s="83"/>
    </row>
    <row r="6281" spans="17:17" x14ac:dyDescent="0.35">
      <c r="Q6281" s="83"/>
    </row>
    <row r="6282" spans="17:17" x14ac:dyDescent="0.35">
      <c r="Q6282" s="83"/>
    </row>
    <row r="6283" spans="17:17" x14ac:dyDescent="0.35">
      <c r="Q6283" s="83"/>
    </row>
    <row r="6284" spans="17:17" x14ac:dyDescent="0.35">
      <c r="Q6284" s="83"/>
    </row>
    <row r="6285" spans="17:17" x14ac:dyDescent="0.35">
      <c r="Q6285" s="83"/>
    </row>
    <row r="6286" spans="17:17" x14ac:dyDescent="0.35">
      <c r="Q6286" s="83"/>
    </row>
    <row r="6287" spans="17:17" x14ac:dyDescent="0.35">
      <c r="Q6287" s="83"/>
    </row>
    <row r="6288" spans="17:17" x14ac:dyDescent="0.35">
      <c r="Q6288" s="83"/>
    </row>
    <row r="6289" spans="17:17" x14ac:dyDescent="0.35">
      <c r="Q6289" s="83"/>
    </row>
    <row r="6290" spans="17:17" x14ac:dyDescent="0.35">
      <c r="Q6290" s="83"/>
    </row>
    <row r="6291" spans="17:17" x14ac:dyDescent="0.35">
      <c r="Q6291" s="83"/>
    </row>
    <row r="6292" spans="17:17" x14ac:dyDescent="0.35">
      <c r="Q6292" s="83"/>
    </row>
    <row r="6293" spans="17:17" x14ac:dyDescent="0.35">
      <c r="Q6293" s="83"/>
    </row>
    <row r="6294" spans="17:17" x14ac:dyDescent="0.35">
      <c r="Q6294" s="83"/>
    </row>
    <row r="6295" spans="17:17" x14ac:dyDescent="0.35">
      <c r="Q6295" s="83"/>
    </row>
    <row r="6296" spans="17:17" x14ac:dyDescent="0.35">
      <c r="Q6296" s="83"/>
    </row>
    <row r="6297" spans="17:17" x14ac:dyDescent="0.35">
      <c r="Q6297" s="83"/>
    </row>
    <row r="6298" spans="17:17" x14ac:dyDescent="0.35">
      <c r="Q6298" s="83"/>
    </row>
    <row r="6299" spans="17:17" x14ac:dyDescent="0.35">
      <c r="Q6299" s="83"/>
    </row>
    <row r="6300" spans="17:17" x14ac:dyDescent="0.35">
      <c r="Q6300" s="83"/>
    </row>
    <row r="6301" spans="17:17" x14ac:dyDescent="0.35">
      <c r="Q6301" s="83"/>
    </row>
    <row r="6302" spans="17:17" x14ac:dyDescent="0.35">
      <c r="Q6302" s="83"/>
    </row>
    <row r="6303" spans="17:17" x14ac:dyDescent="0.35">
      <c r="Q6303" s="83"/>
    </row>
    <row r="6304" spans="17:17" x14ac:dyDescent="0.35">
      <c r="Q6304" s="83"/>
    </row>
    <row r="6305" spans="17:17" x14ac:dyDescent="0.35">
      <c r="Q6305" s="83"/>
    </row>
    <row r="6306" spans="17:17" x14ac:dyDescent="0.35">
      <c r="Q6306" s="83"/>
    </row>
    <row r="6307" spans="17:17" x14ac:dyDescent="0.35">
      <c r="Q6307" s="83"/>
    </row>
    <row r="6308" spans="17:17" x14ac:dyDescent="0.35">
      <c r="Q6308" s="83"/>
    </row>
    <row r="6309" spans="17:17" x14ac:dyDescent="0.35">
      <c r="Q6309" s="83"/>
    </row>
    <row r="6310" spans="17:17" x14ac:dyDescent="0.35">
      <c r="Q6310" s="83"/>
    </row>
    <row r="6311" spans="17:17" x14ac:dyDescent="0.35">
      <c r="Q6311" s="83"/>
    </row>
    <row r="6312" spans="17:17" x14ac:dyDescent="0.35">
      <c r="Q6312" s="83"/>
    </row>
    <row r="6313" spans="17:17" x14ac:dyDescent="0.35">
      <c r="Q6313" s="83"/>
    </row>
    <row r="6314" spans="17:17" x14ac:dyDescent="0.35">
      <c r="Q6314" s="83"/>
    </row>
    <row r="6315" spans="17:17" x14ac:dyDescent="0.35">
      <c r="Q6315" s="83"/>
    </row>
    <row r="6316" spans="17:17" x14ac:dyDescent="0.35">
      <c r="Q6316" s="83"/>
    </row>
    <row r="6317" spans="17:17" x14ac:dyDescent="0.35">
      <c r="Q6317" s="83"/>
    </row>
    <row r="6318" spans="17:17" x14ac:dyDescent="0.35">
      <c r="Q6318" s="83"/>
    </row>
    <row r="6319" spans="17:17" x14ac:dyDescent="0.35">
      <c r="Q6319" s="83"/>
    </row>
    <row r="6320" spans="17:17" x14ac:dyDescent="0.35">
      <c r="Q6320" s="83"/>
    </row>
    <row r="6321" spans="17:17" x14ac:dyDescent="0.35">
      <c r="Q6321" s="83"/>
    </row>
    <row r="6322" spans="17:17" x14ac:dyDescent="0.35">
      <c r="Q6322" s="83"/>
    </row>
    <row r="6323" spans="17:17" x14ac:dyDescent="0.35">
      <c r="Q6323" s="83"/>
    </row>
    <row r="6324" spans="17:17" x14ac:dyDescent="0.35">
      <c r="Q6324" s="83"/>
    </row>
    <row r="6325" spans="17:17" x14ac:dyDescent="0.35">
      <c r="Q6325" s="83"/>
    </row>
    <row r="6326" spans="17:17" x14ac:dyDescent="0.35">
      <c r="Q6326" s="83"/>
    </row>
    <row r="6327" spans="17:17" x14ac:dyDescent="0.35">
      <c r="Q6327" s="83"/>
    </row>
    <row r="6328" spans="17:17" x14ac:dyDescent="0.35">
      <c r="Q6328" s="83"/>
    </row>
    <row r="6329" spans="17:17" x14ac:dyDescent="0.35">
      <c r="Q6329" s="83"/>
    </row>
    <row r="6330" spans="17:17" x14ac:dyDescent="0.35">
      <c r="Q6330" s="83"/>
    </row>
    <row r="6331" spans="17:17" x14ac:dyDescent="0.35">
      <c r="Q6331" s="83"/>
    </row>
    <row r="6332" spans="17:17" x14ac:dyDescent="0.35">
      <c r="Q6332" s="83"/>
    </row>
    <row r="6333" spans="17:17" x14ac:dyDescent="0.35">
      <c r="Q6333" s="83"/>
    </row>
    <row r="6334" spans="17:17" x14ac:dyDescent="0.35">
      <c r="Q6334" s="83"/>
    </row>
    <row r="6335" spans="17:17" x14ac:dyDescent="0.35">
      <c r="Q6335" s="83"/>
    </row>
    <row r="6336" spans="17:17" x14ac:dyDescent="0.35">
      <c r="Q6336" s="83"/>
    </row>
    <row r="6337" spans="17:17" x14ac:dyDescent="0.35">
      <c r="Q6337" s="83"/>
    </row>
    <row r="6338" spans="17:17" x14ac:dyDescent="0.35">
      <c r="Q6338" s="83"/>
    </row>
    <row r="6339" spans="17:17" x14ac:dyDescent="0.35">
      <c r="Q6339" s="83"/>
    </row>
    <row r="6340" spans="17:17" x14ac:dyDescent="0.35">
      <c r="Q6340" s="83"/>
    </row>
    <row r="6341" spans="17:17" x14ac:dyDescent="0.35">
      <c r="Q6341" s="83"/>
    </row>
    <row r="6342" spans="17:17" x14ac:dyDescent="0.35">
      <c r="Q6342" s="83"/>
    </row>
    <row r="6343" spans="17:17" x14ac:dyDescent="0.35">
      <c r="Q6343" s="83"/>
    </row>
    <row r="6344" spans="17:17" x14ac:dyDescent="0.35">
      <c r="Q6344" s="83"/>
    </row>
    <row r="6345" spans="17:17" x14ac:dyDescent="0.35">
      <c r="Q6345" s="83"/>
    </row>
    <row r="6346" spans="17:17" x14ac:dyDescent="0.35">
      <c r="Q6346" s="83"/>
    </row>
    <row r="6347" spans="17:17" x14ac:dyDescent="0.35">
      <c r="Q6347" s="83"/>
    </row>
    <row r="6348" spans="17:17" x14ac:dyDescent="0.35">
      <c r="Q6348" s="83"/>
    </row>
    <row r="6349" spans="17:17" x14ac:dyDescent="0.35">
      <c r="Q6349" s="83"/>
    </row>
    <row r="6350" spans="17:17" x14ac:dyDescent="0.35">
      <c r="Q6350" s="83"/>
    </row>
    <row r="6351" spans="17:17" x14ac:dyDescent="0.35">
      <c r="Q6351" s="83"/>
    </row>
    <row r="6352" spans="17:17" x14ac:dyDescent="0.35">
      <c r="Q6352" s="83"/>
    </row>
    <row r="6353" spans="17:17" x14ac:dyDescent="0.35">
      <c r="Q6353" s="83"/>
    </row>
    <row r="6354" spans="17:17" x14ac:dyDescent="0.35">
      <c r="Q6354" s="83"/>
    </row>
    <row r="6355" spans="17:17" x14ac:dyDescent="0.35">
      <c r="Q6355" s="83"/>
    </row>
    <row r="6356" spans="17:17" x14ac:dyDescent="0.35">
      <c r="Q6356" s="83"/>
    </row>
    <row r="6357" spans="17:17" x14ac:dyDescent="0.35">
      <c r="Q6357" s="83"/>
    </row>
    <row r="6358" spans="17:17" x14ac:dyDescent="0.35">
      <c r="Q6358" s="83"/>
    </row>
    <row r="6359" spans="17:17" x14ac:dyDescent="0.35">
      <c r="Q6359" s="83"/>
    </row>
    <row r="6360" spans="17:17" x14ac:dyDescent="0.35">
      <c r="Q6360" s="83"/>
    </row>
    <row r="6361" spans="17:17" x14ac:dyDescent="0.35">
      <c r="Q6361" s="83"/>
    </row>
    <row r="6362" spans="17:17" x14ac:dyDescent="0.35">
      <c r="Q6362" s="83"/>
    </row>
    <row r="6363" spans="17:17" x14ac:dyDescent="0.35">
      <c r="Q6363" s="83"/>
    </row>
    <row r="6364" spans="17:17" x14ac:dyDescent="0.35">
      <c r="Q6364" s="83"/>
    </row>
    <row r="6365" spans="17:17" x14ac:dyDescent="0.35">
      <c r="Q6365" s="83"/>
    </row>
    <row r="6366" spans="17:17" x14ac:dyDescent="0.35">
      <c r="Q6366" s="83"/>
    </row>
    <row r="6367" spans="17:17" x14ac:dyDescent="0.35">
      <c r="Q6367" s="83"/>
    </row>
    <row r="6368" spans="17:17" x14ac:dyDescent="0.35">
      <c r="Q6368" s="83"/>
    </row>
    <row r="6369" spans="17:17" x14ac:dyDescent="0.35">
      <c r="Q6369" s="83"/>
    </row>
    <row r="6370" spans="17:17" x14ac:dyDescent="0.35">
      <c r="Q6370" s="83"/>
    </row>
    <row r="6371" spans="17:17" x14ac:dyDescent="0.35">
      <c r="Q6371" s="83"/>
    </row>
    <row r="6372" spans="17:17" x14ac:dyDescent="0.35">
      <c r="Q6372" s="83"/>
    </row>
    <row r="6373" spans="17:17" x14ac:dyDescent="0.35">
      <c r="Q6373" s="83"/>
    </row>
    <row r="6374" spans="17:17" x14ac:dyDescent="0.35">
      <c r="Q6374" s="83"/>
    </row>
    <row r="6375" spans="17:17" x14ac:dyDescent="0.35">
      <c r="Q6375" s="83"/>
    </row>
    <row r="6376" spans="17:17" x14ac:dyDescent="0.35">
      <c r="Q6376" s="83"/>
    </row>
    <row r="6377" spans="17:17" x14ac:dyDescent="0.35">
      <c r="Q6377" s="83"/>
    </row>
    <row r="6378" spans="17:17" x14ac:dyDescent="0.35">
      <c r="Q6378" s="83"/>
    </row>
    <row r="6379" spans="17:17" x14ac:dyDescent="0.35">
      <c r="Q6379" s="83"/>
    </row>
    <row r="6380" spans="17:17" x14ac:dyDescent="0.35">
      <c r="Q6380" s="83"/>
    </row>
    <row r="6381" spans="17:17" x14ac:dyDescent="0.35">
      <c r="Q6381" s="83"/>
    </row>
    <row r="6382" spans="17:17" x14ac:dyDescent="0.35">
      <c r="Q6382" s="83"/>
    </row>
    <row r="6383" spans="17:17" x14ac:dyDescent="0.35">
      <c r="Q6383" s="83"/>
    </row>
    <row r="6384" spans="17:17" x14ac:dyDescent="0.35">
      <c r="Q6384" s="83"/>
    </row>
    <row r="6385" spans="17:17" x14ac:dyDescent="0.35">
      <c r="Q6385" s="83"/>
    </row>
    <row r="6386" spans="17:17" x14ac:dyDescent="0.35">
      <c r="Q6386" s="83"/>
    </row>
    <row r="6387" spans="17:17" x14ac:dyDescent="0.35">
      <c r="Q6387" s="83"/>
    </row>
    <row r="6388" spans="17:17" x14ac:dyDescent="0.35">
      <c r="Q6388" s="83"/>
    </row>
    <row r="6389" spans="17:17" x14ac:dyDescent="0.35">
      <c r="Q6389" s="83"/>
    </row>
    <row r="6390" spans="17:17" x14ac:dyDescent="0.35">
      <c r="Q6390" s="83"/>
    </row>
    <row r="6391" spans="17:17" x14ac:dyDescent="0.35">
      <c r="Q6391" s="83"/>
    </row>
    <row r="6392" spans="17:17" x14ac:dyDescent="0.35">
      <c r="Q6392" s="83"/>
    </row>
    <row r="6393" spans="17:17" x14ac:dyDescent="0.35">
      <c r="Q6393" s="83"/>
    </row>
    <row r="6394" spans="17:17" x14ac:dyDescent="0.35">
      <c r="Q6394" s="83"/>
    </row>
    <row r="6395" spans="17:17" x14ac:dyDescent="0.35">
      <c r="Q6395" s="83"/>
    </row>
    <row r="6396" spans="17:17" x14ac:dyDescent="0.35">
      <c r="Q6396" s="83"/>
    </row>
    <row r="6397" spans="17:17" x14ac:dyDescent="0.35">
      <c r="Q6397" s="83"/>
    </row>
    <row r="6398" spans="17:17" x14ac:dyDescent="0.35">
      <c r="Q6398" s="83"/>
    </row>
    <row r="6399" spans="17:17" x14ac:dyDescent="0.35">
      <c r="Q6399" s="83"/>
    </row>
    <row r="6400" spans="17:17" x14ac:dyDescent="0.35">
      <c r="Q6400" s="83"/>
    </row>
    <row r="6401" spans="17:17" x14ac:dyDescent="0.35">
      <c r="Q6401" s="83"/>
    </row>
    <row r="6402" spans="17:17" x14ac:dyDescent="0.35">
      <c r="Q6402" s="83"/>
    </row>
    <row r="6403" spans="17:17" x14ac:dyDescent="0.35">
      <c r="Q6403" s="83"/>
    </row>
    <row r="6404" spans="17:17" x14ac:dyDescent="0.35">
      <c r="Q6404" s="83"/>
    </row>
    <row r="6405" spans="17:17" x14ac:dyDescent="0.35">
      <c r="Q6405" s="83"/>
    </row>
    <row r="6406" spans="17:17" x14ac:dyDescent="0.35">
      <c r="Q6406" s="83"/>
    </row>
    <row r="6407" spans="17:17" x14ac:dyDescent="0.35">
      <c r="Q6407" s="83"/>
    </row>
    <row r="6408" spans="17:17" x14ac:dyDescent="0.35">
      <c r="Q6408" s="83"/>
    </row>
    <row r="6409" spans="17:17" x14ac:dyDescent="0.35">
      <c r="Q6409" s="83"/>
    </row>
    <row r="6410" spans="17:17" x14ac:dyDescent="0.35">
      <c r="Q6410" s="83"/>
    </row>
    <row r="6411" spans="17:17" x14ac:dyDescent="0.35">
      <c r="Q6411" s="83"/>
    </row>
    <row r="6412" spans="17:17" x14ac:dyDescent="0.35">
      <c r="Q6412" s="83"/>
    </row>
    <row r="6413" spans="17:17" x14ac:dyDescent="0.35">
      <c r="Q6413" s="83"/>
    </row>
    <row r="6414" spans="17:17" x14ac:dyDescent="0.35">
      <c r="Q6414" s="83"/>
    </row>
    <row r="6415" spans="17:17" x14ac:dyDescent="0.35">
      <c r="Q6415" s="83"/>
    </row>
    <row r="6416" spans="17:17" x14ac:dyDescent="0.35">
      <c r="Q6416" s="83"/>
    </row>
    <row r="6417" spans="17:17" x14ac:dyDescent="0.35">
      <c r="Q6417" s="83"/>
    </row>
    <row r="6418" spans="17:17" x14ac:dyDescent="0.35">
      <c r="Q6418" s="83"/>
    </row>
    <row r="6419" spans="17:17" x14ac:dyDescent="0.35">
      <c r="Q6419" s="83"/>
    </row>
    <row r="6420" spans="17:17" x14ac:dyDescent="0.35">
      <c r="Q6420" s="83"/>
    </row>
    <row r="6421" spans="17:17" x14ac:dyDescent="0.35">
      <c r="Q6421" s="83"/>
    </row>
    <row r="6422" spans="17:17" x14ac:dyDescent="0.35">
      <c r="Q6422" s="83"/>
    </row>
    <row r="6423" spans="17:17" x14ac:dyDescent="0.35">
      <c r="Q6423" s="83"/>
    </row>
    <row r="6424" spans="17:17" x14ac:dyDescent="0.35">
      <c r="Q6424" s="83"/>
    </row>
    <row r="6425" spans="17:17" x14ac:dyDescent="0.35">
      <c r="Q6425" s="83"/>
    </row>
    <row r="6426" spans="17:17" x14ac:dyDescent="0.35">
      <c r="Q6426" s="83"/>
    </row>
    <row r="6427" spans="17:17" x14ac:dyDescent="0.35">
      <c r="Q6427" s="83"/>
    </row>
    <row r="6428" spans="17:17" x14ac:dyDescent="0.35">
      <c r="Q6428" s="83"/>
    </row>
    <row r="6429" spans="17:17" x14ac:dyDescent="0.35">
      <c r="Q6429" s="83"/>
    </row>
    <row r="6430" spans="17:17" x14ac:dyDescent="0.35">
      <c r="Q6430" s="83"/>
    </row>
    <row r="6431" spans="17:17" x14ac:dyDescent="0.35">
      <c r="Q6431" s="83"/>
    </row>
    <row r="6432" spans="17:17" x14ac:dyDescent="0.35">
      <c r="Q6432" s="83"/>
    </row>
    <row r="6433" spans="17:17" x14ac:dyDescent="0.35">
      <c r="Q6433" s="83"/>
    </row>
    <row r="6434" spans="17:17" x14ac:dyDescent="0.35">
      <c r="Q6434" s="83"/>
    </row>
    <row r="6435" spans="17:17" x14ac:dyDescent="0.35">
      <c r="Q6435" s="83"/>
    </row>
    <row r="6436" spans="17:17" x14ac:dyDescent="0.35">
      <c r="Q6436" s="83"/>
    </row>
    <row r="6437" spans="17:17" x14ac:dyDescent="0.35">
      <c r="Q6437" s="83"/>
    </row>
    <row r="6438" spans="17:17" x14ac:dyDescent="0.35">
      <c r="Q6438" s="83"/>
    </row>
    <row r="6439" spans="17:17" x14ac:dyDescent="0.35">
      <c r="Q6439" s="83"/>
    </row>
    <row r="6440" spans="17:17" x14ac:dyDescent="0.35">
      <c r="Q6440" s="83"/>
    </row>
    <row r="6441" spans="17:17" x14ac:dyDescent="0.35">
      <c r="Q6441" s="83"/>
    </row>
    <row r="6442" spans="17:17" x14ac:dyDescent="0.35">
      <c r="Q6442" s="83"/>
    </row>
    <row r="6443" spans="17:17" x14ac:dyDescent="0.35">
      <c r="Q6443" s="83"/>
    </row>
    <row r="6444" spans="17:17" x14ac:dyDescent="0.35">
      <c r="Q6444" s="83"/>
    </row>
    <row r="6445" spans="17:17" x14ac:dyDescent="0.35">
      <c r="Q6445" s="83"/>
    </row>
    <row r="6446" spans="17:17" x14ac:dyDescent="0.35">
      <c r="Q6446" s="83"/>
    </row>
    <row r="6447" spans="17:17" x14ac:dyDescent="0.35">
      <c r="Q6447" s="83"/>
    </row>
    <row r="6448" spans="17:17" x14ac:dyDescent="0.35">
      <c r="Q6448" s="83"/>
    </row>
    <row r="6449" spans="17:17" x14ac:dyDescent="0.35">
      <c r="Q6449" s="83"/>
    </row>
    <row r="6450" spans="17:17" x14ac:dyDescent="0.35">
      <c r="Q6450" s="83"/>
    </row>
    <row r="6451" spans="17:17" x14ac:dyDescent="0.35">
      <c r="Q6451" s="83"/>
    </row>
    <row r="6452" spans="17:17" x14ac:dyDescent="0.35">
      <c r="Q6452" s="83"/>
    </row>
    <row r="6453" spans="17:17" x14ac:dyDescent="0.35">
      <c r="Q6453" s="83"/>
    </row>
    <row r="6454" spans="17:17" x14ac:dyDescent="0.35">
      <c r="Q6454" s="83"/>
    </row>
    <row r="6455" spans="17:17" x14ac:dyDescent="0.35">
      <c r="Q6455" s="83"/>
    </row>
    <row r="6456" spans="17:17" x14ac:dyDescent="0.35">
      <c r="Q6456" s="83"/>
    </row>
    <row r="6457" spans="17:17" x14ac:dyDescent="0.35">
      <c r="Q6457" s="83"/>
    </row>
    <row r="6458" spans="17:17" x14ac:dyDescent="0.35">
      <c r="Q6458" s="83"/>
    </row>
    <row r="6459" spans="17:17" x14ac:dyDescent="0.35">
      <c r="Q6459" s="83"/>
    </row>
    <row r="6460" spans="17:17" x14ac:dyDescent="0.35">
      <c r="Q6460" s="83"/>
    </row>
    <row r="6461" spans="17:17" x14ac:dyDescent="0.35">
      <c r="Q6461" s="83"/>
    </row>
    <row r="6462" spans="17:17" x14ac:dyDescent="0.35">
      <c r="Q6462" s="83"/>
    </row>
    <row r="6463" spans="17:17" x14ac:dyDescent="0.35">
      <c r="Q6463" s="83"/>
    </row>
    <row r="6464" spans="17:17" x14ac:dyDescent="0.35">
      <c r="Q6464" s="83"/>
    </row>
    <row r="6465" spans="17:17" x14ac:dyDescent="0.35">
      <c r="Q6465" s="83"/>
    </row>
    <row r="6466" spans="17:17" x14ac:dyDescent="0.35">
      <c r="Q6466" s="83"/>
    </row>
    <row r="6467" spans="17:17" x14ac:dyDescent="0.35">
      <c r="Q6467" s="83"/>
    </row>
    <row r="6468" spans="17:17" x14ac:dyDescent="0.35">
      <c r="Q6468" s="83"/>
    </row>
    <row r="6469" spans="17:17" x14ac:dyDescent="0.35">
      <c r="Q6469" s="83"/>
    </row>
    <row r="6470" spans="17:17" x14ac:dyDescent="0.35">
      <c r="Q6470" s="83"/>
    </row>
    <row r="6471" spans="17:17" x14ac:dyDescent="0.35">
      <c r="Q6471" s="83"/>
    </row>
    <row r="6472" spans="17:17" x14ac:dyDescent="0.35">
      <c r="Q6472" s="83"/>
    </row>
    <row r="6473" spans="17:17" x14ac:dyDescent="0.35">
      <c r="Q6473" s="83"/>
    </row>
    <row r="6474" spans="17:17" x14ac:dyDescent="0.35">
      <c r="Q6474" s="83"/>
    </row>
    <row r="6475" spans="17:17" x14ac:dyDescent="0.35">
      <c r="Q6475" s="83"/>
    </row>
    <row r="6476" spans="17:17" x14ac:dyDescent="0.35">
      <c r="Q6476" s="83"/>
    </row>
    <row r="6477" spans="17:17" x14ac:dyDescent="0.35">
      <c r="Q6477" s="83"/>
    </row>
    <row r="6478" spans="17:17" x14ac:dyDescent="0.35">
      <c r="Q6478" s="83"/>
    </row>
    <row r="6479" spans="17:17" x14ac:dyDescent="0.35">
      <c r="Q6479" s="83"/>
    </row>
    <row r="6480" spans="17:17" x14ac:dyDescent="0.35">
      <c r="Q6480" s="83"/>
    </row>
    <row r="6481" spans="17:17" x14ac:dyDescent="0.35">
      <c r="Q6481" s="83"/>
    </row>
    <row r="6482" spans="17:17" x14ac:dyDescent="0.35">
      <c r="Q6482" s="83"/>
    </row>
    <row r="6483" spans="17:17" x14ac:dyDescent="0.35">
      <c r="Q6483" s="83"/>
    </row>
    <row r="6484" spans="17:17" x14ac:dyDescent="0.35">
      <c r="Q6484" s="83"/>
    </row>
    <row r="6485" spans="17:17" x14ac:dyDescent="0.35">
      <c r="Q6485" s="83"/>
    </row>
    <row r="6486" spans="17:17" x14ac:dyDescent="0.35">
      <c r="Q6486" s="83"/>
    </row>
    <row r="6487" spans="17:17" x14ac:dyDescent="0.35">
      <c r="Q6487" s="83"/>
    </row>
    <row r="6488" spans="17:17" x14ac:dyDescent="0.35">
      <c r="Q6488" s="83"/>
    </row>
    <row r="6489" spans="17:17" x14ac:dyDescent="0.35">
      <c r="Q6489" s="83"/>
    </row>
    <row r="6490" spans="17:17" x14ac:dyDescent="0.35">
      <c r="Q6490" s="83"/>
    </row>
    <row r="6491" spans="17:17" x14ac:dyDescent="0.35">
      <c r="Q6491" s="83"/>
    </row>
    <row r="6492" spans="17:17" x14ac:dyDescent="0.35">
      <c r="Q6492" s="83"/>
    </row>
    <row r="6493" spans="17:17" x14ac:dyDescent="0.35">
      <c r="Q6493" s="83"/>
    </row>
    <row r="6494" spans="17:17" x14ac:dyDescent="0.35">
      <c r="Q6494" s="83"/>
    </row>
    <row r="6495" spans="17:17" x14ac:dyDescent="0.35">
      <c r="Q6495" s="83"/>
    </row>
    <row r="6496" spans="17:17" x14ac:dyDescent="0.35">
      <c r="Q6496" s="83"/>
    </row>
    <row r="6497" spans="17:17" x14ac:dyDescent="0.35">
      <c r="Q6497" s="83"/>
    </row>
    <row r="6498" spans="17:17" x14ac:dyDescent="0.35">
      <c r="Q6498" s="83"/>
    </row>
    <row r="6499" spans="17:17" x14ac:dyDescent="0.35">
      <c r="Q6499" s="83"/>
    </row>
    <row r="6500" spans="17:17" x14ac:dyDescent="0.35">
      <c r="Q6500" s="83"/>
    </row>
    <row r="6501" spans="17:17" x14ac:dyDescent="0.35">
      <c r="Q6501" s="83"/>
    </row>
    <row r="6502" spans="17:17" x14ac:dyDescent="0.35">
      <c r="Q6502" s="83"/>
    </row>
    <row r="6503" spans="17:17" x14ac:dyDescent="0.35">
      <c r="Q6503" s="83"/>
    </row>
    <row r="6504" spans="17:17" x14ac:dyDescent="0.35">
      <c r="Q6504" s="83"/>
    </row>
    <row r="6505" spans="17:17" x14ac:dyDescent="0.35">
      <c r="Q6505" s="83"/>
    </row>
    <row r="6506" spans="17:17" x14ac:dyDescent="0.35">
      <c r="Q6506" s="83"/>
    </row>
    <row r="6507" spans="17:17" x14ac:dyDescent="0.35">
      <c r="Q6507" s="83"/>
    </row>
    <row r="6508" spans="17:17" x14ac:dyDescent="0.35">
      <c r="Q6508" s="83"/>
    </row>
    <row r="6509" spans="17:17" x14ac:dyDescent="0.35">
      <c r="Q6509" s="83"/>
    </row>
    <row r="6510" spans="17:17" x14ac:dyDescent="0.35">
      <c r="Q6510" s="83"/>
    </row>
    <row r="6511" spans="17:17" x14ac:dyDescent="0.35">
      <c r="Q6511" s="83"/>
    </row>
    <row r="6512" spans="17:17" x14ac:dyDescent="0.35">
      <c r="Q6512" s="83"/>
    </row>
    <row r="6513" spans="17:17" x14ac:dyDescent="0.35">
      <c r="Q6513" s="83"/>
    </row>
    <row r="6514" spans="17:17" x14ac:dyDescent="0.35">
      <c r="Q6514" s="83"/>
    </row>
    <row r="6515" spans="17:17" x14ac:dyDescent="0.35">
      <c r="Q6515" s="83"/>
    </row>
    <row r="6516" spans="17:17" x14ac:dyDescent="0.35">
      <c r="Q6516" s="83"/>
    </row>
    <row r="6517" spans="17:17" x14ac:dyDescent="0.35">
      <c r="Q6517" s="83"/>
    </row>
    <row r="6518" spans="17:17" x14ac:dyDescent="0.35">
      <c r="Q6518" s="83"/>
    </row>
    <row r="6519" spans="17:17" x14ac:dyDescent="0.35">
      <c r="Q6519" s="83"/>
    </row>
    <row r="6520" spans="17:17" x14ac:dyDescent="0.35">
      <c r="Q6520" s="83"/>
    </row>
    <row r="6521" spans="17:17" x14ac:dyDescent="0.35">
      <c r="Q6521" s="83"/>
    </row>
    <row r="6522" spans="17:17" x14ac:dyDescent="0.35">
      <c r="Q6522" s="83"/>
    </row>
    <row r="6523" spans="17:17" x14ac:dyDescent="0.35">
      <c r="Q6523" s="83"/>
    </row>
    <row r="6524" spans="17:17" x14ac:dyDescent="0.35">
      <c r="Q6524" s="83"/>
    </row>
    <row r="6525" spans="17:17" x14ac:dyDescent="0.35">
      <c r="Q6525" s="83"/>
    </row>
    <row r="6526" spans="17:17" x14ac:dyDescent="0.35">
      <c r="Q6526" s="83"/>
    </row>
    <row r="6527" spans="17:17" x14ac:dyDescent="0.35">
      <c r="Q6527" s="83"/>
    </row>
    <row r="6528" spans="17:17" x14ac:dyDescent="0.35">
      <c r="Q6528" s="83"/>
    </row>
    <row r="6529" spans="17:17" x14ac:dyDescent="0.35">
      <c r="Q6529" s="83"/>
    </row>
    <row r="6530" spans="17:17" x14ac:dyDescent="0.35">
      <c r="Q6530" s="83"/>
    </row>
    <row r="6531" spans="17:17" x14ac:dyDescent="0.35">
      <c r="Q6531" s="83"/>
    </row>
    <row r="6532" spans="17:17" x14ac:dyDescent="0.35">
      <c r="Q6532" s="83"/>
    </row>
    <row r="6533" spans="17:17" x14ac:dyDescent="0.35">
      <c r="Q6533" s="83"/>
    </row>
    <row r="6534" spans="17:17" x14ac:dyDescent="0.35">
      <c r="Q6534" s="83"/>
    </row>
    <row r="6535" spans="17:17" x14ac:dyDescent="0.35">
      <c r="Q6535" s="83"/>
    </row>
    <row r="6536" spans="17:17" x14ac:dyDescent="0.35">
      <c r="Q6536" s="83"/>
    </row>
    <row r="6537" spans="17:17" x14ac:dyDescent="0.35">
      <c r="Q6537" s="83"/>
    </row>
    <row r="6538" spans="17:17" x14ac:dyDescent="0.35">
      <c r="Q6538" s="83"/>
    </row>
    <row r="6539" spans="17:17" x14ac:dyDescent="0.35">
      <c r="Q6539" s="83"/>
    </row>
    <row r="6540" spans="17:17" x14ac:dyDescent="0.35">
      <c r="Q6540" s="83"/>
    </row>
    <row r="6541" spans="17:17" x14ac:dyDescent="0.35">
      <c r="Q6541" s="83"/>
    </row>
    <row r="6542" spans="17:17" x14ac:dyDescent="0.35">
      <c r="Q6542" s="83"/>
    </row>
    <row r="6543" spans="17:17" x14ac:dyDescent="0.35">
      <c r="Q6543" s="83"/>
    </row>
    <row r="6544" spans="17:17" x14ac:dyDescent="0.35">
      <c r="Q6544" s="83"/>
    </row>
    <row r="6545" spans="17:17" x14ac:dyDescent="0.35">
      <c r="Q6545" s="83"/>
    </row>
    <row r="6546" spans="17:17" x14ac:dyDescent="0.35">
      <c r="Q6546" s="83"/>
    </row>
    <row r="6547" spans="17:17" x14ac:dyDescent="0.35">
      <c r="Q6547" s="83"/>
    </row>
    <row r="6548" spans="17:17" x14ac:dyDescent="0.35">
      <c r="Q6548" s="83"/>
    </row>
    <row r="6549" spans="17:17" x14ac:dyDescent="0.35">
      <c r="Q6549" s="83"/>
    </row>
    <row r="6550" spans="17:17" x14ac:dyDescent="0.35">
      <c r="Q6550" s="83"/>
    </row>
    <row r="6551" spans="17:17" x14ac:dyDescent="0.35">
      <c r="Q6551" s="83"/>
    </row>
    <row r="6552" spans="17:17" x14ac:dyDescent="0.35">
      <c r="Q6552" s="83"/>
    </row>
    <row r="6553" spans="17:17" x14ac:dyDescent="0.35">
      <c r="Q6553" s="83"/>
    </row>
    <row r="6554" spans="17:17" x14ac:dyDescent="0.35">
      <c r="Q6554" s="83"/>
    </row>
    <row r="6555" spans="17:17" x14ac:dyDescent="0.35">
      <c r="Q6555" s="83"/>
    </row>
    <row r="6556" spans="17:17" x14ac:dyDescent="0.35">
      <c r="Q6556" s="83"/>
    </row>
    <row r="6557" spans="17:17" x14ac:dyDescent="0.35">
      <c r="Q6557" s="83"/>
    </row>
    <row r="6558" spans="17:17" x14ac:dyDescent="0.35">
      <c r="Q6558" s="83"/>
    </row>
    <row r="6559" spans="17:17" x14ac:dyDescent="0.35">
      <c r="Q6559" s="83"/>
    </row>
    <row r="6560" spans="17:17" x14ac:dyDescent="0.35">
      <c r="Q6560" s="83"/>
    </row>
    <row r="6561" spans="17:17" x14ac:dyDescent="0.35">
      <c r="Q6561" s="83"/>
    </row>
    <row r="6562" spans="17:17" x14ac:dyDescent="0.35">
      <c r="Q6562" s="83"/>
    </row>
    <row r="6563" spans="17:17" x14ac:dyDescent="0.35">
      <c r="Q6563" s="83"/>
    </row>
    <row r="6564" spans="17:17" x14ac:dyDescent="0.35">
      <c r="Q6564" s="83"/>
    </row>
    <row r="6565" spans="17:17" x14ac:dyDescent="0.35">
      <c r="Q6565" s="83"/>
    </row>
    <row r="6566" spans="17:17" x14ac:dyDescent="0.35">
      <c r="Q6566" s="83"/>
    </row>
    <row r="6567" spans="17:17" x14ac:dyDescent="0.35">
      <c r="Q6567" s="83"/>
    </row>
    <row r="6568" spans="17:17" x14ac:dyDescent="0.35">
      <c r="Q6568" s="83"/>
    </row>
    <row r="6569" spans="17:17" x14ac:dyDescent="0.35">
      <c r="Q6569" s="83"/>
    </row>
    <row r="6570" spans="17:17" x14ac:dyDescent="0.35">
      <c r="Q6570" s="83"/>
    </row>
    <row r="6571" spans="17:17" x14ac:dyDescent="0.35">
      <c r="Q6571" s="83"/>
    </row>
    <row r="6572" spans="17:17" x14ac:dyDescent="0.35">
      <c r="Q6572" s="83"/>
    </row>
    <row r="6573" spans="17:17" x14ac:dyDescent="0.35">
      <c r="Q6573" s="83"/>
    </row>
    <row r="6574" spans="17:17" x14ac:dyDescent="0.35">
      <c r="Q6574" s="83"/>
    </row>
    <row r="6575" spans="17:17" x14ac:dyDescent="0.35">
      <c r="Q6575" s="83"/>
    </row>
    <row r="6576" spans="17:17" x14ac:dyDescent="0.35">
      <c r="Q6576" s="83"/>
    </row>
    <row r="6577" spans="17:17" x14ac:dyDescent="0.35">
      <c r="Q6577" s="83"/>
    </row>
    <row r="6578" spans="17:17" x14ac:dyDescent="0.35">
      <c r="Q6578" s="83"/>
    </row>
    <row r="6579" spans="17:17" x14ac:dyDescent="0.35">
      <c r="Q6579" s="83"/>
    </row>
    <row r="6580" spans="17:17" x14ac:dyDescent="0.35">
      <c r="Q6580" s="83"/>
    </row>
    <row r="6581" spans="17:17" x14ac:dyDescent="0.35">
      <c r="Q6581" s="83"/>
    </row>
    <row r="6582" spans="17:17" x14ac:dyDescent="0.35">
      <c r="Q6582" s="83"/>
    </row>
    <row r="6583" spans="17:17" x14ac:dyDescent="0.35">
      <c r="Q6583" s="83"/>
    </row>
    <row r="6584" spans="17:17" x14ac:dyDescent="0.35">
      <c r="Q6584" s="83"/>
    </row>
    <row r="6585" spans="17:17" x14ac:dyDescent="0.35">
      <c r="Q6585" s="83"/>
    </row>
    <row r="6586" spans="17:17" x14ac:dyDescent="0.35">
      <c r="Q6586" s="83"/>
    </row>
    <row r="6587" spans="17:17" x14ac:dyDescent="0.35">
      <c r="Q6587" s="83"/>
    </row>
    <row r="6588" spans="17:17" x14ac:dyDescent="0.35">
      <c r="Q6588" s="83"/>
    </row>
    <row r="6589" spans="17:17" x14ac:dyDescent="0.35">
      <c r="Q6589" s="83"/>
    </row>
    <row r="6590" spans="17:17" x14ac:dyDescent="0.35">
      <c r="Q6590" s="83"/>
    </row>
    <row r="6591" spans="17:17" x14ac:dyDescent="0.35">
      <c r="Q6591" s="83"/>
    </row>
    <row r="6592" spans="17:17" x14ac:dyDescent="0.35">
      <c r="Q6592" s="83"/>
    </row>
    <row r="6593" spans="17:17" x14ac:dyDescent="0.35">
      <c r="Q6593" s="83"/>
    </row>
    <row r="6594" spans="17:17" x14ac:dyDescent="0.35">
      <c r="Q6594" s="83"/>
    </row>
    <row r="6595" spans="17:17" x14ac:dyDescent="0.35">
      <c r="Q6595" s="83"/>
    </row>
    <row r="6596" spans="17:17" x14ac:dyDescent="0.35">
      <c r="Q6596" s="83"/>
    </row>
    <row r="6597" spans="17:17" x14ac:dyDescent="0.35">
      <c r="Q6597" s="83"/>
    </row>
    <row r="6598" spans="17:17" x14ac:dyDescent="0.35">
      <c r="Q6598" s="83"/>
    </row>
    <row r="6599" spans="17:17" x14ac:dyDescent="0.35">
      <c r="Q6599" s="83"/>
    </row>
    <row r="6600" spans="17:17" x14ac:dyDescent="0.35">
      <c r="Q6600" s="83"/>
    </row>
    <row r="6601" spans="17:17" x14ac:dyDescent="0.35">
      <c r="Q6601" s="83"/>
    </row>
    <row r="6602" spans="17:17" x14ac:dyDescent="0.35">
      <c r="Q6602" s="83"/>
    </row>
    <row r="6603" spans="17:17" x14ac:dyDescent="0.35">
      <c r="Q6603" s="83"/>
    </row>
    <row r="6604" spans="17:17" x14ac:dyDescent="0.35">
      <c r="Q6604" s="83"/>
    </row>
    <row r="6605" spans="17:17" x14ac:dyDescent="0.35">
      <c r="Q6605" s="83"/>
    </row>
    <row r="6606" spans="17:17" x14ac:dyDescent="0.35">
      <c r="Q6606" s="83"/>
    </row>
    <row r="6607" spans="17:17" x14ac:dyDescent="0.35">
      <c r="Q6607" s="83"/>
    </row>
    <row r="6608" spans="17:17" x14ac:dyDescent="0.35">
      <c r="Q6608" s="83"/>
    </row>
    <row r="6609" spans="17:17" x14ac:dyDescent="0.35">
      <c r="Q6609" s="83"/>
    </row>
    <row r="6610" spans="17:17" x14ac:dyDescent="0.35">
      <c r="Q6610" s="83"/>
    </row>
    <row r="6611" spans="17:17" x14ac:dyDescent="0.35">
      <c r="Q6611" s="83"/>
    </row>
    <row r="6612" spans="17:17" x14ac:dyDescent="0.35">
      <c r="Q6612" s="83"/>
    </row>
    <row r="6613" spans="17:17" x14ac:dyDescent="0.35">
      <c r="Q6613" s="83"/>
    </row>
    <row r="6614" spans="17:17" x14ac:dyDescent="0.35">
      <c r="Q6614" s="83"/>
    </row>
    <row r="6615" spans="17:17" x14ac:dyDescent="0.35">
      <c r="Q6615" s="83"/>
    </row>
    <row r="6616" spans="17:17" x14ac:dyDescent="0.35">
      <c r="Q6616" s="83"/>
    </row>
    <row r="6617" spans="17:17" x14ac:dyDescent="0.35">
      <c r="Q6617" s="83"/>
    </row>
    <row r="6618" spans="17:17" x14ac:dyDescent="0.35">
      <c r="Q6618" s="83"/>
    </row>
    <row r="6619" spans="17:17" x14ac:dyDescent="0.35">
      <c r="Q6619" s="83"/>
    </row>
    <row r="6620" spans="17:17" x14ac:dyDescent="0.35">
      <c r="Q6620" s="83"/>
    </row>
    <row r="6621" spans="17:17" x14ac:dyDescent="0.35">
      <c r="Q6621" s="83"/>
    </row>
    <row r="6622" spans="17:17" x14ac:dyDescent="0.35">
      <c r="Q6622" s="83"/>
    </row>
    <row r="6623" spans="17:17" x14ac:dyDescent="0.35">
      <c r="Q6623" s="83"/>
    </row>
    <row r="6624" spans="17:17" x14ac:dyDescent="0.35">
      <c r="Q6624" s="83"/>
    </row>
    <row r="6625" spans="17:17" x14ac:dyDescent="0.35">
      <c r="Q6625" s="83"/>
    </row>
    <row r="6626" spans="17:17" x14ac:dyDescent="0.35">
      <c r="Q6626" s="83"/>
    </row>
    <row r="6627" spans="17:17" x14ac:dyDescent="0.35">
      <c r="Q6627" s="83"/>
    </row>
    <row r="6628" spans="17:17" x14ac:dyDescent="0.35">
      <c r="Q6628" s="83"/>
    </row>
    <row r="6629" spans="17:17" x14ac:dyDescent="0.35">
      <c r="Q6629" s="83"/>
    </row>
    <row r="6630" spans="17:17" x14ac:dyDescent="0.35">
      <c r="Q6630" s="83"/>
    </row>
    <row r="6631" spans="17:17" x14ac:dyDescent="0.35">
      <c r="Q6631" s="83"/>
    </row>
    <row r="6632" spans="17:17" x14ac:dyDescent="0.35">
      <c r="Q6632" s="83"/>
    </row>
    <row r="6633" spans="17:17" x14ac:dyDescent="0.35">
      <c r="Q6633" s="83"/>
    </row>
    <row r="6634" spans="17:17" x14ac:dyDescent="0.35">
      <c r="Q6634" s="83"/>
    </row>
    <row r="6635" spans="17:17" x14ac:dyDescent="0.35">
      <c r="Q6635" s="83"/>
    </row>
    <row r="6636" spans="17:17" x14ac:dyDescent="0.35">
      <c r="Q6636" s="83"/>
    </row>
    <row r="6637" spans="17:17" x14ac:dyDescent="0.35">
      <c r="Q6637" s="83"/>
    </row>
    <row r="6638" spans="17:17" x14ac:dyDescent="0.35">
      <c r="Q6638" s="83"/>
    </row>
    <row r="6639" spans="17:17" x14ac:dyDescent="0.35">
      <c r="Q6639" s="83"/>
    </row>
    <row r="6640" spans="17:17" x14ac:dyDescent="0.35">
      <c r="Q6640" s="83"/>
    </row>
    <row r="6641" spans="17:17" x14ac:dyDescent="0.35">
      <c r="Q6641" s="83"/>
    </row>
    <row r="6642" spans="17:17" x14ac:dyDescent="0.35">
      <c r="Q6642" s="83"/>
    </row>
    <row r="6643" spans="17:17" x14ac:dyDescent="0.35">
      <c r="Q6643" s="83"/>
    </row>
    <row r="6644" spans="17:17" x14ac:dyDescent="0.35">
      <c r="Q6644" s="83"/>
    </row>
    <row r="6645" spans="17:17" x14ac:dyDescent="0.35">
      <c r="Q6645" s="83"/>
    </row>
    <row r="6646" spans="17:17" x14ac:dyDescent="0.35">
      <c r="Q6646" s="83"/>
    </row>
    <row r="6647" spans="17:17" x14ac:dyDescent="0.35">
      <c r="Q6647" s="83"/>
    </row>
    <row r="6648" spans="17:17" x14ac:dyDescent="0.35">
      <c r="Q6648" s="83"/>
    </row>
    <row r="6649" spans="17:17" x14ac:dyDescent="0.35">
      <c r="Q6649" s="83"/>
    </row>
    <row r="6650" spans="17:17" x14ac:dyDescent="0.35">
      <c r="Q6650" s="83"/>
    </row>
    <row r="6651" spans="17:17" x14ac:dyDescent="0.35">
      <c r="Q6651" s="83"/>
    </row>
    <row r="6652" spans="17:17" x14ac:dyDescent="0.35">
      <c r="Q6652" s="83"/>
    </row>
    <row r="6653" spans="17:17" x14ac:dyDescent="0.35">
      <c r="Q6653" s="83"/>
    </row>
    <row r="6654" spans="17:17" x14ac:dyDescent="0.35">
      <c r="Q6654" s="83"/>
    </row>
    <row r="6655" spans="17:17" x14ac:dyDescent="0.35">
      <c r="Q6655" s="83"/>
    </row>
    <row r="6656" spans="17:17" x14ac:dyDescent="0.35">
      <c r="Q6656" s="83"/>
    </row>
    <row r="6657" spans="17:17" x14ac:dyDescent="0.35">
      <c r="Q6657" s="83"/>
    </row>
    <row r="6658" spans="17:17" x14ac:dyDescent="0.35">
      <c r="Q6658" s="83"/>
    </row>
    <row r="6659" spans="17:17" x14ac:dyDescent="0.35">
      <c r="Q6659" s="83"/>
    </row>
    <row r="6660" spans="17:17" x14ac:dyDescent="0.35">
      <c r="Q6660" s="83"/>
    </row>
    <row r="6661" spans="17:17" x14ac:dyDescent="0.35">
      <c r="Q6661" s="83"/>
    </row>
    <row r="6662" spans="17:17" x14ac:dyDescent="0.35">
      <c r="Q6662" s="83"/>
    </row>
    <row r="6663" spans="17:17" x14ac:dyDescent="0.35">
      <c r="Q6663" s="83"/>
    </row>
    <row r="6664" spans="17:17" x14ac:dyDescent="0.35">
      <c r="Q6664" s="83"/>
    </row>
    <row r="6665" spans="17:17" x14ac:dyDescent="0.35">
      <c r="Q6665" s="83"/>
    </row>
    <row r="6666" spans="17:17" x14ac:dyDescent="0.35">
      <c r="Q6666" s="83"/>
    </row>
    <row r="6667" spans="17:17" x14ac:dyDescent="0.35">
      <c r="Q6667" s="83"/>
    </row>
    <row r="6668" spans="17:17" x14ac:dyDescent="0.35">
      <c r="Q6668" s="83"/>
    </row>
    <row r="6669" spans="17:17" x14ac:dyDescent="0.35">
      <c r="Q6669" s="83"/>
    </row>
    <row r="6670" spans="17:17" x14ac:dyDescent="0.35">
      <c r="Q6670" s="83"/>
    </row>
    <row r="6671" spans="17:17" x14ac:dyDescent="0.35">
      <c r="Q6671" s="83"/>
    </row>
    <row r="6672" spans="17:17" x14ac:dyDescent="0.35">
      <c r="Q6672" s="83"/>
    </row>
    <row r="6673" spans="17:17" x14ac:dyDescent="0.35">
      <c r="Q6673" s="83"/>
    </row>
    <row r="6674" spans="17:17" x14ac:dyDescent="0.35">
      <c r="Q6674" s="83"/>
    </row>
    <row r="6675" spans="17:17" x14ac:dyDescent="0.35">
      <c r="Q6675" s="83"/>
    </row>
    <row r="6676" spans="17:17" x14ac:dyDescent="0.35">
      <c r="Q6676" s="83"/>
    </row>
    <row r="6677" spans="17:17" x14ac:dyDescent="0.35">
      <c r="Q6677" s="83"/>
    </row>
    <row r="6678" spans="17:17" x14ac:dyDescent="0.35">
      <c r="Q6678" s="83"/>
    </row>
    <row r="6679" spans="17:17" x14ac:dyDescent="0.35">
      <c r="Q6679" s="83"/>
    </row>
    <row r="6680" spans="17:17" x14ac:dyDescent="0.35">
      <c r="Q6680" s="83"/>
    </row>
    <row r="6681" spans="17:17" x14ac:dyDescent="0.35">
      <c r="Q6681" s="83"/>
    </row>
    <row r="6682" spans="17:17" x14ac:dyDescent="0.35">
      <c r="Q6682" s="83"/>
    </row>
    <row r="6683" spans="17:17" x14ac:dyDescent="0.35">
      <c r="Q6683" s="83"/>
    </row>
    <row r="6684" spans="17:17" x14ac:dyDescent="0.35">
      <c r="Q6684" s="83"/>
    </row>
    <row r="6685" spans="17:17" x14ac:dyDescent="0.35">
      <c r="Q6685" s="83"/>
    </row>
    <row r="6686" spans="17:17" x14ac:dyDescent="0.35">
      <c r="Q6686" s="83"/>
    </row>
    <row r="6687" spans="17:17" x14ac:dyDescent="0.35">
      <c r="Q6687" s="83"/>
    </row>
    <row r="6688" spans="17:17" x14ac:dyDescent="0.35">
      <c r="Q6688" s="83"/>
    </row>
    <row r="6689" spans="17:17" x14ac:dyDescent="0.35">
      <c r="Q6689" s="83"/>
    </row>
    <row r="6690" spans="17:17" x14ac:dyDescent="0.35">
      <c r="Q6690" s="83"/>
    </row>
    <row r="6691" spans="17:17" x14ac:dyDescent="0.35">
      <c r="Q6691" s="83"/>
    </row>
    <row r="6692" spans="17:17" x14ac:dyDescent="0.35">
      <c r="Q6692" s="83"/>
    </row>
    <row r="6693" spans="17:17" x14ac:dyDescent="0.35">
      <c r="Q6693" s="83"/>
    </row>
    <row r="6694" spans="17:17" x14ac:dyDescent="0.35">
      <c r="Q6694" s="83"/>
    </row>
    <row r="6695" spans="17:17" x14ac:dyDescent="0.35">
      <c r="Q6695" s="83"/>
    </row>
    <row r="6696" spans="17:17" x14ac:dyDescent="0.35">
      <c r="Q6696" s="83"/>
    </row>
    <row r="6697" spans="17:17" x14ac:dyDescent="0.35">
      <c r="Q6697" s="83"/>
    </row>
    <row r="6698" spans="17:17" x14ac:dyDescent="0.35">
      <c r="Q6698" s="83"/>
    </row>
    <row r="6699" spans="17:17" x14ac:dyDescent="0.35">
      <c r="Q6699" s="83"/>
    </row>
    <row r="6700" spans="17:17" x14ac:dyDescent="0.35">
      <c r="Q6700" s="83"/>
    </row>
    <row r="6701" spans="17:17" x14ac:dyDescent="0.35">
      <c r="Q6701" s="83"/>
    </row>
    <row r="6702" spans="17:17" x14ac:dyDescent="0.35">
      <c r="Q6702" s="83"/>
    </row>
    <row r="6703" spans="17:17" x14ac:dyDescent="0.35">
      <c r="Q6703" s="83"/>
    </row>
    <row r="6704" spans="17:17" x14ac:dyDescent="0.35">
      <c r="Q6704" s="83"/>
    </row>
    <row r="6705" spans="17:17" x14ac:dyDescent="0.35">
      <c r="Q6705" s="83"/>
    </row>
    <row r="6706" spans="17:17" x14ac:dyDescent="0.35">
      <c r="Q6706" s="83"/>
    </row>
    <row r="6707" spans="17:17" x14ac:dyDescent="0.35">
      <c r="Q6707" s="83"/>
    </row>
    <row r="6708" spans="17:17" x14ac:dyDescent="0.35">
      <c r="Q6708" s="83"/>
    </row>
    <row r="6709" spans="17:17" x14ac:dyDescent="0.35">
      <c r="Q6709" s="83"/>
    </row>
    <row r="6710" spans="17:17" x14ac:dyDescent="0.35">
      <c r="Q6710" s="83"/>
    </row>
    <row r="6711" spans="17:17" x14ac:dyDescent="0.35">
      <c r="Q6711" s="83"/>
    </row>
    <row r="6712" spans="17:17" x14ac:dyDescent="0.35">
      <c r="Q6712" s="83"/>
    </row>
    <row r="6713" spans="17:17" x14ac:dyDescent="0.35">
      <c r="Q6713" s="83"/>
    </row>
    <row r="6714" spans="17:17" x14ac:dyDescent="0.35">
      <c r="Q6714" s="83"/>
    </row>
    <row r="6715" spans="17:17" x14ac:dyDescent="0.35">
      <c r="Q6715" s="83"/>
    </row>
    <row r="6716" spans="17:17" x14ac:dyDescent="0.35">
      <c r="Q6716" s="83"/>
    </row>
    <row r="6717" spans="17:17" x14ac:dyDescent="0.35">
      <c r="Q6717" s="83"/>
    </row>
    <row r="6718" spans="17:17" x14ac:dyDescent="0.35">
      <c r="Q6718" s="83"/>
    </row>
    <row r="6719" spans="17:17" x14ac:dyDescent="0.35">
      <c r="Q6719" s="83"/>
    </row>
    <row r="6720" spans="17:17" x14ac:dyDescent="0.35">
      <c r="Q6720" s="83"/>
    </row>
    <row r="6721" spans="17:17" x14ac:dyDescent="0.35">
      <c r="Q6721" s="83"/>
    </row>
    <row r="6722" spans="17:17" x14ac:dyDescent="0.35">
      <c r="Q6722" s="83"/>
    </row>
    <row r="6723" spans="17:17" x14ac:dyDescent="0.35">
      <c r="Q6723" s="83"/>
    </row>
    <row r="6724" spans="17:17" x14ac:dyDescent="0.35">
      <c r="Q6724" s="83"/>
    </row>
    <row r="6725" spans="17:17" x14ac:dyDescent="0.35">
      <c r="Q6725" s="83"/>
    </row>
    <row r="6726" spans="17:17" x14ac:dyDescent="0.35">
      <c r="Q6726" s="83"/>
    </row>
    <row r="6727" spans="17:17" x14ac:dyDescent="0.35">
      <c r="Q6727" s="83"/>
    </row>
    <row r="6728" spans="17:17" x14ac:dyDescent="0.35">
      <c r="Q6728" s="83"/>
    </row>
    <row r="6729" spans="17:17" x14ac:dyDescent="0.35">
      <c r="Q6729" s="83"/>
    </row>
    <row r="6730" spans="17:17" x14ac:dyDescent="0.35">
      <c r="Q6730" s="83"/>
    </row>
    <row r="6731" spans="17:17" x14ac:dyDescent="0.35">
      <c r="Q6731" s="83"/>
    </row>
    <row r="6732" spans="17:17" x14ac:dyDescent="0.35">
      <c r="Q6732" s="83"/>
    </row>
    <row r="6733" spans="17:17" x14ac:dyDescent="0.35">
      <c r="Q6733" s="83"/>
    </row>
    <row r="6734" spans="17:17" x14ac:dyDescent="0.35">
      <c r="Q6734" s="83"/>
    </row>
    <row r="6735" spans="17:17" x14ac:dyDescent="0.35">
      <c r="Q6735" s="83"/>
    </row>
    <row r="6736" spans="17:17" x14ac:dyDescent="0.35">
      <c r="Q6736" s="83"/>
    </row>
    <row r="6737" spans="17:17" x14ac:dyDescent="0.35">
      <c r="Q6737" s="83"/>
    </row>
    <row r="6738" spans="17:17" x14ac:dyDescent="0.35">
      <c r="Q6738" s="83"/>
    </row>
    <row r="6739" spans="17:17" x14ac:dyDescent="0.35">
      <c r="Q6739" s="83"/>
    </row>
    <row r="6740" spans="17:17" x14ac:dyDescent="0.35">
      <c r="Q6740" s="83"/>
    </row>
    <row r="6741" spans="17:17" x14ac:dyDescent="0.35">
      <c r="Q6741" s="83"/>
    </row>
    <row r="6742" spans="17:17" x14ac:dyDescent="0.35">
      <c r="Q6742" s="83"/>
    </row>
    <row r="6743" spans="17:17" x14ac:dyDescent="0.35">
      <c r="Q6743" s="83"/>
    </row>
    <row r="6744" spans="17:17" x14ac:dyDescent="0.35">
      <c r="Q6744" s="83"/>
    </row>
    <row r="6745" spans="17:17" x14ac:dyDescent="0.35">
      <c r="Q6745" s="83"/>
    </row>
    <row r="6746" spans="17:17" x14ac:dyDescent="0.35">
      <c r="Q6746" s="83"/>
    </row>
    <row r="6747" spans="17:17" x14ac:dyDescent="0.35">
      <c r="Q6747" s="83"/>
    </row>
    <row r="6748" spans="17:17" x14ac:dyDescent="0.35">
      <c r="Q6748" s="83"/>
    </row>
    <row r="6749" spans="17:17" x14ac:dyDescent="0.35">
      <c r="Q6749" s="83"/>
    </row>
    <row r="6750" spans="17:17" x14ac:dyDescent="0.35">
      <c r="Q6750" s="83"/>
    </row>
    <row r="6751" spans="17:17" x14ac:dyDescent="0.35">
      <c r="Q6751" s="83"/>
    </row>
    <row r="6752" spans="17:17" x14ac:dyDescent="0.35">
      <c r="Q6752" s="83"/>
    </row>
    <row r="6753" spans="17:17" x14ac:dyDescent="0.35">
      <c r="Q6753" s="83"/>
    </row>
    <row r="6754" spans="17:17" x14ac:dyDescent="0.35">
      <c r="Q6754" s="83"/>
    </row>
    <row r="6755" spans="17:17" x14ac:dyDescent="0.35">
      <c r="Q6755" s="83"/>
    </row>
    <row r="6756" spans="17:17" x14ac:dyDescent="0.35">
      <c r="Q6756" s="83"/>
    </row>
    <row r="6757" spans="17:17" x14ac:dyDescent="0.35">
      <c r="Q6757" s="83"/>
    </row>
    <row r="6758" spans="17:17" x14ac:dyDescent="0.35">
      <c r="Q6758" s="83"/>
    </row>
    <row r="6759" spans="17:17" x14ac:dyDescent="0.35">
      <c r="Q6759" s="83"/>
    </row>
    <row r="6760" spans="17:17" x14ac:dyDescent="0.35">
      <c r="Q6760" s="83"/>
    </row>
    <row r="6761" spans="17:17" x14ac:dyDescent="0.35">
      <c r="Q6761" s="83"/>
    </row>
    <row r="6762" spans="17:17" x14ac:dyDescent="0.35">
      <c r="Q6762" s="83"/>
    </row>
    <row r="6763" spans="17:17" x14ac:dyDescent="0.35">
      <c r="Q6763" s="83"/>
    </row>
    <row r="6764" spans="17:17" x14ac:dyDescent="0.35">
      <c r="Q6764" s="83"/>
    </row>
    <row r="6765" spans="17:17" x14ac:dyDescent="0.35">
      <c r="Q6765" s="83"/>
    </row>
    <row r="6766" spans="17:17" x14ac:dyDescent="0.35">
      <c r="Q6766" s="83"/>
    </row>
    <row r="6767" spans="17:17" x14ac:dyDescent="0.35">
      <c r="Q6767" s="83"/>
    </row>
    <row r="6768" spans="17:17" x14ac:dyDescent="0.35">
      <c r="Q6768" s="83"/>
    </row>
    <row r="6769" spans="17:17" x14ac:dyDescent="0.35">
      <c r="Q6769" s="83"/>
    </row>
    <row r="6770" spans="17:17" x14ac:dyDescent="0.35">
      <c r="Q6770" s="83"/>
    </row>
    <row r="6771" spans="17:17" x14ac:dyDescent="0.35">
      <c r="Q6771" s="83"/>
    </row>
    <row r="6772" spans="17:17" x14ac:dyDescent="0.35">
      <c r="Q6772" s="83"/>
    </row>
    <row r="6773" spans="17:17" x14ac:dyDescent="0.35">
      <c r="Q6773" s="83"/>
    </row>
    <row r="6774" spans="17:17" x14ac:dyDescent="0.35">
      <c r="Q6774" s="83"/>
    </row>
    <row r="6775" spans="17:17" x14ac:dyDescent="0.35">
      <c r="Q6775" s="83"/>
    </row>
    <row r="6776" spans="17:17" x14ac:dyDescent="0.35">
      <c r="Q6776" s="83"/>
    </row>
    <row r="6777" spans="17:17" x14ac:dyDescent="0.35">
      <c r="Q6777" s="83"/>
    </row>
    <row r="6778" spans="17:17" x14ac:dyDescent="0.35">
      <c r="Q6778" s="83"/>
    </row>
    <row r="6779" spans="17:17" x14ac:dyDescent="0.35">
      <c r="Q6779" s="83"/>
    </row>
    <row r="6780" spans="17:17" x14ac:dyDescent="0.35">
      <c r="Q6780" s="83"/>
    </row>
    <row r="6781" spans="17:17" x14ac:dyDescent="0.35">
      <c r="Q6781" s="83"/>
    </row>
    <row r="6782" spans="17:17" x14ac:dyDescent="0.35">
      <c r="Q6782" s="83"/>
    </row>
    <row r="6783" spans="17:17" x14ac:dyDescent="0.35">
      <c r="Q6783" s="83"/>
    </row>
    <row r="6784" spans="17:17" x14ac:dyDescent="0.35">
      <c r="Q6784" s="83"/>
    </row>
    <row r="6785" spans="17:17" x14ac:dyDescent="0.35">
      <c r="Q6785" s="83"/>
    </row>
    <row r="6786" spans="17:17" x14ac:dyDescent="0.35">
      <c r="Q6786" s="83"/>
    </row>
    <row r="6787" spans="17:17" x14ac:dyDescent="0.35">
      <c r="Q6787" s="83"/>
    </row>
    <row r="6788" spans="17:17" x14ac:dyDescent="0.35">
      <c r="Q6788" s="83"/>
    </row>
    <row r="6789" spans="17:17" x14ac:dyDescent="0.35">
      <c r="Q6789" s="83"/>
    </row>
    <row r="6790" spans="17:17" x14ac:dyDescent="0.35">
      <c r="Q6790" s="83"/>
    </row>
    <row r="6791" spans="17:17" x14ac:dyDescent="0.35">
      <c r="Q6791" s="83"/>
    </row>
    <row r="6792" spans="17:17" x14ac:dyDescent="0.35">
      <c r="Q6792" s="83"/>
    </row>
    <row r="6793" spans="17:17" x14ac:dyDescent="0.35">
      <c r="Q6793" s="83"/>
    </row>
    <row r="6794" spans="17:17" x14ac:dyDescent="0.35">
      <c r="Q6794" s="83"/>
    </row>
    <row r="6795" spans="17:17" x14ac:dyDescent="0.35">
      <c r="Q6795" s="83"/>
    </row>
    <row r="6796" spans="17:17" x14ac:dyDescent="0.35">
      <c r="Q6796" s="83"/>
    </row>
    <row r="6797" spans="17:17" x14ac:dyDescent="0.35">
      <c r="Q6797" s="83"/>
    </row>
    <row r="6798" spans="17:17" x14ac:dyDescent="0.35">
      <c r="Q6798" s="83"/>
    </row>
    <row r="6799" spans="17:17" x14ac:dyDescent="0.35">
      <c r="Q6799" s="83"/>
    </row>
    <row r="6800" spans="17:17" x14ac:dyDescent="0.35">
      <c r="Q6800" s="83"/>
    </row>
    <row r="6801" spans="17:17" x14ac:dyDescent="0.35">
      <c r="Q6801" s="83"/>
    </row>
    <row r="6802" spans="17:17" x14ac:dyDescent="0.35">
      <c r="Q6802" s="83"/>
    </row>
    <row r="6803" spans="17:17" x14ac:dyDescent="0.35">
      <c r="Q6803" s="83"/>
    </row>
    <row r="6804" spans="17:17" x14ac:dyDescent="0.35">
      <c r="Q6804" s="83"/>
    </row>
    <row r="6805" spans="17:17" x14ac:dyDescent="0.35">
      <c r="Q6805" s="83"/>
    </row>
    <row r="6806" spans="17:17" x14ac:dyDescent="0.35">
      <c r="Q6806" s="83"/>
    </row>
    <row r="6807" spans="17:17" x14ac:dyDescent="0.35">
      <c r="Q6807" s="83"/>
    </row>
    <row r="6808" spans="17:17" x14ac:dyDescent="0.35">
      <c r="Q6808" s="83"/>
    </row>
    <row r="6809" spans="17:17" x14ac:dyDescent="0.35">
      <c r="Q6809" s="83"/>
    </row>
    <row r="6810" spans="17:17" x14ac:dyDescent="0.35">
      <c r="Q6810" s="83"/>
    </row>
    <row r="6811" spans="17:17" x14ac:dyDescent="0.35">
      <c r="Q6811" s="83"/>
    </row>
    <row r="6812" spans="17:17" x14ac:dyDescent="0.35">
      <c r="Q6812" s="83"/>
    </row>
    <row r="6813" spans="17:17" x14ac:dyDescent="0.35">
      <c r="Q6813" s="83"/>
    </row>
    <row r="6814" spans="17:17" x14ac:dyDescent="0.35">
      <c r="Q6814" s="83"/>
    </row>
    <row r="6815" spans="17:17" x14ac:dyDescent="0.35">
      <c r="Q6815" s="83"/>
    </row>
    <row r="6816" spans="17:17" x14ac:dyDescent="0.35">
      <c r="Q6816" s="83"/>
    </row>
    <row r="6817" spans="17:17" x14ac:dyDescent="0.35">
      <c r="Q6817" s="83"/>
    </row>
    <row r="6818" spans="17:17" x14ac:dyDescent="0.35">
      <c r="Q6818" s="83"/>
    </row>
    <row r="6819" spans="17:17" x14ac:dyDescent="0.35">
      <c r="Q6819" s="83"/>
    </row>
    <row r="6820" spans="17:17" x14ac:dyDescent="0.35">
      <c r="Q6820" s="83"/>
    </row>
    <row r="6821" spans="17:17" x14ac:dyDescent="0.35">
      <c r="Q6821" s="83"/>
    </row>
    <row r="6822" spans="17:17" x14ac:dyDescent="0.35">
      <c r="Q6822" s="83"/>
    </row>
    <row r="6823" spans="17:17" x14ac:dyDescent="0.35">
      <c r="Q6823" s="83"/>
    </row>
    <row r="6824" spans="17:17" x14ac:dyDescent="0.35">
      <c r="Q6824" s="83"/>
    </row>
    <row r="6825" spans="17:17" x14ac:dyDescent="0.35">
      <c r="Q6825" s="83"/>
    </row>
    <row r="6826" spans="17:17" x14ac:dyDescent="0.35">
      <c r="Q6826" s="83"/>
    </row>
    <row r="6827" spans="17:17" x14ac:dyDescent="0.35">
      <c r="Q6827" s="83"/>
    </row>
    <row r="6828" spans="17:17" x14ac:dyDescent="0.35">
      <c r="Q6828" s="83"/>
    </row>
    <row r="6829" spans="17:17" x14ac:dyDescent="0.35">
      <c r="Q6829" s="83"/>
    </row>
    <row r="6830" spans="17:17" x14ac:dyDescent="0.35">
      <c r="Q6830" s="83"/>
    </row>
    <row r="6831" spans="17:17" x14ac:dyDescent="0.35">
      <c r="Q6831" s="83"/>
    </row>
    <row r="6832" spans="17:17" x14ac:dyDescent="0.35">
      <c r="Q6832" s="83"/>
    </row>
    <row r="6833" spans="17:17" x14ac:dyDescent="0.35">
      <c r="Q6833" s="83"/>
    </row>
    <row r="6834" spans="17:17" x14ac:dyDescent="0.35">
      <c r="Q6834" s="83"/>
    </row>
    <row r="6835" spans="17:17" x14ac:dyDescent="0.35">
      <c r="Q6835" s="83"/>
    </row>
    <row r="6836" spans="17:17" x14ac:dyDescent="0.35">
      <c r="Q6836" s="83"/>
    </row>
    <row r="6837" spans="17:17" x14ac:dyDescent="0.35">
      <c r="Q6837" s="83"/>
    </row>
    <row r="6838" spans="17:17" x14ac:dyDescent="0.35">
      <c r="Q6838" s="83"/>
    </row>
    <row r="6839" spans="17:17" x14ac:dyDescent="0.35">
      <c r="Q6839" s="83"/>
    </row>
    <row r="6840" spans="17:17" x14ac:dyDescent="0.35">
      <c r="Q6840" s="83"/>
    </row>
    <row r="6841" spans="17:17" x14ac:dyDescent="0.35">
      <c r="Q6841" s="83"/>
    </row>
    <row r="6842" spans="17:17" x14ac:dyDescent="0.35">
      <c r="Q6842" s="83"/>
    </row>
    <row r="6843" spans="17:17" x14ac:dyDescent="0.35">
      <c r="Q6843" s="83"/>
    </row>
    <row r="6844" spans="17:17" x14ac:dyDescent="0.35">
      <c r="Q6844" s="83"/>
    </row>
    <row r="6845" spans="17:17" x14ac:dyDescent="0.35">
      <c r="Q6845" s="83"/>
    </row>
    <row r="6846" spans="17:17" x14ac:dyDescent="0.35">
      <c r="Q6846" s="83"/>
    </row>
    <row r="6847" spans="17:17" x14ac:dyDescent="0.35">
      <c r="Q6847" s="83"/>
    </row>
    <row r="6848" spans="17:17" x14ac:dyDescent="0.35">
      <c r="Q6848" s="83"/>
    </row>
    <row r="6849" spans="17:17" x14ac:dyDescent="0.35">
      <c r="Q6849" s="83"/>
    </row>
    <row r="6850" spans="17:17" x14ac:dyDescent="0.35">
      <c r="Q6850" s="83"/>
    </row>
    <row r="6851" spans="17:17" x14ac:dyDescent="0.35">
      <c r="Q6851" s="83"/>
    </row>
    <row r="6852" spans="17:17" x14ac:dyDescent="0.35">
      <c r="Q6852" s="83"/>
    </row>
    <row r="6853" spans="17:17" x14ac:dyDescent="0.35">
      <c r="Q6853" s="83"/>
    </row>
    <row r="6854" spans="17:17" x14ac:dyDescent="0.35">
      <c r="Q6854" s="83"/>
    </row>
    <row r="6855" spans="17:17" x14ac:dyDescent="0.35">
      <c r="Q6855" s="83"/>
    </row>
    <row r="6856" spans="17:17" x14ac:dyDescent="0.35">
      <c r="Q6856" s="83"/>
    </row>
    <row r="6857" spans="17:17" x14ac:dyDescent="0.35">
      <c r="Q6857" s="83"/>
    </row>
    <row r="6858" spans="17:17" x14ac:dyDescent="0.35">
      <c r="Q6858" s="83"/>
    </row>
    <row r="6859" spans="17:17" x14ac:dyDescent="0.35">
      <c r="Q6859" s="83"/>
    </row>
    <row r="6860" spans="17:17" x14ac:dyDescent="0.35">
      <c r="Q6860" s="83"/>
    </row>
    <row r="6861" spans="17:17" x14ac:dyDescent="0.35">
      <c r="Q6861" s="83"/>
    </row>
    <row r="6862" spans="17:17" x14ac:dyDescent="0.35">
      <c r="Q6862" s="83"/>
    </row>
    <row r="6863" spans="17:17" x14ac:dyDescent="0.35">
      <c r="Q6863" s="83"/>
    </row>
    <row r="6864" spans="17:17" x14ac:dyDescent="0.35">
      <c r="Q6864" s="83"/>
    </row>
    <row r="6865" spans="17:17" x14ac:dyDescent="0.35">
      <c r="Q6865" s="83"/>
    </row>
    <row r="6866" spans="17:17" x14ac:dyDescent="0.35">
      <c r="Q6866" s="83"/>
    </row>
    <row r="6867" spans="17:17" x14ac:dyDescent="0.35">
      <c r="Q6867" s="83"/>
    </row>
    <row r="6868" spans="17:17" x14ac:dyDescent="0.35">
      <c r="Q6868" s="83"/>
    </row>
    <row r="6869" spans="17:17" x14ac:dyDescent="0.35">
      <c r="Q6869" s="83"/>
    </row>
    <row r="6870" spans="17:17" x14ac:dyDescent="0.35">
      <c r="Q6870" s="83"/>
    </row>
    <row r="6871" spans="17:17" x14ac:dyDescent="0.35">
      <c r="Q6871" s="83"/>
    </row>
    <row r="6872" spans="17:17" x14ac:dyDescent="0.35">
      <c r="Q6872" s="83"/>
    </row>
    <row r="6873" spans="17:17" x14ac:dyDescent="0.35">
      <c r="Q6873" s="83"/>
    </row>
    <row r="6874" spans="17:17" x14ac:dyDescent="0.35">
      <c r="Q6874" s="83"/>
    </row>
    <row r="6875" spans="17:17" x14ac:dyDescent="0.35">
      <c r="Q6875" s="83"/>
    </row>
    <row r="6876" spans="17:17" x14ac:dyDescent="0.35">
      <c r="Q6876" s="83"/>
    </row>
    <row r="6877" spans="17:17" x14ac:dyDescent="0.35">
      <c r="Q6877" s="83"/>
    </row>
    <row r="6878" spans="17:17" x14ac:dyDescent="0.35">
      <c r="Q6878" s="83"/>
    </row>
    <row r="6879" spans="17:17" x14ac:dyDescent="0.35">
      <c r="Q6879" s="83"/>
    </row>
    <row r="6880" spans="17:17" x14ac:dyDescent="0.35">
      <c r="Q6880" s="83"/>
    </row>
    <row r="6881" spans="17:17" x14ac:dyDescent="0.35">
      <c r="Q6881" s="83"/>
    </row>
    <row r="6882" spans="17:17" x14ac:dyDescent="0.35">
      <c r="Q6882" s="83"/>
    </row>
    <row r="6883" spans="17:17" x14ac:dyDescent="0.35">
      <c r="Q6883" s="83"/>
    </row>
    <row r="6884" spans="17:17" x14ac:dyDescent="0.35">
      <c r="Q6884" s="83"/>
    </row>
    <row r="6885" spans="17:17" x14ac:dyDescent="0.35">
      <c r="Q6885" s="83"/>
    </row>
    <row r="6886" spans="17:17" x14ac:dyDescent="0.35">
      <c r="Q6886" s="83"/>
    </row>
    <row r="6887" spans="17:17" x14ac:dyDescent="0.35">
      <c r="Q6887" s="83"/>
    </row>
    <row r="6888" spans="17:17" x14ac:dyDescent="0.35">
      <c r="Q6888" s="83"/>
    </row>
    <row r="6889" spans="17:17" x14ac:dyDescent="0.35">
      <c r="Q6889" s="83"/>
    </row>
    <row r="6890" spans="17:17" x14ac:dyDescent="0.35">
      <c r="Q6890" s="83"/>
    </row>
    <row r="6891" spans="17:17" x14ac:dyDescent="0.35">
      <c r="Q6891" s="83"/>
    </row>
    <row r="6892" spans="17:17" x14ac:dyDescent="0.35">
      <c r="Q6892" s="83"/>
    </row>
    <row r="6893" spans="17:17" x14ac:dyDescent="0.35">
      <c r="Q6893" s="83"/>
    </row>
    <row r="6894" spans="17:17" x14ac:dyDescent="0.35">
      <c r="Q6894" s="83"/>
    </row>
    <row r="6895" spans="17:17" x14ac:dyDescent="0.35">
      <c r="Q6895" s="83"/>
    </row>
    <row r="6896" spans="17:17" x14ac:dyDescent="0.35">
      <c r="Q6896" s="83"/>
    </row>
    <row r="6897" spans="17:17" x14ac:dyDescent="0.35">
      <c r="Q6897" s="83"/>
    </row>
    <row r="6898" spans="17:17" x14ac:dyDescent="0.35">
      <c r="Q6898" s="83"/>
    </row>
    <row r="6899" spans="17:17" x14ac:dyDescent="0.35">
      <c r="Q6899" s="83"/>
    </row>
    <row r="6900" spans="17:17" x14ac:dyDescent="0.35">
      <c r="Q6900" s="83"/>
    </row>
    <row r="6901" spans="17:17" x14ac:dyDescent="0.35">
      <c r="Q6901" s="83"/>
    </row>
    <row r="6902" spans="17:17" x14ac:dyDescent="0.35">
      <c r="Q6902" s="83"/>
    </row>
    <row r="6903" spans="17:17" x14ac:dyDescent="0.35">
      <c r="Q6903" s="83"/>
    </row>
    <row r="6904" spans="17:17" x14ac:dyDescent="0.35">
      <c r="Q6904" s="83"/>
    </row>
    <row r="6905" spans="17:17" x14ac:dyDescent="0.35">
      <c r="Q6905" s="83"/>
    </row>
    <row r="6906" spans="17:17" x14ac:dyDescent="0.35">
      <c r="Q6906" s="83"/>
    </row>
    <row r="6907" spans="17:17" x14ac:dyDescent="0.35">
      <c r="Q6907" s="83"/>
    </row>
    <row r="6908" spans="17:17" x14ac:dyDescent="0.35">
      <c r="Q6908" s="83"/>
    </row>
    <row r="6909" spans="17:17" x14ac:dyDescent="0.35">
      <c r="Q6909" s="83"/>
    </row>
    <row r="6910" spans="17:17" x14ac:dyDescent="0.35">
      <c r="Q6910" s="83"/>
    </row>
    <row r="6911" spans="17:17" x14ac:dyDescent="0.35">
      <c r="Q6911" s="83"/>
    </row>
    <row r="6912" spans="17:17" x14ac:dyDescent="0.35">
      <c r="Q6912" s="83"/>
    </row>
    <row r="6913" spans="17:17" x14ac:dyDescent="0.35">
      <c r="Q6913" s="83"/>
    </row>
    <row r="6914" spans="17:17" x14ac:dyDescent="0.35">
      <c r="Q6914" s="83"/>
    </row>
    <row r="6915" spans="17:17" x14ac:dyDescent="0.35">
      <c r="Q6915" s="83"/>
    </row>
    <row r="6916" spans="17:17" x14ac:dyDescent="0.35">
      <c r="Q6916" s="83"/>
    </row>
    <row r="6917" spans="17:17" x14ac:dyDescent="0.35">
      <c r="Q6917" s="83"/>
    </row>
    <row r="6918" spans="17:17" x14ac:dyDescent="0.35">
      <c r="Q6918" s="83"/>
    </row>
    <row r="6919" spans="17:17" x14ac:dyDescent="0.35">
      <c r="Q6919" s="83"/>
    </row>
    <row r="6920" spans="17:17" x14ac:dyDescent="0.35">
      <c r="Q6920" s="83"/>
    </row>
    <row r="6921" spans="17:17" x14ac:dyDescent="0.35">
      <c r="Q6921" s="83"/>
    </row>
    <row r="6922" spans="17:17" x14ac:dyDescent="0.35">
      <c r="Q6922" s="83"/>
    </row>
    <row r="6923" spans="17:17" x14ac:dyDescent="0.35">
      <c r="Q6923" s="83"/>
    </row>
    <row r="6924" spans="17:17" x14ac:dyDescent="0.35">
      <c r="Q6924" s="83"/>
    </row>
    <row r="6925" spans="17:17" x14ac:dyDescent="0.35">
      <c r="Q6925" s="83"/>
    </row>
    <row r="6926" spans="17:17" x14ac:dyDescent="0.35">
      <c r="Q6926" s="83"/>
    </row>
    <row r="6927" spans="17:17" x14ac:dyDescent="0.35">
      <c r="Q6927" s="83"/>
    </row>
    <row r="6928" spans="17:17" x14ac:dyDescent="0.35">
      <c r="Q6928" s="83"/>
    </row>
    <row r="6929" spans="17:17" x14ac:dyDescent="0.35">
      <c r="Q6929" s="83"/>
    </row>
    <row r="6930" spans="17:17" x14ac:dyDescent="0.35">
      <c r="Q6930" s="83"/>
    </row>
    <row r="6931" spans="17:17" x14ac:dyDescent="0.35">
      <c r="Q6931" s="83"/>
    </row>
    <row r="6932" spans="17:17" x14ac:dyDescent="0.35">
      <c r="Q6932" s="83"/>
    </row>
    <row r="6933" spans="17:17" x14ac:dyDescent="0.35">
      <c r="Q6933" s="83"/>
    </row>
    <row r="6934" spans="17:17" x14ac:dyDescent="0.35">
      <c r="Q6934" s="83"/>
    </row>
    <row r="6935" spans="17:17" x14ac:dyDescent="0.35">
      <c r="Q6935" s="83"/>
    </row>
    <row r="6936" spans="17:17" x14ac:dyDescent="0.35">
      <c r="Q6936" s="83"/>
    </row>
    <row r="6937" spans="17:17" x14ac:dyDescent="0.35">
      <c r="Q6937" s="83"/>
    </row>
    <row r="6938" spans="17:17" x14ac:dyDescent="0.35">
      <c r="Q6938" s="83"/>
    </row>
    <row r="6939" spans="17:17" x14ac:dyDescent="0.35">
      <c r="Q6939" s="83"/>
    </row>
    <row r="6940" spans="17:17" x14ac:dyDescent="0.35">
      <c r="Q6940" s="83"/>
    </row>
    <row r="6941" spans="17:17" x14ac:dyDescent="0.35">
      <c r="Q6941" s="83"/>
    </row>
    <row r="6942" spans="17:17" x14ac:dyDescent="0.35">
      <c r="Q6942" s="83"/>
    </row>
    <row r="6943" spans="17:17" x14ac:dyDescent="0.35">
      <c r="Q6943" s="83"/>
    </row>
    <row r="6944" spans="17:17" x14ac:dyDescent="0.35">
      <c r="Q6944" s="83"/>
    </row>
    <row r="6945" spans="17:17" x14ac:dyDescent="0.35">
      <c r="Q6945" s="83"/>
    </row>
    <row r="6946" spans="17:17" x14ac:dyDescent="0.35">
      <c r="Q6946" s="83"/>
    </row>
    <row r="6947" spans="17:17" x14ac:dyDescent="0.35">
      <c r="Q6947" s="83"/>
    </row>
    <row r="6948" spans="17:17" x14ac:dyDescent="0.35">
      <c r="Q6948" s="83"/>
    </row>
    <row r="6949" spans="17:17" x14ac:dyDescent="0.35">
      <c r="Q6949" s="83"/>
    </row>
    <row r="6950" spans="17:17" x14ac:dyDescent="0.35">
      <c r="Q6950" s="83"/>
    </row>
    <row r="6951" spans="17:17" x14ac:dyDescent="0.35">
      <c r="Q6951" s="83"/>
    </row>
    <row r="6952" spans="17:17" x14ac:dyDescent="0.35">
      <c r="Q6952" s="83"/>
    </row>
    <row r="6953" spans="17:17" x14ac:dyDescent="0.35">
      <c r="Q6953" s="83"/>
    </row>
    <row r="6954" spans="17:17" x14ac:dyDescent="0.35">
      <c r="Q6954" s="83"/>
    </row>
    <row r="6955" spans="17:17" x14ac:dyDescent="0.35">
      <c r="Q6955" s="83"/>
    </row>
    <row r="6956" spans="17:17" x14ac:dyDescent="0.35">
      <c r="Q6956" s="83"/>
    </row>
    <row r="6957" spans="17:17" x14ac:dyDescent="0.35">
      <c r="Q6957" s="83"/>
    </row>
    <row r="6958" spans="17:17" x14ac:dyDescent="0.35">
      <c r="Q6958" s="83"/>
    </row>
    <row r="6959" spans="17:17" x14ac:dyDescent="0.35">
      <c r="Q6959" s="83"/>
    </row>
    <row r="6960" spans="17:17" x14ac:dyDescent="0.35">
      <c r="Q6960" s="83"/>
    </row>
    <row r="6961" spans="17:17" x14ac:dyDescent="0.35">
      <c r="Q6961" s="83"/>
    </row>
    <row r="6962" spans="17:17" x14ac:dyDescent="0.35">
      <c r="Q6962" s="83"/>
    </row>
    <row r="6963" spans="17:17" x14ac:dyDescent="0.35">
      <c r="Q6963" s="83"/>
    </row>
    <row r="6964" spans="17:17" x14ac:dyDescent="0.35">
      <c r="Q6964" s="83"/>
    </row>
    <row r="6965" spans="17:17" x14ac:dyDescent="0.35">
      <c r="Q6965" s="83"/>
    </row>
    <row r="6966" spans="17:17" x14ac:dyDescent="0.35">
      <c r="Q6966" s="83"/>
    </row>
    <row r="6967" spans="17:17" x14ac:dyDescent="0.35">
      <c r="Q6967" s="83"/>
    </row>
    <row r="6968" spans="17:17" x14ac:dyDescent="0.35">
      <c r="Q6968" s="83"/>
    </row>
    <row r="6969" spans="17:17" x14ac:dyDescent="0.35">
      <c r="Q6969" s="83"/>
    </row>
    <row r="6970" spans="17:17" x14ac:dyDescent="0.35">
      <c r="Q6970" s="83"/>
    </row>
    <row r="6971" spans="17:17" x14ac:dyDescent="0.35">
      <c r="Q6971" s="83"/>
    </row>
    <row r="6972" spans="17:17" x14ac:dyDescent="0.35">
      <c r="Q6972" s="83"/>
    </row>
    <row r="6973" spans="17:17" x14ac:dyDescent="0.35">
      <c r="Q6973" s="83"/>
    </row>
    <row r="6974" spans="17:17" x14ac:dyDescent="0.35">
      <c r="Q6974" s="83"/>
    </row>
    <row r="6975" spans="17:17" x14ac:dyDescent="0.35">
      <c r="Q6975" s="83"/>
    </row>
    <row r="6976" spans="17:17" x14ac:dyDescent="0.35">
      <c r="Q6976" s="83"/>
    </row>
    <row r="6977" spans="17:17" x14ac:dyDescent="0.35">
      <c r="Q6977" s="83"/>
    </row>
    <row r="6978" spans="17:17" x14ac:dyDescent="0.35">
      <c r="Q6978" s="83"/>
    </row>
    <row r="6979" spans="17:17" x14ac:dyDescent="0.35">
      <c r="Q6979" s="83"/>
    </row>
    <row r="6980" spans="17:17" x14ac:dyDescent="0.35">
      <c r="Q6980" s="83"/>
    </row>
    <row r="6981" spans="17:17" x14ac:dyDescent="0.35">
      <c r="Q6981" s="83"/>
    </row>
    <row r="6982" spans="17:17" x14ac:dyDescent="0.35">
      <c r="Q6982" s="83"/>
    </row>
    <row r="6983" spans="17:17" x14ac:dyDescent="0.35">
      <c r="Q6983" s="83"/>
    </row>
    <row r="6984" spans="17:17" x14ac:dyDescent="0.35">
      <c r="Q6984" s="83"/>
    </row>
    <row r="6985" spans="17:17" x14ac:dyDescent="0.35">
      <c r="Q6985" s="83"/>
    </row>
    <row r="6986" spans="17:17" x14ac:dyDescent="0.35">
      <c r="Q6986" s="83"/>
    </row>
    <row r="6987" spans="17:17" x14ac:dyDescent="0.35">
      <c r="Q6987" s="83"/>
    </row>
    <row r="6988" spans="17:17" x14ac:dyDescent="0.35">
      <c r="Q6988" s="83"/>
    </row>
    <row r="6989" spans="17:17" x14ac:dyDescent="0.35">
      <c r="Q6989" s="83"/>
    </row>
    <row r="6990" spans="17:17" x14ac:dyDescent="0.35">
      <c r="Q6990" s="83"/>
    </row>
    <row r="6991" spans="17:17" x14ac:dyDescent="0.35">
      <c r="Q6991" s="83"/>
    </row>
    <row r="6992" spans="17:17" x14ac:dyDescent="0.35">
      <c r="Q6992" s="83"/>
    </row>
    <row r="6993" spans="17:17" x14ac:dyDescent="0.35">
      <c r="Q6993" s="83"/>
    </row>
    <row r="6994" spans="17:17" x14ac:dyDescent="0.35">
      <c r="Q6994" s="83"/>
    </row>
    <row r="6995" spans="17:17" x14ac:dyDescent="0.35">
      <c r="Q6995" s="83"/>
    </row>
    <row r="6996" spans="17:17" x14ac:dyDescent="0.35">
      <c r="Q6996" s="83"/>
    </row>
    <row r="6997" spans="17:17" x14ac:dyDescent="0.35">
      <c r="Q6997" s="83"/>
    </row>
    <row r="6998" spans="17:17" x14ac:dyDescent="0.35">
      <c r="Q6998" s="83"/>
    </row>
    <row r="6999" spans="17:17" x14ac:dyDescent="0.35">
      <c r="Q6999" s="83"/>
    </row>
    <row r="7000" spans="17:17" x14ac:dyDescent="0.35">
      <c r="Q7000" s="83"/>
    </row>
    <row r="7001" spans="17:17" x14ac:dyDescent="0.35">
      <c r="Q7001" s="83"/>
    </row>
    <row r="7002" spans="17:17" x14ac:dyDescent="0.35">
      <c r="Q7002" s="83"/>
    </row>
    <row r="7003" spans="17:17" x14ac:dyDescent="0.35">
      <c r="Q7003" s="83"/>
    </row>
    <row r="7004" spans="17:17" x14ac:dyDescent="0.35">
      <c r="Q7004" s="83"/>
    </row>
    <row r="7005" spans="17:17" x14ac:dyDescent="0.35">
      <c r="Q7005" s="83"/>
    </row>
    <row r="7006" spans="17:17" x14ac:dyDescent="0.35">
      <c r="Q7006" s="83"/>
    </row>
    <row r="7007" spans="17:17" x14ac:dyDescent="0.35">
      <c r="Q7007" s="83"/>
    </row>
    <row r="7008" spans="17:17" x14ac:dyDescent="0.35">
      <c r="Q7008" s="83"/>
    </row>
    <row r="7009" spans="17:17" x14ac:dyDescent="0.35">
      <c r="Q7009" s="83"/>
    </row>
    <row r="7010" spans="17:17" x14ac:dyDescent="0.35">
      <c r="Q7010" s="83"/>
    </row>
    <row r="7011" spans="17:17" x14ac:dyDescent="0.35">
      <c r="Q7011" s="83"/>
    </row>
    <row r="7012" spans="17:17" x14ac:dyDescent="0.35">
      <c r="Q7012" s="83"/>
    </row>
    <row r="7013" spans="17:17" x14ac:dyDescent="0.35">
      <c r="Q7013" s="83"/>
    </row>
    <row r="7014" spans="17:17" x14ac:dyDescent="0.35">
      <c r="Q7014" s="83"/>
    </row>
    <row r="7015" spans="17:17" x14ac:dyDescent="0.35">
      <c r="Q7015" s="83"/>
    </row>
    <row r="7016" spans="17:17" x14ac:dyDescent="0.35">
      <c r="Q7016" s="83"/>
    </row>
    <row r="7017" spans="17:17" x14ac:dyDescent="0.35">
      <c r="Q7017" s="83"/>
    </row>
    <row r="7018" spans="17:17" x14ac:dyDescent="0.35">
      <c r="Q7018" s="83"/>
    </row>
    <row r="7019" spans="17:17" x14ac:dyDescent="0.35">
      <c r="Q7019" s="83"/>
    </row>
    <row r="7020" spans="17:17" x14ac:dyDescent="0.35">
      <c r="Q7020" s="83"/>
    </row>
    <row r="7021" spans="17:17" x14ac:dyDescent="0.35">
      <c r="Q7021" s="83"/>
    </row>
    <row r="7022" spans="17:17" x14ac:dyDescent="0.35">
      <c r="Q7022" s="83"/>
    </row>
    <row r="7023" spans="17:17" x14ac:dyDescent="0.35">
      <c r="Q7023" s="83"/>
    </row>
    <row r="7024" spans="17:17" x14ac:dyDescent="0.35">
      <c r="Q7024" s="83"/>
    </row>
    <row r="7025" spans="17:17" x14ac:dyDescent="0.35">
      <c r="Q7025" s="83"/>
    </row>
    <row r="7026" spans="17:17" x14ac:dyDescent="0.35">
      <c r="Q7026" s="83"/>
    </row>
    <row r="7027" spans="17:17" x14ac:dyDescent="0.35">
      <c r="Q7027" s="83"/>
    </row>
    <row r="7028" spans="17:17" x14ac:dyDescent="0.35">
      <c r="Q7028" s="83"/>
    </row>
    <row r="7029" spans="17:17" x14ac:dyDescent="0.35">
      <c r="Q7029" s="83"/>
    </row>
    <row r="7030" spans="17:17" x14ac:dyDescent="0.35">
      <c r="Q7030" s="83"/>
    </row>
    <row r="7031" spans="17:17" x14ac:dyDescent="0.35">
      <c r="Q7031" s="83"/>
    </row>
    <row r="7032" spans="17:17" x14ac:dyDescent="0.35">
      <c r="Q7032" s="83"/>
    </row>
    <row r="7033" spans="17:17" x14ac:dyDescent="0.35">
      <c r="Q7033" s="83"/>
    </row>
    <row r="7034" spans="17:17" x14ac:dyDescent="0.35">
      <c r="Q7034" s="83"/>
    </row>
    <row r="7035" spans="17:17" x14ac:dyDescent="0.35">
      <c r="Q7035" s="83"/>
    </row>
    <row r="7036" spans="17:17" x14ac:dyDescent="0.35">
      <c r="Q7036" s="83"/>
    </row>
    <row r="7037" spans="17:17" x14ac:dyDescent="0.35">
      <c r="Q7037" s="83"/>
    </row>
    <row r="7038" spans="17:17" x14ac:dyDescent="0.35">
      <c r="Q7038" s="83"/>
    </row>
    <row r="7039" spans="17:17" x14ac:dyDescent="0.35">
      <c r="Q7039" s="83"/>
    </row>
    <row r="7040" spans="17:17" x14ac:dyDescent="0.35">
      <c r="Q7040" s="83"/>
    </row>
    <row r="7041" spans="17:17" x14ac:dyDescent="0.35">
      <c r="Q7041" s="83"/>
    </row>
    <row r="7042" spans="17:17" x14ac:dyDescent="0.35">
      <c r="Q7042" s="83"/>
    </row>
    <row r="7043" spans="17:17" x14ac:dyDescent="0.35">
      <c r="Q7043" s="83"/>
    </row>
    <row r="7044" spans="17:17" x14ac:dyDescent="0.35">
      <c r="Q7044" s="83"/>
    </row>
    <row r="7045" spans="17:17" x14ac:dyDescent="0.35">
      <c r="Q7045" s="83"/>
    </row>
    <row r="7046" spans="17:17" x14ac:dyDescent="0.35">
      <c r="Q7046" s="83"/>
    </row>
    <row r="7047" spans="17:17" x14ac:dyDescent="0.35">
      <c r="Q7047" s="83"/>
    </row>
    <row r="7048" spans="17:17" x14ac:dyDescent="0.35">
      <c r="Q7048" s="83"/>
    </row>
    <row r="7049" spans="17:17" x14ac:dyDescent="0.35">
      <c r="Q7049" s="83"/>
    </row>
    <row r="7050" spans="17:17" x14ac:dyDescent="0.35">
      <c r="Q7050" s="83"/>
    </row>
    <row r="7051" spans="17:17" x14ac:dyDescent="0.35">
      <c r="Q7051" s="83"/>
    </row>
    <row r="7052" spans="17:17" x14ac:dyDescent="0.35">
      <c r="Q7052" s="83"/>
    </row>
    <row r="7053" spans="17:17" x14ac:dyDescent="0.35">
      <c r="Q7053" s="83"/>
    </row>
    <row r="7054" spans="17:17" x14ac:dyDescent="0.35">
      <c r="Q7054" s="83"/>
    </row>
    <row r="7055" spans="17:17" x14ac:dyDescent="0.35">
      <c r="Q7055" s="83"/>
    </row>
    <row r="7056" spans="17:17" x14ac:dyDescent="0.35">
      <c r="Q7056" s="83"/>
    </row>
    <row r="7057" spans="17:17" x14ac:dyDescent="0.35">
      <c r="Q7057" s="83"/>
    </row>
    <row r="7058" spans="17:17" x14ac:dyDescent="0.35">
      <c r="Q7058" s="83"/>
    </row>
    <row r="7059" spans="17:17" x14ac:dyDescent="0.35">
      <c r="Q7059" s="83"/>
    </row>
    <row r="7060" spans="17:17" x14ac:dyDescent="0.35">
      <c r="Q7060" s="83"/>
    </row>
    <row r="7061" spans="17:17" x14ac:dyDescent="0.35">
      <c r="Q7061" s="83"/>
    </row>
    <row r="7062" spans="17:17" x14ac:dyDescent="0.35">
      <c r="Q7062" s="83"/>
    </row>
    <row r="7063" spans="17:17" x14ac:dyDescent="0.35">
      <c r="Q7063" s="83"/>
    </row>
    <row r="7064" spans="17:17" x14ac:dyDescent="0.35">
      <c r="Q7064" s="83"/>
    </row>
    <row r="7065" spans="17:17" x14ac:dyDescent="0.35">
      <c r="Q7065" s="83"/>
    </row>
    <row r="7066" spans="17:17" x14ac:dyDescent="0.35">
      <c r="Q7066" s="83"/>
    </row>
    <row r="7067" spans="17:17" x14ac:dyDescent="0.35">
      <c r="Q7067" s="83"/>
    </row>
    <row r="7068" spans="17:17" x14ac:dyDescent="0.35">
      <c r="Q7068" s="83"/>
    </row>
    <row r="7069" spans="17:17" x14ac:dyDescent="0.35">
      <c r="Q7069" s="83"/>
    </row>
    <row r="7070" spans="17:17" x14ac:dyDescent="0.35">
      <c r="Q7070" s="83"/>
    </row>
    <row r="7071" spans="17:17" x14ac:dyDescent="0.35">
      <c r="Q7071" s="83"/>
    </row>
    <row r="7072" spans="17:17" x14ac:dyDescent="0.35">
      <c r="Q7072" s="83"/>
    </row>
    <row r="7073" spans="17:17" x14ac:dyDescent="0.35">
      <c r="Q7073" s="83"/>
    </row>
    <row r="7074" spans="17:17" x14ac:dyDescent="0.35">
      <c r="Q7074" s="83"/>
    </row>
    <row r="7075" spans="17:17" x14ac:dyDescent="0.35">
      <c r="Q7075" s="83"/>
    </row>
    <row r="7076" spans="17:17" x14ac:dyDescent="0.35">
      <c r="Q7076" s="83"/>
    </row>
    <row r="7077" spans="17:17" x14ac:dyDescent="0.35">
      <c r="Q7077" s="83"/>
    </row>
    <row r="7078" spans="17:17" x14ac:dyDescent="0.35">
      <c r="Q7078" s="83"/>
    </row>
    <row r="7079" spans="17:17" x14ac:dyDescent="0.35">
      <c r="Q7079" s="83"/>
    </row>
    <row r="7080" spans="17:17" x14ac:dyDescent="0.35">
      <c r="Q7080" s="83"/>
    </row>
    <row r="7081" spans="17:17" x14ac:dyDescent="0.35">
      <c r="Q7081" s="83"/>
    </row>
    <row r="7082" spans="17:17" x14ac:dyDescent="0.35">
      <c r="Q7082" s="83"/>
    </row>
    <row r="7083" spans="17:17" x14ac:dyDescent="0.35">
      <c r="Q7083" s="83"/>
    </row>
    <row r="7084" spans="17:17" x14ac:dyDescent="0.35">
      <c r="Q7084" s="83"/>
    </row>
    <row r="7085" spans="17:17" x14ac:dyDescent="0.35">
      <c r="Q7085" s="83"/>
    </row>
    <row r="7086" spans="17:17" x14ac:dyDescent="0.35">
      <c r="Q7086" s="83"/>
    </row>
    <row r="7087" spans="17:17" x14ac:dyDescent="0.35">
      <c r="Q7087" s="83"/>
    </row>
    <row r="7088" spans="17:17" x14ac:dyDescent="0.35">
      <c r="Q7088" s="83"/>
    </row>
    <row r="7089" spans="17:17" x14ac:dyDescent="0.35">
      <c r="Q7089" s="83"/>
    </row>
    <row r="7090" spans="17:17" x14ac:dyDescent="0.35">
      <c r="Q7090" s="83"/>
    </row>
    <row r="7091" spans="17:17" x14ac:dyDescent="0.35">
      <c r="Q7091" s="83"/>
    </row>
    <row r="7092" spans="17:17" x14ac:dyDescent="0.35">
      <c r="Q7092" s="83"/>
    </row>
    <row r="7093" spans="17:17" x14ac:dyDescent="0.35">
      <c r="Q7093" s="83"/>
    </row>
    <row r="7094" spans="17:17" x14ac:dyDescent="0.35">
      <c r="Q7094" s="83"/>
    </row>
    <row r="7095" spans="17:17" x14ac:dyDescent="0.35">
      <c r="Q7095" s="83"/>
    </row>
    <row r="7096" spans="17:17" x14ac:dyDescent="0.35">
      <c r="Q7096" s="83"/>
    </row>
    <row r="7097" spans="17:17" x14ac:dyDescent="0.35">
      <c r="Q7097" s="83"/>
    </row>
    <row r="7098" spans="17:17" x14ac:dyDescent="0.35">
      <c r="Q7098" s="83"/>
    </row>
    <row r="7099" spans="17:17" x14ac:dyDescent="0.35">
      <c r="Q7099" s="83"/>
    </row>
    <row r="7100" spans="17:17" x14ac:dyDescent="0.35">
      <c r="Q7100" s="83"/>
    </row>
    <row r="7101" spans="17:17" x14ac:dyDescent="0.35">
      <c r="Q7101" s="83"/>
    </row>
    <row r="7102" spans="17:17" x14ac:dyDescent="0.35">
      <c r="Q7102" s="83"/>
    </row>
    <row r="7103" spans="17:17" x14ac:dyDescent="0.35">
      <c r="Q7103" s="83"/>
    </row>
    <row r="7104" spans="17:17" x14ac:dyDescent="0.35">
      <c r="Q7104" s="83"/>
    </row>
    <row r="7105" spans="17:17" x14ac:dyDescent="0.35">
      <c r="Q7105" s="83"/>
    </row>
    <row r="7106" spans="17:17" x14ac:dyDescent="0.35">
      <c r="Q7106" s="83"/>
    </row>
    <row r="7107" spans="17:17" x14ac:dyDescent="0.35">
      <c r="Q7107" s="83"/>
    </row>
    <row r="7108" spans="17:17" x14ac:dyDescent="0.35">
      <c r="Q7108" s="83"/>
    </row>
    <row r="7109" spans="17:17" x14ac:dyDescent="0.35">
      <c r="Q7109" s="83"/>
    </row>
    <row r="7110" spans="17:17" x14ac:dyDescent="0.35">
      <c r="Q7110" s="83"/>
    </row>
    <row r="7111" spans="17:17" x14ac:dyDescent="0.35">
      <c r="Q7111" s="83"/>
    </row>
    <row r="7112" spans="17:17" x14ac:dyDescent="0.35">
      <c r="Q7112" s="83"/>
    </row>
    <row r="7113" spans="17:17" x14ac:dyDescent="0.35">
      <c r="Q7113" s="83"/>
    </row>
    <row r="7114" spans="17:17" x14ac:dyDescent="0.35">
      <c r="Q7114" s="83"/>
    </row>
    <row r="7115" spans="17:17" x14ac:dyDescent="0.35">
      <c r="Q7115" s="83"/>
    </row>
    <row r="7116" spans="17:17" x14ac:dyDescent="0.35">
      <c r="Q7116" s="83"/>
    </row>
    <row r="7117" spans="17:17" x14ac:dyDescent="0.35">
      <c r="Q7117" s="83"/>
    </row>
    <row r="7118" spans="17:17" x14ac:dyDescent="0.35">
      <c r="Q7118" s="83"/>
    </row>
    <row r="7119" spans="17:17" x14ac:dyDescent="0.35">
      <c r="Q7119" s="83"/>
    </row>
    <row r="7120" spans="17:17" x14ac:dyDescent="0.35">
      <c r="Q7120" s="83"/>
    </row>
    <row r="7121" spans="17:17" x14ac:dyDescent="0.35">
      <c r="Q7121" s="83"/>
    </row>
    <row r="7122" spans="17:17" x14ac:dyDescent="0.35">
      <c r="Q7122" s="83"/>
    </row>
    <row r="7123" spans="17:17" x14ac:dyDescent="0.35">
      <c r="Q7123" s="83"/>
    </row>
    <row r="7124" spans="17:17" x14ac:dyDescent="0.35">
      <c r="Q7124" s="83"/>
    </row>
    <row r="7125" spans="17:17" x14ac:dyDescent="0.35">
      <c r="Q7125" s="83"/>
    </row>
    <row r="7126" spans="17:17" x14ac:dyDescent="0.35">
      <c r="Q7126" s="83"/>
    </row>
    <row r="7127" spans="17:17" x14ac:dyDescent="0.35">
      <c r="Q7127" s="83"/>
    </row>
    <row r="7128" spans="17:17" x14ac:dyDescent="0.35">
      <c r="Q7128" s="83"/>
    </row>
    <row r="7129" spans="17:17" x14ac:dyDescent="0.35">
      <c r="Q7129" s="83"/>
    </row>
    <row r="7130" spans="17:17" x14ac:dyDescent="0.35">
      <c r="Q7130" s="83"/>
    </row>
    <row r="7131" spans="17:17" x14ac:dyDescent="0.35">
      <c r="Q7131" s="83"/>
    </row>
    <row r="7132" spans="17:17" x14ac:dyDescent="0.35">
      <c r="Q7132" s="83"/>
    </row>
    <row r="7133" spans="17:17" x14ac:dyDescent="0.35">
      <c r="Q7133" s="83"/>
    </row>
    <row r="7134" spans="17:17" x14ac:dyDescent="0.35">
      <c r="Q7134" s="83"/>
    </row>
    <row r="7135" spans="17:17" x14ac:dyDescent="0.35">
      <c r="Q7135" s="83"/>
    </row>
    <row r="7136" spans="17:17" x14ac:dyDescent="0.35">
      <c r="Q7136" s="83"/>
    </row>
    <row r="7137" spans="17:17" x14ac:dyDescent="0.35">
      <c r="Q7137" s="83"/>
    </row>
    <row r="7138" spans="17:17" x14ac:dyDescent="0.35">
      <c r="Q7138" s="83"/>
    </row>
    <row r="7139" spans="17:17" x14ac:dyDescent="0.35">
      <c r="Q7139" s="83"/>
    </row>
    <row r="7140" spans="17:17" x14ac:dyDescent="0.35">
      <c r="Q7140" s="83"/>
    </row>
    <row r="7141" spans="17:17" x14ac:dyDescent="0.35">
      <c r="Q7141" s="83"/>
    </row>
    <row r="7142" spans="17:17" x14ac:dyDescent="0.35">
      <c r="Q7142" s="83"/>
    </row>
    <row r="7143" spans="17:17" x14ac:dyDescent="0.35">
      <c r="Q7143" s="83"/>
    </row>
    <row r="7144" spans="17:17" x14ac:dyDescent="0.35">
      <c r="Q7144" s="83"/>
    </row>
    <row r="7145" spans="17:17" x14ac:dyDescent="0.35">
      <c r="Q7145" s="83"/>
    </row>
    <row r="7146" spans="17:17" x14ac:dyDescent="0.35">
      <c r="Q7146" s="83"/>
    </row>
    <row r="7147" spans="17:17" x14ac:dyDescent="0.35">
      <c r="Q7147" s="83"/>
    </row>
    <row r="7148" spans="17:17" x14ac:dyDescent="0.35">
      <c r="Q7148" s="83"/>
    </row>
    <row r="7149" spans="17:17" x14ac:dyDescent="0.35">
      <c r="Q7149" s="83"/>
    </row>
    <row r="7150" spans="17:17" x14ac:dyDescent="0.35">
      <c r="Q7150" s="83"/>
    </row>
    <row r="7151" spans="17:17" x14ac:dyDescent="0.35">
      <c r="Q7151" s="83"/>
    </row>
    <row r="7152" spans="17:17" x14ac:dyDescent="0.35">
      <c r="Q7152" s="83"/>
    </row>
    <row r="7153" spans="17:17" x14ac:dyDescent="0.35">
      <c r="Q7153" s="83"/>
    </row>
    <row r="7154" spans="17:17" x14ac:dyDescent="0.35">
      <c r="Q7154" s="83"/>
    </row>
    <row r="7155" spans="17:17" x14ac:dyDescent="0.35">
      <c r="Q7155" s="83"/>
    </row>
    <row r="7156" spans="17:17" x14ac:dyDescent="0.35">
      <c r="Q7156" s="83"/>
    </row>
    <row r="7157" spans="17:17" x14ac:dyDescent="0.35">
      <c r="Q7157" s="83"/>
    </row>
    <row r="7158" spans="17:17" x14ac:dyDescent="0.35">
      <c r="Q7158" s="83"/>
    </row>
    <row r="7159" spans="17:17" x14ac:dyDescent="0.35">
      <c r="Q7159" s="83"/>
    </row>
    <row r="7160" spans="17:17" x14ac:dyDescent="0.35">
      <c r="Q7160" s="83"/>
    </row>
    <row r="7161" spans="17:17" x14ac:dyDescent="0.35">
      <c r="Q7161" s="83"/>
    </row>
    <row r="7162" spans="17:17" x14ac:dyDescent="0.35">
      <c r="Q7162" s="83"/>
    </row>
    <row r="7163" spans="17:17" x14ac:dyDescent="0.35">
      <c r="Q7163" s="83"/>
    </row>
    <row r="7164" spans="17:17" x14ac:dyDescent="0.35">
      <c r="Q7164" s="83"/>
    </row>
    <row r="7165" spans="17:17" x14ac:dyDescent="0.35">
      <c r="Q7165" s="83"/>
    </row>
    <row r="7166" spans="17:17" x14ac:dyDescent="0.35">
      <c r="Q7166" s="83"/>
    </row>
    <row r="7167" spans="17:17" x14ac:dyDescent="0.35">
      <c r="Q7167" s="83"/>
    </row>
    <row r="7168" spans="17:17" x14ac:dyDescent="0.35">
      <c r="Q7168" s="83"/>
    </row>
    <row r="7169" spans="17:17" x14ac:dyDescent="0.35">
      <c r="Q7169" s="83"/>
    </row>
    <row r="7170" spans="17:17" x14ac:dyDescent="0.35">
      <c r="Q7170" s="83"/>
    </row>
    <row r="7171" spans="17:17" x14ac:dyDescent="0.35">
      <c r="Q7171" s="83"/>
    </row>
    <row r="7172" spans="17:17" x14ac:dyDescent="0.35">
      <c r="Q7172" s="83"/>
    </row>
    <row r="7173" spans="17:17" x14ac:dyDescent="0.35">
      <c r="Q7173" s="83"/>
    </row>
    <row r="7174" spans="17:17" x14ac:dyDescent="0.35">
      <c r="Q7174" s="83"/>
    </row>
    <row r="7175" spans="17:17" x14ac:dyDescent="0.35">
      <c r="Q7175" s="83"/>
    </row>
    <row r="7176" spans="17:17" x14ac:dyDescent="0.35">
      <c r="Q7176" s="83"/>
    </row>
    <row r="7177" spans="17:17" x14ac:dyDescent="0.35">
      <c r="Q7177" s="83"/>
    </row>
    <row r="7178" spans="17:17" x14ac:dyDescent="0.35">
      <c r="Q7178" s="83"/>
    </row>
    <row r="7179" spans="17:17" x14ac:dyDescent="0.35">
      <c r="Q7179" s="83"/>
    </row>
    <row r="7180" spans="17:17" x14ac:dyDescent="0.35">
      <c r="Q7180" s="83"/>
    </row>
    <row r="7181" spans="17:17" x14ac:dyDescent="0.35">
      <c r="Q7181" s="83"/>
    </row>
    <row r="7182" spans="17:17" x14ac:dyDescent="0.35">
      <c r="Q7182" s="83"/>
    </row>
    <row r="7183" spans="17:17" x14ac:dyDescent="0.35">
      <c r="Q7183" s="83"/>
    </row>
    <row r="7184" spans="17:17" x14ac:dyDescent="0.35">
      <c r="Q7184" s="83"/>
    </row>
    <row r="7185" spans="17:17" x14ac:dyDescent="0.35">
      <c r="Q7185" s="83"/>
    </row>
    <row r="7186" spans="17:17" x14ac:dyDescent="0.35">
      <c r="Q7186" s="83"/>
    </row>
    <row r="7187" spans="17:17" x14ac:dyDescent="0.35">
      <c r="Q7187" s="83"/>
    </row>
    <row r="7188" spans="17:17" x14ac:dyDescent="0.35">
      <c r="Q7188" s="83"/>
    </row>
    <row r="7189" spans="17:17" x14ac:dyDescent="0.35">
      <c r="Q7189" s="83"/>
    </row>
    <row r="7190" spans="17:17" x14ac:dyDescent="0.35">
      <c r="Q7190" s="83"/>
    </row>
    <row r="7191" spans="17:17" x14ac:dyDescent="0.35">
      <c r="Q7191" s="83"/>
    </row>
    <row r="7192" spans="17:17" x14ac:dyDescent="0.35">
      <c r="Q7192" s="83"/>
    </row>
    <row r="7193" spans="17:17" x14ac:dyDescent="0.35">
      <c r="Q7193" s="83"/>
    </row>
    <row r="7194" spans="17:17" x14ac:dyDescent="0.35">
      <c r="Q7194" s="83"/>
    </row>
    <row r="7195" spans="17:17" x14ac:dyDescent="0.35">
      <c r="Q7195" s="83"/>
    </row>
    <row r="7196" spans="17:17" x14ac:dyDescent="0.35">
      <c r="Q7196" s="83"/>
    </row>
    <row r="7197" spans="17:17" x14ac:dyDescent="0.35">
      <c r="Q7197" s="83"/>
    </row>
    <row r="7198" spans="17:17" x14ac:dyDescent="0.35">
      <c r="Q7198" s="83"/>
    </row>
    <row r="7199" spans="17:17" x14ac:dyDescent="0.35">
      <c r="Q7199" s="83"/>
    </row>
    <row r="7200" spans="17:17" x14ac:dyDescent="0.35">
      <c r="Q7200" s="83"/>
    </row>
    <row r="7201" spans="17:17" x14ac:dyDescent="0.35">
      <c r="Q7201" s="83"/>
    </row>
    <row r="7202" spans="17:17" x14ac:dyDescent="0.35">
      <c r="Q7202" s="83"/>
    </row>
    <row r="7203" spans="17:17" x14ac:dyDescent="0.35">
      <c r="Q7203" s="83"/>
    </row>
    <row r="7204" spans="17:17" x14ac:dyDescent="0.35">
      <c r="Q7204" s="83"/>
    </row>
    <row r="7205" spans="17:17" x14ac:dyDescent="0.35">
      <c r="Q7205" s="83"/>
    </row>
    <row r="7206" spans="17:17" x14ac:dyDescent="0.35">
      <c r="Q7206" s="83"/>
    </row>
    <row r="7207" spans="17:17" x14ac:dyDescent="0.35">
      <c r="Q7207" s="83"/>
    </row>
    <row r="7208" spans="17:17" x14ac:dyDescent="0.35">
      <c r="Q7208" s="83"/>
    </row>
    <row r="7209" spans="17:17" x14ac:dyDescent="0.35">
      <c r="Q7209" s="83"/>
    </row>
    <row r="7210" spans="17:17" x14ac:dyDescent="0.35">
      <c r="Q7210" s="83"/>
    </row>
    <row r="7211" spans="17:17" x14ac:dyDescent="0.35">
      <c r="Q7211" s="83"/>
    </row>
    <row r="7212" spans="17:17" x14ac:dyDescent="0.35">
      <c r="Q7212" s="83"/>
    </row>
    <row r="7213" spans="17:17" x14ac:dyDescent="0.35">
      <c r="Q7213" s="83"/>
    </row>
    <row r="7214" spans="17:17" x14ac:dyDescent="0.35">
      <c r="Q7214" s="83"/>
    </row>
    <row r="7215" spans="17:17" x14ac:dyDescent="0.35">
      <c r="Q7215" s="83"/>
    </row>
    <row r="7216" spans="17:17" x14ac:dyDescent="0.35">
      <c r="Q7216" s="83"/>
    </row>
    <row r="7217" spans="17:17" x14ac:dyDescent="0.35">
      <c r="Q7217" s="83"/>
    </row>
    <row r="7218" spans="17:17" x14ac:dyDescent="0.35">
      <c r="Q7218" s="83"/>
    </row>
    <row r="7219" spans="17:17" x14ac:dyDescent="0.35">
      <c r="Q7219" s="83"/>
    </row>
    <row r="7220" spans="17:17" x14ac:dyDescent="0.35">
      <c r="Q7220" s="83"/>
    </row>
    <row r="7221" spans="17:17" x14ac:dyDescent="0.35">
      <c r="Q7221" s="83"/>
    </row>
    <row r="7222" spans="17:17" x14ac:dyDescent="0.35">
      <c r="Q7222" s="83"/>
    </row>
    <row r="7223" spans="17:17" x14ac:dyDescent="0.35">
      <c r="Q7223" s="83"/>
    </row>
    <row r="7224" spans="17:17" x14ac:dyDescent="0.35">
      <c r="Q7224" s="83"/>
    </row>
    <row r="7225" spans="17:17" x14ac:dyDescent="0.35">
      <c r="Q7225" s="83"/>
    </row>
    <row r="7226" spans="17:17" x14ac:dyDescent="0.35">
      <c r="Q7226" s="83"/>
    </row>
    <row r="7227" spans="17:17" x14ac:dyDescent="0.35">
      <c r="Q7227" s="83"/>
    </row>
    <row r="7228" spans="17:17" x14ac:dyDescent="0.35">
      <c r="Q7228" s="83"/>
    </row>
    <row r="7229" spans="17:17" x14ac:dyDescent="0.35">
      <c r="Q7229" s="83"/>
    </row>
    <row r="7230" spans="17:17" x14ac:dyDescent="0.35">
      <c r="Q7230" s="83"/>
    </row>
    <row r="7231" spans="17:17" x14ac:dyDescent="0.35">
      <c r="Q7231" s="83"/>
    </row>
    <row r="7232" spans="17:17" x14ac:dyDescent="0.35">
      <c r="Q7232" s="83"/>
    </row>
    <row r="7233" spans="17:17" x14ac:dyDescent="0.35">
      <c r="Q7233" s="83"/>
    </row>
    <row r="7234" spans="17:17" x14ac:dyDescent="0.35">
      <c r="Q7234" s="83"/>
    </row>
    <row r="7235" spans="17:17" x14ac:dyDescent="0.35">
      <c r="Q7235" s="83"/>
    </row>
    <row r="7236" spans="17:17" x14ac:dyDescent="0.35">
      <c r="Q7236" s="83"/>
    </row>
    <row r="7237" spans="17:17" x14ac:dyDescent="0.35">
      <c r="Q7237" s="83"/>
    </row>
    <row r="7238" spans="17:17" x14ac:dyDescent="0.35">
      <c r="Q7238" s="83"/>
    </row>
    <row r="7239" spans="17:17" x14ac:dyDescent="0.35">
      <c r="Q7239" s="83"/>
    </row>
    <row r="7240" spans="17:17" x14ac:dyDescent="0.35">
      <c r="Q7240" s="83"/>
    </row>
    <row r="7241" spans="17:17" x14ac:dyDescent="0.35">
      <c r="Q7241" s="83"/>
    </row>
    <row r="7242" spans="17:17" x14ac:dyDescent="0.35">
      <c r="Q7242" s="83"/>
    </row>
    <row r="7243" spans="17:17" x14ac:dyDescent="0.35">
      <c r="Q7243" s="83"/>
    </row>
    <row r="7244" spans="17:17" x14ac:dyDescent="0.35">
      <c r="Q7244" s="83"/>
    </row>
    <row r="7245" spans="17:17" x14ac:dyDescent="0.35">
      <c r="Q7245" s="83"/>
    </row>
    <row r="7246" spans="17:17" x14ac:dyDescent="0.35">
      <c r="Q7246" s="83"/>
    </row>
    <row r="7247" spans="17:17" x14ac:dyDescent="0.35">
      <c r="Q7247" s="83"/>
    </row>
    <row r="7248" spans="17:17" x14ac:dyDescent="0.35">
      <c r="Q7248" s="83"/>
    </row>
    <row r="7249" spans="17:17" x14ac:dyDescent="0.35">
      <c r="Q7249" s="83"/>
    </row>
    <row r="7250" spans="17:17" x14ac:dyDescent="0.35">
      <c r="Q7250" s="83"/>
    </row>
    <row r="7251" spans="17:17" x14ac:dyDescent="0.35">
      <c r="Q7251" s="83"/>
    </row>
    <row r="7252" spans="17:17" x14ac:dyDescent="0.35">
      <c r="Q7252" s="83"/>
    </row>
    <row r="7253" spans="17:17" x14ac:dyDescent="0.35">
      <c r="Q7253" s="83"/>
    </row>
    <row r="7254" spans="17:17" x14ac:dyDescent="0.35">
      <c r="Q7254" s="83"/>
    </row>
    <row r="7255" spans="17:17" x14ac:dyDescent="0.35">
      <c r="Q7255" s="83"/>
    </row>
    <row r="7256" spans="17:17" x14ac:dyDescent="0.35">
      <c r="Q7256" s="83"/>
    </row>
    <row r="7257" spans="17:17" x14ac:dyDescent="0.35">
      <c r="Q7257" s="83"/>
    </row>
    <row r="7258" spans="17:17" x14ac:dyDescent="0.35">
      <c r="Q7258" s="83"/>
    </row>
    <row r="7259" spans="17:17" x14ac:dyDescent="0.35">
      <c r="Q7259" s="83"/>
    </row>
    <row r="7260" spans="17:17" x14ac:dyDescent="0.35">
      <c r="Q7260" s="83"/>
    </row>
    <row r="7261" spans="17:17" x14ac:dyDescent="0.35">
      <c r="Q7261" s="83"/>
    </row>
    <row r="7262" spans="17:17" x14ac:dyDescent="0.35">
      <c r="Q7262" s="83"/>
    </row>
    <row r="7263" spans="17:17" x14ac:dyDescent="0.35">
      <c r="Q7263" s="83"/>
    </row>
    <row r="7264" spans="17:17" x14ac:dyDescent="0.35">
      <c r="Q7264" s="83"/>
    </row>
    <row r="7265" spans="17:17" x14ac:dyDescent="0.35">
      <c r="Q7265" s="83"/>
    </row>
    <row r="7266" spans="17:17" x14ac:dyDescent="0.35">
      <c r="Q7266" s="83"/>
    </row>
    <row r="7267" spans="17:17" x14ac:dyDescent="0.35">
      <c r="Q7267" s="83"/>
    </row>
    <row r="7268" spans="17:17" x14ac:dyDescent="0.35">
      <c r="Q7268" s="83"/>
    </row>
    <row r="7269" spans="17:17" x14ac:dyDescent="0.35">
      <c r="Q7269" s="83"/>
    </row>
    <row r="7270" spans="17:17" x14ac:dyDescent="0.35">
      <c r="Q7270" s="83"/>
    </row>
    <row r="7271" spans="17:17" x14ac:dyDescent="0.35">
      <c r="Q7271" s="83"/>
    </row>
    <row r="7272" spans="17:17" x14ac:dyDescent="0.35">
      <c r="Q7272" s="83"/>
    </row>
    <row r="7273" spans="17:17" x14ac:dyDescent="0.35">
      <c r="Q7273" s="83"/>
    </row>
    <row r="7274" spans="17:17" x14ac:dyDescent="0.35">
      <c r="Q7274" s="83"/>
    </row>
    <row r="7275" spans="17:17" x14ac:dyDescent="0.35">
      <c r="Q7275" s="83"/>
    </row>
    <row r="7276" spans="17:17" x14ac:dyDescent="0.35">
      <c r="Q7276" s="83"/>
    </row>
    <row r="7277" spans="17:17" x14ac:dyDescent="0.35">
      <c r="Q7277" s="83"/>
    </row>
    <row r="7278" spans="17:17" x14ac:dyDescent="0.35">
      <c r="Q7278" s="83"/>
    </row>
    <row r="7279" spans="17:17" x14ac:dyDescent="0.35">
      <c r="Q7279" s="83"/>
    </row>
    <row r="7280" spans="17:17" x14ac:dyDescent="0.35">
      <c r="Q7280" s="83"/>
    </row>
    <row r="7281" spans="17:17" x14ac:dyDescent="0.35">
      <c r="Q7281" s="83"/>
    </row>
    <row r="7282" spans="17:17" x14ac:dyDescent="0.35">
      <c r="Q7282" s="83"/>
    </row>
    <row r="7283" spans="17:17" x14ac:dyDescent="0.35">
      <c r="Q7283" s="83"/>
    </row>
    <row r="7284" spans="17:17" x14ac:dyDescent="0.35">
      <c r="Q7284" s="83"/>
    </row>
    <row r="7285" spans="17:17" x14ac:dyDescent="0.35">
      <c r="Q7285" s="83"/>
    </row>
    <row r="7286" spans="17:17" x14ac:dyDescent="0.35">
      <c r="Q7286" s="83"/>
    </row>
    <row r="7287" spans="17:17" x14ac:dyDescent="0.35">
      <c r="Q7287" s="83"/>
    </row>
    <row r="7288" spans="17:17" x14ac:dyDescent="0.35">
      <c r="Q7288" s="83"/>
    </row>
    <row r="7289" spans="17:17" x14ac:dyDescent="0.35">
      <c r="Q7289" s="83"/>
    </row>
    <row r="7290" spans="17:17" x14ac:dyDescent="0.35">
      <c r="Q7290" s="83"/>
    </row>
    <row r="7291" spans="17:17" x14ac:dyDescent="0.35">
      <c r="Q7291" s="83"/>
    </row>
    <row r="7292" spans="17:17" x14ac:dyDescent="0.35">
      <c r="Q7292" s="83"/>
    </row>
    <row r="7293" spans="17:17" x14ac:dyDescent="0.35">
      <c r="Q7293" s="83"/>
    </row>
    <row r="7294" spans="17:17" x14ac:dyDescent="0.35">
      <c r="Q7294" s="83"/>
    </row>
    <row r="7295" spans="17:17" x14ac:dyDescent="0.35">
      <c r="Q7295" s="83"/>
    </row>
    <row r="7296" spans="17:17" x14ac:dyDescent="0.35">
      <c r="Q7296" s="83"/>
    </row>
    <row r="7297" spans="17:17" x14ac:dyDescent="0.35">
      <c r="Q7297" s="83"/>
    </row>
    <row r="7298" spans="17:17" x14ac:dyDescent="0.35">
      <c r="Q7298" s="83"/>
    </row>
    <row r="7299" spans="17:17" x14ac:dyDescent="0.35">
      <c r="Q7299" s="83"/>
    </row>
    <row r="7300" spans="17:17" x14ac:dyDescent="0.35">
      <c r="Q7300" s="83"/>
    </row>
    <row r="7301" spans="17:17" x14ac:dyDescent="0.35">
      <c r="Q7301" s="83"/>
    </row>
    <row r="7302" spans="17:17" x14ac:dyDescent="0.35">
      <c r="Q7302" s="83"/>
    </row>
    <row r="7303" spans="17:17" x14ac:dyDescent="0.35">
      <c r="Q7303" s="83"/>
    </row>
    <row r="7304" spans="17:17" x14ac:dyDescent="0.35">
      <c r="Q7304" s="83"/>
    </row>
    <row r="7305" spans="17:17" x14ac:dyDescent="0.35">
      <c r="Q7305" s="83"/>
    </row>
    <row r="7306" spans="17:17" x14ac:dyDescent="0.35">
      <c r="Q7306" s="83"/>
    </row>
    <row r="7307" spans="17:17" x14ac:dyDescent="0.35">
      <c r="Q7307" s="83"/>
    </row>
    <row r="7308" spans="17:17" x14ac:dyDescent="0.35">
      <c r="Q7308" s="83"/>
    </row>
    <row r="7309" spans="17:17" x14ac:dyDescent="0.35">
      <c r="Q7309" s="83"/>
    </row>
    <row r="7310" spans="17:17" x14ac:dyDescent="0.35">
      <c r="Q7310" s="83"/>
    </row>
    <row r="7311" spans="17:17" x14ac:dyDescent="0.35">
      <c r="Q7311" s="83"/>
    </row>
    <row r="7312" spans="17:17" x14ac:dyDescent="0.35">
      <c r="Q7312" s="83"/>
    </row>
    <row r="7313" spans="17:17" x14ac:dyDescent="0.35">
      <c r="Q7313" s="83"/>
    </row>
    <row r="7314" spans="17:17" x14ac:dyDescent="0.35">
      <c r="Q7314" s="83"/>
    </row>
    <row r="7315" spans="17:17" x14ac:dyDescent="0.35">
      <c r="Q7315" s="83"/>
    </row>
    <row r="7316" spans="17:17" x14ac:dyDescent="0.35">
      <c r="Q7316" s="83"/>
    </row>
    <row r="7317" spans="17:17" x14ac:dyDescent="0.35">
      <c r="Q7317" s="83"/>
    </row>
    <row r="7318" spans="17:17" x14ac:dyDescent="0.35">
      <c r="Q7318" s="83"/>
    </row>
    <row r="7319" spans="17:17" x14ac:dyDescent="0.35">
      <c r="Q7319" s="83"/>
    </row>
    <row r="7320" spans="17:17" x14ac:dyDescent="0.35">
      <c r="Q7320" s="83"/>
    </row>
    <row r="7321" spans="17:17" x14ac:dyDescent="0.35">
      <c r="Q7321" s="83"/>
    </row>
    <row r="7322" spans="17:17" x14ac:dyDescent="0.35">
      <c r="Q7322" s="83"/>
    </row>
    <row r="7323" spans="17:17" x14ac:dyDescent="0.35">
      <c r="Q7323" s="83"/>
    </row>
    <row r="7324" spans="17:17" x14ac:dyDescent="0.35">
      <c r="Q7324" s="83"/>
    </row>
    <row r="7325" spans="17:17" x14ac:dyDescent="0.35">
      <c r="Q7325" s="83"/>
    </row>
    <row r="7326" spans="17:17" x14ac:dyDescent="0.35">
      <c r="Q7326" s="83"/>
    </row>
    <row r="7327" spans="17:17" x14ac:dyDescent="0.35">
      <c r="Q7327" s="83"/>
    </row>
    <row r="7328" spans="17:17" x14ac:dyDescent="0.35">
      <c r="Q7328" s="83"/>
    </row>
    <row r="7329" spans="17:17" x14ac:dyDescent="0.35">
      <c r="Q7329" s="83"/>
    </row>
    <row r="7330" spans="17:17" x14ac:dyDescent="0.35">
      <c r="Q7330" s="83"/>
    </row>
    <row r="7331" spans="17:17" x14ac:dyDescent="0.35">
      <c r="Q7331" s="83"/>
    </row>
    <row r="7332" spans="17:17" x14ac:dyDescent="0.35">
      <c r="Q7332" s="83"/>
    </row>
    <row r="7333" spans="17:17" x14ac:dyDescent="0.35">
      <c r="Q7333" s="83"/>
    </row>
    <row r="7334" spans="17:17" x14ac:dyDescent="0.35">
      <c r="Q7334" s="83"/>
    </row>
    <row r="7335" spans="17:17" x14ac:dyDescent="0.35">
      <c r="Q7335" s="83"/>
    </row>
    <row r="7336" spans="17:17" x14ac:dyDescent="0.35">
      <c r="Q7336" s="83"/>
    </row>
    <row r="7337" spans="17:17" x14ac:dyDescent="0.35">
      <c r="Q7337" s="83"/>
    </row>
    <row r="7338" spans="17:17" x14ac:dyDescent="0.35">
      <c r="Q7338" s="83"/>
    </row>
    <row r="7339" spans="17:17" x14ac:dyDescent="0.35">
      <c r="Q7339" s="83"/>
    </row>
    <row r="7340" spans="17:17" x14ac:dyDescent="0.35">
      <c r="Q7340" s="83"/>
    </row>
    <row r="7341" spans="17:17" x14ac:dyDescent="0.35">
      <c r="Q7341" s="83"/>
    </row>
    <row r="7342" spans="17:17" x14ac:dyDescent="0.35">
      <c r="Q7342" s="83"/>
    </row>
    <row r="7343" spans="17:17" x14ac:dyDescent="0.35">
      <c r="Q7343" s="83"/>
    </row>
    <row r="7344" spans="17:17" x14ac:dyDescent="0.35">
      <c r="Q7344" s="83"/>
    </row>
    <row r="7345" spans="17:17" x14ac:dyDescent="0.35">
      <c r="Q7345" s="83"/>
    </row>
    <row r="7346" spans="17:17" x14ac:dyDescent="0.35">
      <c r="Q7346" s="83"/>
    </row>
    <row r="7347" spans="17:17" x14ac:dyDescent="0.35">
      <c r="Q7347" s="83"/>
    </row>
    <row r="7348" spans="17:17" x14ac:dyDescent="0.35">
      <c r="Q7348" s="83"/>
    </row>
    <row r="7349" spans="17:17" x14ac:dyDescent="0.35">
      <c r="Q7349" s="83"/>
    </row>
    <row r="7350" spans="17:17" x14ac:dyDescent="0.35">
      <c r="Q7350" s="83"/>
    </row>
    <row r="7351" spans="17:17" x14ac:dyDescent="0.35">
      <c r="Q7351" s="83"/>
    </row>
    <row r="7352" spans="17:17" x14ac:dyDescent="0.35">
      <c r="Q7352" s="83"/>
    </row>
    <row r="7353" spans="17:17" x14ac:dyDescent="0.35">
      <c r="Q7353" s="83"/>
    </row>
    <row r="7354" spans="17:17" x14ac:dyDescent="0.35">
      <c r="Q7354" s="83"/>
    </row>
    <row r="7355" spans="17:17" x14ac:dyDescent="0.35">
      <c r="Q7355" s="83"/>
    </row>
    <row r="7356" spans="17:17" x14ac:dyDescent="0.35">
      <c r="Q7356" s="83"/>
    </row>
    <row r="7357" spans="17:17" x14ac:dyDescent="0.35">
      <c r="Q7357" s="83"/>
    </row>
    <row r="7358" spans="17:17" x14ac:dyDescent="0.35">
      <c r="Q7358" s="83"/>
    </row>
    <row r="7359" spans="17:17" x14ac:dyDescent="0.35">
      <c r="Q7359" s="83"/>
    </row>
    <row r="7360" spans="17:17" x14ac:dyDescent="0.35">
      <c r="Q7360" s="83"/>
    </row>
    <row r="7361" spans="17:17" x14ac:dyDescent="0.35">
      <c r="Q7361" s="83"/>
    </row>
    <row r="7362" spans="17:17" x14ac:dyDescent="0.35">
      <c r="Q7362" s="83"/>
    </row>
    <row r="7363" spans="17:17" x14ac:dyDescent="0.35">
      <c r="Q7363" s="83"/>
    </row>
    <row r="7364" spans="17:17" x14ac:dyDescent="0.35">
      <c r="Q7364" s="83"/>
    </row>
    <row r="7365" spans="17:17" x14ac:dyDescent="0.35">
      <c r="Q7365" s="83"/>
    </row>
    <row r="7366" spans="17:17" x14ac:dyDescent="0.35">
      <c r="Q7366" s="83"/>
    </row>
    <row r="7367" spans="17:17" x14ac:dyDescent="0.35">
      <c r="Q7367" s="83"/>
    </row>
    <row r="7368" spans="17:17" x14ac:dyDescent="0.35">
      <c r="Q7368" s="83"/>
    </row>
    <row r="7369" spans="17:17" x14ac:dyDescent="0.35">
      <c r="Q7369" s="83"/>
    </row>
    <row r="7370" spans="17:17" x14ac:dyDescent="0.35">
      <c r="Q7370" s="83"/>
    </row>
    <row r="7371" spans="17:17" x14ac:dyDescent="0.35">
      <c r="Q7371" s="83"/>
    </row>
    <row r="7372" spans="17:17" x14ac:dyDescent="0.35">
      <c r="Q7372" s="83"/>
    </row>
    <row r="7373" spans="17:17" x14ac:dyDescent="0.35">
      <c r="Q7373" s="83"/>
    </row>
    <row r="7374" spans="17:17" x14ac:dyDescent="0.35">
      <c r="Q7374" s="83"/>
    </row>
    <row r="7375" spans="17:17" x14ac:dyDescent="0.35">
      <c r="Q7375" s="83"/>
    </row>
    <row r="7376" spans="17:17" x14ac:dyDescent="0.35">
      <c r="Q7376" s="83"/>
    </row>
    <row r="7377" spans="17:17" x14ac:dyDescent="0.35">
      <c r="Q7377" s="83"/>
    </row>
    <row r="7378" spans="17:17" x14ac:dyDescent="0.35">
      <c r="Q7378" s="83"/>
    </row>
    <row r="7379" spans="17:17" x14ac:dyDescent="0.35">
      <c r="Q7379" s="83"/>
    </row>
    <row r="7380" spans="17:17" x14ac:dyDescent="0.35">
      <c r="Q7380" s="83"/>
    </row>
    <row r="7381" spans="17:17" x14ac:dyDescent="0.35">
      <c r="Q7381" s="83"/>
    </row>
    <row r="7382" spans="17:17" x14ac:dyDescent="0.35">
      <c r="Q7382" s="83"/>
    </row>
    <row r="7383" spans="17:17" x14ac:dyDescent="0.35">
      <c r="Q7383" s="83"/>
    </row>
    <row r="7384" spans="17:17" x14ac:dyDescent="0.35">
      <c r="Q7384" s="83"/>
    </row>
    <row r="7385" spans="17:17" x14ac:dyDescent="0.35">
      <c r="Q7385" s="83"/>
    </row>
    <row r="7386" spans="17:17" x14ac:dyDescent="0.35">
      <c r="Q7386" s="83"/>
    </row>
    <row r="7387" spans="17:17" x14ac:dyDescent="0.35">
      <c r="Q7387" s="83"/>
    </row>
    <row r="7388" spans="17:17" x14ac:dyDescent="0.35">
      <c r="Q7388" s="83"/>
    </row>
    <row r="7389" spans="17:17" x14ac:dyDescent="0.35">
      <c r="Q7389" s="83"/>
    </row>
    <row r="7390" spans="17:17" x14ac:dyDescent="0.35">
      <c r="Q7390" s="83"/>
    </row>
    <row r="7391" spans="17:17" x14ac:dyDescent="0.35">
      <c r="Q7391" s="83"/>
    </row>
    <row r="7392" spans="17:17" x14ac:dyDescent="0.35">
      <c r="Q7392" s="83"/>
    </row>
    <row r="7393" spans="17:17" x14ac:dyDescent="0.35">
      <c r="Q7393" s="83"/>
    </row>
    <row r="7394" spans="17:17" x14ac:dyDescent="0.35">
      <c r="Q7394" s="83"/>
    </row>
    <row r="7395" spans="17:17" x14ac:dyDescent="0.35">
      <c r="Q7395" s="83"/>
    </row>
    <row r="7396" spans="17:17" x14ac:dyDescent="0.35">
      <c r="Q7396" s="83"/>
    </row>
    <row r="7397" spans="17:17" x14ac:dyDescent="0.35">
      <c r="Q7397" s="83"/>
    </row>
    <row r="7398" spans="17:17" x14ac:dyDescent="0.35">
      <c r="Q7398" s="83"/>
    </row>
    <row r="7399" spans="17:17" x14ac:dyDescent="0.35">
      <c r="Q7399" s="83"/>
    </row>
    <row r="7400" spans="17:17" x14ac:dyDescent="0.35">
      <c r="Q7400" s="83"/>
    </row>
    <row r="7401" spans="17:17" x14ac:dyDescent="0.35">
      <c r="Q7401" s="83"/>
    </row>
    <row r="7402" spans="17:17" x14ac:dyDescent="0.35">
      <c r="Q7402" s="83"/>
    </row>
    <row r="7403" spans="17:17" x14ac:dyDescent="0.35">
      <c r="Q7403" s="83"/>
    </row>
    <row r="7404" spans="17:17" x14ac:dyDescent="0.35">
      <c r="Q7404" s="83"/>
    </row>
    <row r="7405" spans="17:17" x14ac:dyDescent="0.35">
      <c r="Q7405" s="83"/>
    </row>
    <row r="7406" spans="17:17" x14ac:dyDescent="0.35">
      <c r="Q7406" s="83"/>
    </row>
    <row r="7407" spans="17:17" x14ac:dyDescent="0.35">
      <c r="Q7407" s="83"/>
    </row>
    <row r="7408" spans="17:17" x14ac:dyDescent="0.35">
      <c r="Q7408" s="83"/>
    </row>
    <row r="7409" spans="17:17" x14ac:dyDescent="0.35">
      <c r="Q7409" s="83"/>
    </row>
    <row r="7410" spans="17:17" x14ac:dyDescent="0.35">
      <c r="Q7410" s="83"/>
    </row>
    <row r="7411" spans="17:17" x14ac:dyDescent="0.35">
      <c r="Q7411" s="83"/>
    </row>
    <row r="7412" spans="17:17" x14ac:dyDescent="0.35">
      <c r="Q7412" s="83"/>
    </row>
    <row r="7413" spans="17:17" x14ac:dyDescent="0.35">
      <c r="Q7413" s="83"/>
    </row>
    <row r="7414" spans="17:17" x14ac:dyDescent="0.35">
      <c r="Q7414" s="83"/>
    </row>
    <row r="7415" spans="17:17" x14ac:dyDescent="0.35">
      <c r="Q7415" s="83"/>
    </row>
    <row r="7416" spans="17:17" x14ac:dyDescent="0.35">
      <c r="Q7416" s="83"/>
    </row>
    <row r="7417" spans="17:17" x14ac:dyDescent="0.35">
      <c r="Q7417" s="83"/>
    </row>
    <row r="7418" spans="17:17" x14ac:dyDescent="0.35">
      <c r="Q7418" s="83"/>
    </row>
    <row r="7419" spans="17:17" x14ac:dyDescent="0.35">
      <c r="Q7419" s="83"/>
    </row>
    <row r="7420" spans="17:17" x14ac:dyDescent="0.35">
      <c r="Q7420" s="83"/>
    </row>
    <row r="7421" spans="17:17" x14ac:dyDescent="0.35">
      <c r="Q7421" s="83"/>
    </row>
    <row r="7422" spans="17:17" x14ac:dyDescent="0.35">
      <c r="Q7422" s="83"/>
    </row>
    <row r="7423" spans="17:17" x14ac:dyDescent="0.35">
      <c r="Q7423" s="83"/>
    </row>
    <row r="7424" spans="17:17" x14ac:dyDescent="0.35">
      <c r="Q7424" s="83"/>
    </row>
    <row r="7425" spans="17:17" x14ac:dyDescent="0.35">
      <c r="Q7425" s="83"/>
    </row>
    <row r="7426" spans="17:17" x14ac:dyDescent="0.35">
      <c r="Q7426" s="83"/>
    </row>
    <row r="7427" spans="17:17" x14ac:dyDescent="0.35">
      <c r="Q7427" s="83"/>
    </row>
    <row r="7428" spans="17:17" x14ac:dyDescent="0.35">
      <c r="Q7428" s="83"/>
    </row>
    <row r="7429" spans="17:17" x14ac:dyDescent="0.35">
      <c r="Q7429" s="83"/>
    </row>
    <row r="7430" spans="17:17" x14ac:dyDescent="0.35">
      <c r="Q7430" s="83"/>
    </row>
    <row r="7431" spans="17:17" x14ac:dyDescent="0.35">
      <c r="Q7431" s="83"/>
    </row>
    <row r="7432" spans="17:17" x14ac:dyDescent="0.35">
      <c r="Q7432" s="83"/>
    </row>
    <row r="7433" spans="17:17" x14ac:dyDescent="0.35">
      <c r="Q7433" s="83"/>
    </row>
    <row r="7434" spans="17:17" x14ac:dyDescent="0.35">
      <c r="Q7434" s="83"/>
    </row>
    <row r="7435" spans="17:17" x14ac:dyDescent="0.35">
      <c r="Q7435" s="83"/>
    </row>
    <row r="7436" spans="17:17" x14ac:dyDescent="0.35">
      <c r="Q7436" s="83"/>
    </row>
    <row r="7437" spans="17:17" x14ac:dyDescent="0.35">
      <c r="Q7437" s="83"/>
    </row>
    <row r="7438" spans="17:17" x14ac:dyDescent="0.35">
      <c r="Q7438" s="83"/>
    </row>
    <row r="7439" spans="17:17" x14ac:dyDescent="0.35">
      <c r="Q7439" s="83"/>
    </row>
    <row r="7440" spans="17:17" x14ac:dyDescent="0.35">
      <c r="Q7440" s="83"/>
    </row>
    <row r="7441" spans="17:17" x14ac:dyDescent="0.35">
      <c r="Q7441" s="83"/>
    </row>
    <row r="7442" spans="17:17" x14ac:dyDescent="0.35">
      <c r="Q7442" s="83"/>
    </row>
    <row r="7443" spans="17:17" x14ac:dyDescent="0.35">
      <c r="Q7443" s="83"/>
    </row>
    <row r="7444" spans="17:17" x14ac:dyDescent="0.35">
      <c r="Q7444" s="83"/>
    </row>
    <row r="7445" spans="17:17" x14ac:dyDescent="0.35">
      <c r="Q7445" s="83"/>
    </row>
    <row r="7446" spans="17:17" x14ac:dyDescent="0.35">
      <c r="Q7446" s="83"/>
    </row>
    <row r="7447" spans="17:17" x14ac:dyDescent="0.35">
      <c r="Q7447" s="83"/>
    </row>
    <row r="7448" spans="17:17" x14ac:dyDescent="0.35">
      <c r="Q7448" s="83"/>
    </row>
    <row r="7449" spans="17:17" x14ac:dyDescent="0.35">
      <c r="Q7449" s="83"/>
    </row>
    <row r="7450" spans="17:17" x14ac:dyDescent="0.35">
      <c r="Q7450" s="83"/>
    </row>
    <row r="7451" spans="17:17" x14ac:dyDescent="0.35">
      <c r="Q7451" s="83"/>
    </row>
    <row r="7452" spans="17:17" x14ac:dyDescent="0.35">
      <c r="Q7452" s="83"/>
    </row>
    <row r="7453" spans="17:17" x14ac:dyDescent="0.35">
      <c r="Q7453" s="83"/>
    </row>
    <row r="7454" spans="17:17" x14ac:dyDescent="0.35">
      <c r="Q7454" s="83"/>
    </row>
    <row r="7455" spans="17:17" x14ac:dyDescent="0.35">
      <c r="Q7455" s="83"/>
    </row>
    <row r="7456" spans="17:17" x14ac:dyDescent="0.35">
      <c r="Q7456" s="83"/>
    </row>
    <row r="7457" spans="17:17" x14ac:dyDescent="0.35">
      <c r="Q7457" s="83"/>
    </row>
    <row r="7458" spans="17:17" x14ac:dyDescent="0.35">
      <c r="Q7458" s="83"/>
    </row>
    <row r="7459" spans="17:17" x14ac:dyDescent="0.35">
      <c r="Q7459" s="83"/>
    </row>
    <row r="7460" spans="17:17" x14ac:dyDescent="0.35">
      <c r="Q7460" s="83"/>
    </row>
    <row r="7461" spans="17:17" x14ac:dyDescent="0.35">
      <c r="Q7461" s="83"/>
    </row>
    <row r="7462" spans="17:17" x14ac:dyDescent="0.35">
      <c r="Q7462" s="83"/>
    </row>
    <row r="7463" spans="17:17" x14ac:dyDescent="0.35">
      <c r="Q7463" s="83"/>
    </row>
    <row r="7464" spans="17:17" x14ac:dyDescent="0.35">
      <c r="Q7464" s="83"/>
    </row>
    <row r="7465" spans="17:17" x14ac:dyDescent="0.35">
      <c r="Q7465" s="83"/>
    </row>
    <row r="7466" spans="17:17" x14ac:dyDescent="0.35">
      <c r="Q7466" s="83"/>
    </row>
    <row r="7467" spans="17:17" x14ac:dyDescent="0.35">
      <c r="Q7467" s="83"/>
    </row>
    <row r="7468" spans="17:17" x14ac:dyDescent="0.35">
      <c r="Q7468" s="83"/>
    </row>
    <row r="7469" spans="17:17" x14ac:dyDescent="0.35">
      <c r="Q7469" s="83"/>
    </row>
    <row r="7470" spans="17:17" x14ac:dyDescent="0.35">
      <c r="Q7470" s="83"/>
    </row>
    <row r="7471" spans="17:17" x14ac:dyDescent="0.35">
      <c r="Q7471" s="83"/>
    </row>
    <row r="7472" spans="17:17" x14ac:dyDescent="0.35">
      <c r="Q7472" s="83"/>
    </row>
    <row r="7473" spans="17:17" x14ac:dyDescent="0.35">
      <c r="Q7473" s="83"/>
    </row>
    <row r="7474" spans="17:17" x14ac:dyDescent="0.35">
      <c r="Q7474" s="83"/>
    </row>
    <row r="7475" spans="17:17" x14ac:dyDescent="0.35">
      <c r="Q7475" s="83"/>
    </row>
    <row r="7476" spans="17:17" x14ac:dyDescent="0.35">
      <c r="Q7476" s="83"/>
    </row>
    <row r="7477" spans="17:17" x14ac:dyDescent="0.35">
      <c r="Q7477" s="83"/>
    </row>
    <row r="7478" spans="17:17" x14ac:dyDescent="0.35">
      <c r="Q7478" s="83"/>
    </row>
    <row r="7479" spans="17:17" x14ac:dyDescent="0.35">
      <c r="Q7479" s="83"/>
    </row>
    <row r="7480" spans="17:17" x14ac:dyDescent="0.35">
      <c r="Q7480" s="83"/>
    </row>
    <row r="7481" spans="17:17" x14ac:dyDescent="0.35">
      <c r="Q7481" s="83"/>
    </row>
    <row r="7482" spans="17:17" x14ac:dyDescent="0.35">
      <c r="Q7482" s="83"/>
    </row>
    <row r="7483" spans="17:17" x14ac:dyDescent="0.35">
      <c r="Q7483" s="83"/>
    </row>
    <row r="7484" spans="17:17" x14ac:dyDescent="0.35">
      <c r="Q7484" s="83"/>
    </row>
    <row r="7485" spans="17:17" x14ac:dyDescent="0.35">
      <c r="Q7485" s="83"/>
    </row>
    <row r="7486" spans="17:17" x14ac:dyDescent="0.35">
      <c r="Q7486" s="83"/>
    </row>
    <row r="7487" spans="17:17" x14ac:dyDescent="0.35">
      <c r="Q7487" s="83"/>
    </row>
    <row r="7488" spans="17:17" x14ac:dyDescent="0.35">
      <c r="Q7488" s="83"/>
    </row>
    <row r="7489" spans="17:17" x14ac:dyDescent="0.35">
      <c r="Q7489" s="83"/>
    </row>
    <row r="7490" spans="17:17" x14ac:dyDescent="0.35">
      <c r="Q7490" s="83"/>
    </row>
    <row r="7491" spans="17:17" x14ac:dyDescent="0.35">
      <c r="Q7491" s="83"/>
    </row>
    <row r="7492" spans="17:17" x14ac:dyDescent="0.35">
      <c r="Q7492" s="83"/>
    </row>
    <row r="7493" spans="17:17" x14ac:dyDescent="0.35">
      <c r="Q7493" s="83"/>
    </row>
    <row r="7494" spans="17:17" x14ac:dyDescent="0.35">
      <c r="Q7494" s="83"/>
    </row>
    <row r="7495" spans="17:17" x14ac:dyDescent="0.35">
      <c r="Q7495" s="83"/>
    </row>
    <row r="7496" spans="17:17" x14ac:dyDescent="0.35">
      <c r="Q7496" s="83"/>
    </row>
    <row r="7497" spans="17:17" x14ac:dyDescent="0.35">
      <c r="Q7497" s="83"/>
    </row>
    <row r="7498" spans="17:17" x14ac:dyDescent="0.35">
      <c r="Q7498" s="83"/>
    </row>
    <row r="7499" spans="17:17" x14ac:dyDescent="0.35">
      <c r="Q7499" s="83"/>
    </row>
    <row r="7500" spans="17:17" x14ac:dyDescent="0.35">
      <c r="Q7500" s="83"/>
    </row>
    <row r="7501" spans="17:17" x14ac:dyDescent="0.35">
      <c r="Q7501" s="83"/>
    </row>
    <row r="7502" spans="17:17" x14ac:dyDescent="0.35">
      <c r="Q7502" s="83"/>
    </row>
    <row r="7503" spans="17:17" x14ac:dyDescent="0.35">
      <c r="Q7503" s="83"/>
    </row>
    <row r="7504" spans="17:17" x14ac:dyDescent="0.35">
      <c r="Q7504" s="83"/>
    </row>
    <row r="7505" spans="17:17" x14ac:dyDescent="0.35">
      <c r="Q7505" s="83"/>
    </row>
    <row r="7506" spans="17:17" x14ac:dyDescent="0.35">
      <c r="Q7506" s="83"/>
    </row>
    <row r="7507" spans="17:17" x14ac:dyDescent="0.35">
      <c r="Q7507" s="83"/>
    </row>
    <row r="7508" spans="17:17" x14ac:dyDescent="0.35">
      <c r="Q7508" s="83"/>
    </row>
    <row r="7509" spans="17:17" x14ac:dyDescent="0.35">
      <c r="Q7509" s="83"/>
    </row>
    <row r="7510" spans="17:17" x14ac:dyDescent="0.35">
      <c r="Q7510" s="83"/>
    </row>
    <row r="7511" spans="17:17" x14ac:dyDescent="0.35">
      <c r="Q7511" s="83"/>
    </row>
    <row r="7512" spans="17:17" x14ac:dyDescent="0.35">
      <c r="Q7512" s="83"/>
    </row>
    <row r="7513" spans="17:17" x14ac:dyDescent="0.35">
      <c r="Q7513" s="83"/>
    </row>
    <row r="7514" spans="17:17" x14ac:dyDescent="0.35">
      <c r="Q7514" s="83"/>
    </row>
    <row r="7515" spans="17:17" x14ac:dyDescent="0.35">
      <c r="Q7515" s="83"/>
    </row>
    <row r="7516" spans="17:17" x14ac:dyDescent="0.35">
      <c r="Q7516" s="83"/>
    </row>
    <row r="7517" spans="17:17" x14ac:dyDescent="0.35">
      <c r="Q7517" s="83"/>
    </row>
    <row r="7518" spans="17:17" x14ac:dyDescent="0.35">
      <c r="Q7518" s="83"/>
    </row>
    <row r="7519" spans="17:17" x14ac:dyDescent="0.35">
      <c r="Q7519" s="83"/>
    </row>
    <row r="7520" spans="17:17" x14ac:dyDescent="0.35">
      <c r="Q7520" s="83"/>
    </row>
    <row r="7521" spans="17:17" x14ac:dyDescent="0.35">
      <c r="Q7521" s="83"/>
    </row>
    <row r="7522" spans="17:17" x14ac:dyDescent="0.35">
      <c r="Q7522" s="83"/>
    </row>
    <row r="7523" spans="17:17" x14ac:dyDescent="0.35">
      <c r="Q7523" s="83"/>
    </row>
    <row r="7524" spans="17:17" x14ac:dyDescent="0.35">
      <c r="Q7524" s="83"/>
    </row>
    <row r="7525" spans="17:17" x14ac:dyDescent="0.35">
      <c r="Q7525" s="83"/>
    </row>
    <row r="7526" spans="17:17" x14ac:dyDescent="0.35">
      <c r="Q7526" s="83"/>
    </row>
    <row r="7527" spans="17:17" x14ac:dyDescent="0.35">
      <c r="Q7527" s="83"/>
    </row>
    <row r="7528" spans="17:17" x14ac:dyDescent="0.35">
      <c r="Q7528" s="83"/>
    </row>
    <row r="7529" spans="17:17" x14ac:dyDescent="0.35">
      <c r="Q7529" s="83"/>
    </row>
    <row r="7530" spans="17:17" x14ac:dyDescent="0.35">
      <c r="Q7530" s="83"/>
    </row>
    <row r="7531" spans="17:17" x14ac:dyDescent="0.35">
      <c r="Q7531" s="83"/>
    </row>
    <row r="7532" spans="17:17" x14ac:dyDescent="0.35">
      <c r="Q7532" s="83"/>
    </row>
    <row r="7533" spans="17:17" x14ac:dyDescent="0.35">
      <c r="Q7533" s="83"/>
    </row>
    <row r="7534" spans="17:17" x14ac:dyDescent="0.35">
      <c r="Q7534" s="83"/>
    </row>
    <row r="7535" spans="17:17" x14ac:dyDescent="0.35">
      <c r="Q7535" s="83"/>
    </row>
    <row r="7536" spans="17:17" x14ac:dyDescent="0.35">
      <c r="Q7536" s="83"/>
    </row>
    <row r="7537" spans="17:17" x14ac:dyDescent="0.35">
      <c r="Q7537" s="83"/>
    </row>
    <row r="7538" spans="17:17" x14ac:dyDescent="0.35">
      <c r="Q7538" s="83"/>
    </row>
    <row r="7539" spans="17:17" x14ac:dyDescent="0.35">
      <c r="Q7539" s="83"/>
    </row>
    <row r="7540" spans="17:17" x14ac:dyDescent="0.35">
      <c r="Q7540" s="83"/>
    </row>
    <row r="7541" spans="17:17" x14ac:dyDescent="0.35">
      <c r="Q7541" s="83"/>
    </row>
    <row r="7542" spans="17:17" x14ac:dyDescent="0.35">
      <c r="Q7542" s="83"/>
    </row>
    <row r="7543" spans="17:17" x14ac:dyDescent="0.35">
      <c r="Q7543" s="83"/>
    </row>
    <row r="7544" spans="17:17" x14ac:dyDescent="0.35">
      <c r="Q7544" s="83"/>
    </row>
    <row r="7545" spans="17:17" x14ac:dyDescent="0.35">
      <c r="Q7545" s="83"/>
    </row>
    <row r="7546" spans="17:17" x14ac:dyDescent="0.35">
      <c r="Q7546" s="83"/>
    </row>
    <row r="7547" spans="17:17" x14ac:dyDescent="0.35">
      <c r="Q7547" s="83"/>
    </row>
    <row r="7548" spans="17:17" x14ac:dyDescent="0.35">
      <c r="Q7548" s="83"/>
    </row>
    <row r="7549" spans="17:17" x14ac:dyDescent="0.35">
      <c r="Q7549" s="83"/>
    </row>
    <row r="7550" spans="17:17" x14ac:dyDescent="0.35">
      <c r="Q7550" s="83"/>
    </row>
    <row r="7551" spans="17:17" x14ac:dyDescent="0.35">
      <c r="Q7551" s="83"/>
    </row>
    <row r="7552" spans="17:17" x14ac:dyDescent="0.35">
      <c r="Q7552" s="83"/>
    </row>
    <row r="7553" spans="17:17" x14ac:dyDescent="0.35">
      <c r="Q7553" s="83"/>
    </row>
    <row r="7554" spans="17:17" x14ac:dyDescent="0.35">
      <c r="Q7554" s="83"/>
    </row>
    <row r="7555" spans="17:17" x14ac:dyDescent="0.35">
      <c r="Q7555" s="83"/>
    </row>
    <row r="7556" spans="17:17" x14ac:dyDescent="0.35">
      <c r="Q7556" s="83"/>
    </row>
    <row r="7557" spans="17:17" x14ac:dyDescent="0.35">
      <c r="Q7557" s="83"/>
    </row>
    <row r="7558" spans="17:17" x14ac:dyDescent="0.35">
      <c r="Q7558" s="83"/>
    </row>
    <row r="7559" spans="17:17" x14ac:dyDescent="0.35">
      <c r="Q7559" s="83"/>
    </row>
    <row r="7560" spans="17:17" x14ac:dyDescent="0.35">
      <c r="Q7560" s="83"/>
    </row>
    <row r="7561" spans="17:17" x14ac:dyDescent="0.35">
      <c r="Q7561" s="83"/>
    </row>
    <row r="7562" spans="17:17" x14ac:dyDescent="0.35">
      <c r="Q7562" s="83"/>
    </row>
    <row r="7563" spans="17:17" x14ac:dyDescent="0.35">
      <c r="Q7563" s="83"/>
    </row>
    <row r="7564" spans="17:17" x14ac:dyDescent="0.35">
      <c r="Q7564" s="83"/>
    </row>
    <row r="7565" spans="17:17" x14ac:dyDescent="0.35">
      <c r="Q7565" s="83"/>
    </row>
    <row r="7566" spans="17:17" x14ac:dyDescent="0.35">
      <c r="Q7566" s="83"/>
    </row>
    <row r="7567" spans="17:17" x14ac:dyDescent="0.35">
      <c r="Q7567" s="83"/>
    </row>
    <row r="7568" spans="17:17" x14ac:dyDescent="0.35">
      <c r="Q7568" s="83"/>
    </row>
    <row r="7569" spans="17:17" x14ac:dyDescent="0.35">
      <c r="Q7569" s="83"/>
    </row>
    <row r="7570" spans="17:17" x14ac:dyDescent="0.35">
      <c r="Q7570" s="83"/>
    </row>
    <row r="7571" spans="17:17" x14ac:dyDescent="0.35">
      <c r="Q7571" s="83"/>
    </row>
    <row r="7572" spans="17:17" x14ac:dyDescent="0.35">
      <c r="Q7572" s="83"/>
    </row>
    <row r="7573" spans="17:17" x14ac:dyDescent="0.35">
      <c r="Q7573" s="83"/>
    </row>
    <row r="7574" spans="17:17" x14ac:dyDescent="0.35">
      <c r="Q7574" s="83"/>
    </row>
    <row r="7575" spans="17:17" x14ac:dyDescent="0.35">
      <c r="Q7575" s="83"/>
    </row>
    <row r="7576" spans="17:17" x14ac:dyDescent="0.35">
      <c r="Q7576" s="83"/>
    </row>
    <row r="7577" spans="17:17" x14ac:dyDescent="0.35">
      <c r="Q7577" s="83"/>
    </row>
    <row r="7578" spans="17:17" x14ac:dyDescent="0.35">
      <c r="Q7578" s="83"/>
    </row>
    <row r="7579" spans="17:17" x14ac:dyDescent="0.35">
      <c r="Q7579" s="83"/>
    </row>
    <row r="7580" spans="17:17" x14ac:dyDescent="0.35">
      <c r="Q7580" s="83"/>
    </row>
    <row r="7581" spans="17:17" x14ac:dyDescent="0.35">
      <c r="Q7581" s="83"/>
    </row>
    <row r="7582" spans="17:17" x14ac:dyDescent="0.35">
      <c r="Q7582" s="83"/>
    </row>
    <row r="7583" spans="17:17" x14ac:dyDescent="0.35">
      <c r="Q7583" s="83"/>
    </row>
    <row r="7584" spans="17:17" x14ac:dyDescent="0.35">
      <c r="Q7584" s="83"/>
    </row>
    <row r="7585" spans="17:17" x14ac:dyDescent="0.35">
      <c r="Q7585" s="83"/>
    </row>
    <row r="7586" spans="17:17" x14ac:dyDescent="0.35">
      <c r="Q7586" s="83"/>
    </row>
    <row r="7587" spans="17:17" x14ac:dyDescent="0.35">
      <c r="Q7587" s="83"/>
    </row>
    <row r="7588" spans="17:17" x14ac:dyDescent="0.35">
      <c r="Q7588" s="83"/>
    </row>
    <row r="7589" spans="17:17" x14ac:dyDescent="0.35">
      <c r="Q7589" s="83"/>
    </row>
    <row r="7590" spans="17:17" x14ac:dyDescent="0.35">
      <c r="Q7590" s="83"/>
    </row>
    <row r="7591" spans="17:17" x14ac:dyDescent="0.35">
      <c r="Q7591" s="83"/>
    </row>
    <row r="7592" spans="17:17" x14ac:dyDescent="0.35">
      <c r="Q7592" s="83"/>
    </row>
    <row r="7593" spans="17:17" x14ac:dyDescent="0.35">
      <c r="Q7593" s="83"/>
    </row>
    <row r="7594" spans="17:17" x14ac:dyDescent="0.35">
      <c r="Q7594" s="83"/>
    </row>
    <row r="7595" spans="17:17" x14ac:dyDescent="0.35">
      <c r="Q7595" s="83"/>
    </row>
    <row r="7596" spans="17:17" x14ac:dyDescent="0.35">
      <c r="Q7596" s="83"/>
    </row>
    <row r="7597" spans="17:17" x14ac:dyDescent="0.35">
      <c r="Q7597" s="83"/>
    </row>
    <row r="7598" spans="17:17" x14ac:dyDescent="0.35">
      <c r="Q7598" s="83"/>
    </row>
    <row r="7599" spans="17:17" x14ac:dyDescent="0.35">
      <c r="Q7599" s="83"/>
    </row>
    <row r="7600" spans="17:17" x14ac:dyDescent="0.35">
      <c r="Q7600" s="83"/>
    </row>
    <row r="7601" spans="17:17" x14ac:dyDescent="0.35">
      <c r="Q7601" s="83"/>
    </row>
    <row r="7602" spans="17:17" x14ac:dyDescent="0.35">
      <c r="Q7602" s="83"/>
    </row>
    <row r="7603" spans="17:17" x14ac:dyDescent="0.35">
      <c r="Q7603" s="83"/>
    </row>
    <row r="7604" spans="17:17" x14ac:dyDescent="0.35">
      <c r="Q7604" s="83"/>
    </row>
    <row r="7605" spans="17:17" x14ac:dyDescent="0.35">
      <c r="Q7605" s="83"/>
    </row>
    <row r="7606" spans="17:17" x14ac:dyDescent="0.35">
      <c r="Q7606" s="83"/>
    </row>
    <row r="7607" spans="17:17" x14ac:dyDescent="0.35">
      <c r="Q7607" s="83"/>
    </row>
    <row r="7608" spans="17:17" x14ac:dyDescent="0.35">
      <c r="Q7608" s="83"/>
    </row>
    <row r="7609" spans="17:17" x14ac:dyDescent="0.35">
      <c r="Q7609" s="83"/>
    </row>
    <row r="7610" spans="17:17" x14ac:dyDescent="0.35">
      <c r="Q7610" s="83"/>
    </row>
    <row r="7611" spans="17:17" x14ac:dyDescent="0.35">
      <c r="Q7611" s="83"/>
    </row>
    <row r="7612" spans="17:17" x14ac:dyDescent="0.35">
      <c r="Q7612" s="83"/>
    </row>
    <row r="7613" spans="17:17" x14ac:dyDescent="0.35">
      <c r="Q7613" s="83"/>
    </row>
    <row r="7614" spans="17:17" x14ac:dyDescent="0.35">
      <c r="Q7614" s="83"/>
    </row>
    <row r="7615" spans="17:17" x14ac:dyDescent="0.35">
      <c r="Q7615" s="83"/>
    </row>
    <row r="7616" spans="17:17" x14ac:dyDescent="0.35">
      <c r="Q7616" s="83"/>
    </row>
    <row r="7617" spans="17:17" x14ac:dyDescent="0.35">
      <c r="Q7617" s="83"/>
    </row>
    <row r="7618" spans="17:17" x14ac:dyDescent="0.35">
      <c r="Q7618" s="83"/>
    </row>
    <row r="7619" spans="17:17" x14ac:dyDescent="0.35">
      <c r="Q7619" s="83"/>
    </row>
    <row r="7620" spans="17:17" x14ac:dyDescent="0.35">
      <c r="Q7620" s="83"/>
    </row>
    <row r="7621" spans="17:17" x14ac:dyDescent="0.35">
      <c r="Q7621" s="83"/>
    </row>
    <row r="7622" spans="17:17" x14ac:dyDescent="0.35">
      <c r="Q7622" s="83"/>
    </row>
    <row r="7623" spans="17:17" x14ac:dyDescent="0.35">
      <c r="Q7623" s="83"/>
    </row>
    <row r="7624" spans="17:17" x14ac:dyDescent="0.35">
      <c r="Q7624" s="83"/>
    </row>
    <row r="7625" spans="17:17" x14ac:dyDescent="0.35">
      <c r="Q7625" s="83"/>
    </row>
    <row r="7626" spans="17:17" x14ac:dyDescent="0.35">
      <c r="Q7626" s="83"/>
    </row>
    <row r="7627" spans="17:17" x14ac:dyDescent="0.35">
      <c r="Q7627" s="83"/>
    </row>
    <row r="7628" spans="17:17" x14ac:dyDescent="0.35">
      <c r="Q7628" s="83"/>
    </row>
    <row r="7629" spans="17:17" x14ac:dyDescent="0.35">
      <c r="Q7629" s="83"/>
    </row>
    <row r="7630" spans="17:17" x14ac:dyDescent="0.35">
      <c r="Q7630" s="83"/>
    </row>
    <row r="7631" spans="17:17" x14ac:dyDescent="0.35">
      <c r="Q7631" s="83"/>
    </row>
    <row r="7632" spans="17:17" x14ac:dyDescent="0.35">
      <c r="Q7632" s="83"/>
    </row>
    <row r="7633" spans="17:17" x14ac:dyDescent="0.35">
      <c r="Q7633" s="83"/>
    </row>
    <row r="7634" spans="17:17" x14ac:dyDescent="0.35">
      <c r="Q7634" s="83"/>
    </row>
    <row r="7635" spans="17:17" x14ac:dyDescent="0.35">
      <c r="Q7635" s="83"/>
    </row>
    <row r="7636" spans="17:17" x14ac:dyDescent="0.35">
      <c r="Q7636" s="83"/>
    </row>
    <row r="7637" spans="17:17" x14ac:dyDescent="0.35">
      <c r="Q7637" s="83"/>
    </row>
    <row r="7638" spans="17:17" x14ac:dyDescent="0.35">
      <c r="Q7638" s="83"/>
    </row>
    <row r="7639" spans="17:17" x14ac:dyDescent="0.35">
      <c r="Q7639" s="83"/>
    </row>
    <row r="7640" spans="17:17" x14ac:dyDescent="0.35">
      <c r="Q7640" s="83"/>
    </row>
    <row r="7641" spans="17:17" x14ac:dyDescent="0.35">
      <c r="Q7641" s="83"/>
    </row>
    <row r="7642" spans="17:17" x14ac:dyDescent="0.35">
      <c r="Q7642" s="83"/>
    </row>
    <row r="7643" spans="17:17" x14ac:dyDescent="0.35">
      <c r="Q7643" s="83"/>
    </row>
    <row r="7644" spans="17:17" x14ac:dyDescent="0.35">
      <c r="Q7644" s="83"/>
    </row>
    <row r="7645" spans="17:17" x14ac:dyDescent="0.35">
      <c r="Q7645" s="83"/>
    </row>
    <row r="7646" spans="17:17" x14ac:dyDescent="0.35">
      <c r="Q7646" s="83"/>
    </row>
    <row r="7647" spans="17:17" x14ac:dyDescent="0.35">
      <c r="Q7647" s="83"/>
    </row>
    <row r="7648" spans="17:17" x14ac:dyDescent="0.35">
      <c r="Q7648" s="83"/>
    </row>
    <row r="7649" spans="17:17" x14ac:dyDescent="0.35">
      <c r="Q7649" s="83"/>
    </row>
    <row r="7650" spans="17:17" x14ac:dyDescent="0.35">
      <c r="Q7650" s="83"/>
    </row>
    <row r="7651" spans="17:17" x14ac:dyDescent="0.35">
      <c r="Q7651" s="83"/>
    </row>
    <row r="7652" spans="17:17" x14ac:dyDescent="0.35">
      <c r="Q7652" s="83"/>
    </row>
    <row r="7653" spans="17:17" x14ac:dyDescent="0.35">
      <c r="Q7653" s="83"/>
    </row>
    <row r="7654" spans="17:17" x14ac:dyDescent="0.35">
      <c r="Q7654" s="83"/>
    </row>
    <row r="7655" spans="17:17" x14ac:dyDescent="0.35">
      <c r="Q7655" s="83"/>
    </row>
    <row r="7656" spans="17:17" x14ac:dyDescent="0.35">
      <c r="Q7656" s="83"/>
    </row>
    <row r="7657" spans="17:17" x14ac:dyDescent="0.35">
      <c r="Q7657" s="83"/>
    </row>
    <row r="7658" spans="17:17" x14ac:dyDescent="0.35">
      <c r="Q7658" s="83"/>
    </row>
    <row r="7659" spans="17:17" x14ac:dyDescent="0.35">
      <c r="Q7659" s="83"/>
    </row>
    <row r="7660" spans="17:17" x14ac:dyDescent="0.35">
      <c r="Q7660" s="83"/>
    </row>
    <row r="7661" spans="17:17" x14ac:dyDescent="0.35">
      <c r="Q7661" s="83"/>
    </row>
    <row r="7662" spans="17:17" x14ac:dyDescent="0.35">
      <c r="Q7662" s="83"/>
    </row>
    <row r="7663" spans="17:17" x14ac:dyDescent="0.35">
      <c r="Q7663" s="83"/>
    </row>
    <row r="7664" spans="17:17" x14ac:dyDescent="0.35">
      <c r="Q7664" s="83"/>
    </row>
    <row r="7665" spans="17:17" x14ac:dyDescent="0.35">
      <c r="Q7665" s="83"/>
    </row>
    <row r="7666" spans="17:17" x14ac:dyDescent="0.35">
      <c r="Q7666" s="83"/>
    </row>
    <row r="7667" spans="17:17" x14ac:dyDescent="0.35">
      <c r="Q7667" s="83"/>
    </row>
    <row r="7668" spans="17:17" x14ac:dyDescent="0.35">
      <c r="Q7668" s="83"/>
    </row>
    <row r="7669" spans="17:17" x14ac:dyDescent="0.35">
      <c r="Q7669" s="83"/>
    </row>
    <row r="7670" spans="17:17" x14ac:dyDescent="0.35">
      <c r="Q7670" s="83"/>
    </row>
    <row r="7671" spans="17:17" x14ac:dyDescent="0.35">
      <c r="Q7671" s="83"/>
    </row>
    <row r="7672" spans="17:17" x14ac:dyDescent="0.35">
      <c r="Q7672" s="83"/>
    </row>
    <row r="7673" spans="17:17" x14ac:dyDescent="0.35">
      <c r="Q7673" s="83"/>
    </row>
    <row r="7674" spans="17:17" x14ac:dyDescent="0.35">
      <c r="Q7674" s="83"/>
    </row>
    <row r="7675" spans="17:17" x14ac:dyDescent="0.35">
      <c r="Q7675" s="83"/>
    </row>
    <row r="7676" spans="17:17" x14ac:dyDescent="0.35">
      <c r="Q7676" s="83"/>
    </row>
    <row r="7677" spans="17:17" x14ac:dyDescent="0.35">
      <c r="Q7677" s="83"/>
    </row>
    <row r="7678" spans="17:17" x14ac:dyDescent="0.35">
      <c r="Q7678" s="83"/>
    </row>
    <row r="7679" spans="17:17" x14ac:dyDescent="0.35">
      <c r="Q7679" s="83"/>
    </row>
    <row r="7680" spans="17:17" x14ac:dyDescent="0.35">
      <c r="Q7680" s="83"/>
    </row>
    <row r="7681" spans="17:17" x14ac:dyDescent="0.35">
      <c r="Q7681" s="83"/>
    </row>
    <row r="7682" spans="17:17" x14ac:dyDescent="0.35">
      <c r="Q7682" s="83"/>
    </row>
    <row r="7683" spans="17:17" x14ac:dyDescent="0.35">
      <c r="Q7683" s="83"/>
    </row>
    <row r="7684" spans="17:17" x14ac:dyDescent="0.35">
      <c r="Q7684" s="83"/>
    </row>
    <row r="7685" spans="17:17" x14ac:dyDescent="0.35">
      <c r="Q7685" s="83"/>
    </row>
    <row r="7686" spans="17:17" x14ac:dyDescent="0.35">
      <c r="Q7686" s="83"/>
    </row>
    <row r="7687" spans="17:17" x14ac:dyDescent="0.35">
      <c r="Q7687" s="83"/>
    </row>
    <row r="7688" spans="17:17" x14ac:dyDescent="0.35">
      <c r="Q7688" s="83"/>
    </row>
    <row r="7689" spans="17:17" x14ac:dyDescent="0.35">
      <c r="Q7689" s="83"/>
    </row>
    <row r="7690" spans="17:17" x14ac:dyDescent="0.35">
      <c r="Q7690" s="83"/>
    </row>
    <row r="7691" spans="17:17" x14ac:dyDescent="0.35">
      <c r="Q7691" s="83"/>
    </row>
    <row r="7692" spans="17:17" x14ac:dyDescent="0.35">
      <c r="Q7692" s="83"/>
    </row>
    <row r="7693" spans="17:17" x14ac:dyDescent="0.35">
      <c r="Q7693" s="83"/>
    </row>
    <row r="7694" spans="17:17" x14ac:dyDescent="0.35">
      <c r="Q7694" s="83"/>
    </row>
    <row r="7695" spans="17:17" x14ac:dyDescent="0.35">
      <c r="Q7695" s="83"/>
    </row>
    <row r="7696" spans="17:17" x14ac:dyDescent="0.35">
      <c r="Q7696" s="83"/>
    </row>
    <row r="7697" spans="17:17" x14ac:dyDescent="0.35">
      <c r="Q7697" s="83"/>
    </row>
    <row r="7698" spans="17:17" x14ac:dyDescent="0.35">
      <c r="Q7698" s="83"/>
    </row>
    <row r="7699" spans="17:17" x14ac:dyDescent="0.35">
      <c r="Q7699" s="83"/>
    </row>
    <row r="7700" spans="17:17" x14ac:dyDescent="0.35">
      <c r="Q7700" s="83"/>
    </row>
    <row r="7701" spans="17:17" x14ac:dyDescent="0.35">
      <c r="Q7701" s="83"/>
    </row>
    <row r="7702" spans="17:17" x14ac:dyDescent="0.35">
      <c r="Q7702" s="83"/>
    </row>
    <row r="7703" spans="17:17" x14ac:dyDescent="0.35">
      <c r="Q7703" s="83"/>
    </row>
    <row r="7704" spans="17:17" x14ac:dyDescent="0.35">
      <c r="Q7704" s="83"/>
    </row>
    <row r="7705" spans="17:17" x14ac:dyDescent="0.35">
      <c r="Q7705" s="83"/>
    </row>
    <row r="7706" spans="17:17" x14ac:dyDescent="0.35">
      <c r="Q7706" s="83"/>
    </row>
    <row r="7707" spans="17:17" x14ac:dyDescent="0.35">
      <c r="Q7707" s="83"/>
    </row>
    <row r="7708" spans="17:17" x14ac:dyDescent="0.35">
      <c r="Q7708" s="83"/>
    </row>
    <row r="7709" spans="17:17" x14ac:dyDescent="0.35">
      <c r="Q7709" s="83"/>
    </row>
    <row r="7710" spans="17:17" x14ac:dyDescent="0.35">
      <c r="Q7710" s="83"/>
    </row>
    <row r="7711" spans="17:17" x14ac:dyDescent="0.35">
      <c r="Q7711" s="83"/>
    </row>
    <row r="7712" spans="17:17" x14ac:dyDescent="0.35">
      <c r="Q7712" s="83"/>
    </row>
    <row r="7713" spans="17:17" x14ac:dyDescent="0.35">
      <c r="Q7713" s="83"/>
    </row>
    <row r="7714" spans="17:17" x14ac:dyDescent="0.35">
      <c r="Q7714" s="83"/>
    </row>
    <row r="7715" spans="17:17" x14ac:dyDescent="0.35">
      <c r="Q7715" s="83"/>
    </row>
    <row r="7716" spans="17:17" x14ac:dyDescent="0.35">
      <c r="Q7716" s="83"/>
    </row>
    <row r="7717" spans="17:17" x14ac:dyDescent="0.35">
      <c r="Q7717" s="83"/>
    </row>
    <row r="7718" spans="17:17" x14ac:dyDescent="0.35">
      <c r="Q7718" s="83"/>
    </row>
    <row r="7719" spans="17:17" x14ac:dyDescent="0.35">
      <c r="Q7719" s="83"/>
    </row>
    <row r="7720" spans="17:17" x14ac:dyDescent="0.35">
      <c r="Q7720" s="83"/>
    </row>
    <row r="7721" spans="17:17" x14ac:dyDescent="0.35">
      <c r="Q7721" s="83"/>
    </row>
    <row r="7722" spans="17:17" x14ac:dyDescent="0.35">
      <c r="Q7722" s="83"/>
    </row>
    <row r="7723" spans="17:17" x14ac:dyDescent="0.35">
      <c r="Q7723" s="83"/>
    </row>
    <row r="7724" spans="17:17" x14ac:dyDescent="0.35">
      <c r="Q7724" s="83"/>
    </row>
    <row r="7725" spans="17:17" x14ac:dyDescent="0.35">
      <c r="Q7725" s="83"/>
    </row>
    <row r="7726" spans="17:17" x14ac:dyDescent="0.35">
      <c r="Q7726" s="83"/>
    </row>
    <row r="7727" spans="17:17" x14ac:dyDescent="0.35">
      <c r="Q7727" s="83"/>
    </row>
    <row r="7728" spans="17:17" x14ac:dyDescent="0.35">
      <c r="Q7728" s="83"/>
    </row>
    <row r="7729" spans="17:17" x14ac:dyDescent="0.35">
      <c r="Q7729" s="83"/>
    </row>
    <row r="7730" spans="17:17" x14ac:dyDescent="0.35">
      <c r="Q7730" s="83"/>
    </row>
    <row r="7731" spans="17:17" x14ac:dyDescent="0.35">
      <c r="Q7731" s="83"/>
    </row>
    <row r="7732" spans="17:17" x14ac:dyDescent="0.35">
      <c r="Q7732" s="83"/>
    </row>
    <row r="7733" spans="17:17" x14ac:dyDescent="0.35">
      <c r="Q7733" s="83"/>
    </row>
    <row r="7734" spans="17:17" x14ac:dyDescent="0.35">
      <c r="Q7734" s="83"/>
    </row>
    <row r="7735" spans="17:17" x14ac:dyDescent="0.35">
      <c r="Q7735" s="83"/>
    </row>
    <row r="7736" spans="17:17" x14ac:dyDescent="0.35">
      <c r="Q7736" s="83"/>
    </row>
    <row r="7737" spans="17:17" x14ac:dyDescent="0.35">
      <c r="Q7737" s="83"/>
    </row>
    <row r="7738" spans="17:17" x14ac:dyDescent="0.35">
      <c r="Q7738" s="83"/>
    </row>
    <row r="7739" spans="17:17" x14ac:dyDescent="0.35">
      <c r="Q7739" s="83"/>
    </row>
    <row r="7740" spans="17:17" x14ac:dyDescent="0.35">
      <c r="Q7740" s="83"/>
    </row>
    <row r="7741" spans="17:17" x14ac:dyDescent="0.35">
      <c r="Q7741" s="83"/>
    </row>
    <row r="7742" spans="17:17" x14ac:dyDescent="0.35">
      <c r="Q7742" s="83"/>
    </row>
    <row r="7743" spans="17:17" x14ac:dyDescent="0.35">
      <c r="Q7743" s="83"/>
    </row>
    <row r="7744" spans="17:17" x14ac:dyDescent="0.35">
      <c r="Q7744" s="83"/>
    </row>
    <row r="7745" spans="17:17" x14ac:dyDescent="0.35">
      <c r="Q7745" s="83"/>
    </row>
    <row r="7746" spans="17:17" x14ac:dyDescent="0.35">
      <c r="Q7746" s="83"/>
    </row>
    <row r="7747" spans="17:17" x14ac:dyDescent="0.35">
      <c r="Q7747" s="83"/>
    </row>
    <row r="7748" spans="17:17" x14ac:dyDescent="0.35">
      <c r="Q7748" s="83"/>
    </row>
    <row r="7749" spans="17:17" x14ac:dyDescent="0.35">
      <c r="Q7749" s="83"/>
    </row>
    <row r="7750" spans="17:17" x14ac:dyDescent="0.35">
      <c r="Q7750" s="83"/>
    </row>
    <row r="7751" spans="17:17" x14ac:dyDescent="0.35">
      <c r="Q7751" s="83"/>
    </row>
    <row r="7752" spans="17:17" x14ac:dyDescent="0.35">
      <c r="Q7752" s="83"/>
    </row>
    <row r="7753" spans="17:17" x14ac:dyDescent="0.35">
      <c r="Q7753" s="83"/>
    </row>
    <row r="7754" spans="17:17" x14ac:dyDescent="0.35">
      <c r="Q7754" s="83"/>
    </row>
    <row r="7755" spans="17:17" x14ac:dyDescent="0.35">
      <c r="Q7755" s="83"/>
    </row>
    <row r="7756" spans="17:17" x14ac:dyDescent="0.35">
      <c r="Q7756" s="83"/>
    </row>
    <row r="7757" spans="17:17" x14ac:dyDescent="0.35">
      <c r="Q7757" s="83"/>
    </row>
    <row r="7758" spans="17:17" x14ac:dyDescent="0.35">
      <c r="Q7758" s="83"/>
    </row>
    <row r="7759" spans="17:17" x14ac:dyDescent="0.35">
      <c r="Q7759" s="83"/>
    </row>
    <row r="7760" spans="17:17" x14ac:dyDescent="0.35">
      <c r="Q7760" s="83"/>
    </row>
    <row r="7761" spans="17:17" x14ac:dyDescent="0.35">
      <c r="Q7761" s="83"/>
    </row>
    <row r="7762" spans="17:17" x14ac:dyDescent="0.35">
      <c r="Q7762" s="83"/>
    </row>
    <row r="7763" spans="17:17" x14ac:dyDescent="0.35">
      <c r="Q7763" s="83"/>
    </row>
    <row r="7764" spans="17:17" x14ac:dyDescent="0.35">
      <c r="Q7764" s="83"/>
    </row>
    <row r="7765" spans="17:17" x14ac:dyDescent="0.35">
      <c r="Q7765" s="83"/>
    </row>
    <row r="7766" spans="17:17" x14ac:dyDescent="0.35">
      <c r="Q7766" s="83"/>
    </row>
    <row r="7767" spans="17:17" x14ac:dyDescent="0.35">
      <c r="Q7767" s="83"/>
    </row>
    <row r="7768" spans="17:17" x14ac:dyDescent="0.35">
      <c r="Q7768" s="83"/>
    </row>
    <row r="7769" spans="17:17" x14ac:dyDescent="0.35">
      <c r="Q7769" s="83"/>
    </row>
    <row r="7770" spans="17:17" x14ac:dyDescent="0.35">
      <c r="Q7770" s="83"/>
    </row>
    <row r="7771" spans="17:17" x14ac:dyDescent="0.35">
      <c r="Q7771" s="83"/>
    </row>
    <row r="7772" spans="17:17" x14ac:dyDescent="0.35">
      <c r="Q7772" s="83"/>
    </row>
    <row r="7773" spans="17:17" x14ac:dyDescent="0.35">
      <c r="Q7773" s="83"/>
    </row>
    <row r="7774" spans="17:17" x14ac:dyDescent="0.35">
      <c r="Q7774" s="83"/>
    </row>
    <row r="7775" spans="17:17" x14ac:dyDescent="0.35">
      <c r="Q7775" s="83"/>
    </row>
    <row r="7776" spans="17:17" x14ac:dyDescent="0.35">
      <c r="Q7776" s="83"/>
    </row>
    <row r="7777" spans="17:17" x14ac:dyDescent="0.35">
      <c r="Q7777" s="83"/>
    </row>
    <row r="7778" spans="17:17" x14ac:dyDescent="0.35">
      <c r="Q7778" s="83"/>
    </row>
    <row r="7779" spans="17:17" x14ac:dyDescent="0.35">
      <c r="Q7779" s="83"/>
    </row>
    <row r="7780" spans="17:17" x14ac:dyDescent="0.35">
      <c r="Q7780" s="83"/>
    </row>
    <row r="7781" spans="17:17" x14ac:dyDescent="0.35">
      <c r="Q7781" s="83"/>
    </row>
    <row r="7782" spans="17:17" x14ac:dyDescent="0.35">
      <c r="Q7782" s="83"/>
    </row>
    <row r="7783" spans="17:17" x14ac:dyDescent="0.35">
      <c r="Q7783" s="83"/>
    </row>
    <row r="7784" spans="17:17" x14ac:dyDescent="0.35">
      <c r="Q7784" s="83"/>
    </row>
    <row r="7785" spans="17:17" x14ac:dyDescent="0.35">
      <c r="Q7785" s="83"/>
    </row>
    <row r="7786" spans="17:17" x14ac:dyDescent="0.35">
      <c r="Q7786" s="83"/>
    </row>
    <row r="7787" spans="17:17" x14ac:dyDescent="0.35">
      <c r="Q7787" s="83"/>
    </row>
    <row r="7788" spans="17:17" x14ac:dyDescent="0.35">
      <c r="Q7788" s="83"/>
    </row>
    <row r="7789" spans="17:17" x14ac:dyDescent="0.35">
      <c r="Q7789" s="83"/>
    </row>
    <row r="7790" spans="17:17" x14ac:dyDescent="0.35">
      <c r="Q7790" s="83"/>
    </row>
    <row r="7791" spans="17:17" x14ac:dyDescent="0.35">
      <c r="Q7791" s="83"/>
    </row>
    <row r="7792" spans="17:17" x14ac:dyDescent="0.35">
      <c r="Q7792" s="83"/>
    </row>
    <row r="7793" spans="17:17" x14ac:dyDescent="0.35">
      <c r="Q7793" s="83"/>
    </row>
    <row r="7794" spans="17:17" x14ac:dyDescent="0.35">
      <c r="Q7794" s="83"/>
    </row>
    <row r="7795" spans="17:17" x14ac:dyDescent="0.35">
      <c r="Q7795" s="83"/>
    </row>
    <row r="7796" spans="17:17" x14ac:dyDescent="0.35">
      <c r="Q7796" s="83"/>
    </row>
    <row r="7797" spans="17:17" x14ac:dyDescent="0.35">
      <c r="Q7797" s="83"/>
    </row>
    <row r="7798" spans="17:17" x14ac:dyDescent="0.35">
      <c r="Q7798" s="83"/>
    </row>
    <row r="7799" spans="17:17" x14ac:dyDescent="0.35">
      <c r="Q7799" s="83"/>
    </row>
    <row r="7800" spans="17:17" x14ac:dyDescent="0.35">
      <c r="Q7800" s="83"/>
    </row>
    <row r="7801" spans="17:17" x14ac:dyDescent="0.35">
      <c r="Q7801" s="83"/>
    </row>
    <row r="7802" spans="17:17" x14ac:dyDescent="0.35">
      <c r="Q7802" s="83"/>
    </row>
    <row r="7803" spans="17:17" x14ac:dyDescent="0.35">
      <c r="Q7803" s="83"/>
    </row>
    <row r="7804" spans="17:17" x14ac:dyDescent="0.35">
      <c r="Q7804" s="83"/>
    </row>
    <row r="7805" spans="17:17" x14ac:dyDescent="0.35">
      <c r="Q7805" s="83"/>
    </row>
    <row r="7806" spans="17:17" x14ac:dyDescent="0.35">
      <c r="Q7806" s="83"/>
    </row>
    <row r="7807" spans="17:17" x14ac:dyDescent="0.35">
      <c r="Q7807" s="83"/>
    </row>
    <row r="7808" spans="17:17" x14ac:dyDescent="0.35">
      <c r="Q7808" s="83"/>
    </row>
    <row r="7809" spans="17:17" x14ac:dyDescent="0.35">
      <c r="Q7809" s="83"/>
    </row>
    <row r="7810" spans="17:17" x14ac:dyDescent="0.35">
      <c r="Q7810" s="83"/>
    </row>
    <row r="7811" spans="17:17" x14ac:dyDescent="0.35">
      <c r="Q7811" s="83"/>
    </row>
    <row r="7812" spans="17:17" x14ac:dyDescent="0.35">
      <c r="Q7812" s="83"/>
    </row>
    <row r="7813" spans="17:17" x14ac:dyDescent="0.35">
      <c r="Q7813" s="83"/>
    </row>
    <row r="7814" spans="17:17" x14ac:dyDescent="0.35">
      <c r="Q7814" s="83"/>
    </row>
    <row r="7815" spans="17:17" x14ac:dyDescent="0.35">
      <c r="Q7815" s="83"/>
    </row>
    <row r="7816" spans="17:17" x14ac:dyDescent="0.35">
      <c r="Q7816" s="83"/>
    </row>
    <row r="7817" spans="17:17" x14ac:dyDescent="0.35">
      <c r="Q7817" s="83"/>
    </row>
    <row r="7818" spans="17:17" x14ac:dyDescent="0.35">
      <c r="Q7818" s="83"/>
    </row>
    <row r="7819" spans="17:17" x14ac:dyDescent="0.35">
      <c r="Q7819" s="83"/>
    </row>
    <row r="7820" spans="17:17" x14ac:dyDescent="0.35">
      <c r="Q7820" s="83"/>
    </row>
    <row r="7821" spans="17:17" x14ac:dyDescent="0.35">
      <c r="Q7821" s="83"/>
    </row>
    <row r="7822" spans="17:17" x14ac:dyDescent="0.35">
      <c r="Q7822" s="83"/>
    </row>
    <row r="7823" spans="17:17" x14ac:dyDescent="0.35">
      <c r="Q7823" s="83"/>
    </row>
    <row r="7824" spans="17:17" x14ac:dyDescent="0.35">
      <c r="Q7824" s="83"/>
    </row>
    <row r="7825" spans="17:17" x14ac:dyDescent="0.35">
      <c r="Q7825" s="83"/>
    </row>
    <row r="7826" spans="17:17" x14ac:dyDescent="0.35">
      <c r="Q7826" s="83"/>
    </row>
    <row r="7827" spans="17:17" x14ac:dyDescent="0.35">
      <c r="Q7827" s="83"/>
    </row>
    <row r="7828" spans="17:17" x14ac:dyDescent="0.35">
      <c r="Q7828" s="83"/>
    </row>
    <row r="7829" spans="17:17" x14ac:dyDescent="0.35">
      <c r="Q7829" s="83"/>
    </row>
    <row r="7830" spans="17:17" x14ac:dyDescent="0.35">
      <c r="Q7830" s="83"/>
    </row>
    <row r="7831" spans="17:17" x14ac:dyDescent="0.35">
      <c r="Q7831" s="83"/>
    </row>
    <row r="7832" spans="17:17" x14ac:dyDescent="0.35">
      <c r="Q7832" s="83"/>
    </row>
    <row r="7833" spans="17:17" x14ac:dyDescent="0.35">
      <c r="Q7833" s="83"/>
    </row>
    <row r="7834" spans="17:17" x14ac:dyDescent="0.35">
      <c r="Q7834" s="83"/>
    </row>
    <row r="7835" spans="17:17" x14ac:dyDescent="0.35">
      <c r="Q7835" s="83"/>
    </row>
    <row r="7836" spans="17:17" x14ac:dyDescent="0.35">
      <c r="Q7836" s="83"/>
    </row>
    <row r="7837" spans="17:17" x14ac:dyDescent="0.35">
      <c r="Q7837" s="83"/>
    </row>
    <row r="7838" spans="17:17" x14ac:dyDescent="0.35">
      <c r="Q7838" s="83"/>
    </row>
    <row r="7839" spans="17:17" x14ac:dyDescent="0.35">
      <c r="Q7839" s="83"/>
    </row>
    <row r="7840" spans="17:17" x14ac:dyDescent="0.35">
      <c r="Q7840" s="83"/>
    </row>
    <row r="7841" spans="17:17" x14ac:dyDescent="0.35">
      <c r="Q7841" s="83"/>
    </row>
    <row r="7842" spans="17:17" x14ac:dyDescent="0.35">
      <c r="Q7842" s="83"/>
    </row>
    <row r="7843" spans="17:17" x14ac:dyDescent="0.35">
      <c r="Q7843" s="83"/>
    </row>
    <row r="7844" spans="17:17" x14ac:dyDescent="0.35">
      <c r="Q7844" s="83"/>
    </row>
    <row r="7845" spans="17:17" x14ac:dyDescent="0.35">
      <c r="Q7845" s="83"/>
    </row>
    <row r="7846" spans="17:17" x14ac:dyDescent="0.35">
      <c r="Q7846" s="83"/>
    </row>
    <row r="7847" spans="17:17" x14ac:dyDescent="0.35">
      <c r="Q7847" s="83"/>
    </row>
    <row r="7848" spans="17:17" x14ac:dyDescent="0.35">
      <c r="Q7848" s="83"/>
    </row>
    <row r="7849" spans="17:17" x14ac:dyDescent="0.35">
      <c r="Q7849" s="83"/>
    </row>
    <row r="7850" spans="17:17" x14ac:dyDescent="0.35">
      <c r="Q7850" s="83"/>
    </row>
    <row r="7851" spans="17:17" x14ac:dyDescent="0.35">
      <c r="Q7851" s="83"/>
    </row>
    <row r="7852" spans="17:17" x14ac:dyDescent="0.35">
      <c r="Q7852" s="83"/>
    </row>
    <row r="7853" spans="17:17" x14ac:dyDescent="0.35">
      <c r="Q7853" s="83"/>
    </row>
    <row r="7854" spans="17:17" x14ac:dyDescent="0.35">
      <c r="Q7854" s="83"/>
    </row>
    <row r="7855" spans="17:17" x14ac:dyDescent="0.35">
      <c r="Q7855" s="83"/>
    </row>
    <row r="7856" spans="17:17" x14ac:dyDescent="0.35">
      <c r="Q7856" s="83"/>
    </row>
    <row r="7857" spans="17:17" x14ac:dyDescent="0.35">
      <c r="Q7857" s="83"/>
    </row>
    <row r="7858" spans="17:17" x14ac:dyDescent="0.35">
      <c r="Q7858" s="83"/>
    </row>
    <row r="7859" spans="17:17" x14ac:dyDescent="0.35">
      <c r="Q7859" s="83"/>
    </row>
    <row r="7860" spans="17:17" x14ac:dyDescent="0.35">
      <c r="Q7860" s="83"/>
    </row>
    <row r="7861" spans="17:17" x14ac:dyDescent="0.35">
      <c r="Q7861" s="83"/>
    </row>
    <row r="7862" spans="17:17" x14ac:dyDescent="0.35">
      <c r="Q7862" s="83"/>
    </row>
    <row r="7863" spans="17:17" x14ac:dyDescent="0.35">
      <c r="Q7863" s="83"/>
    </row>
    <row r="7864" spans="17:17" x14ac:dyDescent="0.35">
      <c r="Q7864" s="83"/>
    </row>
    <row r="7865" spans="17:17" x14ac:dyDescent="0.35">
      <c r="Q7865" s="83"/>
    </row>
    <row r="7866" spans="17:17" x14ac:dyDescent="0.35">
      <c r="Q7866" s="83"/>
    </row>
    <row r="7867" spans="17:17" x14ac:dyDescent="0.35">
      <c r="Q7867" s="83"/>
    </row>
    <row r="7868" spans="17:17" x14ac:dyDescent="0.35">
      <c r="Q7868" s="83"/>
    </row>
    <row r="7869" spans="17:17" x14ac:dyDescent="0.35">
      <c r="Q7869" s="83"/>
    </row>
    <row r="7870" spans="17:17" x14ac:dyDescent="0.35">
      <c r="Q7870" s="83"/>
    </row>
    <row r="7871" spans="17:17" x14ac:dyDescent="0.35">
      <c r="Q7871" s="83"/>
    </row>
    <row r="7872" spans="17:17" x14ac:dyDescent="0.35">
      <c r="Q7872" s="83"/>
    </row>
    <row r="7873" spans="17:17" x14ac:dyDescent="0.35">
      <c r="Q7873" s="83"/>
    </row>
    <row r="7874" spans="17:17" x14ac:dyDescent="0.35">
      <c r="Q7874" s="83"/>
    </row>
    <row r="7875" spans="17:17" x14ac:dyDescent="0.35">
      <c r="Q7875" s="83"/>
    </row>
    <row r="7876" spans="17:17" x14ac:dyDescent="0.35">
      <c r="Q7876" s="83"/>
    </row>
    <row r="7877" spans="17:17" x14ac:dyDescent="0.35">
      <c r="Q7877" s="83"/>
    </row>
    <row r="7878" spans="17:17" x14ac:dyDescent="0.35">
      <c r="Q7878" s="83"/>
    </row>
    <row r="7879" spans="17:17" x14ac:dyDescent="0.35">
      <c r="Q7879" s="83"/>
    </row>
    <row r="7880" spans="17:17" x14ac:dyDescent="0.35">
      <c r="Q7880" s="83"/>
    </row>
    <row r="7881" spans="17:17" x14ac:dyDescent="0.35">
      <c r="Q7881" s="83"/>
    </row>
    <row r="7882" spans="17:17" x14ac:dyDescent="0.35">
      <c r="Q7882" s="83"/>
    </row>
    <row r="7883" spans="17:17" x14ac:dyDescent="0.35">
      <c r="Q7883" s="83"/>
    </row>
    <row r="7884" spans="17:17" x14ac:dyDescent="0.35">
      <c r="Q7884" s="83"/>
    </row>
    <row r="7885" spans="17:17" x14ac:dyDescent="0.35">
      <c r="Q7885" s="83"/>
    </row>
    <row r="7886" spans="17:17" x14ac:dyDescent="0.35">
      <c r="Q7886" s="83"/>
    </row>
    <row r="7887" spans="17:17" x14ac:dyDescent="0.35">
      <c r="Q7887" s="83"/>
    </row>
    <row r="7888" spans="17:17" x14ac:dyDescent="0.35">
      <c r="Q7888" s="83"/>
    </row>
    <row r="7889" spans="17:17" x14ac:dyDescent="0.35">
      <c r="Q7889" s="83"/>
    </row>
    <row r="7890" spans="17:17" x14ac:dyDescent="0.35">
      <c r="Q7890" s="83"/>
    </row>
    <row r="7891" spans="17:17" x14ac:dyDescent="0.35">
      <c r="Q7891" s="83"/>
    </row>
    <row r="7892" spans="17:17" x14ac:dyDescent="0.35">
      <c r="Q7892" s="83"/>
    </row>
    <row r="7893" spans="17:17" x14ac:dyDescent="0.35">
      <c r="Q7893" s="83"/>
    </row>
    <row r="7894" spans="17:17" x14ac:dyDescent="0.35">
      <c r="Q7894" s="83"/>
    </row>
    <row r="7895" spans="17:17" x14ac:dyDescent="0.35">
      <c r="Q7895" s="83"/>
    </row>
    <row r="7896" spans="17:17" x14ac:dyDescent="0.35">
      <c r="Q7896" s="83"/>
    </row>
    <row r="7897" spans="17:17" x14ac:dyDescent="0.35">
      <c r="Q7897" s="83"/>
    </row>
    <row r="7898" spans="17:17" x14ac:dyDescent="0.35">
      <c r="Q7898" s="83"/>
    </row>
    <row r="7899" spans="17:17" x14ac:dyDescent="0.35">
      <c r="Q7899" s="83"/>
    </row>
    <row r="7900" spans="17:17" x14ac:dyDescent="0.35">
      <c r="Q7900" s="83"/>
    </row>
    <row r="7901" spans="17:17" x14ac:dyDescent="0.35">
      <c r="Q7901" s="83"/>
    </row>
    <row r="7902" spans="17:17" x14ac:dyDescent="0.35">
      <c r="Q7902" s="83"/>
    </row>
    <row r="7903" spans="17:17" x14ac:dyDescent="0.35">
      <c r="Q7903" s="83"/>
    </row>
    <row r="7904" spans="17:17" x14ac:dyDescent="0.35">
      <c r="Q7904" s="83"/>
    </row>
    <row r="7905" spans="17:17" x14ac:dyDescent="0.35">
      <c r="Q7905" s="83"/>
    </row>
    <row r="7906" spans="17:17" x14ac:dyDescent="0.35">
      <c r="Q7906" s="83"/>
    </row>
    <row r="7907" spans="17:17" x14ac:dyDescent="0.35">
      <c r="Q7907" s="83"/>
    </row>
    <row r="7908" spans="17:17" x14ac:dyDescent="0.35">
      <c r="Q7908" s="83"/>
    </row>
    <row r="7909" spans="17:17" x14ac:dyDescent="0.35">
      <c r="Q7909" s="83"/>
    </row>
    <row r="7910" spans="17:17" x14ac:dyDescent="0.35">
      <c r="Q7910" s="83"/>
    </row>
    <row r="7911" spans="17:17" x14ac:dyDescent="0.35">
      <c r="Q7911" s="83"/>
    </row>
    <row r="7912" spans="17:17" x14ac:dyDescent="0.35">
      <c r="Q7912" s="83"/>
    </row>
    <row r="7913" spans="17:17" x14ac:dyDescent="0.35">
      <c r="Q7913" s="83"/>
    </row>
    <row r="7914" spans="17:17" x14ac:dyDescent="0.35">
      <c r="Q7914" s="83"/>
    </row>
    <row r="7915" spans="17:17" x14ac:dyDescent="0.35">
      <c r="Q7915" s="83"/>
    </row>
    <row r="7916" spans="17:17" x14ac:dyDescent="0.35">
      <c r="Q7916" s="83"/>
    </row>
    <row r="7917" spans="17:17" x14ac:dyDescent="0.35">
      <c r="Q7917" s="83"/>
    </row>
    <row r="7918" spans="17:17" x14ac:dyDescent="0.35">
      <c r="Q7918" s="83"/>
    </row>
    <row r="7919" spans="17:17" x14ac:dyDescent="0.35">
      <c r="Q7919" s="83"/>
    </row>
    <row r="7920" spans="17:17" x14ac:dyDescent="0.35">
      <c r="Q7920" s="83"/>
    </row>
    <row r="7921" spans="17:17" x14ac:dyDescent="0.35">
      <c r="Q7921" s="83"/>
    </row>
    <row r="7922" spans="17:17" x14ac:dyDescent="0.35">
      <c r="Q7922" s="83"/>
    </row>
    <row r="7923" spans="17:17" x14ac:dyDescent="0.35">
      <c r="Q7923" s="83"/>
    </row>
    <row r="7924" spans="17:17" x14ac:dyDescent="0.35">
      <c r="Q7924" s="83"/>
    </row>
    <row r="7925" spans="17:17" x14ac:dyDescent="0.35">
      <c r="Q7925" s="83"/>
    </row>
    <row r="7926" spans="17:17" x14ac:dyDescent="0.35">
      <c r="Q7926" s="83"/>
    </row>
    <row r="7927" spans="17:17" x14ac:dyDescent="0.35">
      <c r="Q7927" s="83"/>
    </row>
    <row r="7928" spans="17:17" x14ac:dyDescent="0.35">
      <c r="Q7928" s="83"/>
    </row>
    <row r="7929" spans="17:17" x14ac:dyDescent="0.35">
      <c r="Q7929" s="83"/>
    </row>
    <row r="7930" spans="17:17" x14ac:dyDescent="0.35">
      <c r="Q7930" s="83"/>
    </row>
    <row r="7931" spans="17:17" x14ac:dyDescent="0.35">
      <c r="Q7931" s="83"/>
    </row>
    <row r="7932" spans="17:17" x14ac:dyDescent="0.35">
      <c r="Q7932" s="83"/>
    </row>
    <row r="7933" spans="17:17" x14ac:dyDescent="0.35">
      <c r="Q7933" s="83"/>
    </row>
    <row r="7934" spans="17:17" x14ac:dyDescent="0.35">
      <c r="Q7934" s="83"/>
    </row>
    <row r="7935" spans="17:17" x14ac:dyDescent="0.35">
      <c r="Q7935" s="83"/>
    </row>
    <row r="7936" spans="17:17" x14ac:dyDescent="0.35">
      <c r="Q7936" s="83"/>
    </row>
    <row r="7937" spans="17:17" x14ac:dyDescent="0.35">
      <c r="Q7937" s="83"/>
    </row>
    <row r="7938" spans="17:17" x14ac:dyDescent="0.35">
      <c r="Q7938" s="83"/>
    </row>
    <row r="7939" spans="17:17" x14ac:dyDescent="0.35">
      <c r="Q7939" s="83"/>
    </row>
    <row r="7940" spans="17:17" x14ac:dyDescent="0.35">
      <c r="Q7940" s="83"/>
    </row>
    <row r="7941" spans="17:17" x14ac:dyDescent="0.35">
      <c r="Q7941" s="83"/>
    </row>
    <row r="7942" spans="17:17" x14ac:dyDescent="0.35">
      <c r="Q7942" s="83"/>
    </row>
    <row r="7943" spans="17:17" x14ac:dyDescent="0.35">
      <c r="Q7943" s="83"/>
    </row>
    <row r="7944" spans="17:17" x14ac:dyDescent="0.35">
      <c r="Q7944" s="83"/>
    </row>
    <row r="7945" spans="17:17" x14ac:dyDescent="0.35">
      <c r="Q7945" s="83"/>
    </row>
    <row r="7946" spans="17:17" x14ac:dyDescent="0.35">
      <c r="Q7946" s="83"/>
    </row>
    <row r="7947" spans="17:17" x14ac:dyDescent="0.35">
      <c r="Q7947" s="83"/>
    </row>
    <row r="7948" spans="17:17" x14ac:dyDescent="0.35">
      <c r="Q7948" s="83"/>
    </row>
    <row r="7949" spans="17:17" x14ac:dyDescent="0.35">
      <c r="Q7949" s="83"/>
    </row>
    <row r="7950" spans="17:17" x14ac:dyDescent="0.35">
      <c r="Q7950" s="83"/>
    </row>
    <row r="7951" spans="17:17" x14ac:dyDescent="0.35">
      <c r="Q7951" s="83"/>
    </row>
    <row r="7952" spans="17:17" x14ac:dyDescent="0.35">
      <c r="Q7952" s="83"/>
    </row>
    <row r="7953" spans="17:17" x14ac:dyDescent="0.35">
      <c r="Q7953" s="83"/>
    </row>
    <row r="7954" spans="17:17" x14ac:dyDescent="0.35">
      <c r="Q7954" s="83"/>
    </row>
    <row r="7955" spans="17:17" x14ac:dyDescent="0.35">
      <c r="Q7955" s="83"/>
    </row>
    <row r="7956" spans="17:17" x14ac:dyDescent="0.35">
      <c r="Q7956" s="83"/>
    </row>
    <row r="7957" spans="17:17" x14ac:dyDescent="0.35">
      <c r="Q7957" s="83"/>
    </row>
    <row r="7958" spans="17:17" x14ac:dyDescent="0.35">
      <c r="Q7958" s="83"/>
    </row>
    <row r="7959" spans="17:17" x14ac:dyDescent="0.35">
      <c r="Q7959" s="83"/>
    </row>
    <row r="7960" spans="17:17" x14ac:dyDescent="0.35">
      <c r="Q7960" s="83"/>
    </row>
    <row r="7961" spans="17:17" x14ac:dyDescent="0.35">
      <c r="Q7961" s="83"/>
    </row>
    <row r="7962" spans="17:17" x14ac:dyDescent="0.35">
      <c r="Q7962" s="83"/>
    </row>
    <row r="7963" spans="17:17" x14ac:dyDescent="0.35">
      <c r="Q7963" s="83"/>
    </row>
    <row r="7964" spans="17:17" x14ac:dyDescent="0.35">
      <c r="Q7964" s="83"/>
    </row>
    <row r="7965" spans="17:17" x14ac:dyDescent="0.35">
      <c r="Q7965" s="83"/>
    </row>
    <row r="7966" spans="17:17" x14ac:dyDescent="0.35">
      <c r="Q7966" s="83"/>
    </row>
    <row r="7967" spans="17:17" x14ac:dyDescent="0.35">
      <c r="Q7967" s="83"/>
    </row>
    <row r="7968" spans="17:17" x14ac:dyDescent="0.35">
      <c r="Q7968" s="83"/>
    </row>
    <row r="7969" spans="17:17" x14ac:dyDescent="0.35">
      <c r="Q7969" s="83"/>
    </row>
    <row r="7970" spans="17:17" x14ac:dyDescent="0.35">
      <c r="Q7970" s="83"/>
    </row>
    <row r="7971" spans="17:17" x14ac:dyDescent="0.35">
      <c r="Q7971" s="83"/>
    </row>
    <row r="7972" spans="17:17" x14ac:dyDescent="0.35">
      <c r="Q7972" s="83"/>
    </row>
    <row r="7973" spans="17:17" x14ac:dyDescent="0.35">
      <c r="Q7973" s="83"/>
    </row>
    <row r="7974" spans="17:17" x14ac:dyDescent="0.35">
      <c r="Q7974" s="83"/>
    </row>
    <row r="7975" spans="17:17" x14ac:dyDescent="0.35">
      <c r="Q7975" s="83"/>
    </row>
    <row r="7976" spans="17:17" x14ac:dyDescent="0.35">
      <c r="Q7976" s="83"/>
    </row>
    <row r="7977" spans="17:17" x14ac:dyDescent="0.35">
      <c r="Q7977" s="83"/>
    </row>
    <row r="7978" spans="17:17" x14ac:dyDescent="0.35">
      <c r="Q7978" s="83"/>
    </row>
    <row r="7979" spans="17:17" x14ac:dyDescent="0.35">
      <c r="Q7979" s="83"/>
    </row>
    <row r="7980" spans="17:17" x14ac:dyDescent="0.35">
      <c r="Q7980" s="83"/>
    </row>
    <row r="7981" spans="17:17" x14ac:dyDescent="0.35">
      <c r="Q7981" s="83"/>
    </row>
    <row r="7982" spans="17:17" x14ac:dyDescent="0.35">
      <c r="Q7982" s="83"/>
    </row>
    <row r="7983" spans="17:17" x14ac:dyDescent="0.35">
      <c r="Q7983" s="83"/>
    </row>
    <row r="7984" spans="17:17" x14ac:dyDescent="0.35">
      <c r="Q7984" s="83"/>
    </row>
    <row r="7985" spans="17:17" x14ac:dyDescent="0.35">
      <c r="Q7985" s="83"/>
    </row>
    <row r="7986" spans="17:17" x14ac:dyDescent="0.35">
      <c r="Q7986" s="83"/>
    </row>
    <row r="7987" spans="17:17" x14ac:dyDescent="0.35">
      <c r="Q7987" s="83"/>
    </row>
    <row r="7988" spans="17:17" x14ac:dyDescent="0.35">
      <c r="Q7988" s="83"/>
    </row>
    <row r="7989" spans="17:17" x14ac:dyDescent="0.35">
      <c r="Q7989" s="83"/>
    </row>
    <row r="7990" spans="17:17" x14ac:dyDescent="0.35">
      <c r="Q7990" s="83"/>
    </row>
    <row r="7991" spans="17:17" x14ac:dyDescent="0.35">
      <c r="Q7991" s="83"/>
    </row>
    <row r="7992" spans="17:17" x14ac:dyDescent="0.35">
      <c r="Q7992" s="83"/>
    </row>
    <row r="7993" spans="17:17" x14ac:dyDescent="0.35">
      <c r="Q7993" s="83"/>
    </row>
    <row r="7994" spans="17:17" x14ac:dyDescent="0.35">
      <c r="Q7994" s="83"/>
    </row>
    <row r="7995" spans="17:17" x14ac:dyDescent="0.35">
      <c r="Q7995" s="83"/>
    </row>
    <row r="7996" spans="17:17" x14ac:dyDescent="0.35">
      <c r="Q7996" s="83"/>
    </row>
    <row r="7997" spans="17:17" x14ac:dyDescent="0.35">
      <c r="Q7997" s="83"/>
    </row>
    <row r="7998" spans="17:17" x14ac:dyDescent="0.35">
      <c r="Q7998" s="83"/>
    </row>
    <row r="7999" spans="17:17" x14ac:dyDescent="0.35">
      <c r="Q7999" s="83"/>
    </row>
    <row r="8000" spans="17:17" x14ac:dyDescent="0.35">
      <c r="Q8000" s="83"/>
    </row>
    <row r="8001" spans="17:17" x14ac:dyDescent="0.35">
      <c r="Q8001" s="83"/>
    </row>
    <row r="8002" spans="17:17" x14ac:dyDescent="0.35">
      <c r="Q8002" s="83"/>
    </row>
    <row r="8003" spans="17:17" x14ac:dyDescent="0.35">
      <c r="Q8003" s="83"/>
    </row>
    <row r="8004" spans="17:17" x14ac:dyDescent="0.35">
      <c r="Q8004" s="83"/>
    </row>
    <row r="8005" spans="17:17" x14ac:dyDescent="0.35">
      <c r="Q8005" s="83"/>
    </row>
    <row r="8006" spans="17:17" x14ac:dyDescent="0.35">
      <c r="Q8006" s="83"/>
    </row>
    <row r="8007" spans="17:17" x14ac:dyDescent="0.35">
      <c r="Q8007" s="83"/>
    </row>
    <row r="8008" spans="17:17" x14ac:dyDescent="0.35">
      <c r="Q8008" s="83"/>
    </row>
    <row r="8009" spans="17:17" x14ac:dyDescent="0.35">
      <c r="Q8009" s="83"/>
    </row>
    <row r="8010" spans="17:17" x14ac:dyDescent="0.35">
      <c r="Q8010" s="83"/>
    </row>
    <row r="8011" spans="17:17" x14ac:dyDescent="0.35">
      <c r="Q8011" s="83"/>
    </row>
    <row r="8012" spans="17:17" x14ac:dyDescent="0.35">
      <c r="Q8012" s="83"/>
    </row>
    <row r="8013" spans="17:17" x14ac:dyDescent="0.35">
      <c r="Q8013" s="83"/>
    </row>
    <row r="8014" spans="17:17" x14ac:dyDescent="0.35">
      <c r="Q8014" s="83"/>
    </row>
    <row r="8015" spans="17:17" x14ac:dyDescent="0.35">
      <c r="Q8015" s="83"/>
    </row>
    <row r="8016" spans="17:17" x14ac:dyDescent="0.35">
      <c r="Q8016" s="83"/>
    </row>
    <row r="8017" spans="17:17" x14ac:dyDescent="0.35">
      <c r="Q8017" s="83"/>
    </row>
    <row r="8018" spans="17:17" x14ac:dyDescent="0.35">
      <c r="Q8018" s="83"/>
    </row>
    <row r="8019" spans="17:17" x14ac:dyDescent="0.35">
      <c r="Q8019" s="83"/>
    </row>
    <row r="8020" spans="17:17" x14ac:dyDescent="0.35">
      <c r="Q8020" s="83"/>
    </row>
    <row r="8021" spans="17:17" x14ac:dyDescent="0.35">
      <c r="Q8021" s="83"/>
    </row>
    <row r="8022" spans="17:17" x14ac:dyDescent="0.35">
      <c r="Q8022" s="83"/>
    </row>
    <row r="8023" spans="17:17" x14ac:dyDescent="0.35">
      <c r="Q8023" s="83"/>
    </row>
    <row r="8024" spans="17:17" x14ac:dyDescent="0.35">
      <c r="Q8024" s="83"/>
    </row>
    <row r="8025" spans="17:17" x14ac:dyDescent="0.35">
      <c r="Q8025" s="83"/>
    </row>
    <row r="8026" spans="17:17" x14ac:dyDescent="0.35">
      <c r="Q8026" s="83"/>
    </row>
    <row r="8027" spans="17:17" x14ac:dyDescent="0.35">
      <c r="Q8027" s="83"/>
    </row>
    <row r="8028" spans="17:17" x14ac:dyDescent="0.35">
      <c r="Q8028" s="83"/>
    </row>
    <row r="8029" spans="17:17" x14ac:dyDescent="0.35">
      <c r="Q8029" s="83"/>
    </row>
    <row r="8030" spans="17:17" x14ac:dyDescent="0.35">
      <c r="Q8030" s="83"/>
    </row>
    <row r="8031" spans="17:17" x14ac:dyDescent="0.35">
      <c r="Q8031" s="83"/>
    </row>
    <row r="8032" spans="17:17" x14ac:dyDescent="0.35">
      <c r="Q8032" s="83"/>
    </row>
    <row r="8033" spans="17:17" x14ac:dyDescent="0.35">
      <c r="Q8033" s="83"/>
    </row>
    <row r="8034" spans="17:17" x14ac:dyDescent="0.35">
      <c r="Q8034" s="83"/>
    </row>
    <row r="8035" spans="17:17" x14ac:dyDescent="0.35">
      <c r="Q8035" s="83"/>
    </row>
    <row r="8036" spans="17:17" x14ac:dyDescent="0.35">
      <c r="Q8036" s="83"/>
    </row>
    <row r="8037" spans="17:17" x14ac:dyDescent="0.35">
      <c r="Q8037" s="83"/>
    </row>
    <row r="8038" spans="17:17" x14ac:dyDescent="0.35">
      <c r="Q8038" s="83"/>
    </row>
    <row r="8039" spans="17:17" x14ac:dyDescent="0.35">
      <c r="Q8039" s="83"/>
    </row>
    <row r="8040" spans="17:17" x14ac:dyDescent="0.35">
      <c r="Q8040" s="83"/>
    </row>
    <row r="8041" spans="17:17" x14ac:dyDescent="0.35">
      <c r="Q8041" s="83"/>
    </row>
    <row r="8042" spans="17:17" x14ac:dyDescent="0.35">
      <c r="Q8042" s="83"/>
    </row>
    <row r="8043" spans="17:17" x14ac:dyDescent="0.35">
      <c r="Q8043" s="83"/>
    </row>
    <row r="8044" spans="17:17" x14ac:dyDescent="0.35">
      <c r="Q8044" s="83"/>
    </row>
    <row r="8045" spans="17:17" x14ac:dyDescent="0.35">
      <c r="Q8045" s="83"/>
    </row>
    <row r="8046" spans="17:17" x14ac:dyDescent="0.35">
      <c r="Q8046" s="83"/>
    </row>
    <row r="8047" spans="17:17" x14ac:dyDescent="0.35">
      <c r="Q8047" s="83"/>
    </row>
    <row r="8048" spans="17:17" x14ac:dyDescent="0.35">
      <c r="Q8048" s="83"/>
    </row>
    <row r="8049" spans="17:17" x14ac:dyDescent="0.35">
      <c r="Q8049" s="83"/>
    </row>
    <row r="8050" spans="17:17" x14ac:dyDescent="0.35">
      <c r="Q8050" s="83"/>
    </row>
    <row r="8051" spans="17:17" x14ac:dyDescent="0.35">
      <c r="Q8051" s="83"/>
    </row>
    <row r="8052" spans="17:17" x14ac:dyDescent="0.35">
      <c r="Q8052" s="83"/>
    </row>
    <row r="8053" spans="17:17" x14ac:dyDescent="0.35">
      <c r="Q8053" s="83"/>
    </row>
    <row r="8054" spans="17:17" x14ac:dyDescent="0.35">
      <c r="Q8054" s="83"/>
    </row>
    <row r="8055" spans="17:17" x14ac:dyDescent="0.35">
      <c r="Q8055" s="83"/>
    </row>
    <row r="8056" spans="17:17" x14ac:dyDescent="0.35">
      <c r="Q8056" s="83"/>
    </row>
    <row r="8057" spans="17:17" x14ac:dyDescent="0.35">
      <c r="Q8057" s="83"/>
    </row>
    <row r="8058" spans="17:17" x14ac:dyDescent="0.35">
      <c r="Q8058" s="83"/>
    </row>
    <row r="8059" spans="17:17" x14ac:dyDescent="0.35">
      <c r="Q8059" s="83"/>
    </row>
    <row r="8060" spans="17:17" x14ac:dyDescent="0.35">
      <c r="Q8060" s="83"/>
    </row>
    <row r="8061" spans="17:17" x14ac:dyDescent="0.35">
      <c r="Q8061" s="83"/>
    </row>
    <row r="8062" spans="17:17" x14ac:dyDescent="0.35">
      <c r="Q8062" s="83"/>
    </row>
    <row r="8063" spans="17:17" x14ac:dyDescent="0.35">
      <c r="Q8063" s="83"/>
    </row>
    <row r="8064" spans="17:17" x14ac:dyDescent="0.35">
      <c r="Q8064" s="83"/>
    </row>
    <row r="8065" spans="17:17" x14ac:dyDescent="0.35">
      <c r="Q8065" s="83"/>
    </row>
    <row r="8066" spans="17:17" x14ac:dyDescent="0.35">
      <c r="Q8066" s="83"/>
    </row>
    <row r="8067" spans="17:17" x14ac:dyDescent="0.35">
      <c r="Q8067" s="83"/>
    </row>
    <row r="8068" spans="17:17" x14ac:dyDescent="0.35">
      <c r="Q8068" s="83"/>
    </row>
    <row r="8069" spans="17:17" x14ac:dyDescent="0.35">
      <c r="Q8069" s="83"/>
    </row>
    <row r="8070" spans="17:17" x14ac:dyDescent="0.35">
      <c r="Q8070" s="83"/>
    </row>
    <row r="8071" spans="17:17" x14ac:dyDescent="0.35">
      <c r="Q8071" s="83"/>
    </row>
    <row r="8072" spans="17:17" x14ac:dyDescent="0.35">
      <c r="Q8072" s="83"/>
    </row>
    <row r="8073" spans="17:17" x14ac:dyDescent="0.35">
      <c r="Q8073" s="83"/>
    </row>
    <row r="8074" spans="17:17" x14ac:dyDescent="0.35">
      <c r="Q8074" s="83"/>
    </row>
    <row r="8075" spans="17:17" x14ac:dyDescent="0.35">
      <c r="Q8075" s="83"/>
    </row>
    <row r="8076" spans="17:17" x14ac:dyDescent="0.35">
      <c r="Q8076" s="83"/>
    </row>
    <row r="8077" spans="17:17" x14ac:dyDescent="0.35">
      <c r="Q8077" s="83"/>
    </row>
    <row r="8078" spans="17:17" x14ac:dyDescent="0.35">
      <c r="Q8078" s="83"/>
    </row>
    <row r="8079" spans="17:17" x14ac:dyDescent="0.35">
      <c r="Q8079" s="83"/>
    </row>
    <row r="8080" spans="17:17" x14ac:dyDescent="0.35">
      <c r="Q8080" s="83"/>
    </row>
    <row r="8081" spans="17:17" x14ac:dyDescent="0.35">
      <c r="Q8081" s="83"/>
    </row>
    <row r="8082" spans="17:17" x14ac:dyDescent="0.35">
      <c r="Q8082" s="83"/>
    </row>
    <row r="8083" spans="17:17" x14ac:dyDescent="0.35">
      <c r="Q8083" s="83"/>
    </row>
    <row r="8084" spans="17:17" x14ac:dyDescent="0.35">
      <c r="Q8084" s="83"/>
    </row>
    <row r="8085" spans="17:17" x14ac:dyDescent="0.35">
      <c r="Q8085" s="83"/>
    </row>
    <row r="8086" spans="17:17" x14ac:dyDescent="0.35">
      <c r="Q8086" s="83"/>
    </row>
    <row r="8087" spans="17:17" x14ac:dyDescent="0.35">
      <c r="Q8087" s="83"/>
    </row>
    <row r="8088" spans="17:17" x14ac:dyDescent="0.35">
      <c r="Q8088" s="83"/>
    </row>
    <row r="8089" spans="17:17" x14ac:dyDescent="0.35">
      <c r="Q8089" s="83"/>
    </row>
    <row r="8090" spans="17:17" x14ac:dyDescent="0.35">
      <c r="Q8090" s="83"/>
    </row>
    <row r="8091" spans="17:17" x14ac:dyDescent="0.35">
      <c r="Q8091" s="83"/>
    </row>
    <row r="8092" spans="17:17" x14ac:dyDescent="0.35">
      <c r="Q8092" s="83"/>
    </row>
    <row r="8093" spans="17:17" x14ac:dyDescent="0.35">
      <c r="Q8093" s="83"/>
    </row>
    <row r="8094" spans="17:17" x14ac:dyDescent="0.35">
      <c r="Q8094" s="83"/>
    </row>
    <row r="8095" spans="17:17" x14ac:dyDescent="0.35">
      <c r="Q8095" s="83"/>
    </row>
    <row r="8096" spans="17:17" x14ac:dyDescent="0.35">
      <c r="Q8096" s="83"/>
    </row>
    <row r="8097" spans="17:17" x14ac:dyDescent="0.35">
      <c r="Q8097" s="83"/>
    </row>
    <row r="8098" spans="17:17" x14ac:dyDescent="0.35">
      <c r="Q8098" s="83"/>
    </row>
    <row r="8099" spans="17:17" x14ac:dyDescent="0.35">
      <c r="Q8099" s="83"/>
    </row>
    <row r="8100" spans="17:17" x14ac:dyDescent="0.35">
      <c r="Q8100" s="83"/>
    </row>
    <row r="8101" spans="17:17" x14ac:dyDescent="0.35">
      <c r="Q8101" s="83"/>
    </row>
    <row r="8102" spans="17:17" x14ac:dyDescent="0.35">
      <c r="Q8102" s="83"/>
    </row>
    <row r="8103" spans="17:17" x14ac:dyDescent="0.35">
      <c r="Q8103" s="83"/>
    </row>
    <row r="8104" spans="17:17" x14ac:dyDescent="0.35">
      <c r="Q8104" s="83"/>
    </row>
    <row r="8105" spans="17:17" x14ac:dyDescent="0.35">
      <c r="Q8105" s="83"/>
    </row>
    <row r="8106" spans="17:17" x14ac:dyDescent="0.35">
      <c r="Q8106" s="83"/>
    </row>
    <row r="8107" spans="17:17" x14ac:dyDescent="0.35">
      <c r="Q8107" s="83"/>
    </row>
    <row r="8108" spans="17:17" x14ac:dyDescent="0.35">
      <c r="Q8108" s="83"/>
    </row>
    <row r="8109" spans="17:17" x14ac:dyDescent="0.35">
      <c r="Q8109" s="83"/>
    </row>
    <row r="8110" spans="17:17" x14ac:dyDescent="0.35">
      <c r="Q8110" s="83"/>
    </row>
    <row r="8111" spans="17:17" x14ac:dyDescent="0.35">
      <c r="Q8111" s="83"/>
    </row>
    <row r="8112" spans="17:17" x14ac:dyDescent="0.35">
      <c r="Q8112" s="83"/>
    </row>
    <row r="8113" spans="17:17" x14ac:dyDescent="0.35">
      <c r="Q8113" s="83"/>
    </row>
    <row r="8114" spans="17:17" x14ac:dyDescent="0.35">
      <c r="Q8114" s="83"/>
    </row>
    <row r="8115" spans="17:17" x14ac:dyDescent="0.35">
      <c r="Q8115" s="83"/>
    </row>
    <row r="8116" spans="17:17" x14ac:dyDescent="0.35">
      <c r="Q8116" s="83"/>
    </row>
    <row r="8117" spans="17:17" x14ac:dyDescent="0.35">
      <c r="Q8117" s="83"/>
    </row>
    <row r="8118" spans="17:17" x14ac:dyDescent="0.35">
      <c r="Q8118" s="83"/>
    </row>
    <row r="8119" spans="17:17" x14ac:dyDescent="0.35">
      <c r="Q8119" s="83"/>
    </row>
    <row r="8120" spans="17:17" x14ac:dyDescent="0.35">
      <c r="Q8120" s="83"/>
    </row>
    <row r="8121" spans="17:17" x14ac:dyDescent="0.35">
      <c r="Q8121" s="83"/>
    </row>
    <row r="8122" spans="17:17" x14ac:dyDescent="0.35">
      <c r="Q8122" s="83"/>
    </row>
    <row r="8123" spans="17:17" x14ac:dyDescent="0.35">
      <c r="Q8123" s="83"/>
    </row>
    <row r="8124" spans="17:17" x14ac:dyDescent="0.35">
      <c r="Q8124" s="83"/>
    </row>
    <row r="8125" spans="17:17" x14ac:dyDescent="0.35">
      <c r="Q8125" s="83"/>
    </row>
    <row r="8126" spans="17:17" x14ac:dyDescent="0.35">
      <c r="Q8126" s="83"/>
    </row>
    <row r="8127" spans="17:17" x14ac:dyDescent="0.35">
      <c r="Q8127" s="83"/>
    </row>
    <row r="8128" spans="17:17" x14ac:dyDescent="0.35">
      <c r="Q8128" s="83"/>
    </row>
    <row r="8129" spans="17:17" x14ac:dyDescent="0.35">
      <c r="Q8129" s="83"/>
    </row>
    <row r="8130" spans="17:17" x14ac:dyDescent="0.35">
      <c r="Q8130" s="83"/>
    </row>
    <row r="8131" spans="17:17" x14ac:dyDescent="0.35">
      <c r="Q8131" s="83"/>
    </row>
    <row r="8132" spans="17:17" x14ac:dyDescent="0.35">
      <c r="Q8132" s="83"/>
    </row>
    <row r="8133" spans="17:17" x14ac:dyDescent="0.35">
      <c r="Q8133" s="83"/>
    </row>
    <row r="8134" spans="17:17" x14ac:dyDescent="0.35">
      <c r="Q8134" s="83"/>
    </row>
    <row r="8135" spans="17:17" x14ac:dyDescent="0.35">
      <c r="Q8135" s="83"/>
    </row>
    <row r="8136" spans="17:17" x14ac:dyDescent="0.35">
      <c r="Q8136" s="83"/>
    </row>
    <row r="8137" spans="17:17" x14ac:dyDescent="0.35">
      <c r="Q8137" s="83"/>
    </row>
    <row r="8138" spans="17:17" x14ac:dyDescent="0.35">
      <c r="Q8138" s="83"/>
    </row>
    <row r="8139" spans="17:17" x14ac:dyDescent="0.35">
      <c r="Q8139" s="83"/>
    </row>
    <row r="8140" spans="17:17" x14ac:dyDescent="0.35">
      <c r="Q8140" s="83"/>
    </row>
    <row r="8141" spans="17:17" x14ac:dyDescent="0.35">
      <c r="Q8141" s="83"/>
    </row>
    <row r="8142" spans="17:17" x14ac:dyDescent="0.35">
      <c r="Q8142" s="83"/>
    </row>
    <row r="8143" spans="17:17" x14ac:dyDescent="0.35">
      <c r="Q8143" s="83"/>
    </row>
    <row r="8144" spans="17:17" x14ac:dyDescent="0.35">
      <c r="Q8144" s="83"/>
    </row>
    <row r="8145" spans="17:17" x14ac:dyDescent="0.35">
      <c r="Q8145" s="83"/>
    </row>
    <row r="8146" spans="17:17" x14ac:dyDescent="0.35">
      <c r="Q8146" s="83"/>
    </row>
    <row r="8147" spans="17:17" x14ac:dyDescent="0.35">
      <c r="Q8147" s="83"/>
    </row>
    <row r="8148" spans="17:17" x14ac:dyDescent="0.35">
      <c r="Q8148" s="83"/>
    </row>
    <row r="8149" spans="17:17" x14ac:dyDescent="0.35">
      <c r="Q8149" s="83"/>
    </row>
    <row r="8150" spans="17:17" x14ac:dyDescent="0.35">
      <c r="Q8150" s="83"/>
    </row>
    <row r="8151" spans="17:17" x14ac:dyDescent="0.35">
      <c r="Q8151" s="83"/>
    </row>
    <row r="8152" spans="17:17" x14ac:dyDescent="0.35">
      <c r="Q8152" s="83"/>
    </row>
    <row r="8153" spans="17:17" x14ac:dyDescent="0.35">
      <c r="Q8153" s="83"/>
    </row>
    <row r="8154" spans="17:17" x14ac:dyDescent="0.35">
      <c r="Q8154" s="83"/>
    </row>
    <row r="8155" spans="17:17" x14ac:dyDescent="0.35">
      <c r="Q8155" s="83"/>
    </row>
    <row r="8156" spans="17:17" x14ac:dyDescent="0.35">
      <c r="Q8156" s="83"/>
    </row>
    <row r="8157" spans="17:17" x14ac:dyDescent="0.35">
      <c r="Q8157" s="83"/>
    </row>
    <row r="8158" spans="17:17" x14ac:dyDescent="0.35">
      <c r="Q8158" s="83"/>
    </row>
    <row r="8159" spans="17:17" x14ac:dyDescent="0.35">
      <c r="Q8159" s="83"/>
    </row>
    <row r="8160" spans="17:17" x14ac:dyDescent="0.35">
      <c r="Q8160" s="83"/>
    </row>
    <row r="8161" spans="17:17" x14ac:dyDescent="0.35">
      <c r="Q8161" s="83"/>
    </row>
    <row r="8162" spans="17:17" x14ac:dyDescent="0.35">
      <c r="Q8162" s="83"/>
    </row>
    <row r="8163" spans="17:17" x14ac:dyDescent="0.35">
      <c r="Q8163" s="83"/>
    </row>
    <row r="8164" spans="17:17" x14ac:dyDescent="0.35">
      <c r="Q8164" s="83"/>
    </row>
    <row r="8165" spans="17:17" x14ac:dyDescent="0.35">
      <c r="Q8165" s="83"/>
    </row>
    <row r="8166" spans="17:17" x14ac:dyDescent="0.35">
      <c r="Q8166" s="83"/>
    </row>
    <row r="8167" spans="17:17" x14ac:dyDescent="0.35">
      <c r="Q8167" s="83"/>
    </row>
    <row r="8168" spans="17:17" x14ac:dyDescent="0.35">
      <c r="Q8168" s="83"/>
    </row>
    <row r="8169" spans="17:17" x14ac:dyDescent="0.35">
      <c r="Q8169" s="83"/>
    </row>
    <row r="8170" spans="17:17" x14ac:dyDescent="0.35">
      <c r="Q8170" s="83"/>
    </row>
    <row r="8171" spans="17:17" x14ac:dyDescent="0.35">
      <c r="Q8171" s="83"/>
    </row>
    <row r="8172" spans="17:17" x14ac:dyDescent="0.35">
      <c r="Q8172" s="83"/>
    </row>
    <row r="8173" spans="17:17" x14ac:dyDescent="0.35">
      <c r="Q8173" s="83"/>
    </row>
    <row r="8174" spans="17:17" x14ac:dyDescent="0.35">
      <c r="Q8174" s="83"/>
    </row>
    <row r="8175" spans="17:17" x14ac:dyDescent="0.35">
      <c r="Q8175" s="83"/>
    </row>
    <row r="8176" spans="17:17" x14ac:dyDescent="0.35">
      <c r="Q8176" s="83"/>
    </row>
    <row r="8177" spans="17:17" x14ac:dyDescent="0.35">
      <c r="Q8177" s="83"/>
    </row>
    <row r="8178" spans="17:17" x14ac:dyDescent="0.35">
      <c r="Q8178" s="83"/>
    </row>
    <row r="8179" spans="17:17" x14ac:dyDescent="0.35">
      <c r="Q8179" s="83"/>
    </row>
    <row r="8180" spans="17:17" x14ac:dyDescent="0.35">
      <c r="Q8180" s="83"/>
    </row>
    <row r="8181" spans="17:17" x14ac:dyDescent="0.35">
      <c r="Q8181" s="83"/>
    </row>
    <row r="8182" spans="17:17" x14ac:dyDescent="0.35">
      <c r="Q8182" s="83"/>
    </row>
    <row r="8183" spans="17:17" x14ac:dyDescent="0.35">
      <c r="Q8183" s="83"/>
    </row>
    <row r="8184" spans="17:17" x14ac:dyDescent="0.35">
      <c r="Q8184" s="83"/>
    </row>
    <row r="8185" spans="17:17" x14ac:dyDescent="0.35">
      <c r="Q8185" s="83"/>
    </row>
    <row r="8186" spans="17:17" x14ac:dyDescent="0.35">
      <c r="Q8186" s="83"/>
    </row>
    <row r="8187" spans="17:17" x14ac:dyDescent="0.35">
      <c r="Q8187" s="83"/>
    </row>
    <row r="8188" spans="17:17" x14ac:dyDescent="0.35">
      <c r="Q8188" s="83"/>
    </row>
    <row r="8189" spans="17:17" x14ac:dyDescent="0.35">
      <c r="Q8189" s="83"/>
    </row>
    <row r="8190" spans="17:17" x14ac:dyDescent="0.35">
      <c r="Q8190" s="83"/>
    </row>
    <row r="8191" spans="17:17" x14ac:dyDescent="0.35">
      <c r="Q8191" s="83"/>
    </row>
    <row r="8192" spans="17:17" x14ac:dyDescent="0.35">
      <c r="Q8192" s="83"/>
    </row>
    <row r="8193" spans="17:17" x14ac:dyDescent="0.35">
      <c r="Q8193" s="83"/>
    </row>
    <row r="8194" spans="17:17" x14ac:dyDescent="0.35">
      <c r="Q8194" s="83"/>
    </row>
    <row r="8195" spans="17:17" x14ac:dyDescent="0.35">
      <c r="Q8195" s="83"/>
    </row>
    <row r="8196" spans="17:17" x14ac:dyDescent="0.35">
      <c r="Q8196" s="83"/>
    </row>
    <row r="8197" spans="17:17" x14ac:dyDescent="0.35">
      <c r="Q8197" s="83"/>
    </row>
    <row r="8198" spans="17:17" x14ac:dyDescent="0.35">
      <c r="Q8198" s="83"/>
    </row>
    <row r="8199" spans="17:17" x14ac:dyDescent="0.35">
      <c r="Q8199" s="83"/>
    </row>
    <row r="8200" spans="17:17" x14ac:dyDescent="0.35">
      <c r="Q8200" s="83"/>
    </row>
    <row r="8201" spans="17:17" x14ac:dyDescent="0.35">
      <c r="Q8201" s="83"/>
    </row>
    <row r="8202" spans="17:17" x14ac:dyDescent="0.35">
      <c r="Q8202" s="83"/>
    </row>
    <row r="8203" spans="17:17" x14ac:dyDescent="0.35">
      <c r="Q8203" s="83"/>
    </row>
    <row r="8204" spans="17:17" x14ac:dyDescent="0.35">
      <c r="Q8204" s="83"/>
    </row>
    <row r="8205" spans="17:17" x14ac:dyDescent="0.35">
      <c r="Q8205" s="83"/>
    </row>
    <row r="8206" spans="17:17" x14ac:dyDescent="0.35">
      <c r="Q8206" s="83"/>
    </row>
    <row r="8207" spans="17:17" x14ac:dyDescent="0.35">
      <c r="Q8207" s="83"/>
    </row>
    <row r="8208" spans="17:17" x14ac:dyDescent="0.35">
      <c r="Q8208" s="83"/>
    </row>
    <row r="8209" spans="17:17" x14ac:dyDescent="0.35">
      <c r="Q8209" s="83"/>
    </row>
    <row r="8210" spans="17:17" x14ac:dyDescent="0.35">
      <c r="Q8210" s="83"/>
    </row>
    <row r="8211" spans="17:17" x14ac:dyDescent="0.35">
      <c r="Q8211" s="83"/>
    </row>
    <row r="8212" spans="17:17" x14ac:dyDescent="0.35">
      <c r="Q8212" s="83"/>
    </row>
    <row r="8213" spans="17:17" x14ac:dyDescent="0.35">
      <c r="Q8213" s="83"/>
    </row>
    <row r="8214" spans="17:17" x14ac:dyDescent="0.35">
      <c r="Q8214" s="83"/>
    </row>
    <row r="8215" spans="17:17" x14ac:dyDescent="0.35">
      <c r="Q8215" s="83"/>
    </row>
    <row r="8216" spans="17:17" x14ac:dyDescent="0.35">
      <c r="Q8216" s="83"/>
    </row>
    <row r="8217" spans="17:17" x14ac:dyDescent="0.35">
      <c r="Q8217" s="83"/>
    </row>
    <row r="8218" spans="17:17" x14ac:dyDescent="0.35">
      <c r="Q8218" s="83"/>
    </row>
    <row r="8219" spans="17:17" x14ac:dyDescent="0.35">
      <c r="Q8219" s="83"/>
    </row>
    <row r="8220" spans="17:17" x14ac:dyDescent="0.35">
      <c r="Q8220" s="83"/>
    </row>
    <row r="8221" spans="17:17" x14ac:dyDescent="0.35">
      <c r="Q8221" s="83"/>
    </row>
    <row r="8222" spans="17:17" x14ac:dyDescent="0.35">
      <c r="Q8222" s="83"/>
    </row>
    <row r="8223" spans="17:17" x14ac:dyDescent="0.35">
      <c r="Q8223" s="83"/>
    </row>
    <row r="8224" spans="17:17" x14ac:dyDescent="0.35">
      <c r="Q8224" s="83"/>
    </row>
    <row r="8225" spans="17:17" x14ac:dyDescent="0.35">
      <c r="Q8225" s="83"/>
    </row>
    <row r="8226" spans="17:17" x14ac:dyDescent="0.35">
      <c r="Q8226" s="83"/>
    </row>
    <row r="8227" spans="17:17" x14ac:dyDescent="0.35">
      <c r="Q8227" s="83"/>
    </row>
    <row r="8228" spans="17:17" x14ac:dyDescent="0.35">
      <c r="Q8228" s="83"/>
    </row>
    <row r="8229" spans="17:17" x14ac:dyDescent="0.35">
      <c r="Q8229" s="83"/>
    </row>
    <row r="8230" spans="17:17" x14ac:dyDescent="0.35">
      <c r="Q8230" s="83"/>
    </row>
    <row r="8231" spans="17:17" x14ac:dyDescent="0.35">
      <c r="Q8231" s="83"/>
    </row>
    <row r="8232" spans="17:17" x14ac:dyDescent="0.35">
      <c r="Q8232" s="83"/>
    </row>
    <row r="8233" spans="17:17" x14ac:dyDescent="0.35">
      <c r="Q8233" s="83"/>
    </row>
    <row r="8234" spans="17:17" x14ac:dyDescent="0.35">
      <c r="Q8234" s="83"/>
    </row>
    <row r="8235" spans="17:17" x14ac:dyDescent="0.35">
      <c r="Q8235" s="83"/>
    </row>
    <row r="8236" spans="17:17" x14ac:dyDescent="0.35">
      <c r="Q8236" s="83"/>
    </row>
    <row r="8237" spans="17:17" x14ac:dyDescent="0.35">
      <c r="Q8237" s="83"/>
    </row>
    <row r="8238" spans="17:17" x14ac:dyDescent="0.35">
      <c r="Q8238" s="83"/>
    </row>
    <row r="8239" spans="17:17" x14ac:dyDescent="0.35">
      <c r="Q8239" s="83"/>
    </row>
    <row r="8240" spans="17:17" x14ac:dyDescent="0.35">
      <c r="Q8240" s="83"/>
    </row>
    <row r="8241" spans="17:17" x14ac:dyDescent="0.35">
      <c r="Q8241" s="83"/>
    </row>
    <row r="8242" spans="17:17" x14ac:dyDescent="0.35">
      <c r="Q8242" s="83"/>
    </row>
    <row r="8243" spans="17:17" x14ac:dyDescent="0.35">
      <c r="Q8243" s="83"/>
    </row>
    <row r="8244" spans="17:17" x14ac:dyDescent="0.35">
      <c r="Q8244" s="83"/>
    </row>
    <row r="8245" spans="17:17" x14ac:dyDescent="0.35">
      <c r="Q8245" s="83"/>
    </row>
    <row r="8246" spans="17:17" x14ac:dyDescent="0.35">
      <c r="Q8246" s="83"/>
    </row>
    <row r="8247" spans="17:17" x14ac:dyDescent="0.35">
      <c r="Q8247" s="83"/>
    </row>
    <row r="8248" spans="17:17" x14ac:dyDescent="0.35">
      <c r="Q8248" s="83"/>
    </row>
    <row r="8249" spans="17:17" x14ac:dyDescent="0.35">
      <c r="Q8249" s="83"/>
    </row>
    <row r="8250" spans="17:17" x14ac:dyDescent="0.35">
      <c r="Q8250" s="83"/>
    </row>
    <row r="8251" spans="17:17" x14ac:dyDescent="0.35">
      <c r="Q8251" s="83"/>
    </row>
    <row r="8252" spans="17:17" x14ac:dyDescent="0.35">
      <c r="Q8252" s="83"/>
    </row>
    <row r="8253" spans="17:17" x14ac:dyDescent="0.35">
      <c r="Q8253" s="83"/>
    </row>
    <row r="8254" spans="17:17" x14ac:dyDescent="0.35">
      <c r="Q8254" s="83"/>
    </row>
    <row r="8255" spans="17:17" x14ac:dyDescent="0.35">
      <c r="Q8255" s="83"/>
    </row>
    <row r="8256" spans="17:17" x14ac:dyDescent="0.35">
      <c r="Q8256" s="83"/>
    </row>
    <row r="8257" spans="17:17" x14ac:dyDescent="0.35">
      <c r="Q8257" s="83"/>
    </row>
    <row r="8258" spans="17:17" x14ac:dyDescent="0.35">
      <c r="Q8258" s="83"/>
    </row>
    <row r="8259" spans="17:17" x14ac:dyDescent="0.35">
      <c r="Q8259" s="83"/>
    </row>
    <row r="8260" spans="17:17" x14ac:dyDescent="0.35">
      <c r="Q8260" s="83"/>
    </row>
    <row r="8261" spans="17:17" x14ac:dyDescent="0.35">
      <c r="Q8261" s="83"/>
    </row>
    <row r="8262" spans="17:17" x14ac:dyDescent="0.35">
      <c r="Q8262" s="83"/>
    </row>
    <row r="8263" spans="17:17" x14ac:dyDescent="0.35">
      <c r="Q8263" s="83"/>
    </row>
    <row r="8264" spans="17:17" x14ac:dyDescent="0.35">
      <c r="Q8264" s="83"/>
    </row>
    <row r="8265" spans="17:17" x14ac:dyDescent="0.35">
      <c r="Q8265" s="83"/>
    </row>
    <row r="8266" spans="17:17" x14ac:dyDescent="0.35">
      <c r="Q8266" s="83"/>
    </row>
    <row r="8267" spans="17:17" x14ac:dyDescent="0.35">
      <c r="Q8267" s="83"/>
    </row>
    <row r="8268" spans="17:17" x14ac:dyDescent="0.35">
      <c r="Q8268" s="83"/>
    </row>
    <row r="8269" spans="17:17" x14ac:dyDescent="0.35">
      <c r="Q8269" s="83"/>
    </row>
    <row r="8270" spans="17:17" x14ac:dyDescent="0.35">
      <c r="Q8270" s="83"/>
    </row>
    <row r="8271" spans="17:17" x14ac:dyDescent="0.35">
      <c r="Q8271" s="83"/>
    </row>
    <row r="8272" spans="17:17" x14ac:dyDescent="0.35">
      <c r="Q8272" s="83"/>
    </row>
    <row r="8273" spans="17:17" x14ac:dyDescent="0.35">
      <c r="Q8273" s="83"/>
    </row>
    <row r="8274" spans="17:17" x14ac:dyDescent="0.35">
      <c r="Q8274" s="83"/>
    </row>
    <row r="8275" spans="17:17" x14ac:dyDescent="0.35">
      <c r="Q8275" s="83"/>
    </row>
    <row r="8276" spans="17:17" x14ac:dyDescent="0.35">
      <c r="Q8276" s="83"/>
    </row>
    <row r="8277" spans="17:17" x14ac:dyDescent="0.35">
      <c r="Q8277" s="83"/>
    </row>
    <row r="8278" spans="17:17" x14ac:dyDescent="0.35">
      <c r="Q8278" s="83"/>
    </row>
    <row r="8279" spans="17:17" x14ac:dyDescent="0.35">
      <c r="Q8279" s="83"/>
    </row>
    <row r="8280" spans="17:17" x14ac:dyDescent="0.35">
      <c r="Q8280" s="83"/>
    </row>
    <row r="8281" spans="17:17" x14ac:dyDescent="0.35">
      <c r="Q8281" s="83"/>
    </row>
    <row r="8282" spans="17:17" x14ac:dyDescent="0.35">
      <c r="Q8282" s="83"/>
    </row>
    <row r="8283" spans="17:17" x14ac:dyDescent="0.35">
      <c r="Q8283" s="83"/>
    </row>
    <row r="8284" spans="17:17" x14ac:dyDescent="0.35">
      <c r="Q8284" s="83"/>
    </row>
    <row r="8285" spans="17:17" x14ac:dyDescent="0.35">
      <c r="Q8285" s="83"/>
    </row>
    <row r="8286" spans="17:17" x14ac:dyDescent="0.35">
      <c r="Q8286" s="83"/>
    </row>
    <row r="8287" spans="17:17" x14ac:dyDescent="0.35">
      <c r="Q8287" s="83"/>
    </row>
    <row r="8288" spans="17:17" x14ac:dyDescent="0.35">
      <c r="Q8288" s="83"/>
    </row>
    <row r="8289" spans="17:17" x14ac:dyDescent="0.35">
      <c r="Q8289" s="83"/>
    </row>
    <row r="8290" spans="17:17" x14ac:dyDescent="0.35">
      <c r="Q8290" s="83"/>
    </row>
    <row r="8291" spans="17:17" x14ac:dyDescent="0.35">
      <c r="Q8291" s="83"/>
    </row>
    <row r="8292" spans="17:17" x14ac:dyDescent="0.35">
      <c r="Q8292" s="83"/>
    </row>
    <row r="8293" spans="17:17" x14ac:dyDescent="0.35">
      <c r="Q8293" s="83"/>
    </row>
    <row r="8294" spans="17:17" x14ac:dyDescent="0.35">
      <c r="Q8294" s="83"/>
    </row>
    <row r="8295" spans="17:17" x14ac:dyDescent="0.35">
      <c r="Q8295" s="83"/>
    </row>
    <row r="8296" spans="17:17" x14ac:dyDescent="0.35">
      <c r="Q8296" s="83"/>
    </row>
    <row r="8297" spans="17:17" x14ac:dyDescent="0.35">
      <c r="Q8297" s="83"/>
    </row>
    <row r="8298" spans="17:17" x14ac:dyDescent="0.35">
      <c r="Q8298" s="83"/>
    </row>
    <row r="8299" spans="17:17" x14ac:dyDescent="0.35">
      <c r="Q8299" s="83"/>
    </row>
    <row r="8300" spans="17:17" x14ac:dyDescent="0.35">
      <c r="Q8300" s="83"/>
    </row>
    <row r="8301" spans="17:17" x14ac:dyDescent="0.35">
      <c r="Q8301" s="83"/>
    </row>
    <row r="8302" spans="17:17" x14ac:dyDescent="0.35">
      <c r="Q8302" s="83"/>
    </row>
    <row r="8303" spans="17:17" x14ac:dyDescent="0.35">
      <c r="Q8303" s="83"/>
    </row>
    <row r="8304" spans="17:17" x14ac:dyDescent="0.35">
      <c r="Q8304" s="83"/>
    </row>
    <row r="8305" spans="17:17" x14ac:dyDescent="0.35">
      <c r="Q8305" s="83"/>
    </row>
    <row r="8306" spans="17:17" x14ac:dyDescent="0.35">
      <c r="Q8306" s="83"/>
    </row>
    <row r="8307" spans="17:17" x14ac:dyDescent="0.35">
      <c r="Q8307" s="83"/>
    </row>
    <row r="8308" spans="17:17" x14ac:dyDescent="0.35">
      <c r="Q8308" s="83"/>
    </row>
    <row r="8309" spans="17:17" x14ac:dyDescent="0.35">
      <c r="Q8309" s="83"/>
    </row>
    <row r="8310" spans="17:17" x14ac:dyDescent="0.35">
      <c r="Q8310" s="83"/>
    </row>
    <row r="8311" spans="17:17" x14ac:dyDescent="0.35">
      <c r="Q8311" s="83"/>
    </row>
    <row r="8312" spans="17:17" x14ac:dyDescent="0.35">
      <c r="Q8312" s="83"/>
    </row>
    <row r="8313" spans="17:17" x14ac:dyDescent="0.35">
      <c r="Q8313" s="83"/>
    </row>
    <row r="8314" spans="17:17" x14ac:dyDescent="0.35">
      <c r="Q8314" s="83"/>
    </row>
    <row r="8315" spans="17:17" x14ac:dyDescent="0.35">
      <c r="Q8315" s="83"/>
    </row>
    <row r="8316" spans="17:17" x14ac:dyDescent="0.35">
      <c r="Q8316" s="83"/>
    </row>
    <row r="8317" spans="17:17" x14ac:dyDescent="0.35">
      <c r="Q8317" s="83"/>
    </row>
    <row r="8318" spans="17:17" x14ac:dyDescent="0.35">
      <c r="Q8318" s="83"/>
    </row>
    <row r="8319" spans="17:17" x14ac:dyDescent="0.35">
      <c r="Q8319" s="83"/>
    </row>
    <row r="8320" spans="17:17" x14ac:dyDescent="0.35">
      <c r="Q8320" s="83"/>
    </row>
    <row r="8321" spans="17:17" x14ac:dyDescent="0.35">
      <c r="Q8321" s="83"/>
    </row>
    <row r="8322" spans="17:17" x14ac:dyDescent="0.35">
      <c r="Q8322" s="83"/>
    </row>
    <row r="8323" spans="17:17" x14ac:dyDescent="0.35">
      <c r="Q8323" s="83"/>
    </row>
    <row r="8324" spans="17:17" x14ac:dyDescent="0.35">
      <c r="Q8324" s="83"/>
    </row>
    <row r="8325" spans="17:17" x14ac:dyDescent="0.35">
      <c r="Q8325" s="83"/>
    </row>
    <row r="8326" spans="17:17" x14ac:dyDescent="0.35">
      <c r="Q8326" s="83"/>
    </row>
    <row r="8327" spans="17:17" x14ac:dyDescent="0.35">
      <c r="Q8327" s="83"/>
    </row>
    <row r="8328" spans="17:17" x14ac:dyDescent="0.35">
      <c r="Q8328" s="83"/>
    </row>
    <row r="8329" spans="17:17" x14ac:dyDescent="0.35">
      <c r="Q8329" s="83"/>
    </row>
    <row r="8330" spans="17:17" x14ac:dyDescent="0.35">
      <c r="Q8330" s="83"/>
    </row>
    <row r="8331" spans="17:17" x14ac:dyDescent="0.35">
      <c r="Q8331" s="83"/>
    </row>
    <row r="8332" spans="17:17" x14ac:dyDescent="0.35">
      <c r="Q8332" s="83"/>
    </row>
    <row r="8333" spans="17:17" x14ac:dyDescent="0.35">
      <c r="Q8333" s="83"/>
    </row>
    <row r="8334" spans="17:17" x14ac:dyDescent="0.35">
      <c r="Q8334" s="83"/>
    </row>
    <row r="8335" spans="17:17" x14ac:dyDescent="0.35">
      <c r="Q8335" s="83"/>
    </row>
    <row r="8336" spans="17:17" x14ac:dyDescent="0.35">
      <c r="Q8336" s="83"/>
    </row>
    <row r="8337" spans="17:17" x14ac:dyDescent="0.35">
      <c r="Q8337" s="83"/>
    </row>
    <row r="8338" spans="17:17" x14ac:dyDescent="0.35">
      <c r="Q8338" s="83"/>
    </row>
    <row r="8339" spans="17:17" x14ac:dyDescent="0.35">
      <c r="Q8339" s="83"/>
    </row>
    <row r="8340" spans="17:17" x14ac:dyDescent="0.35">
      <c r="Q8340" s="83"/>
    </row>
    <row r="8341" spans="17:17" x14ac:dyDescent="0.35">
      <c r="Q8341" s="83"/>
    </row>
    <row r="8342" spans="17:17" x14ac:dyDescent="0.35">
      <c r="Q8342" s="83"/>
    </row>
    <row r="8343" spans="17:17" x14ac:dyDescent="0.35">
      <c r="Q8343" s="83"/>
    </row>
    <row r="8344" spans="17:17" x14ac:dyDescent="0.35">
      <c r="Q8344" s="83"/>
    </row>
    <row r="8345" spans="17:17" x14ac:dyDescent="0.35">
      <c r="Q8345" s="83"/>
    </row>
    <row r="8346" spans="17:17" x14ac:dyDescent="0.35">
      <c r="Q8346" s="83"/>
    </row>
    <row r="8347" spans="17:17" x14ac:dyDescent="0.35">
      <c r="Q8347" s="83"/>
    </row>
    <row r="8348" spans="17:17" x14ac:dyDescent="0.35">
      <c r="Q8348" s="83"/>
    </row>
    <row r="8349" spans="17:17" x14ac:dyDescent="0.35">
      <c r="Q8349" s="83"/>
    </row>
    <row r="8350" spans="17:17" x14ac:dyDescent="0.35">
      <c r="Q8350" s="83"/>
    </row>
    <row r="8351" spans="17:17" x14ac:dyDescent="0.35">
      <c r="Q8351" s="83"/>
    </row>
    <row r="8352" spans="17:17" x14ac:dyDescent="0.35">
      <c r="Q8352" s="83"/>
    </row>
    <row r="8353" spans="17:17" x14ac:dyDescent="0.35">
      <c r="Q8353" s="83"/>
    </row>
    <row r="8354" spans="17:17" x14ac:dyDescent="0.35">
      <c r="Q8354" s="83"/>
    </row>
    <row r="8355" spans="17:17" x14ac:dyDescent="0.35">
      <c r="Q8355" s="83"/>
    </row>
    <row r="8356" spans="17:17" x14ac:dyDescent="0.35">
      <c r="Q8356" s="83"/>
    </row>
    <row r="8357" spans="17:17" x14ac:dyDescent="0.35">
      <c r="Q8357" s="83"/>
    </row>
    <row r="8358" spans="17:17" x14ac:dyDescent="0.35">
      <c r="Q8358" s="83"/>
    </row>
    <row r="8359" spans="17:17" x14ac:dyDescent="0.35">
      <c r="Q8359" s="83"/>
    </row>
    <row r="8360" spans="17:17" x14ac:dyDescent="0.35">
      <c r="Q8360" s="83"/>
    </row>
    <row r="8361" spans="17:17" x14ac:dyDescent="0.35">
      <c r="Q8361" s="83"/>
    </row>
    <row r="8362" spans="17:17" x14ac:dyDescent="0.35">
      <c r="Q8362" s="83"/>
    </row>
    <row r="8363" spans="17:17" x14ac:dyDescent="0.35">
      <c r="Q8363" s="83"/>
    </row>
    <row r="8364" spans="17:17" x14ac:dyDescent="0.35">
      <c r="Q8364" s="83"/>
    </row>
    <row r="8365" spans="17:17" x14ac:dyDescent="0.35">
      <c r="Q8365" s="83"/>
    </row>
    <row r="8366" spans="17:17" x14ac:dyDescent="0.35">
      <c r="Q8366" s="83"/>
    </row>
    <row r="8367" spans="17:17" x14ac:dyDescent="0.35">
      <c r="Q8367" s="83"/>
    </row>
    <row r="8368" spans="17:17" x14ac:dyDescent="0.35">
      <c r="Q8368" s="83"/>
    </row>
    <row r="8369" spans="17:17" x14ac:dyDescent="0.35">
      <c r="Q8369" s="83"/>
    </row>
    <row r="8370" spans="17:17" x14ac:dyDescent="0.35">
      <c r="Q8370" s="83"/>
    </row>
    <row r="8371" spans="17:17" x14ac:dyDescent="0.35">
      <c r="Q8371" s="83"/>
    </row>
    <row r="8372" spans="17:17" x14ac:dyDescent="0.35">
      <c r="Q8372" s="83"/>
    </row>
    <row r="8373" spans="17:17" x14ac:dyDescent="0.35">
      <c r="Q8373" s="83"/>
    </row>
    <row r="8374" spans="17:17" x14ac:dyDescent="0.35">
      <c r="Q8374" s="83"/>
    </row>
    <row r="8375" spans="17:17" x14ac:dyDescent="0.35">
      <c r="Q8375" s="83"/>
    </row>
    <row r="8376" spans="17:17" x14ac:dyDescent="0.35">
      <c r="Q8376" s="83"/>
    </row>
    <row r="8377" spans="17:17" x14ac:dyDescent="0.35">
      <c r="Q8377" s="83"/>
    </row>
    <row r="8378" spans="17:17" x14ac:dyDescent="0.35">
      <c r="Q8378" s="83"/>
    </row>
    <row r="8379" spans="17:17" x14ac:dyDescent="0.35">
      <c r="Q8379" s="83"/>
    </row>
    <row r="8380" spans="17:17" x14ac:dyDescent="0.35">
      <c r="Q8380" s="83"/>
    </row>
    <row r="8381" spans="17:17" x14ac:dyDescent="0.35">
      <c r="Q8381" s="83"/>
    </row>
    <row r="8382" spans="17:17" x14ac:dyDescent="0.35">
      <c r="Q8382" s="83"/>
    </row>
    <row r="8383" spans="17:17" x14ac:dyDescent="0.35">
      <c r="Q8383" s="83"/>
    </row>
    <row r="8384" spans="17:17" x14ac:dyDescent="0.35">
      <c r="Q8384" s="83"/>
    </row>
    <row r="8385" spans="17:17" x14ac:dyDescent="0.35">
      <c r="Q8385" s="83"/>
    </row>
    <row r="8386" spans="17:17" x14ac:dyDescent="0.35">
      <c r="Q8386" s="83"/>
    </row>
    <row r="8387" spans="17:17" x14ac:dyDescent="0.35">
      <c r="Q8387" s="83"/>
    </row>
    <row r="8388" spans="17:17" x14ac:dyDescent="0.35">
      <c r="Q8388" s="83"/>
    </row>
    <row r="8389" spans="17:17" x14ac:dyDescent="0.35">
      <c r="Q8389" s="83"/>
    </row>
    <row r="8390" spans="17:17" x14ac:dyDescent="0.35">
      <c r="Q8390" s="83"/>
    </row>
    <row r="8391" spans="17:17" x14ac:dyDescent="0.35">
      <c r="Q8391" s="83"/>
    </row>
    <row r="8392" spans="17:17" x14ac:dyDescent="0.35">
      <c r="Q8392" s="83"/>
    </row>
    <row r="8393" spans="17:17" x14ac:dyDescent="0.35">
      <c r="Q8393" s="83"/>
    </row>
    <row r="8394" spans="17:17" x14ac:dyDescent="0.35">
      <c r="Q8394" s="83"/>
    </row>
    <row r="8395" spans="17:17" x14ac:dyDescent="0.35">
      <c r="Q8395" s="83"/>
    </row>
    <row r="8396" spans="17:17" x14ac:dyDescent="0.35">
      <c r="Q8396" s="83"/>
    </row>
    <row r="8397" spans="17:17" x14ac:dyDescent="0.35">
      <c r="Q8397" s="83"/>
    </row>
    <row r="8398" spans="17:17" x14ac:dyDescent="0.35">
      <c r="Q8398" s="83"/>
    </row>
    <row r="8399" spans="17:17" x14ac:dyDescent="0.35">
      <c r="Q8399" s="83"/>
    </row>
    <row r="8400" spans="17:17" x14ac:dyDescent="0.35">
      <c r="Q8400" s="83"/>
    </row>
    <row r="8401" spans="17:17" x14ac:dyDescent="0.35">
      <c r="Q8401" s="83"/>
    </row>
    <row r="8402" spans="17:17" x14ac:dyDescent="0.35">
      <c r="Q8402" s="83"/>
    </row>
    <row r="8403" spans="17:17" x14ac:dyDescent="0.35">
      <c r="Q8403" s="83"/>
    </row>
    <row r="8404" spans="17:17" x14ac:dyDescent="0.35">
      <c r="Q8404" s="83"/>
    </row>
    <row r="8405" spans="17:17" x14ac:dyDescent="0.35">
      <c r="Q8405" s="83"/>
    </row>
    <row r="8406" spans="17:17" x14ac:dyDescent="0.35">
      <c r="Q8406" s="83"/>
    </row>
    <row r="8407" spans="17:17" x14ac:dyDescent="0.35">
      <c r="Q8407" s="83"/>
    </row>
    <row r="8408" spans="17:17" x14ac:dyDescent="0.35">
      <c r="Q8408" s="83"/>
    </row>
    <row r="8409" spans="17:17" x14ac:dyDescent="0.35">
      <c r="Q8409" s="83"/>
    </row>
    <row r="8410" spans="17:17" x14ac:dyDescent="0.35">
      <c r="Q8410" s="83"/>
    </row>
    <row r="8411" spans="17:17" x14ac:dyDescent="0.35">
      <c r="Q8411" s="83"/>
    </row>
    <row r="8412" spans="17:17" x14ac:dyDescent="0.35">
      <c r="Q8412" s="83"/>
    </row>
    <row r="8413" spans="17:17" x14ac:dyDescent="0.35">
      <c r="Q8413" s="83"/>
    </row>
    <row r="8414" spans="17:17" x14ac:dyDescent="0.35">
      <c r="Q8414" s="83"/>
    </row>
    <row r="8415" spans="17:17" x14ac:dyDescent="0.35">
      <c r="Q8415" s="83"/>
    </row>
    <row r="8416" spans="17:17" x14ac:dyDescent="0.35">
      <c r="Q8416" s="83"/>
    </row>
    <row r="8417" spans="17:17" x14ac:dyDescent="0.35">
      <c r="Q8417" s="83"/>
    </row>
    <row r="8418" spans="17:17" x14ac:dyDescent="0.35">
      <c r="Q8418" s="83"/>
    </row>
    <row r="8419" spans="17:17" x14ac:dyDescent="0.35">
      <c r="Q8419" s="83"/>
    </row>
    <row r="8420" spans="17:17" x14ac:dyDescent="0.35">
      <c r="Q8420" s="83"/>
    </row>
    <row r="8421" spans="17:17" x14ac:dyDescent="0.35">
      <c r="Q8421" s="83"/>
    </row>
    <row r="8422" spans="17:17" x14ac:dyDescent="0.35">
      <c r="Q8422" s="83"/>
    </row>
    <row r="8423" spans="17:17" x14ac:dyDescent="0.35">
      <c r="Q8423" s="83"/>
    </row>
    <row r="8424" spans="17:17" x14ac:dyDescent="0.35">
      <c r="Q8424" s="83"/>
    </row>
    <row r="8425" spans="17:17" x14ac:dyDescent="0.35">
      <c r="Q8425" s="83"/>
    </row>
    <row r="8426" spans="17:17" x14ac:dyDescent="0.35">
      <c r="Q8426" s="83"/>
    </row>
    <row r="8427" spans="17:17" x14ac:dyDescent="0.35">
      <c r="Q8427" s="83"/>
    </row>
    <row r="8428" spans="17:17" x14ac:dyDescent="0.35">
      <c r="Q8428" s="83"/>
    </row>
    <row r="8429" spans="17:17" x14ac:dyDescent="0.35">
      <c r="Q8429" s="83"/>
    </row>
    <row r="8430" spans="17:17" x14ac:dyDescent="0.35">
      <c r="Q8430" s="83"/>
    </row>
    <row r="8431" spans="17:17" x14ac:dyDescent="0.35">
      <c r="Q8431" s="83"/>
    </row>
    <row r="8432" spans="17:17" x14ac:dyDescent="0.35">
      <c r="Q8432" s="83"/>
    </row>
    <row r="8433" spans="17:17" x14ac:dyDescent="0.35">
      <c r="Q8433" s="83"/>
    </row>
    <row r="8434" spans="17:17" x14ac:dyDescent="0.35">
      <c r="Q8434" s="83"/>
    </row>
    <row r="8435" spans="17:17" x14ac:dyDescent="0.35">
      <c r="Q8435" s="83"/>
    </row>
    <row r="8436" spans="17:17" x14ac:dyDescent="0.35">
      <c r="Q8436" s="83"/>
    </row>
    <row r="8437" spans="17:17" x14ac:dyDescent="0.35">
      <c r="Q8437" s="83"/>
    </row>
    <row r="8438" spans="17:17" x14ac:dyDescent="0.35">
      <c r="Q8438" s="83"/>
    </row>
    <row r="8439" spans="17:17" x14ac:dyDescent="0.35">
      <c r="Q8439" s="83"/>
    </row>
    <row r="8440" spans="17:17" x14ac:dyDescent="0.35">
      <c r="Q8440" s="83"/>
    </row>
    <row r="8441" spans="17:17" x14ac:dyDescent="0.35">
      <c r="Q8441" s="83"/>
    </row>
    <row r="8442" spans="17:17" x14ac:dyDescent="0.35">
      <c r="Q8442" s="83"/>
    </row>
    <row r="8443" spans="17:17" x14ac:dyDescent="0.35">
      <c r="Q8443" s="83"/>
    </row>
    <row r="8444" spans="17:17" x14ac:dyDescent="0.35">
      <c r="Q8444" s="83"/>
    </row>
    <row r="8445" spans="17:17" x14ac:dyDescent="0.35">
      <c r="Q8445" s="83"/>
    </row>
    <row r="8446" spans="17:17" x14ac:dyDescent="0.35">
      <c r="Q8446" s="83"/>
    </row>
    <row r="8447" spans="17:17" x14ac:dyDescent="0.35">
      <c r="Q8447" s="83"/>
    </row>
    <row r="8448" spans="17:17" x14ac:dyDescent="0.35">
      <c r="Q8448" s="83"/>
    </row>
    <row r="8449" spans="17:17" x14ac:dyDescent="0.35">
      <c r="Q8449" s="83"/>
    </row>
    <row r="8450" spans="17:17" x14ac:dyDescent="0.35">
      <c r="Q8450" s="83"/>
    </row>
    <row r="8451" spans="17:17" x14ac:dyDescent="0.35">
      <c r="Q8451" s="83"/>
    </row>
    <row r="8452" spans="17:17" x14ac:dyDescent="0.35">
      <c r="Q8452" s="83"/>
    </row>
    <row r="8453" spans="17:17" x14ac:dyDescent="0.35">
      <c r="Q8453" s="83"/>
    </row>
    <row r="8454" spans="17:17" x14ac:dyDescent="0.35">
      <c r="Q8454" s="83"/>
    </row>
    <row r="8455" spans="17:17" x14ac:dyDescent="0.35">
      <c r="Q8455" s="83"/>
    </row>
    <row r="8456" spans="17:17" x14ac:dyDescent="0.35">
      <c r="Q8456" s="83"/>
    </row>
    <row r="8457" spans="17:17" x14ac:dyDescent="0.35">
      <c r="Q8457" s="83"/>
    </row>
    <row r="8458" spans="17:17" x14ac:dyDescent="0.35">
      <c r="Q8458" s="83"/>
    </row>
    <row r="8459" spans="17:17" x14ac:dyDescent="0.35">
      <c r="Q8459" s="83"/>
    </row>
    <row r="8460" spans="17:17" x14ac:dyDescent="0.35">
      <c r="Q8460" s="83"/>
    </row>
    <row r="8461" spans="17:17" x14ac:dyDescent="0.35">
      <c r="Q8461" s="83"/>
    </row>
    <row r="8462" spans="17:17" x14ac:dyDescent="0.35">
      <c r="Q8462" s="83"/>
    </row>
    <row r="8463" spans="17:17" x14ac:dyDescent="0.35">
      <c r="Q8463" s="83"/>
    </row>
    <row r="8464" spans="17:17" x14ac:dyDescent="0.35">
      <c r="Q8464" s="83"/>
    </row>
    <row r="8465" spans="17:17" x14ac:dyDescent="0.35">
      <c r="Q8465" s="83"/>
    </row>
    <row r="8466" spans="17:17" x14ac:dyDescent="0.35">
      <c r="Q8466" s="83"/>
    </row>
    <row r="8467" spans="17:17" x14ac:dyDescent="0.35">
      <c r="Q8467" s="83"/>
    </row>
    <row r="8468" spans="17:17" x14ac:dyDescent="0.35">
      <c r="Q8468" s="83"/>
    </row>
    <row r="8469" spans="17:17" x14ac:dyDescent="0.35">
      <c r="Q8469" s="83"/>
    </row>
    <row r="8470" spans="17:17" x14ac:dyDescent="0.35">
      <c r="Q8470" s="83"/>
    </row>
    <row r="8471" spans="17:17" x14ac:dyDescent="0.35">
      <c r="Q8471" s="83"/>
    </row>
    <row r="8472" spans="17:17" x14ac:dyDescent="0.35">
      <c r="Q8472" s="83"/>
    </row>
    <row r="8473" spans="17:17" x14ac:dyDescent="0.35">
      <c r="Q8473" s="83"/>
    </row>
    <row r="8474" spans="17:17" x14ac:dyDescent="0.35">
      <c r="Q8474" s="83"/>
    </row>
    <row r="8475" spans="17:17" x14ac:dyDescent="0.35">
      <c r="Q8475" s="83"/>
    </row>
    <row r="8476" spans="17:17" x14ac:dyDescent="0.35">
      <c r="Q8476" s="83"/>
    </row>
    <row r="8477" spans="17:17" x14ac:dyDescent="0.35">
      <c r="Q8477" s="83"/>
    </row>
    <row r="8478" spans="17:17" x14ac:dyDescent="0.35">
      <c r="Q8478" s="83"/>
    </row>
    <row r="8479" spans="17:17" x14ac:dyDescent="0.35">
      <c r="Q8479" s="83"/>
    </row>
    <row r="8480" spans="17:17" x14ac:dyDescent="0.35">
      <c r="Q8480" s="83"/>
    </row>
    <row r="8481" spans="17:17" x14ac:dyDescent="0.35">
      <c r="Q8481" s="83"/>
    </row>
    <row r="8482" spans="17:17" x14ac:dyDescent="0.35">
      <c r="Q8482" s="83"/>
    </row>
    <row r="8483" spans="17:17" x14ac:dyDescent="0.35">
      <c r="Q8483" s="83"/>
    </row>
    <row r="8484" spans="17:17" x14ac:dyDescent="0.35">
      <c r="Q8484" s="83"/>
    </row>
    <row r="8485" spans="17:17" x14ac:dyDescent="0.35">
      <c r="Q8485" s="83"/>
    </row>
    <row r="8486" spans="17:17" x14ac:dyDescent="0.35">
      <c r="Q8486" s="83"/>
    </row>
    <row r="8487" spans="17:17" x14ac:dyDescent="0.35">
      <c r="Q8487" s="83"/>
    </row>
    <row r="8488" spans="17:17" x14ac:dyDescent="0.35">
      <c r="Q8488" s="83"/>
    </row>
    <row r="8489" spans="17:17" x14ac:dyDescent="0.35">
      <c r="Q8489" s="83"/>
    </row>
    <row r="8490" spans="17:17" x14ac:dyDescent="0.35">
      <c r="Q8490" s="83"/>
    </row>
    <row r="8491" spans="17:17" x14ac:dyDescent="0.35">
      <c r="Q8491" s="83"/>
    </row>
    <row r="8492" spans="17:17" x14ac:dyDescent="0.35">
      <c r="Q8492" s="83"/>
    </row>
    <row r="8493" spans="17:17" x14ac:dyDescent="0.35">
      <c r="Q8493" s="83"/>
    </row>
    <row r="8494" spans="17:17" x14ac:dyDescent="0.35">
      <c r="Q8494" s="83"/>
    </row>
    <row r="8495" spans="17:17" x14ac:dyDescent="0.35">
      <c r="Q8495" s="83"/>
    </row>
    <row r="8496" spans="17:17" x14ac:dyDescent="0.35">
      <c r="Q8496" s="83"/>
    </row>
    <row r="8497" spans="17:17" x14ac:dyDescent="0.35">
      <c r="Q8497" s="83"/>
    </row>
    <row r="8498" spans="17:17" x14ac:dyDescent="0.35">
      <c r="Q8498" s="83"/>
    </row>
    <row r="8499" spans="17:17" x14ac:dyDescent="0.35">
      <c r="Q8499" s="83"/>
    </row>
    <row r="8500" spans="17:17" x14ac:dyDescent="0.35">
      <c r="Q8500" s="83"/>
    </row>
    <row r="8501" spans="17:17" x14ac:dyDescent="0.35">
      <c r="Q8501" s="83"/>
    </row>
    <row r="8502" spans="17:17" x14ac:dyDescent="0.35">
      <c r="Q8502" s="83"/>
    </row>
    <row r="8503" spans="17:17" x14ac:dyDescent="0.35">
      <c r="Q8503" s="83"/>
    </row>
    <row r="8504" spans="17:17" x14ac:dyDescent="0.35">
      <c r="Q8504" s="83"/>
    </row>
    <row r="8505" spans="17:17" x14ac:dyDescent="0.35">
      <c r="Q8505" s="83"/>
    </row>
    <row r="8506" spans="17:17" x14ac:dyDescent="0.35">
      <c r="Q8506" s="83"/>
    </row>
    <row r="8507" spans="17:17" x14ac:dyDescent="0.35">
      <c r="Q8507" s="83"/>
    </row>
    <row r="8508" spans="17:17" x14ac:dyDescent="0.35">
      <c r="Q8508" s="83"/>
    </row>
    <row r="8509" spans="17:17" x14ac:dyDescent="0.35">
      <c r="Q8509" s="83"/>
    </row>
    <row r="8510" spans="17:17" x14ac:dyDescent="0.35">
      <c r="Q8510" s="83"/>
    </row>
    <row r="8511" spans="17:17" x14ac:dyDescent="0.35">
      <c r="Q8511" s="83"/>
    </row>
    <row r="8512" spans="17:17" x14ac:dyDescent="0.35">
      <c r="Q8512" s="83"/>
    </row>
    <row r="8513" spans="17:17" x14ac:dyDescent="0.35">
      <c r="Q8513" s="83"/>
    </row>
    <row r="8514" spans="17:17" x14ac:dyDescent="0.35">
      <c r="Q8514" s="83"/>
    </row>
    <row r="8515" spans="17:17" x14ac:dyDescent="0.35">
      <c r="Q8515" s="83"/>
    </row>
    <row r="8516" spans="17:17" x14ac:dyDescent="0.35">
      <c r="Q8516" s="83"/>
    </row>
    <row r="8517" spans="17:17" x14ac:dyDescent="0.35">
      <c r="Q8517" s="83"/>
    </row>
    <row r="8518" spans="17:17" x14ac:dyDescent="0.35">
      <c r="Q8518" s="83"/>
    </row>
    <row r="8519" spans="17:17" x14ac:dyDescent="0.35">
      <c r="Q8519" s="83"/>
    </row>
    <row r="8520" spans="17:17" x14ac:dyDescent="0.35">
      <c r="Q8520" s="83"/>
    </row>
    <row r="8521" spans="17:17" x14ac:dyDescent="0.35">
      <c r="Q8521" s="83"/>
    </row>
    <row r="8522" spans="17:17" x14ac:dyDescent="0.35">
      <c r="Q8522" s="83"/>
    </row>
    <row r="8523" spans="17:17" x14ac:dyDescent="0.35">
      <c r="Q8523" s="83"/>
    </row>
    <row r="8524" spans="17:17" x14ac:dyDescent="0.35">
      <c r="Q8524" s="83"/>
    </row>
    <row r="8525" spans="17:17" x14ac:dyDescent="0.35">
      <c r="Q8525" s="83"/>
    </row>
    <row r="8526" spans="17:17" x14ac:dyDescent="0.35">
      <c r="Q8526" s="83"/>
    </row>
    <row r="8527" spans="17:17" x14ac:dyDescent="0.35">
      <c r="Q8527" s="83"/>
    </row>
    <row r="8528" spans="17:17" x14ac:dyDescent="0.35">
      <c r="Q8528" s="83"/>
    </row>
    <row r="8529" spans="17:17" x14ac:dyDescent="0.35">
      <c r="Q8529" s="83"/>
    </row>
    <row r="8530" spans="17:17" x14ac:dyDescent="0.35">
      <c r="Q8530" s="83"/>
    </row>
    <row r="8531" spans="17:17" x14ac:dyDescent="0.35">
      <c r="Q8531" s="83"/>
    </row>
    <row r="8532" spans="17:17" x14ac:dyDescent="0.35">
      <c r="Q8532" s="83"/>
    </row>
    <row r="8533" spans="17:17" x14ac:dyDescent="0.35">
      <c r="Q8533" s="83"/>
    </row>
    <row r="8534" spans="17:17" x14ac:dyDescent="0.35">
      <c r="Q8534" s="83"/>
    </row>
    <row r="8535" spans="17:17" x14ac:dyDescent="0.35">
      <c r="Q8535" s="83"/>
    </row>
    <row r="8536" spans="17:17" x14ac:dyDescent="0.35">
      <c r="Q8536" s="83"/>
    </row>
    <row r="8537" spans="17:17" x14ac:dyDescent="0.35">
      <c r="Q8537" s="83"/>
    </row>
    <row r="8538" spans="17:17" x14ac:dyDescent="0.35">
      <c r="Q8538" s="83"/>
    </row>
    <row r="8539" spans="17:17" x14ac:dyDescent="0.35">
      <c r="Q8539" s="83"/>
    </row>
    <row r="8540" spans="17:17" x14ac:dyDescent="0.35">
      <c r="Q8540" s="83"/>
    </row>
    <row r="8541" spans="17:17" x14ac:dyDescent="0.35">
      <c r="Q8541" s="83"/>
    </row>
    <row r="8542" spans="17:17" x14ac:dyDescent="0.35">
      <c r="Q8542" s="83"/>
    </row>
    <row r="8543" spans="17:17" x14ac:dyDescent="0.35">
      <c r="Q8543" s="83"/>
    </row>
    <row r="8544" spans="17:17" x14ac:dyDescent="0.35">
      <c r="Q8544" s="83"/>
    </row>
    <row r="8545" spans="17:17" x14ac:dyDescent="0.35">
      <c r="Q8545" s="83"/>
    </row>
    <row r="8546" spans="17:17" x14ac:dyDescent="0.35">
      <c r="Q8546" s="83"/>
    </row>
    <row r="8547" spans="17:17" x14ac:dyDescent="0.35">
      <c r="Q8547" s="83"/>
    </row>
    <row r="8548" spans="17:17" x14ac:dyDescent="0.35">
      <c r="Q8548" s="83"/>
    </row>
    <row r="8549" spans="17:17" x14ac:dyDescent="0.35">
      <c r="Q8549" s="83"/>
    </row>
    <row r="8550" spans="17:17" x14ac:dyDescent="0.35">
      <c r="Q8550" s="83"/>
    </row>
    <row r="8551" spans="17:17" x14ac:dyDescent="0.35">
      <c r="Q8551" s="83"/>
    </row>
    <row r="8552" spans="17:17" x14ac:dyDescent="0.35">
      <c r="Q8552" s="83"/>
    </row>
    <row r="8553" spans="17:17" x14ac:dyDescent="0.35">
      <c r="Q8553" s="83"/>
    </row>
    <row r="8554" spans="17:17" x14ac:dyDescent="0.35">
      <c r="Q8554" s="83"/>
    </row>
    <row r="8555" spans="17:17" x14ac:dyDescent="0.35">
      <c r="Q8555" s="83"/>
    </row>
    <row r="8556" spans="17:17" x14ac:dyDescent="0.35">
      <c r="Q8556" s="83"/>
    </row>
    <row r="8557" spans="17:17" x14ac:dyDescent="0.35">
      <c r="Q8557" s="83"/>
    </row>
    <row r="8558" spans="17:17" x14ac:dyDescent="0.35">
      <c r="Q8558" s="83"/>
    </row>
    <row r="8559" spans="17:17" x14ac:dyDescent="0.35">
      <c r="Q8559" s="83"/>
    </row>
    <row r="8560" spans="17:17" x14ac:dyDescent="0.35">
      <c r="Q8560" s="83"/>
    </row>
    <row r="8561" spans="17:17" x14ac:dyDescent="0.35">
      <c r="Q8561" s="83"/>
    </row>
    <row r="8562" spans="17:17" x14ac:dyDescent="0.35">
      <c r="Q8562" s="83"/>
    </row>
    <row r="8563" spans="17:17" x14ac:dyDescent="0.35">
      <c r="Q8563" s="83"/>
    </row>
    <row r="8564" spans="17:17" x14ac:dyDescent="0.35">
      <c r="Q8564" s="83"/>
    </row>
    <row r="8565" spans="17:17" x14ac:dyDescent="0.35">
      <c r="Q8565" s="83"/>
    </row>
    <row r="8566" spans="17:17" x14ac:dyDescent="0.35">
      <c r="Q8566" s="83"/>
    </row>
    <row r="8567" spans="17:17" x14ac:dyDescent="0.35">
      <c r="Q8567" s="83"/>
    </row>
    <row r="8568" spans="17:17" x14ac:dyDescent="0.35">
      <c r="Q8568" s="83"/>
    </row>
    <row r="8569" spans="17:17" x14ac:dyDescent="0.35">
      <c r="Q8569" s="83"/>
    </row>
    <row r="8570" spans="17:17" x14ac:dyDescent="0.35">
      <c r="Q8570" s="83"/>
    </row>
    <row r="8571" spans="17:17" x14ac:dyDescent="0.35">
      <c r="Q8571" s="83"/>
    </row>
    <row r="8572" spans="17:17" x14ac:dyDescent="0.35">
      <c r="Q8572" s="83"/>
    </row>
    <row r="8573" spans="17:17" x14ac:dyDescent="0.35">
      <c r="Q8573" s="83"/>
    </row>
    <row r="8574" spans="17:17" x14ac:dyDescent="0.35">
      <c r="Q8574" s="83"/>
    </row>
    <row r="8575" spans="17:17" x14ac:dyDescent="0.35">
      <c r="Q8575" s="83"/>
    </row>
    <row r="8576" spans="17:17" x14ac:dyDescent="0.35">
      <c r="Q8576" s="83"/>
    </row>
    <row r="8577" spans="17:17" x14ac:dyDescent="0.35">
      <c r="Q8577" s="83"/>
    </row>
    <row r="8578" spans="17:17" x14ac:dyDescent="0.35">
      <c r="Q8578" s="83"/>
    </row>
    <row r="8579" spans="17:17" x14ac:dyDescent="0.35">
      <c r="Q8579" s="83"/>
    </row>
    <row r="8580" spans="17:17" x14ac:dyDescent="0.35">
      <c r="Q8580" s="83"/>
    </row>
    <row r="8581" spans="17:17" x14ac:dyDescent="0.35">
      <c r="Q8581" s="83"/>
    </row>
    <row r="8582" spans="17:17" x14ac:dyDescent="0.35">
      <c r="Q8582" s="83"/>
    </row>
    <row r="8583" spans="17:17" x14ac:dyDescent="0.35">
      <c r="Q8583" s="83"/>
    </row>
    <row r="8584" spans="17:17" x14ac:dyDescent="0.35">
      <c r="Q8584" s="83"/>
    </row>
    <row r="8585" spans="17:17" x14ac:dyDescent="0.35">
      <c r="Q8585" s="83"/>
    </row>
    <row r="8586" spans="17:17" x14ac:dyDescent="0.35">
      <c r="Q8586" s="83"/>
    </row>
    <row r="8587" spans="17:17" x14ac:dyDescent="0.35">
      <c r="Q8587" s="83"/>
    </row>
    <row r="8588" spans="17:17" x14ac:dyDescent="0.35">
      <c r="Q8588" s="83"/>
    </row>
    <row r="8589" spans="17:17" x14ac:dyDescent="0.35">
      <c r="Q8589" s="83"/>
    </row>
    <row r="8590" spans="17:17" x14ac:dyDescent="0.35">
      <c r="Q8590" s="83"/>
    </row>
    <row r="8591" spans="17:17" x14ac:dyDescent="0.35">
      <c r="Q8591" s="83"/>
    </row>
    <row r="8592" spans="17:17" x14ac:dyDescent="0.35">
      <c r="Q8592" s="83"/>
    </row>
    <row r="8593" spans="17:17" x14ac:dyDescent="0.35">
      <c r="Q8593" s="83"/>
    </row>
    <row r="8594" spans="17:17" x14ac:dyDescent="0.35">
      <c r="Q8594" s="83"/>
    </row>
    <row r="8595" spans="17:17" x14ac:dyDescent="0.35">
      <c r="Q8595" s="83"/>
    </row>
    <row r="8596" spans="17:17" x14ac:dyDescent="0.35">
      <c r="Q8596" s="83"/>
    </row>
    <row r="8597" spans="17:17" x14ac:dyDescent="0.35">
      <c r="Q8597" s="83"/>
    </row>
    <row r="8598" spans="17:17" x14ac:dyDescent="0.35">
      <c r="Q8598" s="83"/>
    </row>
    <row r="8599" spans="17:17" x14ac:dyDescent="0.35">
      <c r="Q8599" s="83"/>
    </row>
    <row r="8600" spans="17:17" x14ac:dyDescent="0.35">
      <c r="Q8600" s="83"/>
    </row>
    <row r="8601" spans="17:17" x14ac:dyDescent="0.35">
      <c r="Q8601" s="83"/>
    </row>
    <row r="8602" spans="17:17" x14ac:dyDescent="0.35">
      <c r="Q8602" s="83"/>
    </row>
    <row r="8603" spans="17:17" x14ac:dyDescent="0.35">
      <c r="Q8603" s="83"/>
    </row>
    <row r="8604" spans="17:17" x14ac:dyDescent="0.35">
      <c r="Q8604" s="83"/>
    </row>
    <row r="8605" spans="17:17" x14ac:dyDescent="0.35">
      <c r="Q8605" s="83"/>
    </row>
    <row r="8606" spans="17:17" x14ac:dyDescent="0.35">
      <c r="Q8606" s="83"/>
    </row>
    <row r="8607" spans="17:17" x14ac:dyDescent="0.35">
      <c r="Q8607" s="83"/>
    </row>
    <row r="8608" spans="17:17" x14ac:dyDescent="0.35">
      <c r="Q8608" s="83"/>
    </row>
    <row r="8609" spans="17:17" x14ac:dyDescent="0.35">
      <c r="Q8609" s="83"/>
    </row>
    <row r="8610" spans="17:17" x14ac:dyDescent="0.35">
      <c r="Q8610" s="83"/>
    </row>
    <row r="8611" spans="17:17" x14ac:dyDescent="0.35">
      <c r="Q8611" s="83"/>
    </row>
    <row r="8612" spans="17:17" x14ac:dyDescent="0.35">
      <c r="Q8612" s="83"/>
    </row>
    <row r="8613" spans="17:17" x14ac:dyDescent="0.35">
      <c r="Q8613" s="83"/>
    </row>
    <row r="8614" spans="17:17" x14ac:dyDescent="0.35">
      <c r="Q8614" s="83"/>
    </row>
    <row r="8615" spans="17:17" x14ac:dyDescent="0.35">
      <c r="Q8615" s="83"/>
    </row>
    <row r="8616" spans="17:17" x14ac:dyDescent="0.35">
      <c r="Q8616" s="83"/>
    </row>
    <row r="8617" spans="17:17" x14ac:dyDescent="0.35">
      <c r="Q8617" s="83"/>
    </row>
    <row r="8618" spans="17:17" x14ac:dyDescent="0.35">
      <c r="Q8618" s="83"/>
    </row>
    <row r="8619" spans="17:17" x14ac:dyDescent="0.35">
      <c r="Q8619" s="83"/>
    </row>
    <row r="8620" spans="17:17" x14ac:dyDescent="0.35">
      <c r="Q8620" s="83"/>
    </row>
    <row r="8621" spans="17:17" x14ac:dyDescent="0.35">
      <c r="Q8621" s="83"/>
    </row>
    <row r="8622" spans="17:17" x14ac:dyDescent="0.35">
      <c r="Q8622" s="83"/>
    </row>
    <row r="8623" spans="17:17" x14ac:dyDescent="0.35">
      <c r="Q8623" s="83"/>
    </row>
    <row r="8624" spans="17:17" x14ac:dyDescent="0.35">
      <c r="Q8624" s="83"/>
    </row>
    <row r="8625" spans="17:17" x14ac:dyDescent="0.35">
      <c r="Q8625" s="83"/>
    </row>
    <row r="8626" spans="17:17" x14ac:dyDescent="0.35">
      <c r="Q8626" s="83"/>
    </row>
    <row r="8627" spans="17:17" x14ac:dyDescent="0.35">
      <c r="Q8627" s="83"/>
    </row>
    <row r="8628" spans="17:17" x14ac:dyDescent="0.35">
      <c r="Q8628" s="83"/>
    </row>
    <row r="8629" spans="17:17" x14ac:dyDescent="0.35">
      <c r="Q8629" s="83"/>
    </row>
    <row r="8630" spans="17:17" x14ac:dyDescent="0.35">
      <c r="Q8630" s="83"/>
    </row>
    <row r="8631" spans="17:17" x14ac:dyDescent="0.35">
      <c r="Q8631" s="83"/>
    </row>
    <row r="8632" spans="17:17" x14ac:dyDescent="0.35">
      <c r="Q8632" s="83"/>
    </row>
    <row r="8633" spans="17:17" x14ac:dyDescent="0.35">
      <c r="Q8633" s="83"/>
    </row>
    <row r="8634" spans="17:17" x14ac:dyDescent="0.35">
      <c r="Q8634" s="83"/>
    </row>
    <row r="8635" spans="17:17" x14ac:dyDescent="0.35">
      <c r="Q8635" s="83"/>
    </row>
    <row r="8636" spans="17:17" x14ac:dyDescent="0.35">
      <c r="Q8636" s="83"/>
    </row>
    <row r="8637" spans="17:17" x14ac:dyDescent="0.35">
      <c r="Q8637" s="83"/>
    </row>
    <row r="8638" spans="17:17" x14ac:dyDescent="0.35">
      <c r="Q8638" s="83"/>
    </row>
    <row r="8639" spans="17:17" x14ac:dyDescent="0.35">
      <c r="Q8639" s="83"/>
    </row>
    <row r="8640" spans="17:17" x14ac:dyDescent="0.35">
      <c r="Q8640" s="83"/>
    </row>
    <row r="8641" spans="17:17" x14ac:dyDescent="0.35">
      <c r="Q8641" s="83"/>
    </row>
    <row r="8642" spans="17:17" x14ac:dyDescent="0.35">
      <c r="Q8642" s="83"/>
    </row>
    <row r="8643" spans="17:17" x14ac:dyDescent="0.35">
      <c r="Q8643" s="83"/>
    </row>
    <row r="8644" spans="17:17" x14ac:dyDescent="0.35">
      <c r="Q8644" s="83"/>
    </row>
    <row r="8645" spans="17:17" x14ac:dyDescent="0.35">
      <c r="Q8645" s="83"/>
    </row>
    <row r="8646" spans="17:17" x14ac:dyDescent="0.35">
      <c r="Q8646" s="83"/>
    </row>
    <row r="8647" spans="17:17" x14ac:dyDescent="0.35">
      <c r="Q8647" s="83"/>
    </row>
    <row r="8648" spans="17:17" x14ac:dyDescent="0.35">
      <c r="Q8648" s="83"/>
    </row>
    <row r="8649" spans="17:17" x14ac:dyDescent="0.35">
      <c r="Q8649" s="83"/>
    </row>
    <row r="8650" spans="17:17" x14ac:dyDescent="0.35">
      <c r="Q8650" s="83"/>
    </row>
    <row r="8651" spans="17:17" x14ac:dyDescent="0.35">
      <c r="Q8651" s="83"/>
    </row>
    <row r="8652" spans="17:17" x14ac:dyDescent="0.35">
      <c r="Q8652" s="83"/>
    </row>
    <row r="8653" spans="17:17" x14ac:dyDescent="0.35">
      <c r="Q8653" s="83"/>
    </row>
    <row r="8654" spans="17:17" x14ac:dyDescent="0.35">
      <c r="Q8654" s="83"/>
    </row>
    <row r="8655" spans="17:17" x14ac:dyDescent="0.35">
      <c r="Q8655" s="83"/>
    </row>
    <row r="8656" spans="17:17" x14ac:dyDescent="0.35">
      <c r="Q8656" s="83"/>
    </row>
    <row r="8657" spans="17:17" x14ac:dyDescent="0.35">
      <c r="Q8657" s="83"/>
    </row>
    <row r="8658" spans="17:17" x14ac:dyDescent="0.35">
      <c r="Q8658" s="83"/>
    </row>
    <row r="8659" spans="17:17" x14ac:dyDescent="0.35">
      <c r="Q8659" s="83"/>
    </row>
    <row r="8660" spans="17:17" x14ac:dyDescent="0.35">
      <c r="Q8660" s="83"/>
    </row>
    <row r="8661" spans="17:17" x14ac:dyDescent="0.35">
      <c r="Q8661" s="83"/>
    </row>
    <row r="8662" spans="17:17" x14ac:dyDescent="0.35">
      <c r="Q8662" s="83"/>
    </row>
    <row r="8663" spans="17:17" x14ac:dyDescent="0.35">
      <c r="Q8663" s="83"/>
    </row>
    <row r="8664" spans="17:17" x14ac:dyDescent="0.35">
      <c r="Q8664" s="83"/>
    </row>
    <row r="8665" spans="17:17" x14ac:dyDescent="0.35">
      <c r="Q8665" s="83"/>
    </row>
    <row r="8666" spans="17:17" x14ac:dyDescent="0.35">
      <c r="Q8666" s="83"/>
    </row>
    <row r="8667" spans="17:17" x14ac:dyDescent="0.35">
      <c r="Q8667" s="83"/>
    </row>
    <row r="8668" spans="17:17" x14ac:dyDescent="0.35">
      <c r="Q8668" s="83"/>
    </row>
    <row r="8669" spans="17:17" x14ac:dyDescent="0.35">
      <c r="Q8669" s="83"/>
    </row>
    <row r="8670" spans="17:17" x14ac:dyDescent="0.35">
      <c r="Q8670" s="83"/>
    </row>
    <row r="8671" spans="17:17" x14ac:dyDescent="0.35">
      <c r="Q8671" s="83"/>
    </row>
    <row r="8672" spans="17:17" x14ac:dyDescent="0.35">
      <c r="Q8672" s="83"/>
    </row>
    <row r="8673" spans="17:17" x14ac:dyDescent="0.35">
      <c r="Q8673" s="83"/>
    </row>
    <row r="8674" spans="17:17" x14ac:dyDescent="0.35">
      <c r="Q8674" s="83"/>
    </row>
    <row r="8675" spans="17:17" x14ac:dyDescent="0.35">
      <c r="Q8675" s="83"/>
    </row>
    <row r="8676" spans="17:17" x14ac:dyDescent="0.35">
      <c r="Q8676" s="83"/>
    </row>
    <row r="8677" spans="17:17" x14ac:dyDescent="0.35">
      <c r="Q8677" s="83"/>
    </row>
    <row r="8678" spans="17:17" x14ac:dyDescent="0.35">
      <c r="Q8678" s="83"/>
    </row>
    <row r="8679" spans="17:17" x14ac:dyDescent="0.35">
      <c r="Q8679" s="83"/>
    </row>
    <row r="8680" spans="17:17" x14ac:dyDescent="0.35">
      <c r="Q8680" s="83"/>
    </row>
    <row r="8681" spans="17:17" x14ac:dyDescent="0.35">
      <c r="Q8681" s="83"/>
    </row>
    <row r="8682" spans="17:17" x14ac:dyDescent="0.35">
      <c r="Q8682" s="83"/>
    </row>
    <row r="8683" spans="17:17" x14ac:dyDescent="0.35">
      <c r="Q8683" s="83"/>
    </row>
    <row r="8684" spans="17:17" x14ac:dyDescent="0.35">
      <c r="Q8684" s="83"/>
    </row>
    <row r="8685" spans="17:17" x14ac:dyDescent="0.35">
      <c r="Q8685" s="83"/>
    </row>
    <row r="8686" spans="17:17" x14ac:dyDescent="0.35">
      <c r="Q8686" s="83"/>
    </row>
    <row r="8687" spans="17:17" x14ac:dyDescent="0.35">
      <c r="Q8687" s="83"/>
    </row>
    <row r="8688" spans="17:17" x14ac:dyDescent="0.35">
      <c r="Q8688" s="83"/>
    </row>
    <row r="8689" spans="17:17" x14ac:dyDescent="0.35">
      <c r="Q8689" s="83"/>
    </row>
    <row r="8690" spans="17:17" x14ac:dyDescent="0.35">
      <c r="Q8690" s="83"/>
    </row>
    <row r="8691" spans="17:17" x14ac:dyDescent="0.35">
      <c r="Q8691" s="83"/>
    </row>
    <row r="8692" spans="17:17" x14ac:dyDescent="0.35">
      <c r="Q8692" s="83"/>
    </row>
    <row r="8693" spans="17:17" x14ac:dyDescent="0.35">
      <c r="Q8693" s="83"/>
    </row>
    <row r="8694" spans="17:17" x14ac:dyDescent="0.35">
      <c r="Q8694" s="83"/>
    </row>
    <row r="8695" spans="17:17" x14ac:dyDescent="0.35">
      <c r="Q8695" s="83"/>
    </row>
    <row r="8696" spans="17:17" x14ac:dyDescent="0.35">
      <c r="Q8696" s="83"/>
    </row>
    <row r="8697" spans="17:17" x14ac:dyDescent="0.35">
      <c r="Q8697" s="83"/>
    </row>
    <row r="8698" spans="17:17" x14ac:dyDescent="0.35">
      <c r="Q8698" s="83"/>
    </row>
    <row r="8699" spans="17:17" x14ac:dyDescent="0.35">
      <c r="Q8699" s="83"/>
    </row>
    <row r="8700" spans="17:17" x14ac:dyDescent="0.35">
      <c r="Q8700" s="83"/>
    </row>
    <row r="8701" spans="17:17" x14ac:dyDescent="0.35">
      <c r="Q8701" s="83"/>
    </row>
    <row r="8702" spans="17:17" x14ac:dyDescent="0.35">
      <c r="Q8702" s="83"/>
    </row>
    <row r="8703" spans="17:17" x14ac:dyDescent="0.35">
      <c r="Q8703" s="83"/>
    </row>
    <row r="8704" spans="17:17" x14ac:dyDescent="0.35">
      <c r="Q8704" s="83"/>
    </row>
    <row r="8705" spans="17:17" x14ac:dyDescent="0.35">
      <c r="Q8705" s="83"/>
    </row>
    <row r="8706" spans="17:17" x14ac:dyDescent="0.35">
      <c r="Q8706" s="83"/>
    </row>
    <row r="8707" spans="17:17" x14ac:dyDescent="0.35">
      <c r="Q8707" s="83"/>
    </row>
    <row r="8708" spans="17:17" x14ac:dyDescent="0.35">
      <c r="Q8708" s="83"/>
    </row>
    <row r="8709" spans="17:17" x14ac:dyDescent="0.35">
      <c r="Q8709" s="83"/>
    </row>
    <row r="8710" spans="17:17" x14ac:dyDescent="0.35">
      <c r="Q8710" s="83"/>
    </row>
    <row r="8711" spans="17:17" x14ac:dyDescent="0.35">
      <c r="Q8711" s="83"/>
    </row>
    <row r="8712" spans="17:17" x14ac:dyDescent="0.35">
      <c r="Q8712" s="83"/>
    </row>
    <row r="8713" spans="17:17" x14ac:dyDescent="0.35">
      <c r="Q8713" s="83"/>
    </row>
    <row r="8714" spans="17:17" x14ac:dyDescent="0.35">
      <c r="Q8714" s="83"/>
    </row>
    <row r="8715" spans="17:17" x14ac:dyDescent="0.35">
      <c r="Q8715" s="83"/>
    </row>
    <row r="8716" spans="17:17" x14ac:dyDescent="0.35">
      <c r="Q8716" s="83"/>
    </row>
    <row r="8717" spans="17:17" x14ac:dyDescent="0.35">
      <c r="Q8717" s="83"/>
    </row>
    <row r="8718" spans="17:17" x14ac:dyDescent="0.35">
      <c r="Q8718" s="83"/>
    </row>
    <row r="8719" spans="17:17" x14ac:dyDescent="0.35">
      <c r="Q8719" s="83"/>
    </row>
    <row r="8720" spans="17:17" x14ac:dyDescent="0.35">
      <c r="Q8720" s="83"/>
    </row>
    <row r="8721" spans="17:17" x14ac:dyDescent="0.35">
      <c r="Q8721" s="83"/>
    </row>
    <row r="8722" spans="17:17" x14ac:dyDescent="0.35">
      <c r="Q8722" s="83"/>
    </row>
    <row r="8723" spans="17:17" x14ac:dyDescent="0.35">
      <c r="Q8723" s="83"/>
    </row>
    <row r="8724" spans="17:17" x14ac:dyDescent="0.35">
      <c r="Q8724" s="83"/>
    </row>
    <row r="8725" spans="17:17" x14ac:dyDescent="0.35">
      <c r="Q8725" s="83"/>
    </row>
    <row r="8726" spans="17:17" x14ac:dyDescent="0.35">
      <c r="Q8726" s="83"/>
    </row>
    <row r="8727" spans="17:17" x14ac:dyDescent="0.35">
      <c r="Q8727" s="83"/>
    </row>
    <row r="8728" spans="17:17" x14ac:dyDescent="0.35">
      <c r="Q8728" s="83"/>
    </row>
    <row r="8729" spans="17:17" x14ac:dyDescent="0.35">
      <c r="Q8729" s="83"/>
    </row>
    <row r="8730" spans="17:17" x14ac:dyDescent="0.35">
      <c r="Q8730" s="83"/>
    </row>
    <row r="8731" spans="17:17" x14ac:dyDescent="0.35">
      <c r="Q8731" s="83"/>
    </row>
    <row r="8732" spans="17:17" x14ac:dyDescent="0.35">
      <c r="Q8732" s="83"/>
    </row>
    <row r="8733" spans="17:17" x14ac:dyDescent="0.35">
      <c r="Q8733" s="83"/>
    </row>
    <row r="8734" spans="17:17" x14ac:dyDescent="0.35">
      <c r="Q8734" s="83"/>
    </row>
    <row r="8735" spans="17:17" x14ac:dyDescent="0.35">
      <c r="Q8735" s="83"/>
    </row>
    <row r="8736" spans="17:17" x14ac:dyDescent="0.35">
      <c r="Q8736" s="83"/>
    </row>
    <row r="8737" spans="17:17" x14ac:dyDescent="0.35">
      <c r="Q8737" s="83"/>
    </row>
    <row r="8738" spans="17:17" x14ac:dyDescent="0.35">
      <c r="Q8738" s="83"/>
    </row>
    <row r="8739" spans="17:17" x14ac:dyDescent="0.35">
      <c r="Q8739" s="83"/>
    </row>
    <row r="8740" spans="17:17" x14ac:dyDescent="0.35">
      <c r="Q8740" s="83"/>
    </row>
    <row r="8741" spans="17:17" x14ac:dyDescent="0.35">
      <c r="Q8741" s="83"/>
    </row>
    <row r="8742" spans="17:17" x14ac:dyDescent="0.35">
      <c r="Q8742" s="83"/>
    </row>
    <row r="8743" spans="17:17" x14ac:dyDescent="0.35">
      <c r="Q8743" s="83"/>
    </row>
    <row r="8744" spans="17:17" x14ac:dyDescent="0.35">
      <c r="Q8744" s="83"/>
    </row>
    <row r="8745" spans="17:17" x14ac:dyDescent="0.35">
      <c r="Q8745" s="83"/>
    </row>
    <row r="8746" spans="17:17" x14ac:dyDescent="0.35">
      <c r="Q8746" s="83"/>
    </row>
    <row r="8747" spans="17:17" x14ac:dyDescent="0.35">
      <c r="Q8747" s="83"/>
    </row>
    <row r="8748" spans="17:17" x14ac:dyDescent="0.35">
      <c r="Q8748" s="83"/>
    </row>
    <row r="8749" spans="17:17" x14ac:dyDescent="0.35">
      <c r="Q8749" s="83"/>
    </row>
    <row r="8750" spans="17:17" x14ac:dyDescent="0.35">
      <c r="Q8750" s="83"/>
    </row>
    <row r="8751" spans="17:17" x14ac:dyDescent="0.35">
      <c r="Q8751" s="83"/>
    </row>
    <row r="8752" spans="17:17" x14ac:dyDescent="0.35">
      <c r="Q8752" s="83"/>
    </row>
    <row r="8753" spans="17:17" x14ac:dyDescent="0.35">
      <c r="Q8753" s="83"/>
    </row>
    <row r="8754" spans="17:17" x14ac:dyDescent="0.35">
      <c r="Q8754" s="83"/>
    </row>
    <row r="8755" spans="17:17" x14ac:dyDescent="0.35">
      <c r="Q8755" s="83"/>
    </row>
    <row r="8756" spans="17:17" x14ac:dyDescent="0.35">
      <c r="Q8756" s="83"/>
    </row>
    <row r="8757" spans="17:17" x14ac:dyDescent="0.35">
      <c r="Q8757" s="83"/>
    </row>
    <row r="8758" spans="17:17" x14ac:dyDescent="0.35">
      <c r="Q8758" s="83"/>
    </row>
    <row r="8759" spans="17:17" x14ac:dyDescent="0.35">
      <c r="Q8759" s="83"/>
    </row>
    <row r="8760" spans="17:17" x14ac:dyDescent="0.35">
      <c r="Q8760" s="83"/>
    </row>
    <row r="8761" spans="17:17" x14ac:dyDescent="0.35">
      <c r="Q8761" s="83"/>
    </row>
    <row r="8762" spans="17:17" x14ac:dyDescent="0.35">
      <c r="Q8762" s="83"/>
    </row>
    <row r="8763" spans="17:17" x14ac:dyDescent="0.35">
      <c r="Q8763" s="83"/>
    </row>
    <row r="8764" spans="17:17" x14ac:dyDescent="0.35">
      <c r="Q8764" s="83"/>
    </row>
    <row r="8765" spans="17:17" x14ac:dyDescent="0.35">
      <c r="Q8765" s="83"/>
    </row>
    <row r="8766" spans="17:17" x14ac:dyDescent="0.35">
      <c r="Q8766" s="83"/>
    </row>
    <row r="8767" spans="17:17" x14ac:dyDescent="0.35">
      <c r="Q8767" s="83"/>
    </row>
    <row r="8768" spans="17:17" x14ac:dyDescent="0.35">
      <c r="Q8768" s="83"/>
    </row>
    <row r="8769" spans="17:17" x14ac:dyDescent="0.35">
      <c r="Q8769" s="83"/>
    </row>
    <row r="8770" spans="17:17" x14ac:dyDescent="0.35">
      <c r="Q8770" s="83"/>
    </row>
    <row r="8771" spans="17:17" x14ac:dyDescent="0.35">
      <c r="Q8771" s="83"/>
    </row>
    <row r="8772" spans="17:17" x14ac:dyDescent="0.35">
      <c r="Q8772" s="83"/>
    </row>
    <row r="8773" spans="17:17" x14ac:dyDescent="0.35">
      <c r="Q8773" s="83"/>
    </row>
    <row r="8774" spans="17:17" x14ac:dyDescent="0.35">
      <c r="Q8774" s="83"/>
    </row>
    <row r="8775" spans="17:17" x14ac:dyDescent="0.35">
      <c r="Q8775" s="83"/>
    </row>
    <row r="8776" spans="17:17" x14ac:dyDescent="0.35">
      <c r="Q8776" s="83"/>
    </row>
    <row r="8777" spans="17:17" x14ac:dyDescent="0.35">
      <c r="Q8777" s="83"/>
    </row>
    <row r="8778" spans="17:17" x14ac:dyDescent="0.35">
      <c r="Q8778" s="83"/>
    </row>
    <row r="8779" spans="17:17" x14ac:dyDescent="0.35">
      <c r="Q8779" s="83"/>
    </row>
    <row r="8780" spans="17:17" x14ac:dyDescent="0.35">
      <c r="Q8780" s="83"/>
    </row>
    <row r="8781" spans="17:17" x14ac:dyDescent="0.35">
      <c r="Q8781" s="83"/>
    </row>
    <row r="8782" spans="17:17" x14ac:dyDescent="0.35">
      <c r="Q8782" s="83"/>
    </row>
    <row r="8783" spans="17:17" x14ac:dyDescent="0.35">
      <c r="Q8783" s="83"/>
    </row>
    <row r="8784" spans="17:17" x14ac:dyDescent="0.35">
      <c r="Q8784" s="83"/>
    </row>
    <row r="8785" spans="17:17" x14ac:dyDescent="0.35">
      <c r="Q8785" s="83"/>
    </row>
    <row r="8786" spans="17:17" x14ac:dyDescent="0.35">
      <c r="Q8786" s="83"/>
    </row>
    <row r="8787" spans="17:17" x14ac:dyDescent="0.35">
      <c r="Q8787" s="83"/>
    </row>
    <row r="8788" spans="17:17" x14ac:dyDescent="0.35">
      <c r="Q8788" s="83"/>
    </row>
    <row r="8789" spans="17:17" x14ac:dyDescent="0.35">
      <c r="Q8789" s="83"/>
    </row>
    <row r="8790" spans="17:17" x14ac:dyDescent="0.35">
      <c r="Q8790" s="83"/>
    </row>
    <row r="8791" spans="17:17" x14ac:dyDescent="0.35">
      <c r="Q8791" s="83"/>
    </row>
    <row r="8792" spans="17:17" x14ac:dyDescent="0.35">
      <c r="Q8792" s="83"/>
    </row>
    <row r="8793" spans="17:17" x14ac:dyDescent="0.35">
      <c r="Q8793" s="83"/>
    </row>
    <row r="8794" spans="17:17" x14ac:dyDescent="0.35">
      <c r="Q8794" s="83"/>
    </row>
    <row r="8795" spans="17:17" x14ac:dyDescent="0.35">
      <c r="Q8795" s="83"/>
    </row>
    <row r="8796" spans="17:17" x14ac:dyDescent="0.35">
      <c r="Q8796" s="83"/>
    </row>
    <row r="8797" spans="17:17" x14ac:dyDescent="0.35">
      <c r="Q8797" s="83"/>
    </row>
    <row r="8798" spans="17:17" x14ac:dyDescent="0.35">
      <c r="Q8798" s="83"/>
    </row>
    <row r="8799" spans="17:17" x14ac:dyDescent="0.35">
      <c r="Q8799" s="83"/>
    </row>
    <row r="8800" spans="17:17" x14ac:dyDescent="0.35">
      <c r="Q8800" s="83"/>
    </row>
    <row r="8801" spans="17:17" x14ac:dyDescent="0.35">
      <c r="Q8801" s="83"/>
    </row>
    <row r="8802" spans="17:17" x14ac:dyDescent="0.35">
      <c r="Q8802" s="83"/>
    </row>
    <row r="8803" spans="17:17" x14ac:dyDescent="0.35">
      <c r="Q8803" s="83"/>
    </row>
    <row r="8804" spans="17:17" x14ac:dyDescent="0.35">
      <c r="Q8804" s="83"/>
    </row>
    <row r="8805" spans="17:17" x14ac:dyDescent="0.35">
      <c r="Q8805" s="83"/>
    </row>
    <row r="8806" spans="17:17" x14ac:dyDescent="0.35">
      <c r="Q8806" s="83"/>
    </row>
    <row r="8807" spans="17:17" x14ac:dyDescent="0.35">
      <c r="Q8807" s="83"/>
    </row>
  </sheetData>
  <sheetProtection algorithmName="SHA-512" hashValue="IjBnC7nPnZw6xZZ1wSkkkrNWg9iw8Y2UHbJebIxxo/CBZ8OO6ZgZbiCOk+Wt3E5zlb3jt/ViK7VW/SsGyrhEIg==" saltValue="ex7fjkeYm0JQhKE6T1iyAg==" spinCount="100000" sheet="1" objects="1" scenarios="1"/>
  <mergeCells count="29">
    <mergeCell ref="W22:X22"/>
    <mergeCell ref="AA22:AB22"/>
    <mergeCell ref="AA24:AB24"/>
    <mergeCell ref="AA25:AB25"/>
    <mergeCell ref="W18:X18"/>
    <mergeCell ref="AA18:AB18"/>
    <mergeCell ref="W19:X19"/>
    <mergeCell ref="AA19:AB19"/>
    <mergeCell ref="W21:X21"/>
    <mergeCell ref="AA21:AB21"/>
    <mergeCell ref="W16:X16"/>
    <mergeCell ref="AA16:AB16"/>
    <mergeCell ref="J9:K9"/>
    <mergeCell ref="M9:N9"/>
    <mergeCell ref="W9:X9"/>
    <mergeCell ref="W10:X10"/>
    <mergeCell ref="W11:X11"/>
    <mergeCell ref="W12:X12"/>
    <mergeCell ref="W14:X14"/>
    <mergeCell ref="AA14:AB14"/>
    <mergeCell ref="M15:N15"/>
    <mergeCell ref="W15:X15"/>
    <mergeCell ref="AA15:AB15"/>
    <mergeCell ref="G8:H8"/>
    <mergeCell ref="H2:N2"/>
    <mergeCell ref="W4:X4"/>
    <mergeCell ref="AE4:AF4"/>
    <mergeCell ref="AG4:AH4"/>
    <mergeCell ref="W7:X7"/>
  </mergeCells>
  <pageMargins left="0.7" right="0.7" top="0.75" bottom="0.75" header="0.3" footer="0.3"/>
  <pageSetup paperSize="9" orientation="portrait" verticalDpi="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theme="7" tint="0.59999389629810485"/>
  </sheetPr>
  <dimension ref="C3:D218"/>
  <sheetViews>
    <sheetView showRowColHeaders="0" rightToLeft="1" zoomScale="80" zoomScaleNormal="80" workbookViewId="0">
      <selection activeCell="D18" sqref="D18"/>
    </sheetView>
  </sheetViews>
  <sheetFormatPr defaultRowHeight="14.4" x14ac:dyDescent="0.3"/>
  <cols>
    <col min="3" max="3" width="4" bestFit="1" customWidth="1"/>
    <col min="4" max="4" width="29.109375" customWidth="1"/>
  </cols>
  <sheetData>
    <row r="3" spans="3:4" x14ac:dyDescent="0.3">
      <c r="C3" s="169" t="s">
        <v>77</v>
      </c>
      <c r="D3" s="168" t="s">
        <v>78</v>
      </c>
    </row>
    <row r="4" spans="3:4" x14ac:dyDescent="0.3">
      <c r="C4" s="153">
        <v>1</v>
      </c>
      <c r="D4" s="91" t="s">
        <v>115</v>
      </c>
    </row>
    <row r="5" spans="3:4" x14ac:dyDescent="0.3">
      <c r="C5" s="153">
        <v>2</v>
      </c>
      <c r="D5" s="92" t="s">
        <v>116</v>
      </c>
    </row>
    <row r="6" spans="3:4" x14ac:dyDescent="0.3">
      <c r="C6" s="153">
        <v>3</v>
      </c>
      <c r="D6" s="92" t="s">
        <v>117</v>
      </c>
    </row>
    <row r="7" spans="3:4" x14ac:dyDescent="0.3">
      <c r="C7" s="153">
        <v>4</v>
      </c>
      <c r="D7" s="92" t="s">
        <v>118</v>
      </c>
    </row>
    <row r="8" spans="3:4" x14ac:dyDescent="0.3">
      <c r="C8" s="153">
        <v>5</v>
      </c>
      <c r="D8" s="92" t="s">
        <v>119</v>
      </c>
    </row>
    <row r="9" spans="3:4" x14ac:dyDescent="0.3">
      <c r="C9" s="153">
        <v>6</v>
      </c>
      <c r="D9" s="92" t="s">
        <v>120</v>
      </c>
    </row>
    <row r="10" spans="3:4" x14ac:dyDescent="0.3">
      <c r="C10" s="153">
        <v>7</v>
      </c>
      <c r="D10" s="92" t="s">
        <v>121</v>
      </c>
    </row>
    <row r="11" spans="3:4" x14ac:dyDescent="0.3">
      <c r="C11" s="153">
        <v>8</v>
      </c>
      <c r="D11" s="92" t="s">
        <v>122</v>
      </c>
    </row>
    <row r="12" spans="3:4" x14ac:dyDescent="0.3">
      <c r="C12" s="153">
        <v>9</v>
      </c>
      <c r="D12" s="92" t="s">
        <v>123</v>
      </c>
    </row>
    <row r="13" spans="3:4" x14ac:dyDescent="0.3">
      <c r="C13" s="153">
        <v>10</v>
      </c>
      <c r="D13" s="92" t="s">
        <v>124</v>
      </c>
    </row>
    <row r="14" spans="3:4" x14ac:dyDescent="0.3">
      <c r="C14" s="153">
        <v>11</v>
      </c>
      <c r="D14" s="92" t="s">
        <v>125</v>
      </c>
    </row>
    <row r="15" spans="3:4" x14ac:dyDescent="0.3">
      <c r="C15" s="153">
        <v>12</v>
      </c>
      <c r="D15" s="92" t="s">
        <v>126</v>
      </c>
    </row>
    <row r="16" spans="3:4" x14ac:dyDescent="0.3">
      <c r="C16" s="153">
        <v>13</v>
      </c>
      <c r="D16" s="92" t="s">
        <v>127</v>
      </c>
    </row>
    <row r="17" spans="3:4" x14ac:dyDescent="0.3">
      <c r="C17" s="153">
        <v>14</v>
      </c>
      <c r="D17" s="92" t="s">
        <v>128</v>
      </c>
    </row>
    <row r="18" spans="3:4" x14ac:dyDescent="0.3">
      <c r="C18" s="153">
        <v>15</v>
      </c>
      <c r="D18" s="92"/>
    </row>
    <row r="19" spans="3:4" x14ac:dyDescent="0.3">
      <c r="C19" s="153">
        <v>16</v>
      </c>
      <c r="D19" s="92"/>
    </row>
    <row r="20" spans="3:4" x14ac:dyDescent="0.3">
      <c r="C20" s="153">
        <v>17</v>
      </c>
      <c r="D20" s="92"/>
    </row>
    <row r="21" spans="3:4" x14ac:dyDescent="0.3">
      <c r="C21" s="153">
        <v>18</v>
      </c>
      <c r="D21" s="92"/>
    </row>
    <row r="22" spans="3:4" x14ac:dyDescent="0.3">
      <c r="C22" s="153">
        <v>19</v>
      </c>
      <c r="D22" s="92"/>
    </row>
    <row r="23" spans="3:4" x14ac:dyDescent="0.3">
      <c r="C23" s="153">
        <v>20</v>
      </c>
      <c r="D23" s="92"/>
    </row>
    <row r="24" spans="3:4" x14ac:dyDescent="0.3">
      <c r="C24" s="153">
        <v>21</v>
      </c>
      <c r="D24" s="92"/>
    </row>
    <row r="25" spans="3:4" x14ac:dyDescent="0.3">
      <c r="C25" s="153">
        <v>22</v>
      </c>
      <c r="D25" s="92"/>
    </row>
    <row r="26" spans="3:4" x14ac:dyDescent="0.3">
      <c r="C26" s="153">
        <v>23</v>
      </c>
      <c r="D26" s="92"/>
    </row>
    <row r="27" spans="3:4" x14ac:dyDescent="0.3">
      <c r="C27" s="153">
        <v>24</v>
      </c>
      <c r="D27" s="92"/>
    </row>
    <row r="28" spans="3:4" x14ac:dyDescent="0.3">
      <c r="C28" s="153">
        <v>25</v>
      </c>
      <c r="D28" s="92"/>
    </row>
    <row r="29" spans="3:4" x14ac:dyDescent="0.3">
      <c r="C29" s="153">
        <v>26</v>
      </c>
      <c r="D29" s="92"/>
    </row>
    <row r="30" spans="3:4" x14ac:dyDescent="0.3">
      <c r="C30" s="153">
        <v>27</v>
      </c>
      <c r="D30" s="92"/>
    </row>
    <row r="31" spans="3:4" x14ac:dyDescent="0.3">
      <c r="C31" s="153">
        <v>28</v>
      </c>
      <c r="D31" s="92"/>
    </row>
    <row r="32" spans="3:4" x14ac:dyDescent="0.3">
      <c r="C32" s="153">
        <v>29</v>
      </c>
      <c r="D32" s="92"/>
    </row>
    <row r="33" spans="3:4" x14ac:dyDescent="0.3">
      <c r="C33" s="153">
        <v>30</v>
      </c>
      <c r="D33" s="92"/>
    </row>
    <row r="34" spans="3:4" x14ac:dyDescent="0.3">
      <c r="C34" s="153">
        <v>31</v>
      </c>
      <c r="D34" s="92"/>
    </row>
    <row r="35" spans="3:4" x14ac:dyDescent="0.3">
      <c r="C35" s="153">
        <v>32</v>
      </c>
      <c r="D35" s="92"/>
    </row>
    <row r="36" spans="3:4" x14ac:dyDescent="0.3">
      <c r="C36" s="153">
        <v>33</v>
      </c>
      <c r="D36" s="92"/>
    </row>
    <row r="37" spans="3:4" x14ac:dyDescent="0.3">
      <c r="C37" s="153">
        <v>34</v>
      </c>
      <c r="D37" s="92"/>
    </row>
    <row r="38" spans="3:4" x14ac:dyDescent="0.3">
      <c r="C38" s="153">
        <v>35</v>
      </c>
      <c r="D38" s="92"/>
    </row>
    <row r="39" spans="3:4" x14ac:dyDescent="0.3">
      <c r="C39" s="153">
        <v>36</v>
      </c>
      <c r="D39" s="92"/>
    </row>
    <row r="40" spans="3:4" x14ac:dyDescent="0.3">
      <c r="C40" s="153">
        <v>37</v>
      </c>
      <c r="D40" s="92"/>
    </row>
    <row r="41" spans="3:4" x14ac:dyDescent="0.3">
      <c r="C41" s="153">
        <v>38</v>
      </c>
      <c r="D41" s="92"/>
    </row>
    <row r="42" spans="3:4" x14ac:dyDescent="0.3">
      <c r="C42" s="153">
        <v>39</v>
      </c>
      <c r="D42" s="92"/>
    </row>
    <row r="43" spans="3:4" x14ac:dyDescent="0.3">
      <c r="C43" s="153">
        <v>40</v>
      </c>
      <c r="D43" s="92"/>
    </row>
    <row r="44" spans="3:4" x14ac:dyDescent="0.3">
      <c r="C44" s="153">
        <v>41</v>
      </c>
      <c r="D44" s="92"/>
    </row>
    <row r="45" spans="3:4" x14ac:dyDescent="0.3">
      <c r="C45" s="153">
        <v>42</v>
      </c>
      <c r="D45" s="92"/>
    </row>
    <row r="46" spans="3:4" x14ac:dyDescent="0.3">
      <c r="C46" s="153">
        <v>43</v>
      </c>
      <c r="D46" s="92"/>
    </row>
    <row r="47" spans="3:4" x14ac:dyDescent="0.3">
      <c r="C47" s="153">
        <v>44</v>
      </c>
      <c r="D47" s="92"/>
    </row>
    <row r="48" spans="3:4" x14ac:dyDescent="0.3">
      <c r="C48" s="153">
        <v>45</v>
      </c>
      <c r="D48" s="92"/>
    </row>
    <row r="49" spans="3:4" x14ac:dyDescent="0.3">
      <c r="C49" s="153">
        <v>46</v>
      </c>
      <c r="D49" s="92"/>
    </row>
    <row r="50" spans="3:4" x14ac:dyDescent="0.3">
      <c r="C50" s="153">
        <v>47</v>
      </c>
      <c r="D50" s="92"/>
    </row>
    <row r="51" spans="3:4" x14ac:dyDescent="0.3">
      <c r="C51" s="153">
        <v>48</v>
      </c>
      <c r="D51" s="92"/>
    </row>
    <row r="52" spans="3:4" x14ac:dyDescent="0.3">
      <c r="C52" s="153">
        <v>49</v>
      </c>
      <c r="D52" s="92"/>
    </row>
    <row r="53" spans="3:4" x14ac:dyDescent="0.3">
      <c r="C53" s="153">
        <v>50</v>
      </c>
      <c r="D53" s="92"/>
    </row>
    <row r="54" spans="3:4" x14ac:dyDescent="0.3">
      <c r="C54" s="153">
        <v>51</v>
      </c>
      <c r="D54" s="92"/>
    </row>
    <row r="55" spans="3:4" x14ac:dyDescent="0.3">
      <c r="C55" s="153">
        <v>52</v>
      </c>
      <c r="D55" s="92"/>
    </row>
    <row r="56" spans="3:4" x14ac:dyDescent="0.3">
      <c r="C56" s="153">
        <v>53</v>
      </c>
      <c r="D56" s="92"/>
    </row>
    <row r="57" spans="3:4" x14ac:dyDescent="0.3">
      <c r="C57" s="153">
        <v>54</v>
      </c>
      <c r="D57" s="92"/>
    </row>
    <row r="58" spans="3:4" x14ac:dyDescent="0.3">
      <c r="C58" s="153">
        <v>55</v>
      </c>
      <c r="D58" s="92"/>
    </row>
    <row r="59" spans="3:4" x14ac:dyDescent="0.3">
      <c r="C59" s="153">
        <v>56</v>
      </c>
      <c r="D59" s="92"/>
    </row>
    <row r="60" spans="3:4" x14ac:dyDescent="0.3">
      <c r="C60" s="153">
        <v>57</v>
      </c>
      <c r="D60" s="92"/>
    </row>
    <row r="61" spans="3:4" x14ac:dyDescent="0.3">
      <c r="C61" s="153">
        <v>58</v>
      </c>
      <c r="D61" s="92"/>
    </row>
    <row r="62" spans="3:4" x14ac:dyDescent="0.3">
      <c r="C62" s="153">
        <v>59</v>
      </c>
      <c r="D62" s="92"/>
    </row>
    <row r="63" spans="3:4" x14ac:dyDescent="0.3">
      <c r="C63" s="153">
        <v>60</v>
      </c>
      <c r="D63" s="92"/>
    </row>
    <row r="64" spans="3:4" x14ac:dyDescent="0.3">
      <c r="C64" s="153">
        <v>61</v>
      </c>
      <c r="D64" s="92"/>
    </row>
    <row r="65" spans="3:4" x14ac:dyDescent="0.3">
      <c r="C65" s="153">
        <v>62</v>
      </c>
      <c r="D65" s="92"/>
    </row>
    <row r="66" spans="3:4" x14ac:dyDescent="0.3">
      <c r="C66" s="153">
        <v>63</v>
      </c>
      <c r="D66" s="92"/>
    </row>
    <row r="67" spans="3:4" x14ac:dyDescent="0.3">
      <c r="C67" s="153">
        <v>64</v>
      </c>
      <c r="D67" s="92"/>
    </row>
    <row r="68" spans="3:4" x14ac:dyDescent="0.3">
      <c r="C68" s="153">
        <v>65</v>
      </c>
      <c r="D68" s="92"/>
    </row>
    <row r="69" spans="3:4" x14ac:dyDescent="0.3">
      <c r="C69" s="153">
        <v>66</v>
      </c>
      <c r="D69" s="92"/>
    </row>
    <row r="70" spans="3:4" x14ac:dyDescent="0.3">
      <c r="C70" s="153">
        <v>67</v>
      </c>
      <c r="D70" s="92"/>
    </row>
    <row r="71" spans="3:4" x14ac:dyDescent="0.3">
      <c r="C71" s="153">
        <v>68</v>
      </c>
      <c r="D71" s="92"/>
    </row>
    <row r="72" spans="3:4" x14ac:dyDescent="0.3">
      <c r="C72" s="153">
        <v>69</v>
      </c>
      <c r="D72" s="92"/>
    </row>
    <row r="73" spans="3:4" x14ac:dyDescent="0.3">
      <c r="C73" s="153">
        <v>70</v>
      </c>
      <c r="D73" s="92"/>
    </row>
    <row r="74" spans="3:4" x14ac:dyDescent="0.3">
      <c r="C74" s="153">
        <v>71</v>
      </c>
      <c r="D74" s="92"/>
    </row>
    <row r="75" spans="3:4" x14ac:dyDescent="0.3">
      <c r="C75" s="153">
        <v>72</v>
      </c>
      <c r="D75" s="92"/>
    </row>
    <row r="76" spans="3:4" x14ac:dyDescent="0.3">
      <c r="C76" s="153">
        <v>73</v>
      </c>
      <c r="D76" s="92"/>
    </row>
    <row r="77" spans="3:4" x14ac:dyDescent="0.3">
      <c r="C77" s="153">
        <v>74</v>
      </c>
      <c r="D77" s="92"/>
    </row>
    <row r="78" spans="3:4" x14ac:dyDescent="0.3">
      <c r="C78" s="153">
        <v>75</v>
      </c>
      <c r="D78" s="92"/>
    </row>
    <row r="79" spans="3:4" x14ac:dyDescent="0.3">
      <c r="C79" s="153">
        <v>76</v>
      </c>
      <c r="D79" s="92"/>
    </row>
    <row r="80" spans="3:4" x14ac:dyDescent="0.3">
      <c r="C80" s="153">
        <v>77</v>
      </c>
      <c r="D80" s="92"/>
    </row>
    <row r="81" spans="3:4" x14ac:dyDescent="0.3">
      <c r="C81" s="153">
        <v>78</v>
      </c>
      <c r="D81" s="92"/>
    </row>
    <row r="82" spans="3:4" x14ac:dyDescent="0.3">
      <c r="C82" s="153">
        <v>79</v>
      </c>
      <c r="D82" s="92"/>
    </row>
    <row r="83" spans="3:4" x14ac:dyDescent="0.3">
      <c r="C83" s="153">
        <v>80</v>
      </c>
      <c r="D83" s="92"/>
    </row>
    <row r="84" spans="3:4" x14ac:dyDescent="0.3">
      <c r="C84" s="153">
        <v>81</v>
      </c>
      <c r="D84" s="92"/>
    </row>
    <row r="85" spans="3:4" x14ac:dyDescent="0.3">
      <c r="C85" s="153">
        <v>82</v>
      </c>
      <c r="D85" s="92"/>
    </row>
    <row r="86" spans="3:4" x14ac:dyDescent="0.3">
      <c r="C86" s="153">
        <v>83</v>
      </c>
      <c r="D86" s="92"/>
    </row>
    <row r="87" spans="3:4" x14ac:dyDescent="0.3">
      <c r="C87" s="153">
        <v>84</v>
      </c>
      <c r="D87" s="92"/>
    </row>
    <row r="88" spans="3:4" x14ac:dyDescent="0.3">
      <c r="C88" s="153">
        <v>85</v>
      </c>
      <c r="D88" s="92"/>
    </row>
    <row r="89" spans="3:4" x14ac:dyDescent="0.3">
      <c r="C89" s="153">
        <v>86</v>
      </c>
      <c r="D89" s="92"/>
    </row>
    <row r="90" spans="3:4" x14ac:dyDescent="0.3">
      <c r="C90" s="153">
        <v>87</v>
      </c>
      <c r="D90" s="92"/>
    </row>
    <row r="91" spans="3:4" x14ac:dyDescent="0.3">
      <c r="C91" s="153">
        <v>88</v>
      </c>
      <c r="D91" s="92"/>
    </row>
    <row r="92" spans="3:4" x14ac:dyDescent="0.3">
      <c r="C92" s="153">
        <v>89</v>
      </c>
      <c r="D92" s="92"/>
    </row>
    <row r="93" spans="3:4" x14ac:dyDescent="0.3">
      <c r="C93" s="153">
        <v>90</v>
      </c>
      <c r="D93" s="92"/>
    </row>
    <row r="94" spans="3:4" x14ac:dyDescent="0.3">
      <c r="C94" s="153">
        <v>91</v>
      </c>
      <c r="D94" s="92"/>
    </row>
    <row r="95" spans="3:4" x14ac:dyDescent="0.3">
      <c r="C95" s="153">
        <v>92</v>
      </c>
      <c r="D95" s="92"/>
    </row>
    <row r="96" spans="3:4" x14ac:dyDescent="0.3">
      <c r="C96" s="153">
        <v>93</v>
      </c>
      <c r="D96" s="92"/>
    </row>
    <row r="97" spans="3:4" x14ac:dyDescent="0.3">
      <c r="C97" s="153">
        <v>94</v>
      </c>
      <c r="D97" s="92"/>
    </row>
    <row r="98" spans="3:4" x14ac:dyDescent="0.3">
      <c r="C98" s="153">
        <v>95</v>
      </c>
      <c r="D98" s="92"/>
    </row>
    <row r="99" spans="3:4" x14ac:dyDescent="0.3">
      <c r="C99" s="153">
        <v>96</v>
      </c>
      <c r="D99" s="92"/>
    </row>
    <row r="100" spans="3:4" x14ac:dyDescent="0.3">
      <c r="C100" s="153">
        <v>97</v>
      </c>
      <c r="D100" s="92"/>
    </row>
    <row r="101" spans="3:4" x14ac:dyDescent="0.3">
      <c r="C101" s="153">
        <v>98</v>
      </c>
      <c r="D101" s="92"/>
    </row>
    <row r="102" spans="3:4" x14ac:dyDescent="0.3">
      <c r="C102" s="153">
        <v>99</v>
      </c>
      <c r="D102" s="92"/>
    </row>
    <row r="103" spans="3:4" x14ac:dyDescent="0.3">
      <c r="C103" s="153">
        <v>100</v>
      </c>
      <c r="D103" s="92"/>
    </row>
    <row r="104" spans="3:4" x14ac:dyDescent="0.3">
      <c r="C104" s="153">
        <v>101</v>
      </c>
      <c r="D104" s="92"/>
    </row>
    <row r="105" spans="3:4" x14ac:dyDescent="0.3">
      <c r="C105" s="153">
        <v>102</v>
      </c>
      <c r="D105" s="92"/>
    </row>
    <row r="106" spans="3:4" x14ac:dyDescent="0.3">
      <c r="C106" s="153">
        <v>103</v>
      </c>
      <c r="D106" s="92"/>
    </row>
    <row r="107" spans="3:4" x14ac:dyDescent="0.3">
      <c r="C107" s="153">
        <v>104</v>
      </c>
      <c r="D107" s="92"/>
    </row>
    <row r="108" spans="3:4" x14ac:dyDescent="0.3">
      <c r="C108" s="153">
        <v>105</v>
      </c>
      <c r="D108" s="92"/>
    </row>
    <row r="109" spans="3:4" x14ac:dyDescent="0.3">
      <c r="C109" s="153">
        <v>106</v>
      </c>
      <c r="D109" s="92"/>
    </row>
    <row r="110" spans="3:4" x14ac:dyDescent="0.3">
      <c r="C110" s="153">
        <v>107</v>
      </c>
      <c r="D110" s="92"/>
    </row>
    <row r="111" spans="3:4" x14ac:dyDescent="0.3">
      <c r="C111" s="153">
        <v>108</v>
      </c>
      <c r="D111" s="92"/>
    </row>
    <row r="112" spans="3:4" x14ac:dyDescent="0.3">
      <c r="C112" s="153">
        <v>109</v>
      </c>
      <c r="D112" s="92"/>
    </row>
    <row r="113" spans="3:4" x14ac:dyDescent="0.3">
      <c r="C113" s="153">
        <v>110</v>
      </c>
      <c r="D113" s="92"/>
    </row>
    <row r="114" spans="3:4" x14ac:dyDescent="0.3">
      <c r="C114" s="153">
        <v>111</v>
      </c>
      <c r="D114" s="92"/>
    </row>
    <row r="115" spans="3:4" x14ac:dyDescent="0.3">
      <c r="C115" s="153">
        <v>112</v>
      </c>
      <c r="D115" s="92"/>
    </row>
    <row r="116" spans="3:4" x14ac:dyDescent="0.3">
      <c r="C116" s="153">
        <v>113</v>
      </c>
      <c r="D116" s="92"/>
    </row>
    <row r="117" spans="3:4" x14ac:dyDescent="0.3">
      <c r="C117" s="153">
        <v>114</v>
      </c>
      <c r="D117" s="92"/>
    </row>
    <row r="118" spans="3:4" x14ac:dyDescent="0.3">
      <c r="C118" s="153">
        <v>115</v>
      </c>
      <c r="D118" s="92"/>
    </row>
    <row r="119" spans="3:4" x14ac:dyDescent="0.3">
      <c r="C119" s="153">
        <v>116</v>
      </c>
      <c r="D119" s="92"/>
    </row>
    <row r="120" spans="3:4" x14ac:dyDescent="0.3">
      <c r="C120" s="153">
        <v>117</v>
      </c>
      <c r="D120" s="92"/>
    </row>
    <row r="121" spans="3:4" x14ac:dyDescent="0.3">
      <c r="C121" s="153">
        <v>118</v>
      </c>
      <c r="D121" s="92"/>
    </row>
    <row r="122" spans="3:4" x14ac:dyDescent="0.3">
      <c r="C122" s="153">
        <v>119</v>
      </c>
      <c r="D122" s="92"/>
    </row>
    <row r="123" spans="3:4" x14ac:dyDescent="0.3">
      <c r="C123" s="153">
        <v>120</v>
      </c>
      <c r="D123" s="92"/>
    </row>
    <row r="124" spans="3:4" x14ac:dyDescent="0.3">
      <c r="C124" s="153">
        <v>121</v>
      </c>
      <c r="D124" s="92"/>
    </row>
    <row r="125" spans="3:4" x14ac:dyDescent="0.3">
      <c r="C125" s="153">
        <v>122</v>
      </c>
      <c r="D125" s="92"/>
    </row>
    <row r="126" spans="3:4" x14ac:dyDescent="0.3">
      <c r="C126" s="153">
        <v>123</v>
      </c>
      <c r="D126" s="92"/>
    </row>
    <row r="127" spans="3:4" x14ac:dyDescent="0.3">
      <c r="C127" s="153">
        <v>124</v>
      </c>
      <c r="D127" s="92"/>
    </row>
    <row r="128" spans="3:4" x14ac:dyDescent="0.3">
      <c r="C128" s="153">
        <v>125</v>
      </c>
      <c r="D128" s="92"/>
    </row>
    <row r="129" spans="3:4" x14ac:dyDescent="0.3">
      <c r="C129" s="153">
        <v>126</v>
      </c>
      <c r="D129" s="92"/>
    </row>
    <row r="130" spans="3:4" x14ac:dyDescent="0.3">
      <c r="C130" s="153">
        <v>127</v>
      </c>
      <c r="D130" s="92"/>
    </row>
    <row r="131" spans="3:4" x14ac:dyDescent="0.3">
      <c r="C131" s="153">
        <v>128</v>
      </c>
      <c r="D131" s="92"/>
    </row>
    <row r="132" spans="3:4" x14ac:dyDescent="0.3">
      <c r="C132" s="153">
        <v>129</v>
      </c>
      <c r="D132" s="92"/>
    </row>
    <row r="133" spans="3:4" x14ac:dyDescent="0.3">
      <c r="C133" s="153">
        <v>130</v>
      </c>
      <c r="D133" s="92"/>
    </row>
    <row r="134" spans="3:4" x14ac:dyDescent="0.3">
      <c r="C134" s="153">
        <v>131</v>
      </c>
      <c r="D134" s="92"/>
    </row>
    <row r="135" spans="3:4" x14ac:dyDescent="0.3">
      <c r="C135" s="153">
        <v>132</v>
      </c>
      <c r="D135" s="92"/>
    </row>
    <row r="136" spans="3:4" x14ac:dyDescent="0.3">
      <c r="C136" s="153">
        <v>133</v>
      </c>
      <c r="D136" s="92"/>
    </row>
    <row r="137" spans="3:4" x14ac:dyDescent="0.3">
      <c r="C137" s="153">
        <v>134</v>
      </c>
      <c r="D137" s="92"/>
    </row>
    <row r="138" spans="3:4" x14ac:dyDescent="0.3">
      <c r="C138" s="153">
        <v>135</v>
      </c>
      <c r="D138" s="92"/>
    </row>
    <row r="139" spans="3:4" x14ac:dyDescent="0.3">
      <c r="C139" s="153">
        <v>136</v>
      </c>
      <c r="D139" s="92"/>
    </row>
    <row r="140" spans="3:4" x14ac:dyDescent="0.3">
      <c r="C140" s="153">
        <v>137</v>
      </c>
      <c r="D140" s="92"/>
    </row>
    <row r="141" spans="3:4" x14ac:dyDescent="0.3">
      <c r="C141" s="153">
        <v>138</v>
      </c>
      <c r="D141" s="92"/>
    </row>
    <row r="142" spans="3:4" x14ac:dyDescent="0.3">
      <c r="C142" s="153">
        <v>139</v>
      </c>
      <c r="D142" s="92"/>
    </row>
    <row r="143" spans="3:4" x14ac:dyDescent="0.3">
      <c r="C143" s="153">
        <v>140</v>
      </c>
      <c r="D143" s="92"/>
    </row>
    <row r="144" spans="3:4" x14ac:dyDescent="0.3">
      <c r="C144" s="153">
        <v>141</v>
      </c>
      <c r="D144" s="92"/>
    </row>
    <row r="145" spans="3:4" x14ac:dyDescent="0.3">
      <c r="C145" s="153">
        <v>142</v>
      </c>
      <c r="D145" s="92"/>
    </row>
    <row r="146" spans="3:4" x14ac:dyDescent="0.3">
      <c r="C146" s="153">
        <v>143</v>
      </c>
      <c r="D146" s="92"/>
    </row>
    <row r="147" spans="3:4" x14ac:dyDescent="0.3">
      <c r="C147" s="153">
        <v>144</v>
      </c>
      <c r="D147" s="92"/>
    </row>
    <row r="148" spans="3:4" x14ac:dyDescent="0.3">
      <c r="C148" s="153">
        <v>145</v>
      </c>
      <c r="D148" s="92"/>
    </row>
    <row r="149" spans="3:4" x14ac:dyDescent="0.3">
      <c r="C149" s="153">
        <v>146</v>
      </c>
      <c r="D149" s="92"/>
    </row>
    <row r="150" spans="3:4" x14ac:dyDescent="0.3">
      <c r="C150" s="153">
        <v>147</v>
      </c>
      <c r="D150" s="92"/>
    </row>
    <row r="151" spans="3:4" x14ac:dyDescent="0.3">
      <c r="C151" s="153">
        <v>148</v>
      </c>
      <c r="D151" s="92"/>
    </row>
    <row r="152" spans="3:4" x14ac:dyDescent="0.3">
      <c r="C152" s="153">
        <v>149</v>
      </c>
      <c r="D152" s="92"/>
    </row>
    <row r="153" spans="3:4" x14ac:dyDescent="0.3">
      <c r="C153" s="153">
        <v>150</v>
      </c>
      <c r="D153" s="92"/>
    </row>
    <row r="154" spans="3:4" x14ac:dyDescent="0.3">
      <c r="C154" s="153">
        <v>151</v>
      </c>
      <c r="D154" s="92"/>
    </row>
    <row r="155" spans="3:4" x14ac:dyDescent="0.3">
      <c r="C155" s="153">
        <v>152</v>
      </c>
      <c r="D155" s="92"/>
    </row>
    <row r="156" spans="3:4" x14ac:dyDescent="0.3">
      <c r="C156" s="153">
        <v>153</v>
      </c>
      <c r="D156" s="92"/>
    </row>
    <row r="157" spans="3:4" x14ac:dyDescent="0.3">
      <c r="C157" s="153">
        <v>154</v>
      </c>
      <c r="D157" s="92"/>
    </row>
    <row r="158" spans="3:4" x14ac:dyDescent="0.3">
      <c r="C158" s="153">
        <v>155</v>
      </c>
      <c r="D158" s="92"/>
    </row>
    <row r="159" spans="3:4" x14ac:dyDescent="0.3">
      <c r="C159" s="153">
        <v>156</v>
      </c>
      <c r="D159" s="92"/>
    </row>
    <row r="160" spans="3:4" x14ac:dyDescent="0.3">
      <c r="C160" s="153">
        <v>157</v>
      </c>
      <c r="D160" s="92"/>
    </row>
    <row r="161" spans="3:4" x14ac:dyDescent="0.3">
      <c r="C161" s="153">
        <v>158</v>
      </c>
      <c r="D161" s="92"/>
    </row>
    <row r="162" spans="3:4" x14ac:dyDescent="0.3">
      <c r="C162" s="153">
        <v>159</v>
      </c>
      <c r="D162" s="92"/>
    </row>
    <row r="163" spans="3:4" x14ac:dyDescent="0.3">
      <c r="C163" s="153">
        <v>160</v>
      </c>
      <c r="D163" s="92"/>
    </row>
    <row r="164" spans="3:4" x14ac:dyDescent="0.3">
      <c r="C164" s="153">
        <v>161</v>
      </c>
      <c r="D164" s="92"/>
    </row>
    <row r="165" spans="3:4" x14ac:dyDescent="0.3">
      <c r="C165" s="153">
        <v>162</v>
      </c>
      <c r="D165" s="92"/>
    </row>
    <row r="166" spans="3:4" x14ac:dyDescent="0.3">
      <c r="C166" s="153">
        <v>163</v>
      </c>
      <c r="D166" s="92"/>
    </row>
    <row r="167" spans="3:4" x14ac:dyDescent="0.3">
      <c r="C167" s="153">
        <v>164</v>
      </c>
      <c r="D167" s="92"/>
    </row>
    <row r="168" spans="3:4" x14ac:dyDescent="0.3">
      <c r="C168" s="153">
        <v>165</v>
      </c>
      <c r="D168" s="92"/>
    </row>
    <row r="169" spans="3:4" x14ac:dyDescent="0.3">
      <c r="C169" s="153">
        <v>166</v>
      </c>
      <c r="D169" s="92"/>
    </row>
    <row r="170" spans="3:4" x14ac:dyDescent="0.3">
      <c r="C170" s="153">
        <v>167</v>
      </c>
      <c r="D170" s="92"/>
    </row>
    <row r="171" spans="3:4" x14ac:dyDescent="0.3">
      <c r="C171" s="153">
        <v>168</v>
      </c>
      <c r="D171" s="92"/>
    </row>
    <row r="172" spans="3:4" x14ac:dyDescent="0.3">
      <c r="C172" s="153">
        <v>169</v>
      </c>
      <c r="D172" s="92"/>
    </row>
    <row r="173" spans="3:4" x14ac:dyDescent="0.3">
      <c r="C173" s="153">
        <v>170</v>
      </c>
      <c r="D173" s="92"/>
    </row>
    <row r="174" spans="3:4" x14ac:dyDescent="0.3">
      <c r="C174" s="153">
        <v>171</v>
      </c>
      <c r="D174" s="92"/>
    </row>
    <row r="175" spans="3:4" x14ac:dyDescent="0.3">
      <c r="C175" s="153">
        <v>172</v>
      </c>
      <c r="D175" s="92"/>
    </row>
    <row r="176" spans="3:4" x14ac:dyDescent="0.3">
      <c r="C176" s="153">
        <v>173</v>
      </c>
      <c r="D176" s="92"/>
    </row>
    <row r="177" spans="3:4" x14ac:dyDescent="0.3">
      <c r="C177" s="153">
        <v>174</v>
      </c>
      <c r="D177" s="92"/>
    </row>
    <row r="178" spans="3:4" x14ac:dyDescent="0.3">
      <c r="C178" s="153">
        <v>175</v>
      </c>
      <c r="D178" s="92"/>
    </row>
    <row r="179" spans="3:4" x14ac:dyDescent="0.3">
      <c r="C179" s="153">
        <v>176</v>
      </c>
      <c r="D179" s="92"/>
    </row>
    <row r="180" spans="3:4" x14ac:dyDescent="0.3">
      <c r="C180" s="153">
        <v>177</v>
      </c>
      <c r="D180" s="92"/>
    </row>
    <row r="181" spans="3:4" x14ac:dyDescent="0.3">
      <c r="C181" s="153">
        <v>178</v>
      </c>
      <c r="D181" s="92"/>
    </row>
    <row r="182" spans="3:4" x14ac:dyDescent="0.3">
      <c r="C182" s="153">
        <v>179</v>
      </c>
      <c r="D182" s="92"/>
    </row>
    <row r="183" spans="3:4" x14ac:dyDescent="0.3">
      <c r="C183" s="153">
        <v>180</v>
      </c>
      <c r="D183" s="92"/>
    </row>
    <row r="184" spans="3:4" x14ac:dyDescent="0.3">
      <c r="C184" s="153">
        <v>181</v>
      </c>
      <c r="D184" s="92"/>
    </row>
    <row r="185" spans="3:4" x14ac:dyDescent="0.3">
      <c r="C185" s="153">
        <v>182</v>
      </c>
      <c r="D185" s="92"/>
    </row>
    <row r="186" spans="3:4" x14ac:dyDescent="0.3">
      <c r="C186" s="153">
        <v>183</v>
      </c>
      <c r="D186" s="92"/>
    </row>
    <row r="187" spans="3:4" x14ac:dyDescent="0.3">
      <c r="C187" s="153">
        <v>184</v>
      </c>
      <c r="D187" s="92"/>
    </row>
    <row r="188" spans="3:4" x14ac:dyDescent="0.3">
      <c r="C188" s="153">
        <v>185</v>
      </c>
      <c r="D188" s="92"/>
    </row>
    <row r="189" spans="3:4" x14ac:dyDescent="0.3">
      <c r="C189" s="153">
        <v>186</v>
      </c>
      <c r="D189" s="92"/>
    </row>
    <row r="190" spans="3:4" x14ac:dyDescent="0.3">
      <c r="C190" s="153">
        <v>187</v>
      </c>
      <c r="D190" s="92"/>
    </row>
    <row r="191" spans="3:4" x14ac:dyDescent="0.3">
      <c r="C191" s="153">
        <v>188</v>
      </c>
      <c r="D191" s="92"/>
    </row>
    <row r="192" spans="3:4" x14ac:dyDescent="0.3">
      <c r="C192" s="153">
        <v>189</v>
      </c>
      <c r="D192" s="92"/>
    </row>
    <row r="193" spans="3:4" x14ac:dyDescent="0.3">
      <c r="C193" s="153">
        <v>190</v>
      </c>
      <c r="D193" s="92"/>
    </row>
    <row r="194" spans="3:4" x14ac:dyDescent="0.3">
      <c r="C194" s="153">
        <v>191</v>
      </c>
      <c r="D194" s="92"/>
    </row>
    <row r="195" spans="3:4" x14ac:dyDescent="0.3">
      <c r="C195" s="153">
        <v>192</v>
      </c>
      <c r="D195" s="92"/>
    </row>
    <row r="196" spans="3:4" x14ac:dyDescent="0.3">
      <c r="C196" s="153">
        <v>193</v>
      </c>
      <c r="D196" s="92"/>
    </row>
    <row r="197" spans="3:4" x14ac:dyDescent="0.3">
      <c r="C197" s="153">
        <v>194</v>
      </c>
      <c r="D197" s="92"/>
    </row>
    <row r="198" spans="3:4" x14ac:dyDescent="0.3">
      <c r="C198" s="153">
        <v>195</v>
      </c>
      <c r="D198" s="92"/>
    </row>
    <row r="199" spans="3:4" x14ac:dyDescent="0.3">
      <c r="C199" s="153">
        <v>196</v>
      </c>
      <c r="D199" s="92"/>
    </row>
    <row r="200" spans="3:4" x14ac:dyDescent="0.3">
      <c r="C200" s="153">
        <v>197</v>
      </c>
      <c r="D200" s="92"/>
    </row>
    <row r="201" spans="3:4" x14ac:dyDescent="0.3">
      <c r="C201" s="153">
        <v>198</v>
      </c>
      <c r="D201" s="92"/>
    </row>
    <row r="202" spans="3:4" x14ac:dyDescent="0.3">
      <c r="C202" s="153">
        <v>199</v>
      </c>
      <c r="D202" s="92"/>
    </row>
    <row r="203" spans="3:4" x14ac:dyDescent="0.3">
      <c r="C203" s="153">
        <v>200</v>
      </c>
      <c r="D203" s="92"/>
    </row>
    <row r="204" spans="3:4" x14ac:dyDescent="0.3">
      <c r="C204" s="153">
        <v>201</v>
      </c>
      <c r="D204" s="92"/>
    </row>
    <row r="205" spans="3:4" x14ac:dyDescent="0.3">
      <c r="C205" s="153">
        <v>202</v>
      </c>
      <c r="D205" s="92"/>
    </row>
    <row r="206" spans="3:4" x14ac:dyDescent="0.3">
      <c r="C206" s="153">
        <v>203</v>
      </c>
      <c r="D206" s="92"/>
    </row>
    <row r="207" spans="3:4" x14ac:dyDescent="0.3">
      <c r="C207" s="153">
        <v>204</v>
      </c>
      <c r="D207" s="92"/>
    </row>
    <row r="208" spans="3:4" x14ac:dyDescent="0.3">
      <c r="C208" s="153">
        <v>205</v>
      </c>
      <c r="D208" s="92"/>
    </row>
    <row r="209" spans="3:4" x14ac:dyDescent="0.3">
      <c r="C209" s="153">
        <v>206</v>
      </c>
      <c r="D209" s="92"/>
    </row>
    <row r="210" spans="3:4" x14ac:dyDescent="0.3">
      <c r="C210" s="153">
        <v>207</v>
      </c>
      <c r="D210" s="92"/>
    </row>
    <row r="211" spans="3:4" x14ac:dyDescent="0.3">
      <c r="C211" s="153">
        <v>208</v>
      </c>
      <c r="D211" s="92"/>
    </row>
    <row r="212" spans="3:4" x14ac:dyDescent="0.3">
      <c r="C212" s="153">
        <v>209</v>
      </c>
      <c r="D212" s="92"/>
    </row>
    <row r="213" spans="3:4" x14ac:dyDescent="0.3">
      <c r="C213" s="153">
        <v>210</v>
      </c>
      <c r="D213" s="92"/>
    </row>
    <row r="214" spans="3:4" x14ac:dyDescent="0.3">
      <c r="C214" s="153">
        <v>211</v>
      </c>
      <c r="D214" s="92"/>
    </row>
    <row r="215" spans="3:4" x14ac:dyDescent="0.3">
      <c r="C215" s="153">
        <v>212</v>
      </c>
      <c r="D215" s="92"/>
    </row>
    <row r="216" spans="3:4" x14ac:dyDescent="0.3">
      <c r="C216" s="153">
        <v>213</v>
      </c>
      <c r="D216" s="92"/>
    </row>
    <row r="217" spans="3:4" x14ac:dyDescent="0.3">
      <c r="C217" s="153">
        <v>214</v>
      </c>
      <c r="D217" s="92"/>
    </row>
    <row r="218" spans="3:4" x14ac:dyDescent="0.3">
      <c r="C218" s="156">
        <v>215</v>
      </c>
      <c r="D218" s="9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1 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Total</vt:lpstr>
      <vt:lpstr>كــــــــروت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2026-05-05T11:48:03Z</dcterms:modified>
</cp:coreProperties>
</file>